
<file path=[Content_Types].xml><?xml version="1.0" encoding="utf-8"?>
<Types xmlns="http://schemas.openxmlformats.org/package/2006/content-types">
  <Default Extension="gif" ContentType="image/gi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hanssassenburg/Library/CloudStorage/Dropbox/X_Private/20_Astronomy/Morsels/"/>
    </mc:Choice>
  </mc:AlternateContent>
  <xr:revisionPtr revIDLastSave="0" documentId="13_ncr:1_{34B7187F-5FBE-044F-9D86-121BA9511C2D}" xr6:coauthVersionLast="47" xr6:coauthVersionMax="47" xr10:uidLastSave="{00000000-0000-0000-0000-000000000000}"/>
  <bookViews>
    <workbookView xWindow="12700" yWindow="1140" windowWidth="43560" windowHeight="24900" xr2:uid="{5604B167-511D-8C41-BB01-DEB117AC2E44}"/>
  </bookViews>
  <sheets>
    <sheet name="Introduction" sheetId="46" r:id="rId1"/>
    <sheet name="Solar System (1)" sheetId="51" r:id="rId2"/>
    <sheet name="Solar System (2)" sheetId="47" r:id="rId3"/>
    <sheet name="Background" sheetId="50" r:id="rId4"/>
  </sheets>
  <definedNames>
    <definedName name="degrees">{0;90;180;270}</definedName>
    <definedName name="dgrs">{0;90;180;270}</definedName>
    <definedName name="SD" localSheetId="0">'Solar System (2)'!#REF!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6" i="47" l="1"/>
  <c r="C18" i="47" l="1"/>
  <c r="C17" i="47"/>
  <c r="C18" i="51"/>
  <c r="C17" i="51"/>
  <c r="C83" i="47"/>
  <c r="C14" i="47"/>
  <c r="C7" i="47"/>
  <c r="C9" i="47" l="1"/>
  <c r="C10" i="47" s="1"/>
  <c r="C8" i="47"/>
  <c r="C12" i="47" l="1"/>
  <c r="C15" i="47" s="1"/>
  <c r="C86" i="47"/>
  <c r="C13" i="47"/>
  <c r="C87" i="47" l="1"/>
  <c r="M98" i="47" l="1"/>
  <c r="M97" i="47"/>
  <c r="K91" i="47"/>
  <c r="E92" i="47"/>
  <c r="J94" i="47"/>
  <c r="G90" i="47"/>
  <c r="I90" i="47"/>
  <c r="K90" i="47"/>
  <c r="C94" i="47"/>
  <c r="L95" i="47"/>
  <c r="L103" i="47" s="1"/>
  <c r="L104" i="47" s="1"/>
  <c r="L105" i="47" s="1"/>
  <c r="L106" i="47" s="1"/>
  <c r="L107" i="47" s="1"/>
  <c r="L108" i="47" s="1"/>
  <c r="I91" i="47"/>
  <c r="I94" i="47"/>
  <c r="F92" i="47"/>
  <c r="K94" i="47"/>
  <c r="J92" i="47"/>
  <c r="L92" i="47"/>
  <c r="I95" i="47"/>
  <c r="J95" i="47"/>
  <c r="J91" i="47"/>
  <c r="D87" i="47"/>
  <c r="D95" i="47" s="1"/>
  <c r="G92" i="47"/>
  <c r="L94" i="47"/>
  <c r="E95" i="47"/>
  <c r="F95" i="47"/>
  <c r="J90" i="47"/>
  <c r="E91" i="47"/>
  <c r="E94" i="47"/>
  <c r="C122" i="47"/>
  <c r="E90" i="47"/>
  <c r="H92" i="47"/>
  <c r="C95" i="47"/>
  <c r="K92" i="47"/>
  <c r="L90" i="47"/>
  <c r="H91" i="47"/>
  <c r="F90" i="47"/>
  <c r="I92" i="47"/>
  <c r="H90" i="47"/>
  <c r="G95" i="47"/>
  <c r="G103" i="47" s="1"/>
  <c r="G104" i="47" s="1"/>
  <c r="G105" i="47" s="1"/>
  <c r="G106" i="47" s="1"/>
  <c r="G107" i="47" s="1"/>
  <c r="G108" i="47" s="1"/>
  <c r="H95" i="47"/>
  <c r="K93" i="47"/>
  <c r="L93" i="47"/>
  <c r="K95" i="47"/>
  <c r="F91" i="47"/>
  <c r="F94" i="47"/>
  <c r="H94" i="47"/>
  <c r="C92" i="47"/>
  <c r="L91" i="47"/>
  <c r="C103" i="47" l="1"/>
  <c r="C104" i="47" s="1"/>
  <c r="C105" i="47" s="1"/>
  <c r="C106" i="47" s="1"/>
  <c r="C107" i="47" s="1"/>
  <c r="C108" i="47" s="1"/>
  <c r="F103" i="47"/>
  <c r="F104" i="47" s="1"/>
  <c r="F105" i="47" s="1"/>
  <c r="F106" i="47" s="1"/>
  <c r="F107" i="47" s="1"/>
  <c r="F108" i="47" s="1"/>
  <c r="H103" i="47"/>
  <c r="H104" i="47" s="1"/>
  <c r="H105" i="47" s="1"/>
  <c r="H106" i="47" s="1"/>
  <c r="H107" i="47" s="1"/>
  <c r="H108" i="47" s="1"/>
  <c r="H113" i="47" s="1"/>
  <c r="K103" i="47"/>
  <c r="K104" i="47" s="1"/>
  <c r="K105" i="47" s="1"/>
  <c r="K106" i="47" s="1"/>
  <c r="K107" i="47" s="1"/>
  <c r="K108" i="47" s="1"/>
  <c r="J103" i="47"/>
  <c r="J104" i="47" s="1"/>
  <c r="J105" i="47" s="1"/>
  <c r="J106" i="47" s="1"/>
  <c r="J107" i="47" s="1"/>
  <c r="J108" i="47" s="1"/>
  <c r="J113" i="47" s="1"/>
  <c r="E103" i="47"/>
  <c r="E104" i="47" s="1"/>
  <c r="E105" i="47" s="1"/>
  <c r="E106" i="47" s="1"/>
  <c r="E107" i="47" s="1"/>
  <c r="E108" i="47" s="1"/>
  <c r="E113" i="47" s="1"/>
  <c r="I103" i="47"/>
  <c r="I104" i="47" s="1"/>
  <c r="I105" i="47" s="1"/>
  <c r="I106" i="47" s="1"/>
  <c r="I107" i="47" s="1"/>
  <c r="I108" i="47" s="1"/>
  <c r="I113" i="47" s="1"/>
  <c r="L114" i="47"/>
  <c r="L113" i="47"/>
  <c r="C127" i="47"/>
  <c r="C113" i="47"/>
  <c r="E114" i="47"/>
  <c r="K114" i="47"/>
  <c r="F113" i="47"/>
  <c r="G114" i="47"/>
  <c r="G113" i="47"/>
  <c r="J128" i="47"/>
  <c r="M116" i="47"/>
  <c r="M139" i="47" s="1"/>
  <c r="M138" i="47"/>
  <c r="M137" i="47"/>
  <c r="D92" i="47"/>
  <c r="D129" i="47" s="1"/>
  <c r="I96" i="47"/>
  <c r="J96" i="47"/>
  <c r="E96" i="47"/>
  <c r="F96" i="47"/>
  <c r="L96" i="47"/>
  <c r="H96" i="47"/>
  <c r="G130" i="47"/>
  <c r="G132" i="47" s="1"/>
  <c r="I128" i="47"/>
  <c r="C129" i="47"/>
  <c r="C96" i="47"/>
  <c r="G129" i="47" s="1"/>
  <c r="G128" i="47"/>
  <c r="G96" i="47"/>
  <c r="D122" i="47"/>
  <c r="D94" i="47"/>
  <c r="D103" i="47" s="1"/>
  <c r="D104" i="47" s="1"/>
  <c r="D105" i="47" s="1"/>
  <c r="D106" i="47" s="1"/>
  <c r="D107" i="47" s="1"/>
  <c r="D108" i="47" s="1"/>
  <c r="D113" i="47" s="1"/>
  <c r="G127" i="47"/>
  <c r="K96" i="47"/>
  <c r="K128" i="47"/>
  <c r="D127" i="47"/>
  <c r="G115" i="47" l="1"/>
  <c r="L115" i="47"/>
  <c r="H114" i="47"/>
  <c r="H115" i="47" s="1"/>
  <c r="E115" i="47"/>
  <c r="G116" i="47"/>
  <c r="M144" i="47"/>
  <c r="M145" i="47"/>
  <c r="M146" i="47"/>
  <c r="M155" i="47" s="1"/>
  <c r="F114" i="47"/>
  <c r="F116" i="47" s="1"/>
  <c r="C114" i="47"/>
  <c r="C115" i="47" s="1"/>
  <c r="I134" i="47"/>
  <c r="J135" i="47"/>
  <c r="J134" i="47"/>
  <c r="J114" i="47"/>
  <c r="J115" i="47" s="1"/>
  <c r="D114" i="47"/>
  <c r="D115" i="47" s="1"/>
  <c r="K113" i="47"/>
  <c r="K134" i="47"/>
  <c r="I114" i="47"/>
  <c r="I116" i="47" s="1"/>
  <c r="D96" i="47"/>
  <c r="E116" i="47"/>
  <c r="G131" i="47"/>
  <c r="G135" i="47" s="1"/>
  <c r="G117" i="47"/>
  <c r="L116" i="47"/>
  <c r="C116" i="47" l="1"/>
  <c r="J116" i="47"/>
  <c r="J139" i="47" s="1"/>
  <c r="K116" i="47"/>
  <c r="K115" i="47"/>
  <c r="G136" i="47"/>
  <c r="G134" i="47"/>
  <c r="F115" i="47"/>
  <c r="I115" i="47"/>
  <c r="F139" i="47"/>
  <c r="K139" i="47"/>
  <c r="E118" i="47"/>
  <c r="E119" i="47"/>
  <c r="E117" i="47"/>
  <c r="G119" i="47"/>
  <c r="L139" i="47"/>
  <c r="L119" i="47"/>
  <c r="L117" i="47"/>
  <c r="L118" i="47"/>
  <c r="C119" i="47"/>
  <c r="C118" i="47"/>
  <c r="G118" i="47"/>
  <c r="E139" i="47"/>
  <c r="J117" i="47"/>
  <c r="J119" i="47"/>
  <c r="J118" i="47"/>
  <c r="G139" i="47"/>
  <c r="F118" i="47"/>
  <c r="K119" i="47"/>
  <c r="I119" i="47"/>
  <c r="C152" i="47"/>
  <c r="H116" i="47"/>
  <c r="I139" i="47"/>
  <c r="D116" i="47"/>
  <c r="E121" i="47" l="1"/>
  <c r="E120" i="47"/>
  <c r="J120" i="47"/>
  <c r="J137" i="47" s="1"/>
  <c r="J121" i="47"/>
  <c r="J138" i="47" s="1"/>
  <c r="J146" i="47" s="1"/>
  <c r="G121" i="47"/>
  <c r="G138" i="47" s="1"/>
  <c r="L121" i="47"/>
  <c r="L138" i="47" s="1"/>
  <c r="L120" i="47"/>
  <c r="L137" i="47" s="1"/>
  <c r="G120" i="47"/>
  <c r="G137" i="47" s="1"/>
  <c r="C151" i="47"/>
  <c r="C153" i="47" s="1"/>
  <c r="I118" i="47"/>
  <c r="I117" i="47"/>
  <c r="C117" i="47"/>
  <c r="K118" i="47"/>
  <c r="K117" i="47"/>
  <c r="D119" i="47"/>
  <c r="D117" i="47"/>
  <c r="D118" i="47"/>
  <c r="D152" i="47"/>
  <c r="D151" i="47"/>
  <c r="F117" i="47"/>
  <c r="F119" i="47"/>
  <c r="C154" i="47"/>
  <c r="C161" i="47"/>
  <c r="C155" i="47"/>
  <c r="C162" i="47"/>
  <c r="H117" i="47"/>
  <c r="H119" i="47"/>
  <c r="H118" i="47"/>
  <c r="M153" i="47"/>
  <c r="M160" i="47" s="1"/>
  <c r="C160" i="47"/>
  <c r="E137" i="47"/>
  <c r="E138" i="47"/>
  <c r="H139" i="47"/>
  <c r="K121" i="47" l="1"/>
  <c r="K120" i="47"/>
  <c r="H120" i="47"/>
  <c r="H121" i="47"/>
  <c r="H138" i="47" s="1"/>
  <c r="H146" i="47" s="1"/>
  <c r="I121" i="47"/>
  <c r="I120" i="47"/>
  <c r="I137" i="47" s="1"/>
  <c r="F121" i="47"/>
  <c r="F138" i="47" s="1"/>
  <c r="F120" i="47"/>
  <c r="F137" i="47" s="1"/>
  <c r="J145" i="47"/>
  <c r="J154" i="47" s="1"/>
  <c r="E145" i="47"/>
  <c r="J144" i="47"/>
  <c r="J153" i="47" s="1"/>
  <c r="J160" i="47" s="1"/>
  <c r="L145" i="47"/>
  <c r="L154" i="47" s="1"/>
  <c r="D161" i="47"/>
  <c r="D155" i="47"/>
  <c r="D154" i="47"/>
  <c r="D162" i="47"/>
  <c r="E144" i="47"/>
  <c r="E153" i="47" s="1"/>
  <c r="E160" i="47" s="1"/>
  <c r="L146" i="47"/>
  <c r="L155" i="47" s="1"/>
  <c r="L144" i="47"/>
  <c r="L153" i="47" s="1"/>
  <c r="L160" i="47" s="1"/>
  <c r="G146" i="47"/>
  <c r="G155" i="47" s="1"/>
  <c r="J155" i="47"/>
  <c r="G145" i="47"/>
  <c r="G154" i="47" s="1"/>
  <c r="E146" i="47"/>
  <c r="E155" i="47" s="1"/>
  <c r="G144" i="47"/>
  <c r="G153" i="47" s="1"/>
  <c r="M154" i="47"/>
  <c r="I138" i="47"/>
  <c r="C163" i="47"/>
  <c r="C165" i="47" s="1"/>
  <c r="K137" i="47"/>
  <c r="K138" i="47"/>
  <c r="E154" i="47"/>
  <c r="H137" i="47"/>
  <c r="D160" i="47"/>
  <c r="D153" i="47"/>
  <c r="H144" i="47" l="1"/>
  <c r="F145" i="47"/>
  <c r="H145" i="47"/>
  <c r="H154" i="47" s="1"/>
  <c r="K146" i="47"/>
  <c r="K155" i="47" s="1"/>
  <c r="E161" i="47"/>
  <c r="E163" i="47" s="1"/>
  <c r="E162" i="47"/>
  <c r="G161" i="47"/>
  <c r="G162" i="47"/>
  <c r="I146" i="47"/>
  <c r="I155" i="47" s="1"/>
  <c r="K144" i="47"/>
  <c r="K145" i="47"/>
  <c r="K154" i="47" s="1"/>
  <c r="F146" i="47"/>
  <c r="F155" i="47" s="1"/>
  <c r="M162" i="47"/>
  <c r="M161" i="47"/>
  <c r="M168" i="47" s="1"/>
  <c r="H155" i="47"/>
  <c r="I144" i="47"/>
  <c r="I153" i="47" s="1"/>
  <c r="I160" i="47" s="1"/>
  <c r="L162" i="47"/>
  <c r="L161" i="47"/>
  <c r="I145" i="47"/>
  <c r="J162" i="47"/>
  <c r="J161" i="47"/>
  <c r="J168" i="47" s="1"/>
  <c r="F144" i="47"/>
  <c r="F154" i="47"/>
  <c r="F153" i="47"/>
  <c r="F160" i="47" s="1"/>
  <c r="I154" i="47"/>
  <c r="G160" i="47"/>
  <c r="C164" i="47"/>
  <c r="C31" i="47" s="1"/>
  <c r="E31" i="47" s="1"/>
  <c r="C168" i="47"/>
  <c r="K153" i="47"/>
  <c r="K160" i="47" s="1"/>
  <c r="H153" i="47"/>
  <c r="H160" i="47" s="1"/>
  <c r="D166" i="47"/>
  <c r="D163" i="47"/>
  <c r="D168" i="47"/>
  <c r="L168" i="47" l="1"/>
  <c r="E166" i="47"/>
  <c r="E168" i="47"/>
  <c r="L163" i="47"/>
  <c r="H161" i="47"/>
  <c r="H162" i="47"/>
  <c r="K162" i="47"/>
  <c r="K161" i="47"/>
  <c r="I161" i="47"/>
  <c r="I163" i="47" s="1"/>
  <c r="I162" i="47"/>
  <c r="F161" i="47"/>
  <c r="F162" i="47"/>
  <c r="F168" i="47" s="1"/>
  <c r="K163" i="47"/>
  <c r="K164" i="47" s="1"/>
  <c r="C38" i="47" s="1"/>
  <c r="E38" i="47" s="1"/>
  <c r="M166" i="47"/>
  <c r="M163" i="47"/>
  <c r="G163" i="47"/>
  <c r="G164" i="47" s="1"/>
  <c r="C34" i="47" s="1"/>
  <c r="E34" i="47" s="1"/>
  <c r="G166" i="47"/>
  <c r="C167" i="47"/>
  <c r="D31" i="47" s="1"/>
  <c r="G168" i="47"/>
  <c r="J166" i="47"/>
  <c r="J163" i="47"/>
  <c r="J164" i="47" s="1"/>
  <c r="C37" i="47" s="1"/>
  <c r="E37" i="47" s="1"/>
  <c r="L166" i="47"/>
  <c r="H163" i="47"/>
  <c r="E167" i="47"/>
  <c r="L164" i="47"/>
  <c r="C39" i="47" s="1"/>
  <c r="E39" i="47" s="1"/>
  <c r="L165" i="47"/>
  <c r="D165" i="47"/>
  <c r="D164" i="47"/>
  <c r="E165" i="47"/>
  <c r="E164" i="47"/>
  <c r="C32" i="47" s="1"/>
  <c r="E32" i="47" s="1"/>
  <c r="D167" i="47"/>
  <c r="K168" i="47" l="1"/>
  <c r="G165" i="47"/>
  <c r="I166" i="47"/>
  <c r="I167" i="47" s="1"/>
  <c r="I168" i="47"/>
  <c r="F166" i="47"/>
  <c r="F163" i="47"/>
  <c r="K165" i="47"/>
  <c r="I165" i="47"/>
  <c r="I164" i="47"/>
  <c r="C36" i="47" s="1"/>
  <c r="E36" i="47" s="1"/>
  <c r="K166" i="47"/>
  <c r="K167" i="47" s="1"/>
  <c r="M165" i="47"/>
  <c r="M164" i="47"/>
  <c r="C40" i="47" s="1"/>
  <c r="E40" i="47" s="1"/>
  <c r="M167" i="47"/>
  <c r="D40" i="47" s="1"/>
  <c r="D32" i="47"/>
  <c r="G32" i="47" s="1"/>
  <c r="F32" i="47" s="1"/>
  <c r="G31" i="47"/>
  <c r="F31" i="47" s="1"/>
  <c r="G167" i="47"/>
  <c r="J167" i="47"/>
  <c r="J165" i="47"/>
  <c r="L167" i="47"/>
  <c r="H168" i="47"/>
  <c r="H166" i="47"/>
  <c r="H164" i="47"/>
  <c r="C35" i="47" s="1"/>
  <c r="E35" i="47" s="1"/>
  <c r="H165" i="47"/>
  <c r="F167" i="47"/>
  <c r="F164" i="47"/>
  <c r="C33" i="47" s="1"/>
  <c r="E33" i="47" s="1"/>
  <c r="F165" i="47"/>
  <c r="G40" i="47" l="1"/>
  <c r="F40" i="47" s="1"/>
  <c r="D36" i="47"/>
  <c r="G36" i="47" s="1"/>
  <c r="F36" i="47" s="1"/>
  <c r="D37" i="47"/>
  <c r="G37" i="47" s="1"/>
  <c r="F37" i="47" s="1"/>
  <c r="D39" i="47"/>
  <c r="G39" i="47" s="1"/>
  <c r="F39" i="47" s="1"/>
  <c r="D34" i="47"/>
  <c r="H167" i="47"/>
  <c r="D35" i="47" s="1"/>
  <c r="G35" i="47" s="1"/>
  <c r="F35" i="47" s="1"/>
  <c r="D38" i="47"/>
  <c r="G38" i="47" s="1"/>
  <c r="F38" i="47" s="1"/>
  <c r="D33" i="47"/>
  <c r="G33" i="47" s="1"/>
  <c r="F33" i="47" s="1"/>
  <c r="G34" i="47" l="1"/>
  <c r="F34" i="47" s="1"/>
  <c r="B150" i="51"/>
  <c r="C7" i="51" l="1"/>
  <c r="C140" i="51"/>
  <c r="C145" i="51"/>
  <c r="C100" i="51" l="1"/>
  <c r="C14" i="51" l="1"/>
  <c r="C94" i="51" l="1"/>
  <c r="C93" i="51"/>
  <c r="C92" i="51"/>
  <c r="C91" i="51"/>
  <c r="C90" i="51"/>
  <c r="C87" i="51"/>
  <c r="C9" i="51"/>
  <c r="C8" i="51" l="1"/>
  <c r="C10" i="51" l="1"/>
  <c r="C12" i="51" s="1"/>
  <c r="C141" i="51" l="1"/>
  <c r="C13" i="51"/>
  <c r="C150" i="51" l="1"/>
  <c r="C98" i="51"/>
  <c r="C142" i="51"/>
  <c r="C144" i="51"/>
  <c r="C97" i="51"/>
  <c r="D150" i="51" l="1"/>
  <c r="J150" i="51"/>
  <c r="E150" i="51"/>
  <c r="C146" i="51"/>
  <c r="C86" i="51"/>
  <c r="F150" i="51" l="1"/>
  <c r="G150" i="51" s="1"/>
  <c r="K150" i="51"/>
  <c r="L150" i="51"/>
  <c r="M150" i="51"/>
  <c r="N150" i="51" s="1"/>
  <c r="C85" i="51"/>
  <c r="C15" i="51"/>
  <c r="C143" i="51" s="1"/>
  <c r="D128" i="51"/>
  <c r="F128" i="51" s="1"/>
  <c r="H150" i="51" l="1"/>
  <c r="D31" i="51" s="1"/>
  <c r="I150" i="51"/>
  <c r="E31" i="51" s="1"/>
  <c r="C31" i="51"/>
  <c r="O150" i="51"/>
  <c r="Q150" i="51"/>
  <c r="T150" i="51" s="1"/>
  <c r="P150" i="51"/>
  <c r="C99" i="51"/>
  <c r="E128" i="51"/>
  <c r="R150" i="51" l="1"/>
  <c r="S150" i="51" s="1"/>
  <c r="U150" i="51" s="1"/>
  <c r="G31" i="51"/>
  <c r="F31" i="51" s="1"/>
  <c r="W150" i="51"/>
  <c r="K109" i="51"/>
  <c r="D108" i="51"/>
  <c r="F106" i="51"/>
  <c r="H104" i="51"/>
  <c r="I109" i="51"/>
  <c r="K107" i="51"/>
  <c r="F104" i="51"/>
  <c r="J107" i="51"/>
  <c r="C106" i="51"/>
  <c r="I107" i="51"/>
  <c r="F109" i="51"/>
  <c r="J105" i="51"/>
  <c r="E109" i="51"/>
  <c r="I105" i="51"/>
  <c r="F107" i="51"/>
  <c r="H105" i="51"/>
  <c r="C109" i="51"/>
  <c r="G105" i="51"/>
  <c r="K108" i="51"/>
  <c r="D107" i="51"/>
  <c r="J108" i="51"/>
  <c r="C107" i="51"/>
  <c r="E105" i="51"/>
  <c r="J109" i="51"/>
  <c r="C108" i="51"/>
  <c r="E106" i="51"/>
  <c r="G104" i="51"/>
  <c r="D106" i="51"/>
  <c r="H109" i="51"/>
  <c r="E104" i="51"/>
  <c r="G109" i="51"/>
  <c r="K105" i="51"/>
  <c r="D104" i="51"/>
  <c r="H107" i="51"/>
  <c r="C104" i="51"/>
  <c r="G107" i="51"/>
  <c r="D109" i="51"/>
  <c r="E107" i="51"/>
  <c r="F105" i="51"/>
  <c r="J104" i="51"/>
  <c r="I104" i="51"/>
  <c r="H108" i="51"/>
  <c r="E108" i="51"/>
  <c r="J106" i="51"/>
  <c r="G106" i="51"/>
  <c r="K104" i="51"/>
  <c r="I108" i="51"/>
  <c r="G108" i="51"/>
  <c r="F108" i="51"/>
  <c r="K106" i="51"/>
  <c r="I106" i="51"/>
  <c r="H106" i="51"/>
  <c r="C105" i="51"/>
  <c r="D105" i="51"/>
  <c r="V150" i="51" l="1"/>
  <c r="X150" i="51" s="1"/>
  <c r="AA150" i="51" s="1"/>
  <c r="D34" i="51" s="1"/>
  <c r="F112" i="51"/>
  <c r="F113" i="51" s="1"/>
  <c r="F114" i="51" s="1"/>
  <c r="D112" i="51"/>
  <c r="D117" i="51" s="1"/>
  <c r="J112" i="51"/>
  <c r="J113" i="51" s="1"/>
  <c r="J114" i="51" s="1"/>
  <c r="E112" i="51"/>
  <c r="E117" i="51" s="1"/>
  <c r="H112" i="51"/>
  <c r="H113" i="51" s="1"/>
  <c r="H114" i="51" s="1"/>
  <c r="K112" i="51"/>
  <c r="K113" i="51" s="1"/>
  <c r="K114" i="51" s="1"/>
  <c r="I112" i="51"/>
  <c r="G112" i="51"/>
  <c r="C112" i="51"/>
  <c r="Y150" i="51" l="1"/>
  <c r="Z150" i="51" s="1"/>
  <c r="C34" i="51" s="1"/>
  <c r="E113" i="51"/>
  <c r="E114" i="51" s="1"/>
  <c r="E111" i="51"/>
  <c r="AB150" i="51"/>
  <c r="F111" i="51"/>
  <c r="J111" i="51"/>
  <c r="D113" i="51"/>
  <c r="D114" i="51" s="1"/>
  <c r="D111" i="51"/>
  <c r="H111" i="51"/>
  <c r="J115" i="51"/>
  <c r="J119" i="51" s="1"/>
  <c r="F115" i="51"/>
  <c r="F118" i="51" s="1"/>
  <c r="K115" i="51"/>
  <c r="K119" i="51" s="1"/>
  <c r="I113" i="51"/>
  <c r="I111" i="51"/>
  <c r="G113" i="51"/>
  <c r="G111" i="51"/>
  <c r="C117" i="51"/>
  <c r="C111" i="51"/>
  <c r="C113" i="51"/>
  <c r="H115" i="51"/>
  <c r="E115" i="51" l="1"/>
  <c r="E34" i="51"/>
  <c r="G34" i="51" s="1"/>
  <c r="F34" i="51" s="1"/>
  <c r="D115" i="51"/>
  <c r="D118" i="51" s="1"/>
  <c r="F119" i="51"/>
  <c r="F120" i="51"/>
  <c r="K120" i="51"/>
  <c r="J120" i="51"/>
  <c r="J118" i="51"/>
  <c r="K118" i="51"/>
  <c r="H119" i="51"/>
  <c r="H120" i="51"/>
  <c r="H118" i="51"/>
  <c r="C114" i="51"/>
  <c r="C115" i="51"/>
  <c r="G114" i="51"/>
  <c r="G115" i="51"/>
  <c r="E119" i="51"/>
  <c r="E124" i="51" s="1"/>
  <c r="E118" i="51"/>
  <c r="E123" i="51" s="1"/>
  <c r="E120" i="51"/>
  <c r="E125" i="51" s="1"/>
  <c r="I114" i="51"/>
  <c r="I115" i="51"/>
  <c r="D120" i="51" l="1"/>
  <c r="D119" i="51"/>
  <c r="K123" i="51"/>
  <c r="K129" i="51" s="1"/>
  <c r="D125" i="51"/>
  <c r="D123" i="51"/>
  <c r="D129" i="51" s="1"/>
  <c r="D124" i="51"/>
  <c r="H125" i="51"/>
  <c r="K125" i="51"/>
  <c r="H123" i="51"/>
  <c r="H129" i="51" s="1"/>
  <c r="H124" i="51"/>
  <c r="F124" i="51"/>
  <c r="F123" i="51"/>
  <c r="F129" i="51" s="1"/>
  <c r="J124" i="51"/>
  <c r="C118" i="51"/>
  <c r="C123" i="51" s="1"/>
  <c r="C129" i="51" s="1"/>
  <c r="C119" i="51"/>
  <c r="C124" i="51" s="1"/>
  <c r="C120" i="51"/>
  <c r="C125" i="51" s="1"/>
  <c r="G119" i="51"/>
  <c r="G124" i="51" s="1"/>
  <c r="G120" i="51"/>
  <c r="G125" i="51" s="1"/>
  <c r="G118" i="51"/>
  <c r="G123" i="51" s="1"/>
  <c r="G129" i="51" s="1"/>
  <c r="I120" i="51"/>
  <c r="I125" i="51" s="1"/>
  <c r="I118" i="51"/>
  <c r="I123" i="51" s="1"/>
  <c r="I129" i="51" s="1"/>
  <c r="I119" i="51"/>
  <c r="I124" i="51" s="1"/>
  <c r="J123" i="51"/>
  <c r="J129" i="51" s="1"/>
  <c r="J125" i="51"/>
  <c r="F125" i="51"/>
  <c r="K124" i="51"/>
  <c r="D131" i="51" l="1"/>
  <c r="H131" i="51"/>
  <c r="D130" i="51"/>
  <c r="D133" i="51" s="1"/>
  <c r="D135" i="51" s="1"/>
  <c r="C33" i="51" s="1"/>
  <c r="E33" i="51" s="1"/>
  <c r="F131" i="51"/>
  <c r="H130" i="51"/>
  <c r="H132" i="51" s="1"/>
  <c r="H134" i="51" s="1"/>
  <c r="D37" i="51" s="1"/>
  <c r="J131" i="51"/>
  <c r="K131" i="51"/>
  <c r="K130" i="51"/>
  <c r="J130" i="51"/>
  <c r="C131" i="51"/>
  <c r="C130" i="51"/>
  <c r="C133" i="51" s="1"/>
  <c r="C135" i="51" s="1"/>
  <c r="C32" i="51" s="1"/>
  <c r="E32" i="51" s="1"/>
  <c r="G131" i="51"/>
  <c r="G130" i="51"/>
  <c r="F130" i="51"/>
  <c r="I131" i="51"/>
  <c r="I130" i="51"/>
  <c r="I133" i="51" s="1"/>
  <c r="I135" i="51" s="1"/>
  <c r="C38" i="51" s="1"/>
  <c r="E38" i="51" s="1"/>
  <c r="J132" i="51" l="1"/>
  <c r="J134" i="51" s="1"/>
  <c r="D39" i="51" s="1"/>
  <c r="D132" i="51"/>
  <c r="D134" i="51" s="1"/>
  <c r="D33" i="51" s="1"/>
  <c r="G33" i="51" s="1"/>
  <c r="F33" i="51" s="1"/>
  <c r="H133" i="51"/>
  <c r="H135" i="51" s="1"/>
  <c r="C37" i="51" s="1"/>
  <c r="E37" i="51" s="1"/>
  <c r="G133" i="51"/>
  <c r="G135" i="51" s="1"/>
  <c r="C36" i="51" s="1"/>
  <c r="E36" i="51" s="1"/>
  <c r="G132" i="51"/>
  <c r="G134" i="51" s="1"/>
  <c r="D36" i="51" s="1"/>
  <c r="C132" i="51"/>
  <c r="C134" i="51" s="1"/>
  <c r="D32" i="51" s="1"/>
  <c r="G32" i="51" s="1"/>
  <c r="F32" i="51" s="1"/>
  <c r="J133" i="51"/>
  <c r="J135" i="51" s="1"/>
  <c r="C39" i="51" s="1"/>
  <c r="E39" i="51" s="1"/>
  <c r="G39" i="51" s="1"/>
  <c r="F39" i="51" s="1"/>
  <c r="K132" i="51"/>
  <c r="K134" i="51" s="1"/>
  <c r="D40" i="51" s="1"/>
  <c r="I132" i="51"/>
  <c r="I134" i="51" s="1"/>
  <c r="D38" i="51" s="1"/>
  <c r="G38" i="51" s="1"/>
  <c r="F38" i="51" s="1"/>
  <c r="F133" i="51"/>
  <c r="F135" i="51" s="1"/>
  <c r="C35" i="51" s="1"/>
  <c r="E35" i="51" s="1"/>
  <c r="K133" i="51"/>
  <c r="K135" i="51" s="1"/>
  <c r="C40" i="51" s="1"/>
  <c r="E40" i="51" s="1"/>
  <c r="G40" i="51" s="1"/>
  <c r="F40" i="51" s="1"/>
  <c r="F132" i="51"/>
  <c r="F134" i="51" s="1"/>
  <c r="D35" i="51" s="1"/>
  <c r="G35" i="51" l="1"/>
  <c r="F35" i="51" s="1"/>
  <c r="G36" i="51"/>
  <c r="F36" i="51" s="1"/>
  <c r="G37" i="51"/>
  <c r="F37" i="51" s="1"/>
  <c r="P45" i="47"/>
  <c r="O45" i="47"/>
  <c r="P43" i="47"/>
  <c r="O43" i="47"/>
  <c r="P44" i="47" l="1"/>
  <c r="O44" i="47"/>
  <c r="P46" i="47"/>
  <c r="O46" i="47"/>
  <c r="P42" i="47" l="1"/>
  <c r="O42" i="47"/>
</calcChain>
</file>

<file path=xl/sharedStrings.xml><?xml version="1.0" encoding="utf-8"?>
<sst xmlns="http://schemas.openxmlformats.org/spreadsheetml/2006/main" count="367" uniqueCount="189">
  <si>
    <t>Year</t>
  </si>
  <si>
    <t>Month</t>
  </si>
  <si>
    <t>Day</t>
  </si>
  <si>
    <t>Hour</t>
  </si>
  <si>
    <t># days</t>
  </si>
  <si>
    <t>Source</t>
  </si>
  <si>
    <t>Sun</t>
  </si>
  <si>
    <t>Moon</t>
  </si>
  <si>
    <t>Earth</t>
  </si>
  <si>
    <t>r</t>
  </si>
  <si>
    <t>Mercury</t>
  </si>
  <si>
    <t>Mars</t>
  </si>
  <si>
    <t>Jupiter</t>
  </si>
  <si>
    <t>Venus</t>
  </si>
  <si>
    <t>Saturn</t>
  </si>
  <si>
    <t>a</t>
  </si>
  <si>
    <t>Inputs</t>
  </si>
  <si>
    <t>e</t>
  </si>
  <si>
    <t>f</t>
  </si>
  <si>
    <t>Date</t>
  </si>
  <si>
    <t>A</t>
  </si>
  <si>
    <t>F</t>
  </si>
  <si>
    <t>Y'</t>
  </si>
  <si>
    <t>D</t>
  </si>
  <si>
    <t>w</t>
  </si>
  <si>
    <t>m</t>
  </si>
  <si>
    <t>n</t>
  </si>
  <si>
    <t>RA (h)</t>
  </si>
  <si>
    <t>g</t>
  </si>
  <si>
    <t>i</t>
  </si>
  <si>
    <t>N</t>
  </si>
  <si>
    <t>Nonetheless, this spreadsheet has been carefully reviewed, and calculation results have been compared with other applications.</t>
  </si>
  <si>
    <t>I'm solely responsible for the input and express no warranty.  Use at your own risk.</t>
  </si>
  <si>
    <t>All Rights Reserved:  © Astronomy Morsels.</t>
  </si>
  <si>
    <t>Email</t>
  </si>
  <si>
    <t>Day nr.</t>
  </si>
  <si>
    <t>Leap year?</t>
  </si>
  <si>
    <t>JDN (UT)</t>
  </si>
  <si>
    <t>Minute</t>
  </si>
  <si>
    <t>Source: Paul Schlyter</t>
  </si>
  <si>
    <t>In this spreadsheet, the azimuth/altitude coordinates of the planets in our solar system are calculated for a specific date, time and location.</t>
  </si>
  <si>
    <t>Pluto</t>
  </si>
  <si>
    <t>Neptune</t>
  </si>
  <si>
    <t>Uranus</t>
  </si>
  <si>
    <t>Azimuth</t>
  </si>
  <si>
    <t>Altitude</t>
  </si>
  <si>
    <t>Sun/Earth</t>
  </si>
  <si>
    <t>noon</t>
  </si>
  <si>
    <t>8. Altitude/Azimuth</t>
  </si>
  <si>
    <t>rg</t>
  </si>
  <si>
    <t>Decl (d)</t>
  </si>
  <si>
    <t>Decl (r)</t>
  </si>
  <si>
    <t>RA (d)</t>
  </si>
  <si>
    <t>RA (r)</t>
  </si>
  <si>
    <t>ze</t>
  </si>
  <si>
    <t>ye</t>
  </si>
  <si>
    <t>xe</t>
  </si>
  <si>
    <t>7. Geocentric Equatorial Coordinates</t>
  </si>
  <si>
    <t>zg</t>
  </si>
  <si>
    <t>yg</t>
  </si>
  <si>
    <t>xg</t>
  </si>
  <si>
    <t>ys</t>
  </si>
  <si>
    <t>xs</t>
  </si>
  <si>
    <t>6. Geocentric Ecliptic Coordinates</t>
  </si>
  <si>
    <t>zh</t>
  </si>
  <si>
    <t>yh</t>
  </si>
  <si>
    <t>xh</t>
  </si>
  <si>
    <t xml:space="preserve">5. Heliocentric  Ecliptic Coordinates </t>
  </si>
  <si>
    <t>r`</t>
  </si>
  <si>
    <t>latecl`(d)</t>
  </si>
  <si>
    <t>lonecl` (d)</t>
  </si>
  <si>
    <t>Pdist</t>
  </si>
  <si>
    <t>Plat</t>
  </si>
  <si>
    <t>Plong</t>
  </si>
  <si>
    <t>Lm</t>
  </si>
  <si>
    <t>Ls</t>
  </si>
  <si>
    <t>Mx</t>
  </si>
  <si>
    <t>Ms</t>
  </si>
  <si>
    <t>4. Correction for Perturbations</t>
  </si>
  <si>
    <t>oblecl (d)</t>
  </si>
  <si>
    <t>latecl (d)</t>
  </si>
  <si>
    <t>lonecl (d)</t>
  </si>
  <si>
    <t>v (d)</t>
  </si>
  <si>
    <t>yv</t>
  </si>
  <si>
    <t>xv</t>
  </si>
  <si>
    <t>3. Heliocentric  Ecliptic Coordinates (uncorrected for Perturbations), moon geocentric</t>
  </si>
  <si>
    <t>E5 (d)</t>
  </si>
  <si>
    <t>E4 (d)</t>
  </si>
  <si>
    <t>E3 (d)</t>
  </si>
  <si>
    <t>E2 (d)</t>
  </si>
  <si>
    <t>E1 (d)</t>
  </si>
  <si>
    <t>E0 (d)</t>
  </si>
  <si>
    <t>2. Eccentric Anomaly (iteration, limited to 5 here)</t>
  </si>
  <si>
    <t>P (d)</t>
  </si>
  <si>
    <t>S (d)</t>
  </si>
  <si>
    <t>L (d)</t>
  </si>
  <si>
    <t>M (d)</t>
  </si>
  <si>
    <t>w (d)</t>
  </si>
  <si>
    <t>1. Orbital Elements</t>
  </si>
  <si>
    <r>
      <rPr>
        <b/>
        <sz val="14"/>
        <color theme="0"/>
        <rFont val="Calibri (Body)"/>
      </rPr>
      <t>Compiled by</t>
    </r>
    <r>
      <rPr>
        <sz val="14"/>
        <color theme="0"/>
        <rFont val="Calibri (Body)"/>
      </rPr>
      <t>: Anton Viola (Astronomy Morsels).</t>
    </r>
  </si>
  <si>
    <t>Positions referred to equinox and mean ecliptic of J2000.0. Geocentric coords based on method on Paul Schlyter's page</t>
  </si>
  <si>
    <t>Station</t>
  </si>
  <si>
    <t>Longitude</t>
  </si>
  <si>
    <t>RA</t>
  </si>
  <si>
    <t>Dec</t>
  </si>
  <si>
    <t>Latitude</t>
  </si>
  <si>
    <t>Time zone</t>
  </si>
  <si>
    <t>Local date and time</t>
  </si>
  <si>
    <t>Astronomical time</t>
  </si>
  <si>
    <t>Julian centuries</t>
  </si>
  <si>
    <t>Mean LST</t>
  </si>
  <si>
    <t>Mean elements (J2000.0)</t>
  </si>
  <si>
    <t>Om</t>
  </si>
  <si>
    <t>L</t>
  </si>
  <si>
    <t>Position in orbit</t>
  </si>
  <si>
    <t>Mean anomaly</t>
  </si>
  <si>
    <t>Radius Vector (au)</t>
  </si>
  <si>
    <t>Heliocentric coords</t>
  </si>
  <si>
    <t>X</t>
  </si>
  <si>
    <t>Y</t>
  </si>
  <si>
    <t>Z</t>
  </si>
  <si>
    <t>Geocentric ecliptic coords</t>
  </si>
  <si>
    <t>X'</t>
  </si>
  <si>
    <t>Z'</t>
  </si>
  <si>
    <t>Geocentric equatorial coords</t>
  </si>
  <si>
    <t>J2000.0 obliquity</t>
  </si>
  <si>
    <t>Xe</t>
  </si>
  <si>
    <t>Ye</t>
  </si>
  <si>
    <t>Ze</t>
  </si>
  <si>
    <t>Date, time, location</t>
  </si>
  <si>
    <t>JDE</t>
  </si>
  <si>
    <t>Location</t>
  </si>
  <si>
    <t>Lenk (CH)</t>
  </si>
  <si>
    <t>φ    (latitude)</t>
  </si>
  <si>
    <t>L     (longitude)</t>
  </si>
  <si>
    <t>Locations</t>
  </si>
  <si>
    <t>Name</t>
  </si>
  <si>
    <t>φ (latitude)</t>
  </si>
  <si>
    <t>L (longitude)</t>
  </si>
  <si>
    <t>Greenwich</t>
  </si>
  <si>
    <t>Time</t>
  </si>
  <si>
    <t>Timezone</t>
  </si>
  <si>
    <t>J2000 Epoch</t>
  </si>
  <si>
    <t>days since Epoch</t>
  </si>
  <si>
    <t>HA</t>
  </si>
  <si>
    <t>UT  (hours)</t>
  </si>
  <si>
    <t>LST (degrees)</t>
  </si>
  <si>
    <t>UT since J2000.0</t>
  </si>
  <si>
    <t>decl. (rads)</t>
  </si>
  <si>
    <t>RA (rads)</t>
  </si>
  <si>
    <t>decl. (degs)</t>
  </si>
  <si>
    <t>RA (hours)</t>
  </si>
  <si>
    <t>True anomaly (rad)</t>
  </si>
  <si>
    <t>True anomaly (deg)</t>
  </si>
  <si>
    <t>Planet</t>
  </si>
  <si>
    <t>DtoR</t>
  </si>
  <si>
    <r>
      <t>HA</t>
    </r>
    <r>
      <rPr>
        <vertAlign val="subscript"/>
        <sz val="12"/>
        <rFont val="Calibri"/>
        <family val="2"/>
      </rPr>
      <t>moon'</t>
    </r>
  </si>
  <si>
    <r>
      <t>DEC</t>
    </r>
    <r>
      <rPr>
        <vertAlign val="subscript"/>
        <sz val="12"/>
        <rFont val="Calibri"/>
        <family val="2"/>
      </rPr>
      <t>moon'</t>
    </r>
  </si>
  <si>
    <r>
      <t>RA</t>
    </r>
    <r>
      <rPr>
        <vertAlign val="subscript"/>
        <sz val="12"/>
        <rFont val="Calibri"/>
        <family val="2"/>
      </rPr>
      <t>moon'</t>
    </r>
  </si>
  <si>
    <t>A'</t>
  </si>
  <si>
    <t>r'</t>
  </si>
  <si>
    <t>z'</t>
  </si>
  <si>
    <t>y'</t>
  </si>
  <si>
    <t>x'</t>
  </si>
  <si>
    <r>
      <t>DEC</t>
    </r>
    <r>
      <rPr>
        <vertAlign val="subscript"/>
        <sz val="12"/>
        <rFont val="Calibri"/>
        <family val="2"/>
      </rPr>
      <t>moon</t>
    </r>
  </si>
  <si>
    <r>
      <t>RA</t>
    </r>
    <r>
      <rPr>
        <vertAlign val="subscript"/>
        <sz val="12"/>
        <rFont val="Calibri"/>
        <family val="2"/>
      </rPr>
      <t>moon</t>
    </r>
  </si>
  <si>
    <t>l</t>
  </si>
  <si>
    <t>pi</t>
  </si>
  <si>
    <t>beta</t>
  </si>
  <si>
    <t>lambda</t>
  </si>
  <si>
    <t>T</t>
  </si>
  <si>
    <r>
      <t>HA</t>
    </r>
    <r>
      <rPr>
        <vertAlign val="subscript"/>
        <sz val="12"/>
        <rFont val="Calibri"/>
        <family val="2"/>
      </rPr>
      <t>sun</t>
    </r>
  </si>
  <si>
    <r>
      <t>DEC</t>
    </r>
    <r>
      <rPr>
        <vertAlign val="subscript"/>
        <sz val="12"/>
        <rFont val="Calibri"/>
        <family val="2"/>
      </rPr>
      <t>sun</t>
    </r>
  </si>
  <si>
    <r>
      <t>RA</t>
    </r>
    <r>
      <rPr>
        <vertAlign val="subscript"/>
        <sz val="12"/>
        <rFont val="Calibri"/>
        <family val="2"/>
      </rPr>
      <t>sun</t>
    </r>
  </si>
  <si>
    <r>
      <t>l</t>
    </r>
    <r>
      <rPr>
        <vertAlign val="subscript"/>
        <sz val="12"/>
        <rFont val="Calibri"/>
        <family val="2"/>
      </rPr>
      <t xml:space="preserve">sun </t>
    </r>
  </si>
  <si>
    <t>topocentric coords</t>
  </si>
  <si>
    <t>Moon (D46 low precision formulae)</t>
  </si>
  <si>
    <t>Sun (C24 formulae)</t>
  </si>
  <si>
    <t>epsilon</t>
  </si>
  <si>
    <t>LST (degs)</t>
  </si>
  <si>
    <t>Centuries since J2000.0</t>
  </si>
  <si>
    <t>Days since J2000.0</t>
  </si>
  <si>
    <t>A. Planet positions</t>
  </si>
  <si>
    <t>B. Sun/moon positions</t>
  </si>
  <si>
    <t>hour (LT)</t>
  </si>
  <si>
    <t>days (UT)</t>
  </si>
  <si>
    <t>V1.1</t>
  </si>
  <si>
    <r>
      <rPr>
        <b/>
        <sz val="14"/>
        <color theme="0"/>
        <rFont val="Calibri (Body)"/>
      </rPr>
      <t>Latest update</t>
    </r>
    <r>
      <rPr>
        <sz val="14"/>
        <color theme="0"/>
        <rFont val="Calibri (Body)"/>
      </rPr>
      <t>: 26th May, 2024.</t>
    </r>
  </si>
  <si>
    <t>Calculated directly from RA, DEC and HA, see planet table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</si>
</sst>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0000"/>
    <numFmt numFmtId="165" formatCode="#,##0.00000"/>
    <numFmt numFmtId="166" formatCode="0.0000"/>
    <numFmt numFmtId="167" formatCode="0.0"/>
    <numFmt numFmtId="168" formatCode="[$-F400]h:mm:ss\ AM/PM"/>
    <numFmt numFmtId="169" formatCode="#,##0.0000"/>
    <numFmt numFmtId="170" formatCode="0.000000"/>
    <numFmt numFmtId="171" formatCode="0.000"/>
    <numFmt numFmtId="172" formatCode="00"/>
    <numFmt numFmtId="173" formatCode="0.00000000000"/>
    <numFmt numFmtId="174" formatCode="[$]dd/mm/yyyy;@"/>
    <numFmt numFmtId="175" formatCode="[$]hh:mm:ss;@"/>
  </numFmts>
  <fonts count="42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4"/>
      <color theme="0"/>
      <name val="Calibri"/>
      <family val="2"/>
    </font>
    <font>
      <b/>
      <u/>
      <sz val="12"/>
      <color theme="1"/>
      <name val="Calibri"/>
      <family val="2"/>
      <scheme val="minor"/>
    </font>
    <font>
      <sz val="9"/>
      <color rgb="FFFFFF99"/>
      <name val="Arial"/>
      <family val="2"/>
    </font>
    <font>
      <u/>
      <sz val="14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 (Body)"/>
    </font>
    <font>
      <b/>
      <sz val="14"/>
      <color theme="0"/>
      <name val="Calibri (Body)"/>
    </font>
    <font>
      <u/>
      <sz val="14"/>
      <color theme="0"/>
      <name val="Calibri (Body)"/>
    </font>
    <font>
      <u/>
      <sz val="11"/>
      <color theme="0"/>
      <name val="Calibri"/>
      <family val="2"/>
      <scheme val="minor"/>
    </font>
    <font>
      <u/>
      <sz val="12"/>
      <color theme="0"/>
      <name val="Calibri"/>
      <family val="2"/>
    </font>
    <font>
      <sz val="9"/>
      <color theme="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color rgb="FF202122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  <scheme val="minor"/>
    </font>
    <font>
      <i/>
      <sz val="12"/>
      <name val="Calibri"/>
      <family val="2"/>
    </font>
    <font>
      <b/>
      <sz val="14"/>
      <name val="Calibri"/>
      <family val="2"/>
    </font>
    <font>
      <sz val="11"/>
      <name val="ＭＳ Ｐゴシック"/>
      <family val="2"/>
      <charset val="128"/>
    </font>
    <font>
      <vertAlign val="subscript"/>
      <sz val="12"/>
      <name val="Calibri"/>
      <family val="2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202122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C6E0B4"/>
        <bgColor rgb="FF000000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 applyNumberFormat="0" applyFill="0" applyBorder="0" applyAlignment="0" applyProtection="0"/>
    <xf numFmtId="0" fontId="8" fillId="0" borderId="0"/>
    <xf numFmtId="0" fontId="10" fillId="0" borderId="0"/>
    <xf numFmtId="0" fontId="11" fillId="0" borderId="0"/>
    <xf numFmtId="0" fontId="1" fillId="0" borderId="0" applyNumberFormat="0" applyFill="0" applyBorder="0" applyAlignment="0" applyProtection="0"/>
    <xf numFmtId="0" fontId="11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11" fillId="0" borderId="0"/>
    <xf numFmtId="0" fontId="10" fillId="0" borderId="0"/>
    <xf numFmtId="0" fontId="6" fillId="0" borderId="0"/>
  </cellStyleXfs>
  <cellXfs count="239">
    <xf numFmtId="0" fontId="0" fillId="0" borderId="0" xfId="0"/>
    <xf numFmtId="0" fontId="8" fillId="0" borderId="0" xfId="6"/>
    <xf numFmtId="0" fontId="2" fillId="0" borderId="0" xfId="6" applyFont="1"/>
    <xf numFmtId="0" fontId="8" fillId="2" borderId="0" xfId="6" applyFill="1"/>
    <xf numFmtId="0" fontId="15" fillId="0" borderId="0" xfId="5" applyFont="1"/>
    <xf numFmtId="0" fontId="16" fillId="0" borderId="0" xfId="1" applyFont="1"/>
    <xf numFmtId="0" fontId="17" fillId="3" borderId="0" xfId="6" applyFont="1" applyFill="1"/>
    <xf numFmtId="169" fontId="17" fillId="3" borderId="0" xfId="6" applyNumberFormat="1" applyFont="1" applyFill="1"/>
    <xf numFmtId="0" fontId="10" fillId="2" borderId="0" xfId="7" applyFill="1"/>
    <xf numFmtId="0" fontId="18" fillId="2" borderId="1" xfId="10" applyFont="1" applyFill="1" applyBorder="1" applyAlignment="1">
      <alignment horizontal="left"/>
    </xf>
    <xf numFmtId="0" fontId="18" fillId="2" borderId="3" xfId="7" applyFont="1" applyFill="1" applyBorder="1" applyAlignment="1">
      <alignment horizontal="center"/>
    </xf>
    <xf numFmtId="0" fontId="18" fillId="2" borderId="3" xfId="7" applyFont="1" applyFill="1" applyBorder="1"/>
    <xf numFmtId="0" fontId="20" fillId="2" borderId="2" xfId="9" applyFont="1" applyFill="1" applyBorder="1" applyAlignment="1">
      <alignment horizontal="center"/>
    </xf>
    <xf numFmtId="0" fontId="20" fillId="2" borderId="5" xfId="9" applyFont="1" applyFill="1" applyBorder="1" applyAlignment="1">
      <alignment horizontal="left"/>
    </xf>
    <xf numFmtId="0" fontId="18" fillId="2" borderId="0" xfId="7" applyFont="1" applyFill="1" applyAlignment="1">
      <alignment horizontal="center"/>
    </xf>
    <xf numFmtId="0" fontId="18" fillId="2" borderId="0" xfId="7" applyFont="1" applyFill="1"/>
    <xf numFmtId="0" fontId="18" fillId="2" borderId="6" xfId="7" applyFont="1" applyFill="1" applyBorder="1" applyAlignment="1">
      <alignment horizontal="center"/>
    </xf>
    <xf numFmtId="0" fontId="18" fillId="2" borderId="7" xfId="9" applyFont="1" applyFill="1" applyBorder="1" applyAlignment="1">
      <alignment horizontal="left"/>
    </xf>
    <xf numFmtId="0" fontId="18" fillId="2" borderId="8" xfId="9" applyFont="1" applyFill="1" applyBorder="1" applyAlignment="1">
      <alignment horizontal="left"/>
    </xf>
    <xf numFmtId="0" fontId="18" fillId="2" borderId="8" xfId="7" applyFont="1" applyFill="1" applyBorder="1"/>
    <xf numFmtId="0" fontId="19" fillId="2" borderId="9" xfId="7" applyFont="1" applyFill="1" applyBorder="1" applyAlignment="1">
      <alignment horizontal="center"/>
    </xf>
    <xf numFmtId="0" fontId="11" fillId="2" borderId="0" xfId="10" applyFill="1"/>
    <xf numFmtId="0" fontId="18" fillId="2" borderId="0" xfId="9" applyFont="1" applyFill="1" applyBorder="1" applyAlignment="1">
      <alignment horizontal="left"/>
    </xf>
    <xf numFmtId="0" fontId="19" fillId="2" borderId="0" xfId="7" applyFont="1" applyFill="1" applyAlignment="1">
      <alignment horizontal="center"/>
    </xf>
    <xf numFmtId="0" fontId="3" fillId="0" borderId="0" xfId="2"/>
    <xf numFmtId="0" fontId="25" fillId="0" borderId="0" xfId="4" applyFont="1" applyAlignment="1">
      <alignment horizontal="center"/>
    </xf>
    <xf numFmtId="0" fontId="25" fillId="5" borderId="9" xfId="4" applyFont="1" applyFill="1" applyBorder="1" applyAlignment="1">
      <alignment horizontal="right"/>
    </xf>
    <xf numFmtId="0" fontId="25" fillId="0" borderId="0" xfId="4" applyFont="1" applyAlignment="1">
      <alignment horizontal="right"/>
    </xf>
    <xf numFmtId="0" fontId="24" fillId="0" borderId="14" xfId="4" applyFont="1" applyBorder="1"/>
    <xf numFmtId="14" fontId="25" fillId="0" borderId="0" xfId="4" applyNumberFormat="1" applyFont="1" applyAlignment="1" applyProtection="1">
      <alignment horizontal="right"/>
      <protection locked="0"/>
    </xf>
    <xf numFmtId="21" fontId="26" fillId="0" borderId="0" xfId="10" applyNumberFormat="1" applyFont="1" applyAlignment="1" applyProtection="1">
      <alignment horizontal="right" vertical="center"/>
      <protection locked="0"/>
    </xf>
    <xf numFmtId="1" fontId="26" fillId="0" borderId="0" xfId="10" applyNumberFormat="1" applyFont="1" applyAlignment="1" applyProtection="1">
      <alignment horizontal="right" vertical="center"/>
      <protection locked="0"/>
    </xf>
    <xf numFmtId="0" fontId="24" fillId="0" borderId="0" xfId="4" applyFont="1" applyAlignment="1">
      <alignment horizontal="right"/>
    </xf>
    <xf numFmtId="1" fontId="24" fillId="0" borderId="0" xfId="4" applyNumberFormat="1" applyFont="1" applyAlignment="1">
      <alignment horizontal="right"/>
    </xf>
    <xf numFmtId="0" fontId="24" fillId="0" borderId="4" xfId="4" applyFont="1" applyBorder="1"/>
    <xf numFmtId="165" fontId="24" fillId="0" borderId="2" xfId="4" applyNumberFormat="1" applyFont="1" applyBorder="1" applyAlignment="1">
      <alignment horizontal="right"/>
    </xf>
    <xf numFmtId="0" fontId="24" fillId="0" borderId="4" xfId="0" applyFont="1" applyBorder="1"/>
    <xf numFmtId="0" fontId="25" fillId="5" borderId="2" xfId="0" applyFont="1" applyFill="1" applyBorder="1" applyAlignment="1" applyProtection="1">
      <alignment horizontal="right"/>
      <protection locked="0"/>
    </xf>
    <xf numFmtId="0" fontId="27" fillId="0" borderId="14" xfId="4" applyFont="1" applyBorder="1" applyAlignment="1">
      <alignment vertical="center"/>
    </xf>
    <xf numFmtId="4" fontId="24" fillId="0" borderId="0" xfId="4" applyNumberFormat="1" applyFont="1" applyAlignment="1">
      <alignment horizontal="right"/>
    </xf>
    <xf numFmtId="0" fontId="24" fillId="0" borderId="0" xfId="4" applyFont="1" applyAlignment="1">
      <alignment horizontal="center" vertical="center" wrapText="1"/>
    </xf>
    <xf numFmtId="0" fontId="25" fillId="0" borderId="0" xfId="0" applyFont="1" applyAlignment="1" applyProtection="1">
      <alignment horizontal="center"/>
      <protection locked="0"/>
    </xf>
    <xf numFmtId="2" fontId="25" fillId="0" borderId="0" xfId="4" applyNumberFormat="1" applyFont="1" applyAlignment="1" applyProtection="1">
      <alignment horizontal="right"/>
      <protection locked="0"/>
    </xf>
    <xf numFmtId="0" fontId="24" fillId="7" borderId="14" xfId="4" applyFont="1" applyFill="1" applyBorder="1" applyAlignment="1">
      <alignment vertical="center"/>
    </xf>
    <xf numFmtId="0" fontId="27" fillId="7" borderId="14" xfId="4" applyFont="1" applyFill="1" applyBorder="1" applyAlignment="1">
      <alignment horizontal="right" vertical="center"/>
    </xf>
    <xf numFmtId="0" fontId="24" fillId="7" borderId="14" xfId="4" applyFont="1" applyFill="1" applyBorder="1" applyAlignment="1">
      <alignment horizontal="right" vertical="center"/>
    </xf>
    <xf numFmtId="0" fontId="25" fillId="5" borderId="14" xfId="4" applyFont="1" applyFill="1" applyBorder="1" applyAlignment="1" applyProtection="1">
      <alignment vertical="center"/>
      <protection locked="0"/>
    </xf>
    <xf numFmtId="0" fontId="29" fillId="0" borderId="14" xfId="0" applyFont="1" applyBorder="1"/>
    <xf numFmtId="0" fontId="29" fillId="0" borderId="10" xfId="0" applyFont="1" applyBorder="1"/>
    <xf numFmtId="0" fontId="24" fillId="0" borderId="0" xfId="0" applyFont="1"/>
    <xf numFmtId="0" fontId="24" fillId="0" borderId="14" xfId="0" applyFont="1" applyBorder="1"/>
    <xf numFmtId="1" fontId="25" fillId="5" borderId="14" xfId="8" applyNumberFormat="1" applyFont="1" applyFill="1" applyBorder="1" applyAlignment="1" applyProtection="1">
      <alignment horizontal="right"/>
      <protection locked="0"/>
    </xf>
    <xf numFmtId="0" fontId="24" fillId="3" borderId="14" xfId="0" applyFont="1" applyFill="1" applyBorder="1" applyAlignment="1">
      <alignment horizontal="right"/>
    </xf>
    <xf numFmtId="1" fontId="24" fillId="3" borderId="14" xfId="0" applyNumberFormat="1" applyFont="1" applyFill="1" applyBorder="1" applyAlignment="1">
      <alignment horizontal="right"/>
    </xf>
    <xf numFmtId="4" fontId="24" fillId="0" borderId="4" xfId="0" applyNumberFormat="1" applyFont="1" applyBorder="1" applyAlignment="1">
      <alignment horizontal="right"/>
    </xf>
    <xf numFmtId="0" fontId="26" fillId="0" borderId="0" xfId="0" applyFont="1"/>
    <xf numFmtId="0" fontId="28" fillId="0" borderId="0" xfId="2" applyFont="1"/>
    <xf numFmtId="0" fontId="26" fillId="0" borderId="0" xfId="2" applyFont="1"/>
    <xf numFmtId="0" fontId="30" fillId="0" borderId="0" xfId="2" applyFont="1"/>
    <xf numFmtId="0" fontId="28" fillId="0" borderId="0" xfId="2" applyFont="1" applyAlignment="1">
      <alignment horizontal="right"/>
    </xf>
    <xf numFmtId="167" fontId="28" fillId="0" borderId="0" xfId="2" applyNumberFormat="1" applyFont="1"/>
    <xf numFmtId="2" fontId="29" fillId="0" borderId="12" xfId="0" applyNumberFormat="1" applyFont="1" applyBorder="1" applyAlignment="1">
      <alignment horizontal="right"/>
    </xf>
    <xf numFmtId="2" fontId="29" fillId="0" borderId="9" xfId="0" applyNumberFormat="1" applyFont="1" applyBorder="1" applyAlignment="1">
      <alignment horizontal="right"/>
    </xf>
    <xf numFmtId="4" fontId="28" fillId="0" borderId="0" xfId="2" applyNumberFormat="1" applyFont="1" applyAlignment="1">
      <alignment horizontal="right"/>
    </xf>
    <xf numFmtId="173" fontId="28" fillId="0" borderId="0" xfId="2" applyNumberFormat="1" applyFont="1" applyAlignment="1">
      <alignment horizontal="right"/>
    </xf>
    <xf numFmtId="0" fontId="26" fillId="0" borderId="1" xfId="2" applyFont="1" applyBorder="1" applyAlignment="1">
      <alignment horizontal="left"/>
    </xf>
    <xf numFmtId="166" fontId="28" fillId="0" borderId="2" xfId="2" applyNumberFormat="1" applyFont="1" applyBorder="1"/>
    <xf numFmtId="0" fontId="28" fillId="0" borderId="5" xfId="2" applyFont="1" applyBorder="1" applyAlignment="1">
      <alignment horizontal="right"/>
    </xf>
    <xf numFmtId="1" fontId="28" fillId="0" borderId="6" xfId="2" applyNumberFormat="1" applyFont="1" applyBorder="1"/>
    <xf numFmtId="172" fontId="28" fillId="0" borderId="6" xfId="2" applyNumberFormat="1" applyFont="1" applyBorder="1"/>
    <xf numFmtId="0" fontId="28" fillId="0" borderId="7" xfId="2" applyFont="1" applyBorder="1" applyAlignment="1">
      <alignment horizontal="right"/>
    </xf>
    <xf numFmtId="172" fontId="28" fillId="0" borderId="9" xfId="2" applyNumberFormat="1" applyFont="1" applyBorder="1"/>
    <xf numFmtId="0" fontId="26" fillId="0" borderId="1" xfId="2" applyFont="1" applyBorder="1"/>
    <xf numFmtId="0" fontId="28" fillId="0" borderId="2" xfId="2" applyFont="1" applyBorder="1"/>
    <xf numFmtId="166" fontId="28" fillId="0" borderId="6" xfId="2" applyNumberFormat="1" applyFont="1" applyBorder="1"/>
    <xf numFmtId="167" fontId="28" fillId="0" borderId="9" xfId="2" applyNumberFormat="1" applyFont="1" applyBorder="1"/>
    <xf numFmtId="170" fontId="28" fillId="0" borderId="6" xfId="2" applyNumberFormat="1" applyFont="1" applyBorder="1"/>
    <xf numFmtId="0" fontId="28" fillId="0" borderId="3" xfId="2" applyFont="1" applyBorder="1"/>
    <xf numFmtId="0" fontId="28" fillId="0" borderId="3" xfId="2" applyFont="1" applyBorder="1" applyAlignment="1">
      <alignment horizontal="right"/>
    </xf>
    <xf numFmtId="166" fontId="28" fillId="0" borderId="0" xfId="2" applyNumberFormat="1" applyFont="1"/>
    <xf numFmtId="166" fontId="28" fillId="0" borderId="0" xfId="2" applyNumberFormat="1" applyFont="1" applyAlignment="1">
      <alignment horizontal="right"/>
    </xf>
    <xf numFmtId="166" fontId="28" fillId="0" borderId="8" xfId="2" applyNumberFormat="1" applyFont="1" applyBorder="1"/>
    <xf numFmtId="166" fontId="28" fillId="0" borderId="8" xfId="2" applyNumberFormat="1" applyFont="1" applyBorder="1" applyAlignment="1">
      <alignment horizontal="right"/>
    </xf>
    <xf numFmtId="166" fontId="28" fillId="0" borderId="9" xfId="2" applyNumberFormat="1" applyFont="1" applyBorder="1"/>
    <xf numFmtId="166" fontId="28" fillId="0" borderId="3" xfId="2" applyNumberFormat="1" applyFont="1" applyBorder="1"/>
    <xf numFmtId="166" fontId="28" fillId="0" borderId="3" xfId="2" applyNumberFormat="1" applyFont="1" applyBorder="1" applyAlignment="1">
      <alignment horizontal="right"/>
    </xf>
    <xf numFmtId="0" fontId="28" fillId="0" borderId="6" xfId="2" applyFont="1" applyBorder="1"/>
    <xf numFmtId="4" fontId="28" fillId="8" borderId="14" xfId="2" applyNumberFormat="1" applyFont="1" applyFill="1" applyBorder="1"/>
    <xf numFmtId="4" fontId="28" fillId="8" borderId="14" xfId="2" applyNumberFormat="1" applyFont="1" applyFill="1" applyBorder="1" applyAlignment="1">
      <alignment horizontal="right"/>
    </xf>
    <xf numFmtId="0" fontId="28" fillId="6" borderId="14" xfId="2" applyFont="1" applyFill="1" applyBorder="1" applyAlignment="1">
      <alignment horizontal="center"/>
    </xf>
    <xf numFmtId="0" fontId="28" fillId="6" borderId="14" xfId="2" applyFont="1" applyFill="1" applyBorder="1" applyAlignment="1">
      <alignment horizontal="right"/>
    </xf>
    <xf numFmtId="0" fontId="9" fillId="0" borderId="0" xfId="6" applyFont="1" applyAlignment="1">
      <alignment horizontal="center"/>
    </xf>
    <xf numFmtId="0" fontId="14" fillId="0" borderId="0" xfId="6" applyFont="1"/>
    <xf numFmtId="0" fontId="28" fillId="2" borderId="0" xfId="2" applyFont="1" applyFill="1"/>
    <xf numFmtId="0" fontId="28" fillId="2" borderId="0" xfId="2" applyFont="1" applyFill="1" applyAlignment="1">
      <alignment horizontal="right"/>
    </xf>
    <xf numFmtId="0" fontId="3" fillId="2" borderId="0" xfId="2" applyFill="1"/>
    <xf numFmtId="0" fontId="28" fillId="0" borderId="9" xfId="2" applyFont="1" applyBorder="1"/>
    <xf numFmtId="0" fontId="28" fillId="6" borderId="11" xfId="2" applyFont="1" applyFill="1" applyBorder="1" applyAlignment="1">
      <alignment horizontal="right"/>
    </xf>
    <xf numFmtId="0" fontId="28" fillId="6" borderId="24" xfId="2" applyFont="1" applyFill="1" applyBorder="1" applyAlignment="1">
      <alignment horizontal="right"/>
    </xf>
    <xf numFmtId="0" fontId="28" fillId="6" borderId="12" xfId="2" applyFont="1" applyFill="1" applyBorder="1" applyAlignment="1">
      <alignment horizontal="right"/>
    </xf>
    <xf numFmtId="0" fontId="31" fillId="0" borderId="0" xfId="2" applyFont="1"/>
    <xf numFmtId="0" fontId="28" fillId="0" borderId="0" xfId="13" applyFont="1"/>
    <xf numFmtId="4" fontId="24" fillId="0" borderId="14" xfId="0" applyNumberFormat="1" applyFont="1" applyBorder="1" applyAlignment="1">
      <alignment horizontal="right"/>
    </xf>
    <xf numFmtId="0" fontId="34" fillId="0" borderId="0" xfId="0" applyFont="1" applyAlignment="1">
      <alignment horizontal="center"/>
    </xf>
    <xf numFmtId="0" fontId="29" fillId="0" borderId="0" xfId="0" applyFont="1"/>
    <xf numFmtId="0" fontId="35" fillId="0" borderId="0" xfId="0" applyFont="1" applyAlignment="1">
      <alignment horizontal="center"/>
    </xf>
    <xf numFmtId="0" fontId="34" fillId="9" borderId="9" xfId="0" applyFont="1" applyFill="1" applyBorder="1" applyAlignment="1">
      <alignment horizontal="right"/>
    </xf>
    <xf numFmtId="0" fontId="34" fillId="0" borderId="0" xfId="0" applyFont="1" applyAlignment="1">
      <alignment horizontal="right"/>
    </xf>
    <xf numFmtId="0" fontId="5" fillId="0" borderId="0" xfId="0" applyFont="1"/>
    <xf numFmtId="174" fontId="34" fillId="9" borderId="12" xfId="0" applyNumberFormat="1" applyFont="1" applyFill="1" applyBorder="1" applyAlignment="1" applyProtection="1">
      <alignment horizontal="right"/>
      <protection locked="0"/>
    </xf>
    <xf numFmtId="14" fontId="34" fillId="0" borderId="0" xfId="0" applyNumberFormat="1" applyFont="1" applyAlignment="1" applyProtection="1">
      <alignment horizontal="right"/>
      <protection locked="0"/>
    </xf>
    <xf numFmtId="0" fontId="36" fillId="0" borderId="0" xfId="0" applyFont="1"/>
    <xf numFmtId="175" fontId="34" fillId="9" borderId="9" xfId="0" applyNumberFormat="1" applyFont="1" applyFill="1" applyBorder="1" applyAlignment="1" applyProtection="1">
      <alignment horizontal="right"/>
      <protection locked="0"/>
    </xf>
    <xf numFmtId="0" fontId="29" fillId="11" borderId="9" xfId="0" applyFont="1" applyFill="1" applyBorder="1" applyAlignment="1">
      <alignment horizontal="right"/>
    </xf>
    <xf numFmtId="0" fontId="37" fillId="0" borderId="0" xfId="0" applyFont="1"/>
    <xf numFmtId="21" fontId="37" fillId="0" borderId="0" xfId="0" applyNumberFormat="1" applyFont="1" applyAlignment="1" applyProtection="1">
      <alignment horizontal="right" vertical="center"/>
      <protection locked="0"/>
    </xf>
    <xf numFmtId="1" fontId="29" fillId="11" borderId="9" xfId="0" applyNumberFormat="1" applyFont="1" applyFill="1" applyBorder="1" applyAlignment="1">
      <alignment horizontal="right"/>
    </xf>
    <xf numFmtId="1" fontId="37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1" fontId="29" fillId="0" borderId="0" xfId="0" applyNumberFormat="1" applyFont="1" applyAlignment="1">
      <alignment horizontal="right"/>
    </xf>
    <xf numFmtId="4" fontId="29" fillId="0" borderId="4" xfId="0" applyNumberFormat="1" applyFont="1" applyBorder="1" applyAlignment="1">
      <alignment horizontal="right"/>
    </xf>
    <xf numFmtId="0" fontId="29" fillId="0" borderId="4" xfId="0" applyFont="1" applyBorder="1"/>
    <xf numFmtId="165" fontId="29" fillId="0" borderId="2" xfId="0" applyNumberFormat="1" applyFont="1" applyBorder="1" applyAlignment="1">
      <alignment horizontal="right"/>
    </xf>
    <xf numFmtId="0" fontId="38" fillId="0" borderId="14" xfId="0" applyFont="1" applyBorder="1" applyAlignment="1">
      <alignment vertical="center"/>
    </xf>
    <xf numFmtId="4" fontId="5" fillId="0" borderId="0" xfId="0" applyNumberFormat="1" applyFont="1" applyAlignment="1">
      <alignment horizontal="right"/>
    </xf>
    <xf numFmtId="4" fontId="29" fillId="0" borderId="0" xfId="0" applyNumberFormat="1" applyFont="1" applyAlignment="1">
      <alignment horizontal="right"/>
    </xf>
    <xf numFmtId="0" fontId="29" fillId="0" borderId="0" xfId="0" applyFont="1" applyAlignment="1">
      <alignment horizontal="center" vertical="center" wrapText="1"/>
    </xf>
    <xf numFmtId="0" fontId="34" fillId="0" borderId="0" xfId="0" applyFont="1" applyAlignment="1" applyProtection="1">
      <alignment horizontal="center"/>
      <protection locked="0"/>
    </xf>
    <xf numFmtId="2" fontId="34" fillId="0" borderId="0" xfId="0" applyNumberFormat="1" applyFont="1" applyAlignment="1" applyProtection="1">
      <alignment horizontal="right"/>
      <protection locked="0"/>
    </xf>
    <xf numFmtId="0" fontId="29" fillId="10" borderId="14" xfId="0" applyFont="1" applyFill="1" applyBorder="1" applyAlignment="1">
      <alignment vertical="center"/>
    </xf>
    <xf numFmtId="0" fontId="38" fillId="10" borderId="12" xfId="0" applyFont="1" applyFill="1" applyBorder="1" applyAlignment="1">
      <alignment horizontal="right" vertical="center"/>
    </xf>
    <xf numFmtId="0" fontId="29" fillId="10" borderId="12" xfId="0" applyFont="1" applyFill="1" applyBorder="1" applyAlignment="1">
      <alignment horizontal="right" vertical="center"/>
    </xf>
    <xf numFmtId="0" fontId="34" fillId="9" borderId="10" xfId="0" applyFont="1" applyFill="1" applyBorder="1" applyAlignment="1" applyProtection="1">
      <alignment vertical="center"/>
      <protection locked="0"/>
    </xf>
    <xf numFmtId="0" fontId="5" fillId="12" borderId="14" xfId="0" applyFont="1" applyFill="1" applyBorder="1" applyAlignment="1">
      <alignment horizontal="center"/>
    </xf>
    <xf numFmtId="0" fontId="5" fillId="12" borderId="12" xfId="0" applyFont="1" applyFill="1" applyBorder="1" applyAlignment="1">
      <alignment horizontal="right"/>
    </xf>
    <xf numFmtId="0" fontId="5" fillId="12" borderId="10" xfId="0" applyFont="1" applyFill="1" applyBorder="1" applyAlignment="1">
      <alignment horizontal="center"/>
    </xf>
    <xf numFmtId="4" fontId="5" fillId="13" borderId="9" xfId="0" applyNumberFormat="1" applyFont="1" applyFill="1" applyBorder="1" applyAlignment="1">
      <alignment horizontal="right"/>
    </xf>
    <xf numFmtId="4" fontId="29" fillId="0" borderId="9" xfId="0" applyNumberFormat="1" applyFont="1" applyBorder="1" applyAlignment="1">
      <alignment horizontal="right"/>
    </xf>
    <xf numFmtId="0" fontId="28" fillId="6" borderId="1" xfId="13" applyFont="1" applyFill="1" applyBorder="1" applyAlignment="1">
      <alignment horizontal="right"/>
    </xf>
    <xf numFmtId="0" fontId="28" fillId="6" borderId="2" xfId="13" applyFont="1" applyFill="1" applyBorder="1" applyAlignment="1">
      <alignment horizontal="right"/>
    </xf>
    <xf numFmtId="0" fontId="28" fillId="6" borderId="11" xfId="13" applyFont="1" applyFill="1" applyBorder="1" applyAlignment="1">
      <alignment horizontal="right"/>
    </xf>
    <xf numFmtId="0" fontId="28" fillId="6" borderId="24" xfId="13" applyFont="1" applyFill="1" applyBorder="1" applyAlignment="1">
      <alignment horizontal="right"/>
    </xf>
    <xf numFmtId="0" fontId="28" fillId="6" borderId="12" xfId="13" applyFont="1" applyFill="1" applyBorder="1" applyAlignment="1">
      <alignment horizontal="right"/>
    </xf>
    <xf numFmtId="2" fontId="28" fillId="6" borderId="7" xfId="13" applyNumberFormat="1" applyFont="1" applyFill="1" applyBorder="1" applyAlignment="1">
      <alignment horizontal="right"/>
    </xf>
    <xf numFmtId="2" fontId="28" fillId="6" borderId="9" xfId="13" applyNumberFormat="1" applyFont="1" applyFill="1" applyBorder="1" applyAlignment="1">
      <alignment horizontal="right"/>
    </xf>
    <xf numFmtId="2" fontId="28" fillId="6" borderId="8" xfId="13" applyNumberFormat="1" applyFont="1" applyFill="1" applyBorder="1" applyAlignment="1">
      <alignment horizontal="right"/>
    </xf>
    <xf numFmtId="164" fontId="28" fillId="6" borderId="7" xfId="13" applyNumberFormat="1" applyFont="1" applyFill="1" applyBorder="1" applyAlignment="1">
      <alignment horizontal="right"/>
    </xf>
    <xf numFmtId="166" fontId="28" fillId="6" borderId="8" xfId="13" applyNumberFormat="1" applyFont="1" applyFill="1" applyBorder="1" applyAlignment="1">
      <alignment horizontal="right"/>
    </xf>
    <xf numFmtId="166" fontId="28" fillId="6" borderId="8" xfId="13" applyNumberFormat="1" applyFont="1" applyFill="1" applyBorder="1" applyAlignment="1">
      <alignment horizontal="right" wrapText="1"/>
    </xf>
    <xf numFmtId="171" fontId="28" fillId="6" borderId="8" xfId="13" applyNumberFormat="1" applyFont="1" applyFill="1" applyBorder="1" applyAlignment="1">
      <alignment horizontal="right"/>
    </xf>
    <xf numFmtId="171" fontId="28" fillId="6" borderId="9" xfId="13" applyNumberFormat="1" applyFont="1" applyFill="1" applyBorder="1" applyAlignment="1">
      <alignment horizontal="right"/>
    </xf>
    <xf numFmtId="171" fontId="28" fillId="6" borderId="7" xfId="13" applyNumberFormat="1" applyFont="1" applyFill="1" applyBorder="1" applyAlignment="1">
      <alignment horizontal="right"/>
    </xf>
    <xf numFmtId="0" fontId="28" fillId="6" borderId="2" xfId="13" applyFont="1" applyFill="1" applyBorder="1"/>
    <xf numFmtId="0" fontId="28" fillId="6" borderId="5" xfId="13" applyFont="1" applyFill="1" applyBorder="1" applyAlignment="1">
      <alignment horizontal="right"/>
    </xf>
    <xf numFmtId="4" fontId="28" fillId="6" borderId="6" xfId="13" applyNumberFormat="1" applyFont="1" applyFill="1" applyBorder="1"/>
    <xf numFmtId="165" fontId="28" fillId="6" borderId="6" xfId="13" applyNumberFormat="1" applyFont="1" applyFill="1" applyBorder="1"/>
    <xf numFmtId="2" fontId="28" fillId="6" borderId="6" xfId="13" applyNumberFormat="1" applyFont="1" applyFill="1" applyBorder="1"/>
    <xf numFmtId="0" fontId="28" fillId="6" borderId="6" xfId="13" applyFont="1" applyFill="1" applyBorder="1"/>
    <xf numFmtId="0" fontId="28" fillId="6" borderId="7" xfId="13" applyFont="1" applyFill="1" applyBorder="1" applyAlignment="1">
      <alignment horizontal="right"/>
    </xf>
    <xf numFmtId="0" fontId="28" fillId="6" borderId="9" xfId="13" applyFont="1" applyFill="1" applyBorder="1"/>
    <xf numFmtId="166" fontId="25" fillId="5" borderId="14" xfId="4" applyNumberFormat="1" applyFont="1" applyFill="1" applyBorder="1" applyAlignment="1" applyProtection="1">
      <alignment vertical="center"/>
      <protection locked="0"/>
    </xf>
    <xf numFmtId="166" fontId="28" fillId="0" borderId="14" xfId="0" applyNumberFormat="1" applyFont="1" applyBorder="1" applyProtection="1">
      <protection locked="0"/>
    </xf>
    <xf numFmtId="166" fontId="34" fillId="9" borderId="9" xfId="0" applyNumberFormat="1" applyFont="1" applyFill="1" applyBorder="1" applyAlignment="1" applyProtection="1">
      <alignment vertical="center"/>
      <protection locked="0"/>
    </xf>
    <xf numFmtId="166" fontId="34" fillId="9" borderId="14" xfId="0" applyNumberFormat="1" applyFont="1" applyFill="1" applyBorder="1" applyAlignment="1" applyProtection="1">
      <alignment vertical="center"/>
      <protection locked="0"/>
    </xf>
    <xf numFmtId="166" fontId="34" fillId="9" borderId="12" xfId="0" applyNumberFormat="1" applyFont="1" applyFill="1" applyBorder="1" applyAlignment="1" applyProtection="1">
      <alignment vertical="center"/>
      <protection locked="0"/>
    </xf>
    <xf numFmtId="0" fontId="29" fillId="0" borderId="7" xfId="0" applyFont="1" applyBorder="1"/>
    <xf numFmtId="0" fontId="24" fillId="0" borderId="7" xfId="4" applyFont="1" applyBorder="1"/>
    <xf numFmtId="0" fontId="10" fillId="6" borderId="11" xfId="6" applyFont="1" applyFill="1" applyBorder="1"/>
    <xf numFmtId="164" fontId="10" fillId="6" borderId="14" xfId="6" applyNumberFormat="1" applyFont="1" applyFill="1" applyBorder="1"/>
    <xf numFmtId="0" fontId="10" fillId="0" borderId="0" xfId="6" applyFont="1"/>
    <xf numFmtId="0" fontId="1" fillId="0" borderId="0" xfId="5" applyFont="1"/>
    <xf numFmtId="0" fontId="13" fillId="0" borderId="0" xfId="6" applyFont="1"/>
    <xf numFmtId="4" fontId="10" fillId="0" borderId="0" xfId="6" applyNumberFormat="1" applyFont="1"/>
    <xf numFmtId="0" fontId="40" fillId="0" borderId="0" xfId="6" applyFont="1"/>
    <xf numFmtId="2" fontId="40" fillId="0" borderId="0" xfId="6" applyNumberFormat="1" applyFont="1"/>
    <xf numFmtId="2" fontId="10" fillId="0" borderId="0" xfId="6" applyNumberFormat="1" applyFont="1"/>
    <xf numFmtId="0" fontId="39" fillId="4" borderId="1" xfId="6" applyFont="1" applyFill="1" applyBorder="1" applyAlignment="1">
      <alignment horizontal="right"/>
    </xf>
    <xf numFmtId="0" fontId="39" fillId="4" borderId="3" xfId="6" applyFont="1" applyFill="1" applyBorder="1" applyAlignment="1">
      <alignment horizontal="right"/>
    </xf>
    <xf numFmtId="0" fontId="39" fillId="4" borderId="2" xfId="6" applyFont="1" applyFill="1" applyBorder="1" applyAlignment="1">
      <alignment horizontal="right"/>
    </xf>
    <xf numFmtId="0" fontId="10" fillId="6" borderId="4" xfId="6" applyFont="1" applyFill="1" applyBorder="1"/>
    <xf numFmtId="166" fontId="10" fillId="6" borderId="15" xfId="6" applyNumberFormat="1" applyFont="1" applyFill="1" applyBorder="1"/>
    <xf numFmtId="166" fontId="10" fillId="6" borderId="16" xfId="6" applyNumberFormat="1" applyFont="1" applyFill="1" applyBorder="1"/>
    <xf numFmtId="166" fontId="10" fillId="6" borderId="0" xfId="6" applyNumberFormat="1" applyFont="1" applyFill="1"/>
    <xf numFmtId="166" fontId="10" fillId="6" borderId="6" xfId="6" applyNumberFormat="1" applyFont="1" applyFill="1" applyBorder="1"/>
    <xf numFmtId="0" fontId="10" fillId="6" borderId="13" xfId="6" applyFont="1" applyFill="1" applyBorder="1"/>
    <xf numFmtId="0" fontId="10" fillId="6" borderId="10" xfId="6" applyFont="1" applyFill="1" applyBorder="1"/>
    <xf numFmtId="166" fontId="10" fillId="6" borderId="17" xfId="6" applyNumberFormat="1" applyFont="1" applyFill="1" applyBorder="1"/>
    <xf numFmtId="166" fontId="10" fillId="6" borderId="18" xfId="6" applyNumberFormat="1" applyFont="1" applyFill="1" applyBorder="1"/>
    <xf numFmtId="166" fontId="10" fillId="6" borderId="8" xfId="6" applyNumberFormat="1" applyFont="1" applyFill="1" applyBorder="1"/>
    <xf numFmtId="166" fontId="10" fillId="6" borderId="9" xfId="6" applyNumberFormat="1" applyFont="1" applyFill="1" applyBorder="1"/>
    <xf numFmtId="0" fontId="39" fillId="4" borderId="0" xfId="6" applyFont="1" applyFill="1" applyAlignment="1">
      <alignment horizontal="right"/>
    </xf>
    <xf numFmtId="166" fontId="10" fillId="6" borderId="19" xfId="6" applyNumberFormat="1" applyFont="1" applyFill="1" applyBorder="1"/>
    <xf numFmtId="166" fontId="10" fillId="6" borderId="20" xfId="6" applyNumberFormat="1" applyFont="1" applyFill="1" applyBorder="1"/>
    <xf numFmtId="166" fontId="10" fillId="6" borderId="3" xfId="6" applyNumberFormat="1" applyFont="1" applyFill="1" applyBorder="1"/>
    <xf numFmtId="166" fontId="10" fillId="6" borderId="2" xfId="6" applyNumberFormat="1" applyFont="1" applyFill="1" applyBorder="1"/>
    <xf numFmtId="11" fontId="10" fillId="0" borderId="0" xfId="6" applyNumberFormat="1" applyFont="1"/>
    <xf numFmtId="0" fontId="10" fillId="6" borderId="17" xfId="6" applyFont="1" applyFill="1" applyBorder="1"/>
    <xf numFmtId="0" fontId="10" fillId="6" borderId="18" xfId="6" applyFont="1" applyFill="1" applyBorder="1"/>
    <xf numFmtId="0" fontId="10" fillId="6" borderId="8" xfId="6" applyFont="1" applyFill="1" applyBorder="1"/>
    <xf numFmtId="0" fontId="10" fillId="6" borderId="9" xfId="6" applyFont="1" applyFill="1" applyBorder="1"/>
    <xf numFmtId="166" fontId="10" fillId="0" borderId="0" xfId="6" applyNumberFormat="1" applyFont="1"/>
    <xf numFmtId="164" fontId="10" fillId="6" borderId="19" xfId="6" applyNumberFormat="1" applyFont="1" applyFill="1" applyBorder="1"/>
    <xf numFmtId="164" fontId="10" fillId="6" borderId="20" xfId="6" applyNumberFormat="1" applyFont="1" applyFill="1" applyBorder="1"/>
    <xf numFmtId="164" fontId="10" fillId="6" borderId="3" xfId="6" applyNumberFormat="1" applyFont="1" applyFill="1" applyBorder="1"/>
    <xf numFmtId="164" fontId="10" fillId="6" borderId="2" xfId="6" applyNumberFormat="1" applyFont="1" applyFill="1" applyBorder="1"/>
    <xf numFmtId="164" fontId="10" fillId="6" borderId="15" xfId="6" applyNumberFormat="1" applyFont="1" applyFill="1" applyBorder="1"/>
    <xf numFmtId="164" fontId="10" fillId="6" borderId="16" xfId="6" applyNumberFormat="1" applyFont="1" applyFill="1" applyBorder="1"/>
    <xf numFmtId="164" fontId="10" fillId="6" borderId="0" xfId="6" applyNumberFormat="1" applyFont="1" applyFill="1"/>
    <xf numFmtId="164" fontId="10" fillId="6" borderId="6" xfId="6" applyNumberFormat="1" applyFont="1" applyFill="1" applyBorder="1"/>
    <xf numFmtId="164" fontId="10" fillId="6" borderId="17" xfId="6" applyNumberFormat="1" applyFont="1" applyFill="1" applyBorder="1"/>
    <xf numFmtId="164" fontId="10" fillId="6" borderId="18" xfId="6" applyNumberFormat="1" applyFont="1" applyFill="1" applyBorder="1"/>
    <xf numFmtId="164" fontId="10" fillId="6" borderId="8" xfId="6" applyNumberFormat="1" applyFont="1" applyFill="1" applyBorder="1"/>
    <xf numFmtId="164" fontId="10" fillId="6" borderId="9" xfId="6" applyNumberFormat="1" applyFont="1" applyFill="1" applyBorder="1"/>
    <xf numFmtId="0" fontId="41" fillId="0" borderId="0" xfId="6" applyFont="1" applyAlignment="1">
      <alignment horizontal="center"/>
    </xf>
    <xf numFmtId="168" fontId="10" fillId="0" borderId="0" xfId="6" applyNumberFormat="1" applyFont="1"/>
    <xf numFmtId="166" fontId="10" fillId="6" borderId="1" xfId="6" applyNumberFormat="1" applyFont="1" applyFill="1" applyBorder="1"/>
    <xf numFmtId="166" fontId="10" fillId="6" borderId="5" xfId="6" applyNumberFormat="1" applyFont="1" applyFill="1" applyBorder="1"/>
    <xf numFmtId="166" fontId="10" fillId="6" borderId="7" xfId="6" applyNumberFormat="1" applyFont="1" applyFill="1" applyBorder="1"/>
    <xf numFmtId="0" fontId="12" fillId="2" borderId="0" xfId="7" applyFont="1" applyFill="1" applyAlignment="1">
      <alignment horizontal="center" vertical="center" wrapText="1"/>
    </xf>
    <xf numFmtId="0" fontId="22" fillId="2" borderId="1" xfId="9" applyFont="1" applyFill="1" applyBorder="1" applyAlignment="1">
      <alignment horizontal="center"/>
    </xf>
    <xf numFmtId="0" fontId="22" fillId="2" borderId="3" xfId="9" applyFont="1" applyFill="1" applyBorder="1" applyAlignment="1">
      <alignment horizontal="center"/>
    </xf>
    <xf numFmtId="0" fontId="22" fillId="2" borderId="23" xfId="9" applyFont="1" applyFill="1" applyBorder="1" applyAlignment="1">
      <alignment horizontal="center"/>
    </xf>
    <xf numFmtId="0" fontId="23" fillId="2" borderId="5" xfId="10" applyFont="1" applyFill="1" applyBorder="1" applyAlignment="1">
      <alignment horizontal="center"/>
    </xf>
    <xf numFmtId="0" fontId="23" fillId="2" borderId="0" xfId="10" applyFont="1" applyFill="1" applyAlignment="1">
      <alignment horizontal="center"/>
    </xf>
    <xf numFmtId="0" fontId="23" fillId="2" borderId="22" xfId="10" applyFont="1" applyFill="1" applyBorder="1" applyAlignment="1">
      <alignment horizontal="center"/>
    </xf>
    <xf numFmtId="0" fontId="23" fillId="2" borderId="7" xfId="10" applyFont="1" applyFill="1" applyBorder="1" applyAlignment="1">
      <alignment horizontal="center"/>
    </xf>
    <xf numFmtId="0" fontId="23" fillId="2" borderId="8" xfId="10" applyFont="1" applyFill="1" applyBorder="1" applyAlignment="1">
      <alignment horizontal="center"/>
    </xf>
    <xf numFmtId="0" fontId="23" fillId="2" borderId="21" xfId="10" applyFont="1" applyFill="1" applyBorder="1" applyAlignment="1">
      <alignment horizontal="center"/>
    </xf>
    <xf numFmtId="0" fontId="21" fillId="2" borderId="0" xfId="5" applyFont="1" applyFill="1" applyAlignment="1">
      <alignment horizontal="center"/>
    </xf>
    <xf numFmtId="0" fontId="28" fillId="6" borderId="11" xfId="13" applyFont="1" applyFill="1" applyBorder="1" applyAlignment="1">
      <alignment horizontal="center"/>
    </xf>
    <xf numFmtId="0" fontId="28" fillId="6" borderId="24" xfId="13" applyFont="1" applyFill="1" applyBorder="1" applyAlignment="1">
      <alignment horizontal="center"/>
    </xf>
    <xf numFmtId="0" fontId="28" fillId="6" borderId="12" xfId="13" applyFont="1" applyFill="1" applyBorder="1" applyAlignment="1">
      <alignment horizontal="center"/>
    </xf>
    <xf numFmtId="0" fontId="25" fillId="7" borderId="11" xfId="4" applyFont="1" applyFill="1" applyBorder="1" applyAlignment="1">
      <alignment horizontal="center"/>
    </xf>
    <xf numFmtId="0" fontId="25" fillId="7" borderId="12" xfId="4" applyFont="1" applyFill="1" applyBorder="1" applyAlignment="1">
      <alignment horizontal="center"/>
    </xf>
    <xf numFmtId="0" fontId="24" fillId="0" borderId="8" xfId="4" applyFont="1" applyBorder="1" applyAlignment="1">
      <alignment horizontal="center" vertical="center"/>
    </xf>
    <xf numFmtId="0" fontId="34" fillId="10" borderId="11" xfId="0" applyFont="1" applyFill="1" applyBorder="1" applyAlignment="1">
      <alignment horizontal="center"/>
    </xf>
    <xf numFmtId="0" fontId="34" fillId="10" borderId="25" xfId="0" applyFont="1" applyFill="1" applyBorder="1" applyAlignment="1">
      <alignment horizontal="center"/>
    </xf>
    <xf numFmtId="0" fontId="29" fillId="0" borderId="8" xfId="0" applyFont="1" applyBorder="1" applyAlignment="1">
      <alignment horizontal="center" vertical="center"/>
    </xf>
  </cellXfs>
  <cellStyles count="18">
    <cellStyle name="Hyperlink" xfId="1" builtinId="8"/>
    <cellStyle name="Hyperlink 2" xfId="3" xr:uid="{4FE61311-DBD8-B048-945F-211246329FAC}"/>
    <cellStyle name="Hyperlink 2 2" xfId="9" xr:uid="{9AEAE755-0984-374B-83D3-325E278840C1}"/>
    <cellStyle name="Hyperlink 3" xfId="5" xr:uid="{6006D9EC-8120-0749-984A-414BFE0882C3}"/>
    <cellStyle name="Normal" xfId="0" builtinId="0"/>
    <cellStyle name="Normal 2" xfId="2" xr:uid="{63DDC796-707B-E346-BECA-246AC8FB8D6E}"/>
    <cellStyle name="Normal 2 2" xfId="7" xr:uid="{23C92AB3-C5D4-E44F-86E5-0B511C926082}"/>
    <cellStyle name="Normal 3" xfId="4" xr:uid="{9EF0BE49-41F8-3641-9F36-6E0EA183D3EE}"/>
    <cellStyle name="Normal 3 2" xfId="10" xr:uid="{5627FF92-F093-7C46-954F-31B3B211F802}"/>
    <cellStyle name="Normal 3 2 2" xfId="12" xr:uid="{7F2098B5-2226-4742-A1C6-86DAB5D2BB83}"/>
    <cellStyle name="Normal 3 3" xfId="11" xr:uid="{1DD90604-4865-8242-83D3-9268C930F74F}"/>
    <cellStyle name="Normal 3 3 2" xfId="17" xr:uid="{13942382-BE12-7342-8A8D-8219E283292D}"/>
    <cellStyle name="Normal 4" xfId="6" xr:uid="{19ECB998-5E58-6E4F-9183-EF25138180AA}"/>
    <cellStyle name="Normal 5" xfId="8" xr:uid="{25E274EF-2CE5-6C42-848D-8D45B2DC2040}"/>
    <cellStyle name="Normal 5 2" xfId="15" xr:uid="{8396C64D-6D11-1D48-8F96-A211B4BC5D5E}"/>
    <cellStyle name="Normal 6" xfId="13" xr:uid="{096B7B64-14C0-5442-B5C0-7F2BE1FF7D90}"/>
    <cellStyle name="Normal 6 2" xfId="14" xr:uid="{2360357B-AEDA-254F-838A-091192EDDE26}"/>
    <cellStyle name="Normal 7" xfId="16" xr:uid="{CD2DB8F3-73D0-3645-A96F-3762F3AB95EB}"/>
  </cellStyles>
  <dxfs count="0"/>
  <tableStyles count="0" defaultTableStyle="TableStyleMedium9" defaultPivotStyle="PivotStyleMedium7"/>
  <colors>
    <mruColors>
      <color rgb="FFFFF4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Planet Positions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8"/>
              <c:spPr>
                <a:solidFill>
                  <a:srgbClr val="FFFF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DF25-164D-9187-B598D25D9FFA}"/>
              </c:ext>
            </c:extLst>
          </c:dPt>
          <c:dPt>
            <c:idx val="1"/>
            <c:marker>
              <c:symbol val="circle"/>
              <c:size val="8"/>
              <c:spPr>
                <a:solidFill>
                  <a:schemeClr val="bg1">
                    <a:lumMod val="50000"/>
                  </a:schemeClr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DF25-164D-9187-B598D25D9FFA}"/>
              </c:ext>
            </c:extLst>
          </c:dPt>
          <c:dPt>
            <c:idx val="2"/>
            <c:marker>
              <c:symbol val="circle"/>
              <c:size val="8"/>
              <c:spPr>
                <a:solidFill>
                  <a:srgbClr val="FF0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DF25-164D-9187-B598D25D9FFA}"/>
              </c:ext>
            </c:extLst>
          </c:dPt>
          <c:dPt>
            <c:idx val="3"/>
            <c:marker>
              <c:symbol val="circle"/>
              <c:size val="8"/>
              <c:spPr>
                <a:solidFill>
                  <a:schemeClr val="bg2">
                    <a:lumMod val="50000"/>
                  </a:schemeClr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DF25-164D-9187-B598D25D9FFA}"/>
              </c:ext>
            </c:extLst>
          </c:dPt>
          <c:dPt>
            <c:idx val="4"/>
            <c:marker>
              <c:symbol val="circle"/>
              <c:size val="8"/>
              <c:spPr>
                <a:solidFill>
                  <a:schemeClr val="accent2">
                    <a:lumMod val="75000"/>
                  </a:schemeClr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DF25-164D-9187-B598D25D9FFA}"/>
              </c:ext>
            </c:extLst>
          </c:dPt>
          <c:dPt>
            <c:idx val="5"/>
            <c:marker>
              <c:symbol val="circle"/>
              <c:size val="8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DF25-164D-9187-B598D25D9FFA}"/>
              </c:ext>
            </c:extLst>
          </c:dPt>
          <c:dPt>
            <c:idx val="6"/>
            <c:marker>
              <c:symbol val="circle"/>
              <c:size val="8"/>
              <c:spPr>
                <a:solidFill>
                  <a:schemeClr val="accent4">
                    <a:lumMod val="40000"/>
                    <a:lumOff val="60000"/>
                  </a:schemeClr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DF25-164D-9187-B598D25D9FFA}"/>
              </c:ext>
            </c:extLst>
          </c:dPt>
          <c:dPt>
            <c:idx val="7"/>
            <c:marker>
              <c:symbol val="circle"/>
              <c:size val="8"/>
              <c:spPr>
                <a:solidFill>
                  <a:srgbClr val="00B0F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F25-164D-9187-B598D25D9FFA}"/>
              </c:ext>
            </c:extLst>
          </c:dPt>
          <c:dPt>
            <c:idx val="8"/>
            <c:marker>
              <c:symbol val="circle"/>
              <c:size val="8"/>
              <c:spPr>
                <a:solidFill>
                  <a:srgbClr val="0070C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DF25-164D-9187-B598D25D9FFA}"/>
              </c:ext>
            </c:extLst>
          </c:dPt>
          <c:dPt>
            <c:idx val="9"/>
            <c:marker>
              <c:symbol val="circle"/>
              <c:size val="8"/>
              <c:spPr>
                <a:solidFill>
                  <a:schemeClr val="accent3">
                    <a:lumMod val="40000"/>
                    <a:lumOff val="60000"/>
                  </a:schemeClr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DF25-164D-9187-B598D25D9FFA}"/>
              </c:ext>
            </c:extLst>
          </c:dPt>
          <c:dLbls>
            <c:dLbl>
              <c:idx val="0"/>
              <c:layout>
                <c:manualLayout>
                  <c:x val="-5.2993753364295286E-3"/>
                  <c:y val="-2.314632545931758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Sun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396926338102803E-2"/>
                      <c:h val="3.700240594925634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5-DF25-164D-9187-B598D25D9FFA}"/>
                </c:ext>
              </c:extLst>
            </c:dLbl>
            <c:dLbl>
              <c:idx val="1"/>
              <c:layout>
                <c:manualLayout>
                  <c:x val="-4.7694336300172727E-3"/>
                  <c:y val="9.1134441613017873E-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Mercury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756226815050338E-2"/>
                      <c:h val="3.2372776319626706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7-DF25-164D-9187-B598D25D9FFA}"/>
                </c:ext>
              </c:extLst>
            </c:dLbl>
            <c:dLbl>
              <c:idx val="3"/>
              <c:layout>
                <c:manualLayout>
                  <c:x val="-4.2395336512983575E-3"/>
                  <c:y val="-2.314723680373286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Moon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75993640699521E-2"/>
                      <c:h val="3.468759113444152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8-DF25-164D-9187-B598D25D9FFA}"/>
                </c:ext>
              </c:extLst>
            </c:dLbl>
            <c:dLbl>
              <c:idx val="4"/>
              <c:layout>
                <c:manualLayout>
                  <c:x val="-7.4191838897721251E-3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Mars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376746825565729E-2"/>
                      <c:h val="4.6261665208515601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DF25-164D-9187-B598D25D9FFA}"/>
                </c:ext>
              </c:extLst>
            </c:dLbl>
            <c:dLbl>
              <c:idx val="5"/>
              <c:layout>
                <c:manualLayout>
                  <c:x val="-6.3593004769475743E-3"/>
                  <c:y val="3.4723133566637505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Jupiter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35877053524113E-2"/>
                      <c:h val="4.1632035578885965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6-DF25-164D-9187-B598D25D9FFA}"/>
                </c:ext>
              </c:extLst>
            </c:dLbl>
            <c:dLbl>
              <c:idx val="6"/>
              <c:layout>
                <c:manualLayout>
                  <c:x val="-2.1197668256491787E-3"/>
                  <c:y val="9.1134441528142313E-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Saturn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082629178506907E-2"/>
                      <c:h val="3.468759113444152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DF25-164D-9187-B598D25D9FFA}"/>
                </c:ext>
              </c:extLst>
            </c:dLbl>
            <c:dLbl>
              <c:idx val="7"/>
              <c:layout>
                <c:manualLayout>
                  <c:x val="-4.2395336512983575E-3"/>
                  <c:y val="5.787128171478565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Uranus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35877053524113E-2"/>
                      <c:h val="3.931722076407115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DF25-164D-9187-B598D25D9FFA}"/>
                </c:ext>
              </c:extLst>
            </c:dLbl>
            <c:dLbl>
              <c:idx val="8"/>
              <c:layout>
                <c:manualLayout>
                  <c:x val="-3.7095919448860626E-3"/>
                  <c:y val="1.157316272965879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Neptune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6322162829805259E-2"/>
                      <c:h val="4.8576480023330405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A-DF25-164D-9187-B598D25D9FFA}"/>
                </c:ext>
              </c:extLst>
            </c:dLbl>
            <c:dLbl>
              <c:idx val="9"/>
              <c:layout>
                <c:manualLayout>
                  <c:x val="-3.1796085107803494E-3"/>
                  <c:y val="9.1134441528142313E-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Pluto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396926338102803E-2"/>
                      <c:h val="3.7002405949256335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9-DF25-164D-9187-B598D25D9F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'Solar System (1)'!$F$31:$F$40</c:f>
              <c:numCache>
                <c:formatCode>#,##0.00</c:formatCode>
                <c:ptCount val="10"/>
                <c:pt idx="0">
                  <c:v>304.06881256484695</c:v>
                </c:pt>
                <c:pt idx="1">
                  <c:v>314.6858512643206</c:v>
                </c:pt>
                <c:pt idx="2">
                  <c:v>304.98643670281035</c:v>
                </c:pt>
                <c:pt idx="3">
                  <c:v>33.654497702404122</c:v>
                </c:pt>
                <c:pt idx="4">
                  <c:v>340.24585352947236</c:v>
                </c:pt>
                <c:pt idx="5">
                  <c:v>309.843320126744</c:v>
                </c:pt>
                <c:pt idx="6">
                  <c:v>22.421296763123411</c:v>
                </c:pt>
                <c:pt idx="7">
                  <c:v>315.13583688887439</c:v>
                </c:pt>
                <c:pt idx="8">
                  <c:v>7.2157362802366176</c:v>
                </c:pt>
                <c:pt idx="9">
                  <c:v>85.55340545549771</c:v>
                </c:pt>
              </c:numCache>
            </c:numRef>
          </c:xVal>
          <c:yVal>
            <c:numRef>
              <c:f>'Solar System (1)'!$G$31:$G$40</c:f>
              <c:numCache>
                <c:formatCode>#,##0.00</c:formatCode>
                <c:ptCount val="10"/>
                <c:pt idx="0">
                  <c:v>-0.98501493496462578</c:v>
                </c:pt>
                <c:pt idx="1">
                  <c:v>-14.186354943853418</c:v>
                </c:pt>
                <c:pt idx="2">
                  <c:v>-2.3097208548964772</c:v>
                </c:pt>
                <c:pt idx="3">
                  <c:v>-49.866834334925969</c:v>
                </c:pt>
                <c:pt idx="4">
                  <c:v>-33.860463513058399</c:v>
                </c:pt>
                <c:pt idx="5">
                  <c:v>-8.0488514204010837</c:v>
                </c:pt>
                <c:pt idx="6">
                  <c:v>-47.827750793701448</c:v>
                </c:pt>
                <c:pt idx="7">
                  <c:v>-12.719649349559406</c:v>
                </c:pt>
                <c:pt idx="8">
                  <c:v>-44.748244992605343</c:v>
                </c:pt>
                <c:pt idx="9">
                  <c:v>-36.495871968431622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25-164D-9187-B598D25D9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7970160"/>
        <c:axId val="931405648"/>
      </c:scatterChart>
      <c:valAx>
        <c:axId val="897970160"/>
        <c:scaling>
          <c:orientation val="minMax"/>
          <c:max val="3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931405648"/>
        <c:crosses val="autoZero"/>
        <c:crossBetween val="midCat"/>
        <c:majorUnit val="30"/>
      </c:valAx>
      <c:valAx>
        <c:axId val="931405648"/>
        <c:scaling>
          <c:orientation val="minMax"/>
          <c:max val="90"/>
          <c:min val="-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897970160"/>
        <c:crosses val="autoZero"/>
        <c:crossBetween val="midCat"/>
        <c:majorUnit val="15"/>
      </c:valAx>
      <c:spPr>
        <a:solidFill>
          <a:schemeClr val="accent6">
            <a:lumMod val="40000"/>
            <a:lumOff val="60000"/>
            <a:alpha val="5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Planet Positions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'Solar System (2)'!$G$31:$G$39</c:f>
              <c:strCache>
                <c:ptCount val="9"/>
                <c:pt idx="0">
                  <c:v>-0.95</c:v>
                </c:pt>
                <c:pt idx="1">
                  <c:v>-13.94</c:v>
                </c:pt>
                <c:pt idx="2">
                  <c:v>-2.06</c:v>
                </c:pt>
                <c:pt idx="3">
                  <c:v>-49.23</c:v>
                </c:pt>
                <c:pt idx="4">
                  <c:v>-33.67</c:v>
                </c:pt>
                <c:pt idx="5">
                  <c:v>-7.77</c:v>
                </c:pt>
                <c:pt idx="6">
                  <c:v>-47.79</c:v>
                </c:pt>
                <c:pt idx="7">
                  <c:v>-12.48</c:v>
                </c:pt>
                <c:pt idx="8">
                  <c:v>-44.64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8"/>
              <c:spPr>
                <a:solidFill>
                  <a:srgbClr val="FFFF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8D1-B547-818B-CBB693F5E2BF}"/>
              </c:ext>
            </c:extLst>
          </c:dPt>
          <c:dPt>
            <c:idx val="1"/>
            <c:marker>
              <c:symbol val="circle"/>
              <c:size val="8"/>
              <c:spPr>
                <a:solidFill>
                  <a:schemeClr val="bg1">
                    <a:lumMod val="50000"/>
                  </a:schemeClr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98D1-B547-818B-CBB693F5E2BF}"/>
              </c:ext>
            </c:extLst>
          </c:dPt>
          <c:dPt>
            <c:idx val="2"/>
            <c:marker>
              <c:symbol val="circle"/>
              <c:size val="8"/>
              <c:spPr>
                <a:solidFill>
                  <a:srgbClr val="FF0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98D1-B547-818B-CBB693F5E2BF}"/>
              </c:ext>
            </c:extLst>
          </c:dPt>
          <c:dPt>
            <c:idx val="3"/>
            <c:marker>
              <c:symbol val="circle"/>
              <c:size val="8"/>
              <c:spPr>
                <a:solidFill>
                  <a:schemeClr val="bg2">
                    <a:lumMod val="50000"/>
                  </a:schemeClr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98D1-B547-818B-CBB693F5E2BF}"/>
              </c:ext>
            </c:extLst>
          </c:dPt>
          <c:dPt>
            <c:idx val="4"/>
            <c:marker>
              <c:symbol val="circle"/>
              <c:size val="8"/>
              <c:spPr>
                <a:solidFill>
                  <a:schemeClr val="accent2">
                    <a:lumMod val="75000"/>
                  </a:schemeClr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98D1-B547-818B-CBB693F5E2BF}"/>
              </c:ext>
            </c:extLst>
          </c:dPt>
          <c:dPt>
            <c:idx val="5"/>
            <c:marker>
              <c:symbol val="circle"/>
              <c:size val="8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98D1-B547-818B-CBB693F5E2BF}"/>
              </c:ext>
            </c:extLst>
          </c:dPt>
          <c:dPt>
            <c:idx val="6"/>
            <c:marker>
              <c:symbol val="circle"/>
              <c:size val="8"/>
              <c:spPr>
                <a:solidFill>
                  <a:schemeClr val="accent4">
                    <a:lumMod val="40000"/>
                    <a:lumOff val="60000"/>
                  </a:schemeClr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98D1-B547-818B-CBB693F5E2BF}"/>
              </c:ext>
            </c:extLst>
          </c:dPt>
          <c:dPt>
            <c:idx val="7"/>
            <c:marker>
              <c:symbol val="circle"/>
              <c:size val="8"/>
              <c:spPr>
                <a:solidFill>
                  <a:srgbClr val="00B0F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98D1-B547-818B-CBB693F5E2BF}"/>
              </c:ext>
            </c:extLst>
          </c:dPt>
          <c:dPt>
            <c:idx val="8"/>
            <c:marker>
              <c:symbol val="circle"/>
              <c:size val="8"/>
              <c:spPr>
                <a:solidFill>
                  <a:srgbClr val="0070C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98D1-B547-818B-CBB693F5E2BF}"/>
              </c:ext>
            </c:extLst>
          </c:dPt>
          <c:dPt>
            <c:idx val="9"/>
            <c:marker>
              <c:symbol val="circle"/>
              <c:size val="8"/>
              <c:spPr>
                <a:solidFill>
                  <a:schemeClr val="accent3">
                    <a:lumMod val="40000"/>
                    <a:lumOff val="60000"/>
                  </a:schemeClr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98D1-B547-818B-CBB693F5E2BF}"/>
              </c:ext>
            </c:extLst>
          </c:dPt>
          <c:dLbls>
            <c:dLbl>
              <c:idx val="0"/>
              <c:layout>
                <c:manualLayout>
                  <c:x val="-5.2993753364295286E-3"/>
                  <c:y val="-2.314632545931758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Sun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396926338102803E-2"/>
                      <c:h val="3.700240594925634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98D1-B547-818B-CBB693F5E2BF}"/>
                </c:ext>
              </c:extLst>
            </c:dLbl>
            <c:dLbl>
              <c:idx val="1"/>
              <c:layout>
                <c:manualLayout>
                  <c:x val="-4.7694336300172727E-3"/>
                  <c:y val="9.1134441613017873E-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Mercury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756226815050338E-2"/>
                      <c:h val="3.2372776319626706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98D1-B547-818B-CBB693F5E2BF}"/>
                </c:ext>
              </c:extLst>
            </c:dLbl>
            <c:dLbl>
              <c:idx val="3"/>
              <c:layout>
                <c:manualLayout>
                  <c:x val="-4.2395336512983575E-3"/>
                  <c:y val="-2.314723680373286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Moon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75993640699521E-2"/>
                      <c:h val="3.468759113444152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98D1-B547-818B-CBB693F5E2BF}"/>
                </c:ext>
              </c:extLst>
            </c:dLbl>
            <c:dLbl>
              <c:idx val="4"/>
              <c:layout>
                <c:manualLayout>
                  <c:x val="-7.4191838897721251E-3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Mars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376746825565729E-2"/>
                      <c:h val="4.6261665208515601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98D1-B547-818B-CBB693F5E2BF}"/>
                </c:ext>
              </c:extLst>
            </c:dLbl>
            <c:dLbl>
              <c:idx val="5"/>
              <c:layout>
                <c:manualLayout>
                  <c:x val="-6.3593004769475743E-3"/>
                  <c:y val="3.4723133566637505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Jupiter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35877053524113E-2"/>
                      <c:h val="4.1632035578885965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5-98D1-B547-818B-CBB693F5E2BF}"/>
                </c:ext>
              </c:extLst>
            </c:dLbl>
            <c:dLbl>
              <c:idx val="6"/>
              <c:layout>
                <c:manualLayout>
                  <c:x val="-2.1197668256491787E-3"/>
                  <c:y val="9.1134441528142313E-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Saturn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082629178506907E-2"/>
                      <c:h val="3.468759113444152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6-98D1-B547-818B-CBB693F5E2BF}"/>
                </c:ext>
              </c:extLst>
            </c:dLbl>
            <c:dLbl>
              <c:idx val="7"/>
              <c:layout>
                <c:manualLayout>
                  <c:x val="-4.2395336512983575E-3"/>
                  <c:y val="5.787128171478565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Uranus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35877053524113E-2"/>
                      <c:h val="3.931722076407115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7-98D1-B547-818B-CBB693F5E2BF}"/>
                </c:ext>
              </c:extLst>
            </c:dLbl>
            <c:dLbl>
              <c:idx val="8"/>
              <c:layout>
                <c:manualLayout>
                  <c:x val="-3.7095919448860626E-3"/>
                  <c:y val="1.157316272965879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Neptune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6322162829805259E-2"/>
                      <c:h val="4.8576480023330405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8-98D1-B547-818B-CBB693F5E2BF}"/>
                </c:ext>
              </c:extLst>
            </c:dLbl>
            <c:dLbl>
              <c:idx val="9"/>
              <c:layout>
                <c:manualLayout>
                  <c:x val="-3.1796085107803494E-3"/>
                  <c:y val="9.1134441528142313E-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Pluto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396926338102803E-2"/>
                      <c:h val="3.7002405949256335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9-98D1-B547-818B-CBB693F5E2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'Solar System (2)'!$F$31:$F$40</c:f>
              <c:numCache>
                <c:formatCode>#,##0.00</c:formatCode>
                <c:ptCount val="10"/>
                <c:pt idx="0">
                  <c:v>304.03715019606034</c:v>
                </c:pt>
                <c:pt idx="1">
                  <c:v>314.43872022878884</c:v>
                </c:pt>
                <c:pt idx="2">
                  <c:v>304.75111173451774</c:v>
                </c:pt>
                <c:pt idx="3">
                  <c:v>32.702229356049941</c:v>
                </c:pt>
                <c:pt idx="4">
                  <c:v>339.92022013557255</c:v>
                </c:pt>
                <c:pt idx="5">
                  <c:v>309.57472181379256</c:v>
                </c:pt>
                <c:pt idx="6">
                  <c:v>21.998428774554778</c:v>
                </c:pt>
                <c:pt idx="7">
                  <c:v>314.89246233379805</c:v>
                </c:pt>
                <c:pt idx="8">
                  <c:v>6.754377348295856</c:v>
                </c:pt>
                <c:pt idx="9">
                  <c:v>85.198447187642458</c:v>
                </c:pt>
              </c:numCache>
            </c:numRef>
          </c:xVal>
          <c:yVal>
            <c:numRef>
              <c:f>'Solar System (2)'!$G$31:$G$40</c:f>
              <c:numCache>
                <c:formatCode>#,##0.00</c:formatCode>
                <c:ptCount val="10"/>
                <c:pt idx="0">
                  <c:v>-0.95127916870032503</c:v>
                </c:pt>
                <c:pt idx="1">
                  <c:v>-13.944009812083939</c:v>
                </c:pt>
                <c:pt idx="2">
                  <c:v>-2.0622791844262816</c:v>
                </c:pt>
                <c:pt idx="3">
                  <c:v>-49.234973442484844</c:v>
                </c:pt>
                <c:pt idx="4">
                  <c:v>-33.666704343748265</c:v>
                </c:pt>
                <c:pt idx="5">
                  <c:v>-7.7668011354277544</c:v>
                </c:pt>
                <c:pt idx="6">
                  <c:v>-47.789511234033874</c:v>
                </c:pt>
                <c:pt idx="7">
                  <c:v>-12.476258776356241</c:v>
                </c:pt>
                <c:pt idx="8">
                  <c:v>-44.636761707638399</c:v>
                </c:pt>
                <c:pt idx="9">
                  <c:v>-36.694202402946409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8D1-B547-818B-CBB693F5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7970160"/>
        <c:axId val="931405648"/>
      </c:scatterChart>
      <c:valAx>
        <c:axId val="897970160"/>
        <c:scaling>
          <c:orientation val="minMax"/>
          <c:max val="3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931405648"/>
        <c:crosses val="autoZero"/>
        <c:crossBetween val="midCat"/>
        <c:majorUnit val="30"/>
      </c:valAx>
      <c:valAx>
        <c:axId val="931405648"/>
        <c:scaling>
          <c:orientation val="minMax"/>
          <c:max val="90"/>
          <c:min val="-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897970160"/>
        <c:crosses val="autoZero"/>
        <c:crossBetween val="midCat"/>
        <c:majorUnit val="15"/>
      </c:valAx>
      <c:spPr>
        <a:solidFill>
          <a:schemeClr val="accent6">
            <a:lumMod val="40000"/>
            <a:lumOff val="60000"/>
            <a:alpha val="5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chart" Target="../charts/chart1.xml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gif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eg"/><Relationship Id="rId13" Type="http://schemas.openxmlformats.org/officeDocument/2006/relationships/image" Target="../media/image17.jpeg"/><Relationship Id="rId18" Type="http://schemas.openxmlformats.org/officeDocument/2006/relationships/chart" Target="../charts/chart2.xml"/><Relationship Id="rId3" Type="http://schemas.openxmlformats.org/officeDocument/2006/relationships/image" Target="../media/image16.jpeg"/><Relationship Id="rId7" Type="http://schemas.openxmlformats.org/officeDocument/2006/relationships/image" Target="../media/image4.jpeg"/><Relationship Id="rId12" Type="http://schemas.openxmlformats.org/officeDocument/2006/relationships/image" Target="../media/image9.jpeg"/><Relationship Id="rId17" Type="http://schemas.openxmlformats.org/officeDocument/2006/relationships/image" Target="../media/image13.jpg"/><Relationship Id="rId2" Type="http://schemas.openxmlformats.org/officeDocument/2006/relationships/image" Target="../media/image15.gif"/><Relationship Id="rId16" Type="http://schemas.openxmlformats.org/officeDocument/2006/relationships/image" Target="../media/image10.gif"/><Relationship Id="rId1" Type="http://schemas.openxmlformats.org/officeDocument/2006/relationships/image" Target="../media/image14.gif"/><Relationship Id="rId6" Type="http://schemas.openxmlformats.org/officeDocument/2006/relationships/image" Target="../media/image3.jpeg"/><Relationship Id="rId11" Type="http://schemas.openxmlformats.org/officeDocument/2006/relationships/image" Target="../media/image8.jpeg"/><Relationship Id="rId5" Type="http://schemas.openxmlformats.org/officeDocument/2006/relationships/image" Target="../media/image11.jpeg"/><Relationship Id="rId15" Type="http://schemas.openxmlformats.org/officeDocument/2006/relationships/image" Target="../media/image12.jpeg"/><Relationship Id="rId10" Type="http://schemas.openxmlformats.org/officeDocument/2006/relationships/image" Target="../media/image7.jpeg"/><Relationship Id="rId4" Type="http://schemas.openxmlformats.org/officeDocument/2006/relationships/image" Target="../media/image2.jpeg"/><Relationship Id="rId9" Type="http://schemas.openxmlformats.org/officeDocument/2006/relationships/image" Target="../media/image6.jpeg"/><Relationship Id="rId14" Type="http://schemas.openxmlformats.org/officeDocument/2006/relationships/image" Target="../media/image18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jpg"/><Relationship Id="rId2" Type="http://schemas.openxmlformats.org/officeDocument/2006/relationships/image" Target="../media/image20.jpg"/><Relationship Id="rId1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774700</xdr:colOff>
      <xdr:row>18</xdr:row>
      <xdr:rowOff>127000</xdr:rowOff>
    </xdr:from>
    <xdr:ext cx="8600086" cy="3365500"/>
    <xdr:pic>
      <xdr:nvPicPr>
        <xdr:cNvPr id="2" name="Picture 1">
          <a:extLst>
            <a:ext uri="{FF2B5EF4-FFF2-40B4-BE49-F238E27FC236}">
              <a16:creationId xmlns:a16="http://schemas.microsoft.com/office/drawing/2014/main" id="{1E192C21-527B-6F47-8093-877540FB2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3365500"/>
          <a:ext cx="8600086" cy="3365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49</xdr:row>
      <xdr:rowOff>50800</xdr:rowOff>
    </xdr:from>
    <xdr:to>
      <xdr:col>12</xdr:col>
      <xdr:colOff>965200</xdr:colOff>
      <xdr:row>76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6AD77A-8265-0B23-E4EE-AD7932D95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19050</xdr:colOff>
      <xdr:row>3</xdr:row>
      <xdr:rowOff>114300</xdr:rowOff>
    </xdr:from>
    <xdr:ext cx="622426" cy="577103"/>
    <xdr:pic macro="[0]!InfoMoon">
      <xdr:nvPicPr>
        <xdr:cNvPr id="3" name="Picture 15" descr="http://upload.wikimedia.org/wikipedia/commons/thumb/d/dd/Full_Moon_Luc_Viatour.jpg/100px-Full_Moon_Luc_Viatour.jpg" hidden="1">
          <a:extLst>
            <a:ext uri="{FF2B5EF4-FFF2-40B4-BE49-F238E27FC236}">
              <a16:creationId xmlns:a16="http://schemas.microsoft.com/office/drawing/2014/main" id="{717FDC3C-8BAC-B644-AA98-2C9262905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62650" y="3568700"/>
          <a:ext cx="622426" cy="577103"/>
        </a:xfrm>
        <a:prstGeom prst="rect">
          <a:avLst/>
        </a:prstGeom>
        <a:noFill/>
      </xdr:spPr>
    </xdr:pic>
    <xdr:clientData/>
  </xdr:oneCellAnchor>
  <xdr:oneCellAnchor>
    <xdr:from>
      <xdr:col>6</xdr:col>
      <xdr:colOff>19050</xdr:colOff>
      <xdr:row>3</xdr:row>
      <xdr:rowOff>114300</xdr:rowOff>
    </xdr:from>
    <xdr:ext cx="717550" cy="577103"/>
    <xdr:pic macro="[0]!InfoVenus">
      <xdr:nvPicPr>
        <xdr:cNvPr id="4" name="Picture 17" descr="http://upload.wikimedia.org/wikipedia/commons/thumb/5/51/Venus-real.jpg/100px-Venus-real.jpg" hidden="1">
          <a:extLst>
            <a:ext uri="{FF2B5EF4-FFF2-40B4-BE49-F238E27FC236}">
              <a16:creationId xmlns:a16="http://schemas.microsoft.com/office/drawing/2014/main" id="{2903BCB8-35A1-AC4A-8DF7-C6DB7CB88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56150" y="3568700"/>
          <a:ext cx="717550" cy="577103"/>
        </a:xfrm>
        <a:prstGeom prst="rect">
          <a:avLst/>
        </a:prstGeom>
        <a:noFill/>
      </xdr:spPr>
    </xdr:pic>
    <xdr:clientData/>
  </xdr:oneCellAnchor>
  <xdr:oneCellAnchor>
    <xdr:from>
      <xdr:col>7</xdr:col>
      <xdr:colOff>19050</xdr:colOff>
      <xdr:row>3</xdr:row>
      <xdr:rowOff>180974</xdr:rowOff>
    </xdr:from>
    <xdr:ext cx="624417" cy="510428"/>
    <xdr:pic macro="[0]!InfoMars">
      <xdr:nvPicPr>
        <xdr:cNvPr id="5" name="Picture 18" descr="http://upload.wikimedia.org/wikipedia/commons/thumb/7/76/Mars_Hubble.jpg/100px-Mars_Hubble.jpg" hidden="1">
          <a:extLst>
            <a:ext uri="{FF2B5EF4-FFF2-40B4-BE49-F238E27FC236}">
              <a16:creationId xmlns:a16="http://schemas.microsoft.com/office/drawing/2014/main" id="{1E09692F-4D95-634F-B924-657B112A0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169150" y="3635374"/>
          <a:ext cx="624417" cy="510428"/>
        </a:xfrm>
        <a:prstGeom prst="rect">
          <a:avLst/>
        </a:prstGeom>
        <a:noFill/>
      </xdr:spPr>
    </xdr:pic>
    <xdr:clientData/>
  </xdr:oneCellAnchor>
  <xdr:oneCellAnchor>
    <xdr:from>
      <xdr:col>8</xdr:col>
      <xdr:colOff>19050</xdr:colOff>
      <xdr:row>3</xdr:row>
      <xdr:rowOff>104774</xdr:rowOff>
    </xdr:from>
    <xdr:ext cx="727075" cy="586628"/>
    <xdr:pic macro="[0]!InfoJupiter">
      <xdr:nvPicPr>
        <xdr:cNvPr id="6" name="Picture 19" descr="http://upload.wikimedia.org/wikipedia/commons/thumb/e/e2/Jupiter.jpg/100px-Jupiter.jpg" hidden="1">
          <a:extLst>
            <a:ext uri="{FF2B5EF4-FFF2-40B4-BE49-F238E27FC236}">
              <a16:creationId xmlns:a16="http://schemas.microsoft.com/office/drawing/2014/main" id="{D377AA21-D95C-E44F-8229-74862F4B3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375650" y="3559174"/>
          <a:ext cx="727075" cy="586628"/>
        </a:xfrm>
        <a:prstGeom prst="rect">
          <a:avLst/>
        </a:prstGeom>
        <a:noFill/>
      </xdr:spPr>
    </xdr:pic>
    <xdr:clientData/>
  </xdr:oneCellAnchor>
  <xdr:oneCellAnchor>
    <xdr:from>
      <xdr:col>10</xdr:col>
      <xdr:colOff>19050</xdr:colOff>
      <xdr:row>3</xdr:row>
      <xdr:rowOff>95250</xdr:rowOff>
    </xdr:from>
    <xdr:ext cx="730187" cy="596153"/>
    <xdr:pic macro="[0]!InfoUranus">
      <xdr:nvPicPr>
        <xdr:cNvPr id="7" name="Picture 21" descr="http://upload.wikimedia.org/wikipedia/commons/thumb/3/3d/Uranus2.jpg/100px-Uranus2.jpg" hidden="1">
          <a:extLst>
            <a:ext uri="{FF2B5EF4-FFF2-40B4-BE49-F238E27FC236}">
              <a16:creationId xmlns:a16="http://schemas.microsoft.com/office/drawing/2014/main" id="{AB5BBE80-C9D9-EF4F-9375-2306B8B79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788650" y="3549650"/>
          <a:ext cx="730187" cy="596153"/>
        </a:xfrm>
        <a:prstGeom prst="rect">
          <a:avLst/>
        </a:prstGeom>
        <a:noFill/>
      </xdr:spPr>
    </xdr:pic>
    <xdr:clientData/>
  </xdr:oneCellAnchor>
  <xdr:oneCellAnchor>
    <xdr:from>
      <xdr:col>11</xdr:col>
      <xdr:colOff>28575</xdr:colOff>
      <xdr:row>3</xdr:row>
      <xdr:rowOff>133350</xdr:rowOff>
    </xdr:from>
    <xdr:ext cx="710940" cy="558052"/>
    <xdr:pic macro="[0]!InfoNeptune">
      <xdr:nvPicPr>
        <xdr:cNvPr id="8" name="Picture 22" descr="http://upload.wikimedia.org/wikipedia/commons/thumb/0/06/Neptune.jpg/100px-Neptune.jpg" hidden="1">
          <a:extLst>
            <a:ext uri="{FF2B5EF4-FFF2-40B4-BE49-F238E27FC236}">
              <a16:creationId xmlns:a16="http://schemas.microsoft.com/office/drawing/2014/main" id="{CF4C3E71-F020-3B4C-B049-647F2F8DB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004675" y="3587750"/>
          <a:ext cx="710940" cy="558052"/>
        </a:xfrm>
        <a:prstGeom prst="rect">
          <a:avLst/>
        </a:prstGeom>
        <a:noFill/>
      </xdr:spPr>
    </xdr:pic>
    <xdr:clientData/>
  </xdr:oneCellAnchor>
  <xdr:oneCellAnchor>
    <xdr:from>
      <xdr:col>12</xdr:col>
      <xdr:colOff>9524</xdr:colOff>
      <xdr:row>3</xdr:row>
      <xdr:rowOff>104775</xdr:rowOff>
    </xdr:from>
    <xdr:ext cx="638175" cy="586628"/>
    <xdr:pic macro="[0]!InfoPluto">
      <xdr:nvPicPr>
        <xdr:cNvPr id="9" name="Picture 23" descr="http://upload.wikimedia.org/wikipedia/en/thumb/9/90/Pluto2.jpg/100px-Pluto2.jpg" hidden="1">
          <a:extLst>
            <a:ext uri="{FF2B5EF4-FFF2-40B4-BE49-F238E27FC236}">
              <a16:creationId xmlns:a16="http://schemas.microsoft.com/office/drawing/2014/main" id="{0277024C-C753-DA4D-9FE1-4D8D88DE0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3192124" y="3559175"/>
          <a:ext cx="638175" cy="586628"/>
        </a:xfrm>
        <a:prstGeom prst="rect">
          <a:avLst/>
        </a:prstGeom>
        <a:noFill/>
      </xdr:spPr>
    </xdr:pic>
    <xdr:clientData/>
  </xdr:oneCellAnchor>
  <xdr:oneCellAnchor>
    <xdr:from>
      <xdr:col>9</xdr:col>
      <xdr:colOff>9525</xdr:colOff>
      <xdr:row>4</xdr:row>
      <xdr:rowOff>19049</xdr:rowOff>
    </xdr:from>
    <xdr:ext cx="739492" cy="451410"/>
    <xdr:pic macro="[0]!InfoSaturn">
      <xdr:nvPicPr>
        <xdr:cNvPr id="10" name="Picture 24" descr="http://www.planetengrund.net/desktophintergrund/small/planeten/saturn03_1024.jpg" hidden="1">
          <a:extLst>
            <a:ext uri="{FF2B5EF4-FFF2-40B4-BE49-F238E27FC236}">
              <a16:creationId xmlns:a16="http://schemas.microsoft.com/office/drawing/2014/main" id="{F24F8787-D371-8541-8143-2AB96A1B4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72625" y="3676649"/>
          <a:ext cx="739492" cy="451410"/>
        </a:xfrm>
        <a:prstGeom prst="rect">
          <a:avLst/>
        </a:prstGeom>
        <a:noFill/>
      </xdr:spPr>
    </xdr:pic>
    <xdr:clientData/>
  </xdr:oneCellAnchor>
  <xdr:oneCellAnchor>
    <xdr:from>
      <xdr:col>5</xdr:col>
      <xdr:colOff>485775</xdr:colOff>
      <xdr:row>3</xdr:row>
      <xdr:rowOff>0</xdr:rowOff>
    </xdr:from>
    <xdr:ext cx="1134035" cy="881903"/>
    <xdr:pic>
      <xdr:nvPicPr>
        <xdr:cNvPr id="11" name="MoonNewMoon" descr="MoonNew.gif" hidden="1">
          <a:extLst>
            <a:ext uri="{FF2B5EF4-FFF2-40B4-BE49-F238E27FC236}">
              <a16:creationId xmlns:a16="http://schemas.microsoft.com/office/drawing/2014/main" id="{9095A412-BB3A-2646-83EE-693D4AD6A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016375" y="3454400"/>
          <a:ext cx="1134035" cy="881903"/>
        </a:xfrm>
        <a:prstGeom prst="rect">
          <a:avLst/>
        </a:prstGeom>
      </xdr:spPr>
    </xdr:pic>
    <xdr:clientData/>
  </xdr:oneCellAnchor>
  <xdr:oneCellAnchor>
    <xdr:from>
      <xdr:col>6</xdr:col>
      <xdr:colOff>457200</xdr:colOff>
      <xdr:row>3</xdr:row>
      <xdr:rowOff>0</xdr:rowOff>
    </xdr:from>
    <xdr:ext cx="1451535" cy="1145988"/>
    <xdr:pic>
      <xdr:nvPicPr>
        <xdr:cNvPr id="12" name="Picture 11" descr="Jupiter.jpg" hidden="1">
          <a:extLst>
            <a:ext uri="{FF2B5EF4-FFF2-40B4-BE49-F238E27FC236}">
              <a16:creationId xmlns:a16="http://schemas.microsoft.com/office/drawing/2014/main" id="{DDAD2F35-28CC-FE47-B23C-461D3A4DD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94300" y="3454400"/>
          <a:ext cx="1451535" cy="1145988"/>
        </a:xfrm>
        <a:prstGeom prst="rect">
          <a:avLst/>
        </a:prstGeom>
      </xdr:spPr>
    </xdr:pic>
    <xdr:clientData/>
  </xdr:oneCellAnchor>
  <xdr:twoCellAnchor>
    <xdr:from>
      <xdr:col>6</xdr:col>
      <xdr:colOff>314325</xdr:colOff>
      <xdr:row>3</xdr:row>
      <xdr:rowOff>0</xdr:rowOff>
    </xdr:from>
    <xdr:to>
      <xdr:col>8</xdr:col>
      <xdr:colOff>288925</xdr:colOff>
      <xdr:row>6</xdr:row>
      <xdr:rowOff>117475</xdr:rowOff>
    </xdr:to>
    <xdr:pic>
      <xdr:nvPicPr>
        <xdr:cNvPr id="13" name="Picture 12" descr="Jupiter.jpg" hidden="1">
          <a:extLst>
            <a:ext uri="{FF2B5EF4-FFF2-40B4-BE49-F238E27FC236}">
              <a16:creationId xmlns:a16="http://schemas.microsoft.com/office/drawing/2014/main" id="{B2F5BD02-C366-3B49-B38D-6AED44578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051425" y="3454400"/>
          <a:ext cx="2387600" cy="727075"/>
        </a:xfrm>
        <a:prstGeom prst="rect">
          <a:avLst/>
        </a:prstGeom>
      </xdr:spPr>
    </xdr:pic>
    <xdr:clientData/>
  </xdr:twoCellAnchor>
  <xdr:oneCellAnchor>
    <xdr:from>
      <xdr:col>5</xdr:col>
      <xdr:colOff>19049</xdr:colOff>
      <xdr:row>3</xdr:row>
      <xdr:rowOff>133350</xdr:rowOff>
    </xdr:from>
    <xdr:ext cx="615759" cy="558054"/>
    <xdr:pic macro="[0]!InfoMercury">
      <xdr:nvPicPr>
        <xdr:cNvPr id="22" name="Picture 16" descr="http://upload.wikimedia.org/wikipedia/commons/thumb/3/30/Mercury_in_color_-_Prockter07_centered.jpg/100px-Mercury_in_color_-_Prockter07_centered.jpg" hidden="1">
          <a:extLst>
            <a:ext uri="{FF2B5EF4-FFF2-40B4-BE49-F238E27FC236}">
              <a16:creationId xmlns:a16="http://schemas.microsoft.com/office/drawing/2014/main" id="{90BED5D3-B756-2A41-8354-3DC06B6B4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549649" y="3587750"/>
          <a:ext cx="615759" cy="558054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3</xdr:row>
      <xdr:rowOff>0</xdr:rowOff>
    </xdr:from>
    <xdr:ext cx="1368985" cy="915521"/>
    <xdr:pic>
      <xdr:nvPicPr>
        <xdr:cNvPr id="23" name="Picture 22" descr="Saturn.jpg" hidden="1">
          <a:extLst>
            <a:ext uri="{FF2B5EF4-FFF2-40B4-BE49-F238E27FC236}">
              <a16:creationId xmlns:a16="http://schemas.microsoft.com/office/drawing/2014/main" id="{547AD584-89F6-5346-85B7-CAC3E7AB9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324100" y="3454400"/>
          <a:ext cx="1368985" cy="915521"/>
        </a:xfrm>
        <a:prstGeom prst="rect">
          <a:avLst/>
        </a:prstGeom>
      </xdr:spPr>
    </xdr:pic>
    <xdr:clientData/>
  </xdr:oneCellAnchor>
  <xdr:oneCellAnchor>
    <xdr:from>
      <xdr:col>5</xdr:col>
      <xdr:colOff>485775</xdr:colOff>
      <xdr:row>3</xdr:row>
      <xdr:rowOff>0</xdr:rowOff>
    </xdr:from>
    <xdr:ext cx="1134035" cy="881903"/>
    <xdr:pic>
      <xdr:nvPicPr>
        <xdr:cNvPr id="24" name="MoonNewMoon" descr="MoonNew.gif" hidden="1">
          <a:extLst>
            <a:ext uri="{FF2B5EF4-FFF2-40B4-BE49-F238E27FC236}">
              <a16:creationId xmlns:a16="http://schemas.microsoft.com/office/drawing/2014/main" id="{5EAB348D-3C10-994B-B0D1-6E51B52FC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016375" y="3454400"/>
          <a:ext cx="1134035" cy="881903"/>
        </a:xfrm>
        <a:prstGeom prst="rect">
          <a:avLst/>
        </a:prstGeom>
      </xdr:spPr>
    </xdr:pic>
    <xdr:clientData/>
  </xdr:oneCellAnchor>
  <xdr:twoCellAnchor editAs="oneCell">
    <xdr:from>
      <xdr:col>1</xdr:col>
      <xdr:colOff>12700</xdr:colOff>
      <xdr:row>43</xdr:row>
      <xdr:rowOff>12944</xdr:rowOff>
    </xdr:from>
    <xdr:to>
      <xdr:col>12</xdr:col>
      <xdr:colOff>965200</xdr:colOff>
      <xdr:row>49</xdr:row>
      <xdr:rowOff>56932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47D32FA1-29B2-C2CD-BB6F-D2708D44E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38200" y="8826744"/>
          <a:ext cx="11988800" cy="12631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85725</xdr:colOff>
      <xdr:row>215</xdr:row>
      <xdr:rowOff>0</xdr:rowOff>
    </xdr:from>
    <xdr:ext cx="476250" cy="489137"/>
    <xdr:pic>
      <xdr:nvPicPr>
        <xdr:cNvPr id="3" name="Moon_NM" descr="O" hidden="1">
          <a:extLst>
            <a:ext uri="{FF2B5EF4-FFF2-40B4-BE49-F238E27FC236}">
              <a16:creationId xmlns:a16="http://schemas.microsoft.com/office/drawing/2014/main" id="{A736A3DE-16CC-954F-96CE-E59ECA592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78125" y="59626500"/>
          <a:ext cx="476250" cy="489137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41</xdr:row>
      <xdr:rowOff>0</xdr:rowOff>
    </xdr:from>
    <xdr:ext cx="2448411" cy="2173740"/>
    <xdr:pic>
      <xdr:nvPicPr>
        <xdr:cNvPr id="4" name="Picture 11" descr="http://lepmfi.gsfc.nasa.gov/mfi/lepedu/siteimg/all_planets.gif" hidden="1">
          <a:extLst>
            <a:ext uri="{FF2B5EF4-FFF2-40B4-BE49-F238E27FC236}">
              <a16:creationId xmlns:a16="http://schemas.microsoft.com/office/drawing/2014/main" id="{6261DBD9-ACD1-A84E-95AC-CCABD88F9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77200" y="3048000"/>
          <a:ext cx="2448411" cy="2173740"/>
        </a:xfrm>
        <a:prstGeom prst="rect">
          <a:avLst/>
        </a:prstGeom>
        <a:noFill/>
      </xdr:spPr>
    </xdr:pic>
    <xdr:clientData/>
  </xdr:oneCellAnchor>
  <xdr:oneCellAnchor>
    <xdr:from>
      <xdr:col>2</xdr:col>
      <xdr:colOff>9525</xdr:colOff>
      <xdr:row>41</xdr:row>
      <xdr:rowOff>0</xdr:rowOff>
    </xdr:from>
    <xdr:ext cx="635000" cy="446367"/>
    <xdr:pic macro="[0]!InfoSun">
      <xdr:nvPicPr>
        <xdr:cNvPr id="5" name="Picture 14" descr="http://upload.wikimedia.org/wikipedia/commons/thumb/a/aa/Sun920607.jpg/100px-Sun920607.jpg" hidden="1">
          <a:extLst>
            <a:ext uri="{FF2B5EF4-FFF2-40B4-BE49-F238E27FC236}">
              <a16:creationId xmlns:a16="http://schemas.microsoft.com/office/drawing/2014/main" id="{27ADAFC4-F4CA-F645-98AC-B07F8F091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55725" y="3238500"/>
          <a:ext cx="635000" cy="446367"/>
        </a:xfrm>
        <a:prstGeom prst="rect">
          <a:avLst/>
        </a:prstGeom>
        <a:noFill/>
      </xdr:spPr>
    </xdr:pic>
    <xdr:clientData/>
  </xdr:oneCellAnchor>
  <xdr:oneCellAnchor>
    <xdr:from>
      <xdr:col>5</xdr:col>
      <xdr:colOff>19050</xdr:colOff>
      <xdr:row>41</xdr:row>
      <xdr:rowOff>0</xdr:rowOff>
    </xdr:from>
    <xdr:ext cx="622426" cy="577103"/>
    <xdr:pic macro="[0]!InfoMoon">
      <xdr:nvPicPr>
        <xdr:cNvPr id="6" name="Picture 15" descr="http://upload.wikimedia.org/wikipedia/commons/thumb/d/dd/Full_Moon_Luc_Viatour.jpg/100px-Full_Moon_Luc_Viatour.jpg" hidden="1">
          <a:extLst>
            <a:ext uri="{FF2B5EF4-FFF2-40B4-BE49-F238E27FC236}">
              <a16:creationId xmlns:a16="http://schemas.microsoft.com/office/drawing/2014/main" id="{052786A6-1756-4047-9AE7-49A3E6B48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384550" y="3162300"/>
          <a:ext cx="622426" cy="577103"/>
        </a:xfrm>
        <a:prstGeom prst="rect">
          <a:avLst/>
        </a:prstGeom>
        <a:noFill/>
      </xdr:spPr>
    </xdr:pic>
    <xdr:clientData/>
  </xdr:oneCellAnchor>
  <xdr:oneCellAnchor>
    <xdr:from>
      <xdr:col>3</xdr:col>
      <xdr:colOff>19049</xdr:colOff>
      <xdr:row>41</xdr:row>
      <xdr:rowOff>0</xdr:rowOff>
    </xdr:from>
    <xdr:ext cx="615759" cy="558054"/>
    <xdr:pic macro="[0]!InfoMercury">
      <xdr:nvPicPr>
        <xdr:cNvPr id="7" name="Picture 16" descr="http://upload.wikimedia.org/wikipedia/commons/thumb/3/30/Mercury_in_color_-_Prockter07_centered.jpg/100px-Mercury_in_color_-_Prockter07_centered.jpg" hidden="1">
          <a:extLst>
            <a:ext uri="{FF2B5EF4-FFF2-40B4-BE49-F238E27FC236}">
              <a16:creationId xmlns:a16="http://schemas.microsoft.com/office/drawing/2014/main" id="{D0EF82CF-B05E-814D-8BDE-2FD19B78F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038349" y="3181350"/>
          <a:ext cx="615759" cy="558054"/>
        </a:xfrm>
        <a:prstGeom prst="rect">
          <a:avLst/>
        </a:prstGeom>
        <a:noFill/>
      </xdr:spPr>
    </xdr:pic>
    <xdr:clientData/>
  </xdr:oneCellAnchor>
  <xdr:oneCellAnchor>
    <xdr:from>
      <xdr:col>4</xdr:col>
      <xdr:colOff>19050</xdr:colOff>
      <xdr:row>41</xdr:row>
      <xdr:rowOff>0</xdr:rowOff>
    </xdr:from>
    <xdr:ext cx="717550" cy="577103"/>
    <xdr:pic macro="[0]!InfoVenus">
      <xdr:nvPicPr>
        <xdr:cNvPr id="8" name="Picture 17" descr="http://upload.wikimedia.org/wikipedia/commons/thumb/5/51/Venus-real.jpg/100px-Venus-real.jpg" hidden="1">
          <a:extLst>
            <a:ext uri="{FF2B5EF4-FFF2-40B4-BE49-F238E27FC236}">
              <a16:creationId xmlns:a16="http://schemas.microsoft.com/office/drawing/2014/main" id="{EB4473AB-25EA-3341-AEEF-0217DE52B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711450" y="3162300"/>
          <a:ext cx="717550" cy="577103"/>
        </a:xfrm>
        <a:prstGeom prst="rect">
          <a:avLst/>
        </a:prstGeom>
        <a:noFill/>
      </xdr:spPr>
    </xdr:pic>
    <xdr:clientData/>
  </xdr:oneCellAnchor>
  <xdr:oneCellAnchor>
    <xdr:from>
      <xdr:col>6</xdr:col>
      <xdr:colOff>19050</xdr:colOff>
      <xdr:row>41</xdr:row>
      <xdr:rowOff>0</xdr:rowOff>
    </xdr:from>
    <xdr:ext cx="624417" cy="510428"/>
    <xdr:pic macro="[0]!InfoMars">
      <xdr:nvPicPr>
        <xdr:cNvPr id="9" name="Picture 18" descr="http://upload.wikimedia.org/wikipedia/commons/thumb/7/76/Mars_Hubble.jpg/100px-Mars_Hubble.jpg" hidden="1">
          <a:extLst>
            <a:ext uri="{FF2B5EF4-FFF2-40B4-BE49-F238E27FC236}">
              <a16:creationId xmlns:a16="http://schemas.microsoft.com/office/drawing/2014/main" id="{56BC7D5A-E52B-EC4A-9B42-3773389F3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057650" y="3228974"/>
          <a:ext cx="624417" cy="510428"/>
        </a:xfrm>
        <a:prstGeom prst="rect">
          <a:avLst/>
        </a:prstGeom>
        <a:noFill/>
      </xdr:spPr>
    </xdr:pic>
    <xdr:clientData/>
  </xdr:oneCellAnchor>
  <xdr:oneCellAnchor>
    <xdr:from>
      <xdr:col>7</xdr:col>
      <xdr:colOff>19050</xdr:colOff>
      <xdr:row>41</xdr:row>
      <xdr:rowOff>0</xdr:rowOff>
    </xdr:from>
    <xdr:ext cx="727075" cy="586628"/>
    <xdr:pic macro="[0]!InfoJupiter">
      <xdr:nvPicPr>
        <xdr:cNvPr id="10" name="Picture 19" descr="http://upload.wikimedia.org/wikipedia/commons/thumb/e/e2/Jupiter.jpg/100px-Jupiter.jpg" hidden="1">
          <a:extLst>
            <a:ext uri="{FF2B5EF4-FFF2-40B4-BE49-F238E27FC236}">
              <a16:creationId xmlns:a16="http://schemas.microsoft.com/office/drawing/2014/main" id="{F6568823-84F4-A145-B697-5991EA81B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730750" y="3152774"/>
          <a:ext cx="727075" cy="586628"/>
        </a:xfrm>
        <a:prstGeom prst="rect">
          <a:avLst/>
        </a:prstGeom>
        <a:noFill/>
      </xdr:spPr>
    </xdr:pic>
    <xdr:clientData/>
  </xdr:oneCellAnchor>
  <xdr:oneCellAnchor>
    <xdr:from>
      <xdr:col>9</xdr:col>
      <xdr:colOff>19050</xdr:colOff>
      <xdr:row>41</xdr:row>
      <xdr:rowOff>0</xdr:rowOff>
    </xdr:from>
    <xdr:ext cx="730187" cy="596153"/>
    <xdr:pic macro="[0]!InfoUranus">
      <xdr:nvPicPr>
        <xdr:cNvPr id="11" name="Picture 21" descr="http://upload.wikimedia.org/wikipedia/commons/thumb/3/3d/Uranus2.jpg/100px-Uranus2.jpg" hidden="1">
          <a:extLst>
            <a:ext uri="{FF2B5EF4-FFF2-40B4-BE49-F238E27FC236}">
              <a16:creationId xmlns:a16="http://schemas.microsoft.com/office/drawing/2014/main" id="{AA9ECD2D-BAA8-2A46-98CC-7C70283D8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076950" y="3143250"/>
          <a:ext cx="730187" cy="596153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28575</xdr:colOff>
      <xdr:row>41</xdr:row>
      <xdr:rowOff>0</xdr:rowOff>
    </xdr:from>
    <xdr:ext cx="710940" cy="558052"/>
    <xdr:pic macro="[0]!InfoNeptune">
      <xdr:nvPicPr>
        <xdr:cNvPr id="12" name="Picture 22" descr="http://upload.wikimedia.org/wikipedia/commons/thumb/0/06/Neptune.jpg/100px-Neptune.jpg" hidden="1">
          <a:extLst>
            <a:ext uri="{FF2B5EF4-FFF2-40B4-BE49-F238E27FC236}">
              <a16:creationId xmlns:a16="http://schemas.microsoft.com/office/drawing/2014/main" id="{B9F42A87-E8FF-4E40-865A-BEA5F11CC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759575" y="3181350"/>
          <a:ext cx="710940" cy="558052"/>
        </a:xfrm>
        <a:prstGeom prst="rect">
          <a:avLst/>
        </a:prstGeom>
        <a:noFill/>
      </xdr:spPr>
    </xdr:pic>
    <xdr:clientData/>
  </xdr:oneCellAnchor>
  <xdr:oneCellAnchor>
    <xdr:from>
      <xdr:col>11</xdr:col>
      <xdr:colOff>9524</xdr:colOff>
      <xdr:row>41</xdr:row>
      <xdr:rowOff>0</xdr:rowOff>
    </xdr:from>
    <xdr:ext cx="638175" cy="586628"/>
    <xdr:pic macro="[0]!InfoPluto">
      <xdr:nvPicPr>
        <xdr:cNvPr id="13" name="Picture 23" descr="http://upload.wikimedia.org/wikipedia/en/thumb/9/90/Pluto2.jpg/100px-Pluto2.jpg" hidden="1">
          <a:extLst>
            <a:ext uri="{FF2B5EF4-FFF2-40B4-BE49-F238E27FC236}">
              <a16:creationId xmlns:a16="http://schemas.microsoft.com/office/drawing/2014/main" id="{4BA8A18D-629E-0348-8BB5-151F3A875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413624" y="3152775"/>
          <a:ext cx="638175" cy="586628"/>
        </a:xfrm>
        <a:prstGeom prst="rect">
          <a:avLst/>
        </a:prstGeom>
        <a:noFill/>
      </xdr:spPr>
    </xdr:pic>
    <xdr:clientData/>
  </xdr:oneCellAnchor>
  <xdr:oneCellAnchor>
    <xdr:from>
      <xdr:col>8</xdr:col>
      <xdr:colOff>9525</xdr:colOff>
      <xdr:row>41</xdr:row>
      <xdr:rowOff>0</xdr:rowOff>
    </xdr:from>
    <xdr:ext cx="739492" cy="451410"/>
    <xdr:pic macro="[0]!InfoSaturn">
      <xdr:nvPicPr>
        <xdr:cNvPr id="14" name="Picture 24" descr="http://www.planetengrund.net/desktophintergrund/small/planeten/saturn03_1024.jpg" hidden="1">
          <a:extLst>
            <a:ext uri="{FF2B5EF4-FFF2-40B4-BE49-F238E27FC236}">
              <a16:creationId xmlns:a16="http://schemas.microsoft.com/office/drawing/2014/main" id="{83576662-797A-6C40-856C-239C5F771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394325" y="3257549"/>
          <a:ext cx="739492" cy="451410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41</xdr:row>
      <xdr:rowOff>0</xdr:rowOff>
    </xdr:from>
    <xdr:ext cx="2309345" cy="2187598"/>
    <xdr:pic>
      <xdr:nvPicPr>
        <xdr:cNvPr id="15" name="Picture 14" descr="SolarSystem.jpg" hidden="1">
          <a:extLst>
            <a:ext uri="{FF2B5EF4-FFF2-40B4-BE49-F238E27FC236}">
              <a16:creationId xmlns:a16="http://schemas.microsoft.com/office/drawing/2014/main" id="{9DA5AB0A-5B8B-CE42-A8DE-5C6EC5A8B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77200" y="3048000"/>
          <a:ext cx="2309345" cy="2187598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</xdr:row>
      <xdr:rowOff>0</xdr:rowOff>
    </xdr:from>
    <xdr:ext cx="3141196" cy="1865593"/>
    <xdr:pic>
      <xdr:nvPicPr>
        <xdr:cNvPr id="16" name="Picture 15" descr="SolarSystem2.jpg" hidden="1">
          <a:extLst>
            <a:ext uri="{FF2B5EF4-FFF2-40B4-BE49-F238E27FC236}">
              <a16:creationId xmlns:a16="http://schemas.microsoft.com/office/drawing/2014/main" id="{539C99DB-A6DC-3C44-A0FE-F884CB88B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73100" y="3048000"/>
          <a:ext cx="3141196" cy="1865593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41</xdr:row>
      <xdr:rowOff>0</xdr:rowOff>
    </xdr:from>
    <xdr:ext cx="2213534" cy="2186747"/>
    <xdr:pic>
      <xdr:nvPicPr>
        <xdr:cNvPr id="17" name="Picture 16" descr="SolarSystem.jpg" hidden="1">
          <a:extLst>
            <a:ext uri="{FF2B5EF4-FFF2-40B4-BE49-F238E27FC236}">
              <a16:creationId xmlns:a16="http://schemas.microsoft.com/office/drawing/2014/main" id="{ED323756-A631-E142-966D-BB6583E18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77200" y="3048000"/>
          <a:ext cx="2213534" cy="2186747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41</xdr:row>
      <xdr:rowOff>0</xdr:rowOff>
    </xdr:from>
    <xdr:ext cx="3122146" cy="1865593"/>
    <xdr:pic>
      <xdr:nvPicPr>
        <xdr:cNvPr id="18" name="Picture 17" descr="SolarSystem2.jpg" hidden="1">
          <a:extLst>
            <a:ext uri="{FF2B5EF4-FFF2-40B4-BE49-F238E27FC236}">
              <a16:creationId xmlns:a16="http://schemas.microsoft.com/office/drawing/2014/main" id="{72F72226-099E-6844-AA5E-3D583B45A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87400" y="3048000"/>
          <a:ext cx="3122146" cy="18655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</xdr:row>
      <xdr:rowOff>0</xdr:rowOff>
    </xdr:from>
    <xdr:ext cx="3106270" cy="1865593"/>
    <xdr:pic>
      <xdr:nvPicPr>
        <xdr:cNvPr id="19" name="Picture 18" descr="SolarSystem2.jpg" hidden="1">
          <a:extLst>
            <a:ext uri="{FF2B5EF4-FFF2-40B4-BE49-F238E27FC236}">
              <a16:creationId xmlns:a16="http://schemas.microsoft.com/office/drawing/2014/main" id="{B958E33B-1856-9644-939C-F4E499E5E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46200" y="3048000"/>
          <a:ext cx="3106270" cy="186559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41</xdr:row>
      <xdr:rowOff>0</xdr:rowOff>
    </xdr:from>
    <xdr:ext cx="3106270" cy="1865593"/>
    <xdr:pic>
      <xdr:nvPicPr>
        <xdr:cNvPr id="20" name="Picture 19" descr="SolarSystem2.jpg" hidden="1">
          <a:extLst>
            <a:ext uri="{FF2B5EF4-FFF2-40B4-BE49-F238E27FC236}">
              <a16:creationId xmlns:a16="http://schemas.microsoft.com/office/drawing/2014/main" id="{10A5C326-71C5-F742-BA19-66D3769B1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038600" y="3048000"/>
          <a:ext cx="3106270" cy="18655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</xdr:row>
      <xdr:rowOff>0</xdr:rowOff>
    </xdr:from>
    <xdr:ext cx="1368985" cy="915521"/>
    <xdr:pic>
      <xdr:nvPicPr>
        <xdr:cNvPr id="21" name="Picture 20" descr="Saturn.jpg" hidden="1">
          <a:extLst>
            <a:ext uri="{FF2B5EF4-FFF2-40B4-BE49-F238E27FC236}">
              <a16:creationId xmlns:a16="http://schemas.microsoft.com/office/drawing/2014/main" id="{52EF15F4-FFD2-EC4C-9483-57F4E6E2E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46200" y="3048000"/>
          <a:ext cx="1368985" cy="915521"/>
        </a:xfrm>
        <a:prstGeom prst="rect">
          <a:avLst/>
        </a:prstGeom>
      </xdr:spPr>
    </xdr:pic>
    <xdr:clientData/>
  </xdr:oneCellAnchor>
  <xdr:oneCellAnchor>
    <xdr:from>
      <xdr:col>3</xdr:col>
      <xdr:colOff>485775</xdr:colOff>
      <xdr:row>41</xdr:row>
      <xdr:rowOff>0</xdr:rowOff>
    </xdr:from>
    <xdr:ext cx="1134035" cy="881903"/>
    <xdr:pic>
      <xdr:nvPicPr>
        <xdr:cNvPr id="22" name="MoonNewMoon" descr="MoonNew.gif" hidden="1">
          <a:extLst>
            <a:ext uri="{FF2B5EF4-FFF2-40B4-BE49-F238E27FC236}">
              <a16:creationId xmlns:a16="http://schemas.microsoft.com/office/drawing/2014/main" id="{27E336B2-FC0C-7D42-BEC4-2898C8C67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505075" y="3048000"/>
          <a:ext cx="1134035" cy="881903"/>
        </a:xfrm>
        <a:prstGeom prst="rect">
          <a:avLst/>
        </a:prstGeom>
      </xdr:spPr>
    </xdr:pic>
    <xdr:clientData/>
  </xdr:oneCellAnchor>
  <xdr:oneCellAnchor>
    <xdr:from>
      <xdr:col>4</xdr:col>
      <xdr:colOff>457200</xdr:colOff>
      <xdr:row>41</xdr:row>
      <xdr:rowOff>0</xdr:rowOff>
    </xdr:from>
    <xdr:ext cx="1451535" cy="1145988"/>
    <xdr:pic>
      <xdr:nvPicPr>
        <xdr:cNvPr id="23" name="Picture 22" descr="Jupiter.jpg" hidden="1">
          <a:extLst>
            <a:ext uri="{FF2B5EF4-FFF2-40B4-BE49-F238E27FC236}">
              <a16:creationId xmlns:a16="http://schemas.microsoft.com/office/drawing/2014/main" id="{51A8F7FE-9F4D-7C45-A041-EC6A0516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149600" y="3048000"/>
          <a:ext cx="1451535" cy="1145988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</xdr:row>
      <xdr:rowOff>0</xdr:rowOff>
    </xdr:from>
    <xdr:ext cx="1041400" cy="881903"/>
    <xdr:pic>
      <xdr:nvPicPr>
        <xdr:cNvPr id="25" name="Picture 24" descr="MoonNew.gif" hidden="1">
          <a:extLst>
            <a:ext uri="{FF2B5EF4-FFF2-40B4-BE49-F238E27FC236}">
              <a16:creationId xmlns:a16="http://schemas.microsoft.com/office/drawing/2014/main" id="{38D84CDC-BD30-244A-A7DE-BEE056053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46200" y="3048000"/>
          <a:ext cx="1041400" cy="881903"/>
        </a:xfrm>
        <a:prstGeom prst="rect">
          <a:avLst/>
        </a:prstGeom>
      </xdr:spPr>
    </xdr:pic>
    <xdr:clientData/>
  </xdr:oneCellAnchor>
  <xdr:oneCellAnchor>
    <xdr:from>
      <xdr:col>1</xdr:col>
      <xdr:colOff>647700</xdr:colOff>
      <xdr:row>41</xdr:row>
      <xdr:rowOff>0</xdr:rowOff>
    </xdr:from>
    <xdr:ext cx="3214781" cy="1865593"/>
    <xdr:pic>
      <xdr:nvPicPr>
        <xdr:cNvPr id="26" name="Picture 25" descr="SolarSystem2.jpg" hidden="1">
          <a:extLst>
            <a:ext uri="{FF2B5EF4-FFF2-40B4-BE49-F238E27FC236}">
              <a16:creationId xmlns:a16="http://schemas.microsoft.com/office/drawing/2014/main" id="{290FC3C3-7446-5441-9213-3D014986E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20800" y="3048000"/>
          <a:ext cx="3214781" cy="1865593"/>
        </a:xfrm>
        <a:prstGeom prst="rect">
          <a:avLst/>
        </a:prstGeom>
      </xdr:spPr>
    </xdr:pic>
    <xdr:clientData/>
  </xdr:oneCellAnchor>
  <xdr:oneCellAnchor>
    <xdr:from>
      <xdr:col>1</xdr:col>
      <xdr:colOff>647700</xdr:colOff>
      <xdr:row>41</xdr:row>
      <xdr:rowOff>0</xdr:rowOff>
    </xdr:from>
    <xdr:ext cx="3214781" cy="1865593"/>
    <xdr:pic>
      <xdr:nvPicPr>
        <xdr:cNvPr id="27" name="Picture 26" descr="SolarSystem2.jpg" hidden="1">
          <a:extLst>
            <a:ext uri="{FF2B5EF4-FFF2-40B4-BE49-F238E27FC236}">
              <a16:creationId xmlns:a16="http://schemas.microsoft.com/office/drawing/2014/main" id="{DBF80FEE-4E5E-E94B-AD2C-845552BAF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20800" y="3048000"/>
          <a:ext cx="3214781" cy="1865593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42</xdr:row>
      <xdr:rowOff>190500</xdr:rowOff>
    </xdr:from>
    <xdr:to>
      <xdr:col>12</xdr:col>
      <xdr:colOff>952500</xdr:colOff>
      <xdr:row>49</xdr:row>
      <xdr:rowOff>31288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78149AD7-84EC-F745-9BCF-28F6B0BB4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25500" y="8724900"/>
          <a:ext cx="11988800" cy="126318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48</xdr:row>
      <xdr:rowOff>101600</xdr:rowOff>
    </xdr:from>
    <xdr:to>
      <xdr:col>12</xdr:col>
      <xdr:colOff>952500</xdr:colOff>
      <xdr:row>76</xdr:row>
      <xdr:rowOff>152400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C33747C7-49DE-534A-B33F-06D36E9A5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800100</xdr:colOff>
      <xdr:row>2</xdr:row>
      <xdr:rowOff>127000</xdr:rowOff>
    </xdr:from>
    <xdr:to>
      <xdr:col>20</xdr:col>
      <xdr:colOff>546100</xdr:colOff>
      <xdr:row>47</xdr:row>
      <xdr:rowOff>127000</xdr:rowOff>
    </xdr:to>
    <xdr:pic>
      <xdr:nvPicPr>
        <xdr:cNvPr id="3" name="Picture 2" descr="Solar System Map">
          <a:extLst>
            <a:ext uri="{FF2B5EF4-FFF2-40B4-BE49-F238E27FC236}">
              <a16:creationId xmlns:a16="http://schemas.microsoft.com/office/drawing/2014/main" id="{10A31C53-9C36-6B0E-E700-65F8D27FE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330200"/>
          <a:ext cx="16256000" cy="9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49</xdr:row>
      <xdr:rowOff>101600</xdr:rowOff>
    </xdr:from>
    <xdr:to>
      <xdr:col>10</xdr:col>
      <xdr:colOff>368300</xdr:colOff>
      <xdr:row>68</xdr:row>
      <xdr:rowOff>115235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DD107C5-D5E1-CA08-D10A-AC9ADB3F2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0900" y="9855200"/>
          <a:ext cx="7772400" cy="3874435"/>
        </a:xfrm>
        <a:prstGeom prst="rect">
          <a:avLst/>
        </a:prstGeom>
      </xdr:spPr>
    </xdr:pic>
    <xdr:clientData/>
  </xdr:twoCellAnchor>
  <xdr:twoCellAnchor editAs="oneCell">
    <xdr:from>
      <xdr:col>11</xdr:col>
      <xdr:colOff>165100</xdr:colOff>
      <xdr:row>49</xdr:row>
      <xdr:rowOff>114300</xdr:rowOff>
    </xdr:from>
    <xdr:to>
      <xdr:col>20</xdr:col>
      <xdr:colOff>508000</xdr:colOff>
      <xdr:row>68</xdr:row>
      <xdr:rowOff>151512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BDC3C62-F2B7-DA1B-024E-EC7BF172F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45600" y="9867900"/>
          <a:ext cx="7772400" cy="3898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stro.if.ufrgs.br/trigesf/position.html" TargetMode="External"/><Relationship Id="rId2" Type="http://schemas.openxmlformats.org/officeDocument/2006/relationships/hyperlink" Target="http://www.astronomy-morsels.ch/" TargetMode="External"/><Relationship Id="rId1" Type="http://schemas.openxmlformats.org/officeDocument/2006/relationships/hyperlink" Target="mailto:anton@astronomy-morsels.ch?subject=Eclipse%20Data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astro.if.ufrgs.br/trigesf/position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theplanetstoday.com/planets_information_basic_fact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9D7B0-E520-5B48-AB53-2047706F7C9A}">
  <dimension ref="B2:K41"/>
  <sheetViews>
    <sheetView showGridLines="0" tabSelected="1" workbookViewId="0">
      <selection activeCell="D16" sqref="D16"/>
    </sheetView>
  </sheetViews>
  <sheetFormatPr baseColWidth="10" defaultRowHeight="16"/>
  <cols>
    <col min="1" max="1" width="10.83203125" style="8"/>
    <col min="2" max="11" width="11.33203125" style="8" customWidth="1"/>
    <col min="12" max="16384" width="10.83203125" style="8"/>
  </cols>
  <sheetData>
    <row r="2" spans="2:11" ht="15" customHeight="1"/>
    <row r="3" spans="2:11" ht="16" customHeight="1">
      <c r="B3" s="219" t="s">
        <v>40</v>
      </c>
      <c r="C3" s="219"/>
      <c r="D3" s="219"/>
      <c r="E3" s="219"/>
      <c r="F3" s="219"/>
      <c r="G3" s="219"/>
      <c r="H3" s="219"/>
      <c r="I3" s="219"/>
      <c r="J3" s="219"/>
      <c r="K3" s="219"/>
    </row>
    <row r="4" spans="2:11" ht="16" customHeight="1">
      <c r="B4" s="219"/>
      <c r="C4" s="219"/>
      <c r="D4" s="219"/>
      <c r="E4" s="219"/>
      <c r="F4" s="219"/>
      <c r="G4" s="219"/>
      <c r="H4" s="219"/>
      <c r="I4" s="219"/>
      <c r="J4" s="219"/>
      <c r="K4" s="219"/>
    </row>
    <row r="5" spans="2:11" ht="16" customHeight="1">
      <c r="B5" s="219"/>
      <c r="C5" s="219"/>
      <c r="D5" s="219"/>
      <c r="E5" s="219"/>
      <c r="F5" s="219"/>
      <c r="G5" s="219"/>
      <c r="H5" s="219"/>
      <c r="I5" s="219"/>
      <c r="J5" s="219"/>
      <c r="K5" s="219"/>
    </row>
    <row r="6" spans="2:11" ht="16" customHeight="1">
      <c r="B6" s="219"/>
      <c r="C6" s="219"/>
      <c r="D6" s="219"/>
      <c r="E6" s="219"/>
      <c r="F6" s="219"/>
      <c r="G6" s="219"/>
      <c r="H6" s="219"/>
      <c r="I6" s="219"/>
      <c r="J6" s="219"/>
      <c r="K6" s="219"/>
    </row>
    <row r="7" spans="2:11" ht="16" customHeight="1">
      <c r="B7" s="219"/>
      <c r="C7" s="219"/>
      <c r="D7" s="219"/>
      <c r="E7" s="219"/>
      <c r="F7" s="219"/>
      <c r="G7" s="219"/>
      <c r="H7" s="219"/>
      <c r="I7" s="219"/>
      <c r="J7" s="219"/>
      <c r="K7" s="219"/>
    </row>
    <row r="8" spans="2:11" ht="16" customHeight="1">
      <c r="B8" s="219"/>
      <c r="C8" s="219"/>
      <c r="D8" s="219"/>
      <c r="E8" s="219"/>
      <c r="F8" s="219"/>
      <c r="G8" s="219"/>
      <c r="H8" s="219"/>
      <c r="I8" s="219"/>
      <c r="J8" s="219"/>
      <c r="K8" s="219"/>
    </row>
    <row r="9" spans="2:11" ht="16" customHeight="1"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3" spans="2:11" ht="19">
      <c r="D13" s="9" t="s">
        <v>99</v>
      </c>
      <c r="E13" s="10"/>
      <c r="F13" s="11"/>
      <c r="G13" s="11"/>
      <c r="H13" s="11"/>
      <c r="I13" s="12" t="s">
        <v>34</v>
      </c>
    </row>
    <row r="14" spans="2:11" ht="19">
      <c r="D14" s="13"/>
      <c r="E14" s="14"/>
      <c r="F14" s="15"/>
      <c r="G14" s="15"/>
      <c r="H14" s="15"/>
      <c r="I14" s="16"/>
    </row>
    <row r="15" spans="2:11" ht="19">
      <c r="D15" s="17" t="s">
        <v>187</v>
      </c>
      <c r="E15" s="18"/>
      <c r="F15" s="19"/>
      <c r="G15" s="19"/>
      <c r="H15" s="19"/>
      <c r="I15" s="20" t="s">
        <v>186</v>
      </c>
    </row>
    <row r="16" spans="2:11" ht="19">
      <c r="D16" s="22"/>
      <c r="E16" s="22"/>
      <c r="F16" s="15"/>
      <c r="G16" s="15"/>
      <c r="H16" s="15"/>
      <c r="I16" s="23"/>
    </row>
    <row r="17" spans="3:9">
      <c r="D17" s="229" t="s">
        <v>39</v>
      </c>
      <c r="E17" s="229"/>
      <c r="F17" s="229"/>
      <c r="G17" s="229"/>
      <c r="H17" s="229"/>
      <c r="I17" s="229"/>
    </row>
    <row r="22" spans="3:9">
      <c r="C22" s="21"/>
    </row>
    <row r="39" spans="2:11">
      <c r="B39" s="220" t="s">
        <v>33</v>
      </c>
      <c r="C39" s="221"/>
      <c r="D39" s="221"/>
      <c r="E39" s="221"/>
      <c r="F39" s="221"/>
      <c r="G39" s="221"/>
      <c r="H39" s="221"/>
      <c r="I39" s="221"/>
      <c r="J39" s="221"/>
      <c r="K39" s="222"/>
    </row>
    <row r="40" spans="2:11">
      <c r="B40" s="223" t="s">
        <v>32</v>
      </c>
      <c r="C40" s="224"/>
      <c r="D40" s="224"/>
      <c r="E40" s="224"/>
      <c r="F40" s="224"/>
      <c r="G40" s="224"/>
      <c r="H40" s="224"/>
      <c r="I40" s="224"/>
      <c r="J40" s="224"/>
      <c r="K40" s="225"/>
    </row>
    <row r="41" spans="2:11">
      <c r="B41" s="226" t="s">
        <v>31</v>
      </c>
      <c r="C41" s="227"/>
      <c r="D41" s="227"/>
      <c r="E41" s="227"/>
      <c r="F41" s="227"/>
      <c r="G41" s="227"/>
      <c r="H41" s="227"/>
      <c r="I41" s="227"/>
      <c r="J41" s="227"/>
      <c r="K41" s="228"/>
    </row>
  </sheetData>
  <sheetProtection sheet="1" objects="1" scenarios="1"/>
  <mergeCells count="5">
    <mergeCell ref="B3:K9"/>
    <mergeCell ref="B39:K39"/>
    <mergeCell ref="B40:K40"/>
    <mergeCell ref="B41:K41"/>
    <mergeCell ref="D17:I17"/>
  </mergeCells>
  <hyperlinks>
    <hyperlink ref="I13" r:id="rId1" xr:uid="{75108EA2-78C2-9541-82F2-F14EB18BCD96}"/>
    <hyperlink ref="B39" r:id="rId2" display="http://www.astronomy-morsels.ch/" xr:uid="{6B801436-B97F-0D47-A6EC-ECA2EA398712}"/>
    <hyperlink ref="D17:I17" r:id="rId3" display="Source" xr:uid="{9F324A0C-AEBB-5F47-85D4-38339A6DF74D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C14FD-8224-6042-A5D9-D1209B0E8AE9}">
  <dimension ref="A2:AB150"/>
  <sheetViews>
    <sheetView showGridLines="0" workbookViewId="0">
      <selection activeCell="C31" sqref="C31"/>
    </sheetView>
  </sheetViews>
  <sheetFormatPr baseColWidth="10" defaultRowHeight="16"/>
  <cols>
    <col min="1" max="1" width="10.83203125" style="56" customWidth="1"/>
    <col min="2" max="2" width="16.5" style="56" customWidth="1"/>
    <col min="3" max="5" width="12.83203125" style="56" customWidth="1"/>
    <col min="6" max="8" width="12.83203125" style="59" customWidth="1"/>
    <col min="9" max="14" width="12.83203125" style="56" customWidth="1"/>
    <col min="15" max="15" width="15.83203125" style="56" customWidth="1"/>
    <col min="16" max="22" width="8.83203125" style="56" customWidth="1"/>
    <col min="23" max="255" width="8.83203125" style="24" customWidth="1"/>
    <col min="256" max="256" width="21.83203125" style="24" customWidth="1"/>
    <col min="257" max="257" width="12.5" style="24" bestFit="1" customWidth="1"/>
    <col min="258" max="259" width="10.5" style="24" bestFit="1" customWidth="1"/>
    <col min="260" max="260" width="8.83203125" style="24" customWidth="1"/>
    <col min="261" max="261" width="8.5" style="24" bestFit="1" customWidth="1"/>
    <col min="262" max="265" width="10.5" style="24" bestFit="1" customWidth="1"/>
    <col min="266" max="511" width="8.83203125" style="24" customWidth="1"/>
    <col min="512" max="512" width="21.83203125" style="24" customWidth="1"/>
    <col min="513" max="513" width="12.5" style="24" bestFit="1" customWidth="1"/>
    <col min="514" max="515" width="10.5" style="24" bestFit="1" customWidth="1"/>
    <col min="516" max="516" width="8.83203125" style="24" customWidth="1"/>
    <col min="517" max="517" width="8.5" style="24" bestFit="1" customWidth="1"/>
    <col min="518" max="521" width="10.5" style="24" bestFit="1" customWidth="1"/>
    <col min="522" max="767" width="8.83203125" style="24" customWidth="1"/>
    <col min="768" max="768" width="21.83203125" style="24" customWidth="1"/>
    <col min="769" max="769" width="12.5" style="24" bestFit="1" customWidth="1"/>
    <col min="770" max="771" width="10.5" style="24" bestFit="1" customWidth="1"/>
    <col min="772" max="772" width="8.83203125" style="24" customWidth="1"/>
    <col min="773" max="773" width="8.5" style="24" bestFit="1" customWidth="1"/>
    <col min="774" max="777" width="10.5" style="24" bestFit="1" customWidth="1"/>
    <col min="778" max="1023" width="8.83203125" style="24" customWidth="1"/>
    <col min="1024" max="1024" width="21.83203125" style="24" customWidth="1"/>
    <col min="1025" max="1025" width="12.5" style="24" bestFit="1" customWidth="1"/>
    <col min="1026" max="1027" width="10.5" style="24" bestFit="1" customWidth="1"/>
    <col min="1028" max="1028" width="8.83203125" style="24" customWidth="1"/>
    <col min="1029" max="1029" width="8.5" style="24" bestFit="1" customWidth="1"/>
    <col min="1030" max="1033" width="10.5" style="24" bestFit="1" customWidth="1"/>
    <col min="1034" max="1279" width="8.83203125" style="24" customWidth="1"/>
    <col min="1280" max="1280" width="21.83203125" style="24" customWidth="1"/>
    <col min="1281" max="1281" width="12.5" style="24" bestFit="1" customWidth="1"/>
    <col min="1282" max="1283" width="10.5" style="24" bestFit="1" customWidth="1"/>
    <col min="1284" max="1284" width="8.83203125" style="24" customWidth="1"/>
    <col min="1285" max="1285" width="8.5" style="24" bestFit="1" customWidth="1"/>
    <col min="1286" max="1289" width="10.5" style="24" bestFit="1" customWidth="1"/>
    <col min="1290" max="1535" width="8.83203125" style="24" customWidth="1"/>
    <col min="1536" max="1536" width="21.83203125" style="24" customWidth="1"/>
    <col min="1537" max="1537" width="12.5" style="24" bestFit="1" customWidth="1"/>
    <col min="1538" max="1539" width="10.5" style="24" bestFit="1" customWidth="1"/>
    <col min="1540" max="1540" width="8.83203125" style="24" customWidth="1"/>
    <col min="1541" max="1541" width="8.5" style="24" bestFit="1" customWidth="1"/>
    <col min="1542" max="1545" width="10.5" style="24" bestFit="1" customWidth="1"/>
    <col min="1546" max="1791" width="8.83203125" style="24" customWidth="1"/>
    <col min="1792" max="1792" width="21.83203125" style="24" customWidth="1"/>
    <col min="1793" max="1793" width="12.5" style="24" bestFit="1" customWidth="1"/>
    <col min="1794" max="1795" width="10.5" style="24" bestFit="1" customWidth="1"/>
    <col min="1796" max="1796" width="8.83203125" style="24" customWidth="1"/>
    <col min="1797" max="1797" width="8.5" style="24" bestFit="1" customWidth="1"/>
    <col min="1798" max="1801" width="10.5" style="24" bestFit="1" customWidth="1"/>
    <col min="1802" max="2047" width="8.83203125" style="24" customWidth="1"/>
    <col min="2048" max="2048" width="21.83203125" style="24" customWidth="1"/>
    <col min="2049" max="2049" width="12.5" style="24" bestFit="1" customWidth="1"/>
    <col min="2050" max="2051" width="10.5" style="24" bestFit="1" customWidth="1"/>
    <col min="2052" max="2052" width="8.83203125" style="24" customWidth="1"/>
    <col min="2053" max="2053" width="8.5" style="24" bestFit="1" customWidth="1"/>
    <col min="2054" max="2057" width="10.5" style="24" bestFit="1" customWidth="1"/>
    <col min="2058" max="2303" width="8.83203125" style="24" customWidth="1"/>
    <col min="2304" max="2304" width="21.83203125" style="24" customWidth="1"/>
    <col min="2305" max="2305" width="12.5" style="24" bestFit="1" customWidth="1"/>
    <col min="2306" max="2307" width="10.5" style="24" bestFit="1" customWidth="1"/>
    <col min="2308" max="2308" width="8.83203125" style="24" customWidth="1"/>
    <col min="2309" max="2309" width="8.5" style="24" bestFit="1" customWidth="1"/>
    <col min="2310" max="2313" width="10.5" style="24" bestFit="1" customWidth="1"/>
    <col min="2314" max="2559" width="8.83203125" style="24" customWidth="1"/>
    <col min="2560" max="2560" width="21.83203125" style="24" customWidth="1"/>
    <col min="2561" max="2561" width="12.5" style="24" bestFit="1" customWidth="1"/>
    <col min="2562" max="2563" width="10.5" style="24" bestFit="1" customWidth="1"/>
    <col min="2564" max="2564" width="8.83203125" style="24" customWidth="1"/>
    <col min="2565" max="2565" width="8.5" style="24" bestFit="1" customWidth="1"/>
    <col min="2566" max="2569" width="10.5" style="24" bestFit="1" customWidth="1"/>
    <col min="2570" max="2815" width="8.83203125" style="24" customWidth="1"/>
    <col min="2816" max="2816" width="21.83203125" style="24" customWidth="1"/>
    <col min="2817" max="2817" width="12.5" style="24" bestFit="1" customWidth="1"/>
    <col min="2818" max="2819" width="10.5" style="24" bestFit="1" customWidth="1"/>
    <col min="2820" max="2820" width="8.83203125" style="24" customWidth="1"/>
    <col min="2821" max="2821" width="8.5" style="24" bestFit="1" customWidth="1"/>
    <col min="2822" max="2825" width="10.5" style="24" bestFit="1" customWidth="1"/>
    <col min="2826" max="3071" width="8.83203125" style="24" customWidth="1"/>
    <col min="3072" max="3072" width="21.83203125" style="24" customWidth="1"/>
    <col min="3073" max="3073" width="12.5" style="24" bestFit="1" customWidth="1"/>
    <col min="3074" max="3075" width="10.5" style="24" bestFit="1" customWidth="1"/>
    <col min="3076" max="3076" width="8.83203125" style="24" customWidth="1"/>
    <col min="3077" max="3077" width="8.5" style="24" bestFit="1" customWidth="1"/>
    <col min="3078" max="3081" width="10.5" style="24" bestFit="1" customWidth="1"/>
    <col min="3082" max="3327" width="8.83203125" style="24" customWidth="1"/>
    <col min="3328" max="3328" width="21.83203125" style="24" customWidth="1"/>
    <col min="3329" max="3329" width="12.5" style="24" bestFit="1" customWidth="1"/>
    <col min="3330" max="3331" width="10.5" style="24" bestFit="1" customWidth="1"/>
    <col min="3332" max="3332" width="8.83203125" style="24" customWidth="1"/>
    <col min="3333" max="3333" width="8.5" style="24" bestFit="1" customWidth="1"/>
    <col min="3334" max="3337" width="10.5" style="24" bestFit="1" customWidth="1"/>
    <col min="3338" max="3583" width="8.83203125" style="24" customWidth="1"/>
    <col min="3584" max="3584" width="21.83203125" style="24" customWidth="1"/>
    <col min="3585" max="3585" width="12.5" style="24" bestFit="1" customWidth="1"/>
    <col min="3586" max="3587" width="10.5" style="24" bestFit="1" customWidth="1"/>
    <col min="3588" max="3588" width="8.83203125" style="24" customWidth="1"/>
    <col min="3589" max="3589" width="8.5" style="24" bestFit="1" customWidth="1"/>
    <col min="3590" max="3593" width="10.5" style="24" bestFit="1" customWidth="1"/>
    <col min="3594" max="3839" width="8.83203125" style="24" customWidth="1"/>
    <col min="3840" max="3840" width="21.83203125" style="24" customWidth="1"/>
    <col min="3841" max="3841" width="12.5" style="24" bestFit="1" customWidth="1"/>
    <col min="3842" max="3843" width="10.5" style="24" bestFit="1" customWidth="1"/>
    <col min="3844" max="3844" width="8.83203125" style="24" customWidth="1"/>
    <col min="3845" max="3845" width="8.5" style="24" bestFit="1" customWidth="1"/>
    <col min="3846" max="3849" width="10.5" style="24" bestFit="1" customWidth="1"/>
    <col min="3850" max="4095" width="8.83203125" style="24" customWidth="1"/>
    <col min="4096" max="4096" width="21.83203125" style="24" customWidth="1"/>
    <col min="4097" max="4097" width="12.5" style="24" bestFit="1" customWidth="1"/>
    <col min="4098" max="4099" width="10.5" style="24" bestFit="1" customWidth="1"/>
    <col min="4100" max="4100" width="8.83203125" style="24" customWidth="1"/>
    <col min="4101" max="4101" width="8.5" style="24" bestFit="1" customWidth="1"/>
    <col min="4102" max="4105" width="10.5" style="24" bestFit="1" customWidth="1"/>
    <col min="4106" max="4351" width="8.83203125" style="24" customWidth="1"/>
    <col min="4352" max="4352" width="21.83203125" style="24" customWidth="1"/>
    <col min="4353" max="4353" width="12.5" style="24" bestFit="1" customWidth="1"/>
    <col min="4354" max="4355" width="10.5" style="24" bestFit="1" customWidth="1"/>
    <col min="4356" max="4356" width="8.83203125" style="24" customWidth="1"/>
    <col min="4357" max="4357" width="8.5" style="24" bestFit="1" customWidth="1"/>
    <col min="4358" max="4361" width="10.5" style="24" bestFit="1" customWidth="1"/>
    <col min="4362" max="4607" width="8.83203125" style="24" customWidth="1"/>
    <col min="4608" max="4608" width="21.83203125" style="24" customWidth="1"/>
    <col min="4609" max="4609" width="12.5" style="24" bestFit="1" customWidth="1"/>
    <col min="4610" max="4611" width="10.5" style="24" bestFit="1" customWidth="1"/>
    <col min="4612" max="4612" width="8.83203125" style="24" customWidth="1"/>
    <col min="4613" max="4613" width="8.5" style="24" bestFit="1" customWidth="1"/>
    <col min="4614" max="4617" width="10.5" style="24" bestFit="1" customWidth="1"/>
    <col min="4618" max="4863" width="8.83203125" style="24" customWidth="1"/>
    <col min="4864" max="4864" width="21.83203125" style="24" customWidth="1"/>
    <col min="4865" max="4865" width="12.5" style="24" bestFit="1" customWidth="1"/>
    <col min="4866" max="4867" width="10.5" style="24" bestFit="1" customWidth="1"/>
    <col min="4868" max="4868" width="8.83203125" style="24" customWidth="1"/>
    <col min="4869" max="4869" width="8.5" style="24" bestFit="1" customWidth="1"/>
    <col min="4870" max="4873" width="10.5" style="24" bestFit="1" customWidth="1"/>
    <col min="4874" max="5119" width="8.83203125" style="24" customWidth="1"/>
    <col min="5120" max="5120" width="21.83203125" style="24" customWidth="1"/>
    <col min="5121" max="5121" width="12.5" style="24" bestFit="1" customWidth="1"/>
    <col min="5122" max="5123" width="10.5" style="24" bestFit="1" customWidth="1"/>
    <col min="5124" max="5124" width="8.83203125" style="24" customWidth="1"/>
    <col min="5125" max="5125" width="8.5" style="24" bestFit="1" customWidth="1"/>
    <col min="5126" max="5129" width="10.5" style="24" bestFit="1" customWidth="1"/>
    <col min="5130" max="5375" width="8.83203125" style="24" customWidth="1"/>
    <col min="5376" max="5376" width="21.83203125" style="24" customWidth="1"/>
    <col min="5377" max="5377" width="12.5" style="24" bestFit="1" customWidth="1"/>
    <col min="5378" max="5379" width="10.5" style="24" bestFit="1" customWidth="1"/>
    <col min="5380" max="5380" width="8.83203125" style="24" customWidth="1"/>
    <col min="5381" max="5381" width="8.5" style="24" bestFit="1" customWidth="1"/>
    <col min="5382" max="5385" width="10.5" style="24" bestFit="1" customWidth="1"/>
    <col min="5386" max="5631" width="8.83203125" style="24" customWidth="1"/>
    <col min="5632" max="5632" width="21.83203125" style="24" customWidth="1"/>
    <col min="5633" max="5633" width="12.5" style="24" bestFit="1" customWidth="1"/>
    <col min="5634" max="5635" width="10.5" style="24" bestFit="1" customWidth="1"/>
    <col min="5636" max="5636" width="8.83203125" style="24" customWidth="1"/>
    <col min="5637" max="5637" width="8.5" style="24" bestFit="1" customWidth="1"/>
    <col min="5638" max="5641" width="10.5" style="24" bestFit="1" customWidth="1"/>
    <col min="5642" max="5887" width="8.83203125" style="24" customWidth="1"/>
    <col min="5888" max="5888" width="21.83203125" style="24" customWidth="1"/>
    <col min="5889" max="5889" width="12.5" style="24" bestFit="1" customWidth="1"/>
    <col min="5890" max="5891" width="10.5" style="24" bestFit="1" customWidth="1"/>
    <col min="5892" max="5892" width="8.83203125" style="24" customWidth="1"/>
    <col min="5893" max="5893" width="8.5" style="24" bestFit="1" customWidth="1"/>
    <col min="5894" max="5897" width="10.5" style="24" bestFit="1" customWidth="1"/>
    <col min="5898" max="6143" width="8.83203125" style="24" customWidth="1"/>
    <col min="6144" max="6144" width="21.83203125" style="24" customWidth="1"/>
    <col min="6145" max="6145" width="12.5" style="24" bestFit="1" customWidth="1"/>
    <col min="6146" max="6147" width="10.5" style="24" bestFit="1" customWidth="1"/>
    <col min="6148" max="6148" width="8.83203125" style="24" customWidth="1"/>
    <col min="6149" max="6149" width="8.5" style="24" bestFit="1" customWidth="1"/>
    <col min="6150" max="6153" width="10.5" style="24" bestFit="1" customWidth="1"/>
    <col min="6154" max="6399" width="8.83203125" style="24" customWidth="1"/>
    <col min="6400" max="6400" width="21.83203125" style="24" customWidth="1"/>
    <col min="6401" max="6401" width="12.5" style="24" bestFit="1" customWidth="1"/>
    <col min="6402" max="6403" width="10.5" style="24" bestFit="1" customWidth="1"/>
    <col min="6404" max="6404" width="8.83203125" style="24" customWidth="1"/>
    <col min="6405" max="6405" width="8.5" style="24" bestFit="1" customWidth="1"/>
    <col min="6406" max="6409" width="10.5" style="24" bestFit="1" customWidth="1"/>
    <col min="6410" max="6655" width="8.83203125" style="24" customWidth="1"/>
    <col min="6656" max="6656" width="21.83203125" style="24" customWidth="1"/>
    <col min="6657" max="6657" width="12.5" style="24" bestFit="1" customWidth="1"/>
    <col min="6658" max="6659" width="10.5" style="24" bestFit="1" customWidth="1"/>
    <col min="6660" max="6660" width="8.83203125" style="24" customWidth="1"/>
    <col min="6661" max="6661" width="8.5" style="24" bestFit="1" customWidth="1"/>
    <col min="6662" max="6665" width="10.5" style="24" bestFit="1" customWidth="1"/>
    <col min="6666" max="6911" width="8.83203125" style="24" customWidth="1"/>
    <col min="6912" max="6912" width="21.83203125" style="24" customWidth="1"/>
    <col min="6913" max="6913" width="12.5" style="24" bestFit="1" customWidth="1"/>
    <col min="6914" max="6915" width="10.5" style="24" bestFit="1" customWidth="1"/>
    <col min="6916" max="6916" width="8.83203125" style="24" customWidth="1"/>
    <col min="6917" max="6917" width="8.5" style="24" bestFit="1" customWidth="1"/>
    <col min="6918" max="6921" width="10.5" style="24" bestFit="1" customWidth="1"/>
    <col min="6922" max="7167" width="8.83203125" style="24" customWidth="1"/>
    <col min="7168" max="7168" width="21.83203125" style="24" customWidth="1"/>
    <col min="7169" max="7169" width="12.5" style="24" bestFit="1" customWidth="1"/>
    <col min="7170" max="7171" width="10.5" style="24" bestFit="1" customWidth="1"/>
    <col min="7172" max="7172" width="8.83203125" style="24" customWidth="1"/>
    <col min="7173" max="7173" width="8.5" style="24" bestFit="1" customWidth="1"/>
    <col min="7174" max="7177" width="10.5" style="24" bestFit="1" customWidth="1"/>
    <col min="7178" max="7423" width="8.83203125" style="24" customWidth="1"/>
    <col min="7424" max="7424" width="21.83203125" style="24" customWidth="1"/>
    <col min="7425" max="7425" width="12.5" style="24" bestFit="1" customWidth="1"/>
    <col min="7426" max="7427" width="10.5" style="24" bestFit="1" customWidth="1"/>
    <col min="7428" max="7428" width="8.83203125" style="24" customWidth="1"/>
    <col min="7429" max="7429" width="8.5" style="24" bestFit="1" customWidth="1"/>
    <col min="7430" max="7433" width="10.5" style="24" bestFit="1" customWidth="1"/>
    <col min="7434" max="7679" width="8.83203125" style="24" customWidth="1"/>
    <col min="7680" max="7680" width="21.83203125" style="24" customWidth="1"/>
    <col min="7681" max="7681" width="12.5" style="24" bestFit="1" customWidth="1"/>
    <col min="7682" max="7683" width="10.5" style="24" bestFit="1" customWidth="1"/>
    <col min="7684" max="7684" width="8.83203125" style="24" customWidth="1"/>
    <col min="7685" max="7685" width="8.5" style="24" bestFit="1" customWidth="1"/>
    <col min="7686" max="7689" width="10.5" style="24" bestFit="1" customWidth="1"/>
    <col min="7690" max="7935" width="8.83203125" style="24" customWidth="1"/>
    <col min="7936" max="7936" width="21.83203125" style="24" customWidth="1"/>
    <col min="7937" max="7937" width="12.5" style="24" bestFit="1" customWidth="1"/>
    <col min="7938" max="7939" width="10.5" style="24" bestFit="1" customWidth="1"/>
    <col min="7940" max="7940" width="8.83203125" style="24" customWidth="1"/>
    <col min="7941" max="7941" width="8.5" style="24" bestFit="1" customWidth="1"/>
    <col min="7942" max="7945" width="10.5" style="24" bestFit="1" customWidth="1"/>
    <col min="7946" max="8191" width="8.83203125" style="24" customWidth="1"/>
    <col min="8192" max="8192" width="21.83203125" style="24" customWidth="1"/>
    <col min="8193" max="8193" width="12.5" style="24" bestFit="1" customWidth="1"/>
    <col min="8194" max="8195" width="10.5" style="24" bestFit="1" customWidth="1"/>
    <col min="8196" max="8196" width="8.83203125" style="24" customWidth="1"/>
    <col min="8197" max="8197" width="8.5" style="24" bestFit="1" customWidth="1"/>
    <col min="8198" max="8201" width="10.5" style="24" bestFit="1" customWidth="1"/>
    <col min="8202" max="8447" width="8.83203125" style="24" customWidth="1"/>
    <col min="8448" max="8448" width="21.83203125" style="24" customWidth="1"/>
    <col min="8449" max="8449" width="12.5" style="24" bestFit="1" customWidth="1"/>
    <col min="8450" max="8451" width="10.5" style="24" bestFit="1" customWidth="1"/>
    <col min="8452" max="8452" width="8.83203125" style="24" customWidth="1"/>
    <col min="8453" max="8453" width="8.5" style="24" bestFit="1" customWidth="1"/>
    <col min="8454" max="8457" width="10.5" style="24" bestFit="1" customWidth="1"/>
    <col min="8458" max="8703" width="8.83203125" style="24" customWidth="1"/>
    <col min="8704" max="8704" width="21.83203125" style="24" customWidth="1"/>
    <col min="8705" max="8705" width="12.5" style="24" bestFit="1" customWidth="1"/>
    <col min="8706" max="8707" width="10.5" style="24" bestFit="1" customWidth="1"/>
    <col min="8708" max="8708" width="8.83203125" style="24" customWidth="1"/>
    <col min="8709" max="8709" width="8.5" style="24" bestFit="1" customWidth="1"/>
    <col min="8710" max="8713" width="10.5" style="24" bestFit="1" customWidth="1"/>
    <col min="8714" max="8959" width="8.83203125" style="24" customWidth="1"/>
    <col min="8960" max="8960" width="21.83203125" style="24" customWidth="1"/>
    <col min="8961" max="8961" width="12.5" style="24" bestFit="1" customWidth="1"/>
    <col min="8962" max="8963" width="10.5" style="24" bestFit="1" customWidth="1"/>
    <col min="8964" max="8964" width="8.83203125" style="24" customWidth="1"/>
    <col min="8965" max="8965" width="8.5" style="24" bestFit="1" customWidth="1"/>
    <col min="8966" max="8969" width="10.5" style="24" bestFit="1" customWidth="1"/>
    <col min="8970" max="9215" width="8.83203125" style="24" customWidth="1"/>
    <col min="9216" max="9216" width="21.83203125" style="24" customWidth="1"/>
    <col min="9217" max="9217" width="12.5" style="24" bestFit="1" customWidth="1"/>
    <col min="9218" max="9219" width="10.5" style="24" bestFit="1" customWidth="1"/>
    <col min="9220" max="9220" width="8.83203125" style="24" customWidth="1"/>
    <col min="9221" max="9221" width="8.5" style="24" bestFit="1" customWidth="1"/>
    <col min="9222" max="9225" width="10.5" style="24" bestFit="1" customWidth="1"/>
    <col min="9226" max="9471" width="8.83203125" style="24" customWidth="1"/>
    <col min="9472" max="9472" width="21.83203125" style="24" customWidth="1"/>
    <col min="9473" max="9473" width="12.5" style="24" bestFit="1" customWidth="1"/>
    <col min="9474" max="9475" width="10.5" style="24" bestFit="1" customWidth="1"/>
    <col min="9476" max="9476" width="8.83203125" style="24" customWidth="1"/>
    <col min="9477" max="9477" width="8.5" style="24" bestFit="1" customWidth="1"/>
    <col min="9478" max="9481" width="10.5" style="24" bestFit="1" customWidth="1"/>
    <col min="9482" max="9727" width="8.83203125" style="24" customWidth="1"/>
    <col min="9728" max="9728" width="21.83203125" style="24" customWidth="1"/>
    <col min="9729" max="9729" width="12.5" style="24" bestFit="1" customWidth="1"/>
    <col min="9730" max="9731" width="10.5" style="24" bestFit="1" customWidth="1"/>
    <col min="9732" max="9732" width="8.83203125" style="24" customWidth="1"/>
    <col min="9733" max="9733" width="8.5" style="24" bestFit="1" customWidth="1"/>
    <col min="9734" max="9737" width="10.5" style="24" bestFit="1" customWidth="1"/>
    <col min="9738" max="9983" width="8.83203125" style="24" customWidth="1"/>
    <col min="9984" max="9984" width="21.83203125" style="24" customWidth="1"/>
    <col min="9985" max="9985" width="12.5" style="24" bestFit="1" customWidth="1"/>
    <col min="9986" max="9987" width="10.5" style="24" bestFit="1" customWidth="1"/>
    <col min="9988" max="9988" width="8.83203125" style="24" customWidth="1"/>
    <col min="9989" max="9989" width="8.5" style="24" bestFit="1" customWidth="1"/>
    <col min="9990" max="9993" width="10.5" style="24" bestFit="1" customWidth="1"/>
    <col min="9994" max="10239" width="8.83203125" style="24" customWidth="1"/>
    <col min="10240" max="10240" width="21.83203125" style="24" customWidth="1"/>
    <col min="10241" max="10241" width="12.5" style="24" bestFit="1" customWidth="1"/>
    <col min="10242" max="10243" width="10.5" style="24" bestFit="1" customWidth="1"/>
    <col min="10244" max="10244" width="8.83203125" style="24" customWidth="1"/>
    <col min="10245" max="10245" width="8.5" style="24" bestFit="1" customWidth="1"/>
    <col min="10246" max="10249" width="10.5" style="24" bestFit="1" customWidth="1"/>
    <col min="10250" max="10495" width="8.83203125" style="24" customWidth="1"/>
    <col min="10496" max="10496" width="21.83203125" style="24" customWidth="1"/>
    <col min="10497" max="10497" width="12.5" style="24" bestFit="1" customWidth="1"/>
    <col min="10498" max="10499" width="10.5" style="24" bestFit="1" customWidth="1"/>
    <col min="10500" max="10500" width="8.83203125" style="24" customWidth="1"/>
    <col min="10501" max="10501" width="8.5" style="24" bestFit="1" customWidth="1"/>
    <col min="10502" max="10505" width="10.5" style="24" bestFit="1" customWidth="1"/>
    <col min="10506" max="10751" width="8.83203125" style="24" customWidth="1"/>
    <col min="10752" max="10752" width="21.83203125" style="24" customWidth="1"/>
    <col min="10753" max="10753" width="12.5" style="24" bestFit="1" customWidth="1"/>
    <col min="10754" max="10755" width="10.5" style="24" bestFit="1" customWidth="1"/>
    <col min="10756" max="10756" width="8.83203125" style="24" customWidth="1"/>
    <col min="10757" max="10757" width="8.5" style="24" bestFit="1" customWidth="1"/>
    <col min="10758" max="10761" width="10.5" style="24" bestFit="1" customWidth="1"/>
    <col min="10762" max="11007" width="8.83203125" style="24" customWidth="1"/>
    <col min="11008" max="11008" width="21.83203125" style="24" customWidth="1"/>
    <col min="11009" max="11009" width="12.5" style="24" bestFit="1" customWidth="1"/>
    <col min="11010" max="11011" width="10.5" style="24" bestFit="1" customWidth="1"/>
    <col min="11012" max="11012" width="8.83203125" style="24" customWidth="1"/>
    <col min="11013" max="11013" width="8.5" style="24" bestFit="1" customWidth="1"/>
    <col min="11014" max="11017" width="10.5" style="24" bestFit="1" customWidth="1"/>
    <col min="11018" max="11263" width="8.83203125" style="24" customWidth="1"/>
    <col min="11264" max="11264" width="21.83203125" style="24" customWidth="1"/>
    <col min="11265" max="11265" width="12.5" style="24" bestFit="1" customWidth="1"/>
    <col min="11266" max="11267" width="10.5" style="24" bestFit="1" customWidth="1"/>
    <col min="11268" max="11268" width="8.83203125" style="24" customWidth="1"/>
    <col min="11269" max="11269" width="8.5" style="24" bestFit="1" customWidth="1"/>
    <col min="11270" max="11273" width="10.5" style="24" bestFit="1" customWidth="1"/>
    <col min="11274" max="11519" width="8.83203125" style="24" customWidth="1"/>
    <col min="11520" max="11520" width="21.83203125" style="24" customWidth="1"/>
    <col min="11521" max="11521" width="12.5" style="24" bestFit="1" customWidth="1"/>
    <col min="11522" max="11523" width="10.5" style="24" bestFit="1" customWidth="1"/>
    <col min="11524" max="11524" width="8.83203125" style="24" customWidth="1"/>
    <col min="11525" max="11525" width="8.5" style="24" bestFit="1" customWidth="1"/>
    <col min="11526" max="11529" width="10.5" style="24" bestFit="1" customWidth="1"/>
    <col min="11530" max="11775" width="8.83203125" style="24" customWidth="1"/>
    <col min="11776" max="11776" width="21.83203125" style="24" customWidth="1"/>
    <col min="11777" max="11777" width="12.5" style="24" bestFit="1" customWidth="1"/>
    <col min="11778" max="11779" width="10.5" style="24" bestFit="1" customWidth="1"/>
    <col min="11780" max="11780" width="8.83203125" style="24" customWidth="1"/>
    <col min="11781" max="11781" width="8.5" style="24" bestFit="1" customWidth="1"/>
    <col min="11782" max="11785" width="10.5" style="24" bestFit="1" customWidth="1"/>
    <col min="11786" max="12031" width="8.83203125" style="24" customWidth="1"/>
    <col min="12032" max="12032" width="21.83203125" style="24" customWidth="1"/>
    <col min="12033" max="12033" width="12.5" style="24" bestFit="1" customWidth="1"/>
    <col min="12034" max="12035" width="10.5" style="24" bestFit="1" customWidth="1"/>
    <col min="12036" max="12036" width="8.83203125" style="24" customWidth="1"/>
    <col min="12037" max="12037" width="8.5" style="24" bestFit="1" customWidth="1"/>
    <col min="12038" max="12041" width="10.5" style="24" bestFit="1" customWidth="1"/>
    <col min="12042" max="12287" width="8.83203125" style="24" customWidth="1"/>
    <col min="12288" max="12288" width="21.83203125" style="24" customWidth="1"/>
    <col min="12289" max="12289" width="12.5" style="24" bestFit="1" customWidth="1"/>
    <col min="12290" max="12291" width="10.5" style="24" bestFit="1" customWidth="1"/>
    <col min="12292" max="12292" width="8.83203125" style="24" customWidth="1"/>
    <col min="12293" max="12293" width="8.5" style="24" bestFit="1" customWidth="1"/>
    <col min="12294" max="12297" width="10.5" style="24" bestFit="1" customWidth="1"/>
    <col min="12298" max="12543" width="8.83203125" style="24" customWidth="1"/>
    <col min="12544" max="12544" width="21.83203125" style="24" customWidth="1"/>
    <col min="12545" max="12545" width="12.5" style="24" bestFit="1" customWidth="1"/>
    <col min="12546" max="12547" width="10.5" style="24" bestFit="1" customWidth="1"/>
    <col min="12548" max="12548" width="8.83203125" style="24" customWidth="1"/>
    <col min="12549" max="12549" width="8.5" style="24" bestFit="1" customWidth="1"/>
    <col min="12550" max="12553" width="10.5" style="24" bestFit="1" customWidth="1"/>
    <col min="12554" max="12799" width="8.83203125" style="24" customWidth="1"/>
    <col min="12800" max="12800" width="21.83203125" style="24" customWidth="1"/>
    <col min="12801" max="12801" width="12.5" style="24" bestFit="1" customWidth="1"/>
    <col min="12802" max="12803" width="10.5" style="24" bestFit="1" customWidth="1"/>
    <col min="12804" max="12804" width="8.83203125" style="24" customWidth="1"/>
    <col min="12805" max="12805" width="8.5" style="24" bestFit="1" customWidth="1"/>
    <col min="12806" max="12809" width="10.5" style="24" bestFit="1" customWidth="1"/>
    <col min="12810" max="13055" width="8.83203125" style="24" customWidth="1"/>
    <col min="13056" max="13056" width="21.83203125" style="24" customWidth="1"/>
    <col min="13057" max="13057" width="12.5" style="24" bestFit="1" customWidth="1"/>
    <col min="13058" max="13059" width="10.5" style="24" bestFit="1" customWidth="1"/>
    <col min="13060" max="13060" width="8.83203125" style="24" customWidth="1"/>
    <col min="13061" max="13061" width="8.5" style="24" bestFit="1" customWidth="1"/>
    <col min="13062" max="13065" width="10.5" style="24" bestFit="1" customWidth="1"/>
    <col min="13066" max="13311" width="8.83203125" style="24" customWidth="1"/>
    <col min="13312" max="13312" width="21.83203125" style="24" customWidth="1"/>
    <col min="13313" max="13313" width="12.5" style="24" bestFit="1" customWidth="1"/>
    <col min="13314" max="13315" width="10.5" style="24" bestFit="1" customWidth="1"/>
    <col min="13316" max="13316" width="8.83203125" style="24" customWidth="1"/>
    <col min="13317" max="13317" width="8.5" style="24" bestFit="1" customWidth="1"/>
    <col min="13318" max="13321" width="10.5" style="24" bestFit="1" customWidth="1"/>
    <col min="13322" max="13567" width="8.83203125" style="24" customWidth="1"/>
    <col min="13568" max="13568" width="21.83203125" style="24" customWidth="1"/>
    <col min="13569" max="13569" width="12.5" style="24" bestFit="1" customWidth="1"/>
    <col min="13570" max="13571" width="10.5" style="24" bestFit="1" customWidth="1"/>
    <col min="13572" max="13572" width="8.83203125" style="24" customWidth="1"/>
    <col min="13573" max="13573" width="8.5" style="24" bestFit="1" customWidth="1"/>
    <col min="13574" max="13577" width="10.5" style="24" bestFit="1" customWidth="1"/>
    <col min="13578" max="13823" width="8.83203125" style="24" customWidth="1"/>
    <col min="13824" max="13824" width="21.83203125" style="24" customWidth="1"/>
    <col min="13825" max="13825" width="12.5" style="24" bestFit="1" customWidth="1"/>
    <col min="13826" max="13827" width="10.5" style="24" bestFit="1" customWidth="1"/>
    <col min="13828" max="13828" width="8.83203125" style="24" customWidth="1"/>
    <col min="13829" max="13829" width="8.5" style="24" bestFit="1" customWidth="1"/>
    <col min="13830" max="13833" width="10.5" style="24" bestFit="1" customWidth="1"/>
    <col min="13834" max="14079" width="8.83203125" style="24" customWidth="1"/>
    <col min="14080" max="14080" width="21.83203125" style="24" customWidth="1"/>
    <col min="14081" max="14081" width="12.5" style="24" bestFit="1" customWidth="1"/>
    <col min="14082" max="14083" width="10.5" style="24" bestFit="1" customWidth="1"/>
    <col min="14084" max="14084" width="8.83203125" style="24" customWidth="1"/>
    <col min="14085" max="14085" width="8.5" style="24" bestFit="1" customWidth="1"/>
    <col min="14086" max="14089" width="10.5" style="24" bestFit="1" customWidth="1"/>
    <col min="14090" max="14335" width="8.83203125" style="24" customWidth="1"/>
    <col min="14336" max="14336" width="21.83203125" style="24" customWidth="1"/>
    <col min="14337" max="14337" width="12.5" style="24" bestFit="1" customWidth="1"/>
    <col min="14338" max="14339" width="10.5" style="24" bestFit="1" customWidth="1"/>
    <col min="14340" max="14340" width="8.83203125" style="24" customWidth="1"/>
    <col min="14341" max="14341" width="8.5" style="24" bestFit="1" customWidth="1"/>
    <col min="14342" max="14345" width="10.5" style="24" bestFit="1" customWidth="1"/>
    <col min="14346" max="14591" width="8.83203125" style="24" customWidth="1"/>
    <col min="14592" max="14592" width="21.83203125" style="24" customWidth="1"/>
    <col min="14593" max="14593" width="12.5" style="24" bestFit="1" customWidth="1"/>
    <col min="14594" max="14595" width="10.5" style="24" bestFit="1" customWidth="1"/>
    <col min="14596" max="14596" width="8.83203125" style="24" customWidth="1"/>
    <col min="14597" max="14597" width="8.5" style="24" bestFit="1" customWidth="1"/>
    <col min="14598" max="14601" width="10.5" style="24" bestFit="1" customWidth="1"/>
    <col min="14602" max="14847" width="8.83203125" style="24" customWidth="1"/>
    <col min="14848" max="14848" width="21.83203125" style="24" customWidth="1"/>
    <col min="14849" max="14849" width="12.5" style="24" bestFit="1" customWidth="1"/>
    <col min="14850" max="14851" width="10.5" style="24" bestFit="1" customWidth="1"/>
    <col min="14852" max="14852" width="8.83203125" style="24" customWidth="1"/>
    <col min="14853" max="14853" width="8.5" style="24" bestFit="1" customWidth="1"/>
    <col min="14854" max="14857" width="10.5" style="24" bestFit="1" customWidth="1"/>
    <col min="14858" max="15103" width="8.83203125" style="24" customWidth="1"/>
    <col min="15104" max="15104" width="21.83203125" style="24" customWidth="1"/>
    <col min="15105" max="15105" width="12.5" style="24" bestFit="1" customWidth="1"/>
    <col min="15106" max="15107" width="10.5" style="24" bestFit="1" customWidth="1"/>
    <col min="15108" max="15108" width="8.83203125" style="24" customWidth="1"/>
    <col min="15109" max="15109" width="8.5" style="24" bestFit="1" customWidth="1"/>
    <col min="15110" max="15113" width="10.5" style="24" bestFit="1" customWidth="1"/>
    <col min="15114" max="15359" width="8.83203125" style="24" customWidth="1"/>
    <col min="15360" max="15360" width="21.83203125" style="24" customWidth="1"/>
    <col min="15361" max="15361" width="12.5" style="24" bestFit="1" customWidth="1"/>
    <col min="15362" max="15363" width="10.5" style="24" bestFit="1" customWidth="1"/>
    <col min="15364" max="15364" width="8.83203125" style="24" customWidth="1"/>
    <col min="15365" max="15365" width="8.5" style="24" bestFit="1" customWidth="1"/>
    <col min="15366" max="15369" width="10.5" style="24" bestFit="1" customWidth="1"/>
    <col min="15370" max="15615" width="8.83203125" style="24" customWidth="1"/>
    <col min="15616" max="15616" width="21.83203125" style="24" customWidth="1"/>
    <col min="15617" max="15617" width="12.5" style="24" bestFit="1" customWidth="1"/>
    <col min="15618" max="15619" width="10.5" style="24" bestFit="1" customWidth="1"/>
    <col min="15620" max="15620" width="8.83203125" style="24" customWidth="1"/>
    <col min="15621" max="15621" width="8.5" style="24" bestFit="1" customWidth="1"/>
    <col min="15622" max="15625" width="10.5" style="24" bestFit="1" customWidth="1"/>
    <col min="15626" max="15871" width="8.83203125" style="24" customWidth="1"/>
    <col min="15872" max="15872" width="21.83203125" style="24" customWidth="1"/>
    <col min="15873" max="15873" width="12.5" style="24" bestFit="1" customWidth="1"/>
    <col min="15874" max="15875" width="10.5" style="24" bestFit="1" customWidth="1"/>
    <col min="15876" max="15876" width="8.83203125" style="24" customWidth="1"/>
    <col min="15877" max="15877" width="8.5" style="24" bestFit="1" customWidth="1"/>
    <col min="15878" max="15881" width="10.5" style="24" bestFit="1" customWidth="1"/>
    <col min="15882" max="16127" width="8.83203125" style="24" customWidth="1"/>
    <col min="16128" max="16128" width="21.83203125" style="24" customWidth="1"/>
    <col min="16129" max="16129" width="12.5" style="24" bestFit="1" customWidth="1"/>
    <col min="16130" max="16131" width="10.5" style="24" bestFit="1" customWidth="1"/>
    <col min="16132" max="16132" width="8.83203125" style="24" customWidth="1"/>
    <col min="16133" max="16133" width="8.5" style="24" bestFit="1" customWidth="1"/>
    <col min="16134" max="16137" width="10.5" style="24" bestFit="1" customWidth="1"/>
    <col min="16138" max="16384" width="8.83203125" style="24" customWidth="1"/>
  </cols>
  <sheetData>
    <row r="2" spans="2:13" ht="16" customHeight="1">
      <c r="B2" s="233" t="s">
        <v>129</v>
      </c>
      <c r="C2" s="234"/>
      <c r="D2" s="25"/>
      <c r="E2" s="49"/>
      <c r="F2" s="91"/>
      <c r="G2" s="91"/>
      <c r="H2" s="91"/>
      <c r="I2" s="91"/>
      <c r="J2" s="91"/>
      <c r="K2" s="91"/>
      <c r="L2" s="91"/>
      <c r="M2" s="91"/>
    </row>
    <row r="3" spans="2:13" ht="16" customHeight="1">
      <c r="B3" s="167"/>
      <c r="C3" s="26" t="s">
        <v>16</v>
      </c>
      <c r="D3" s="27"/>
      <c r="F3" s="91"/>
      <c r="G3" s="91"/>
      <c r="H3" s="91"/>
      <c r="I3" s="91"/>
      <c r="J3" s="91"/>
      <c r="K3" s="91"/>
      <c r="L3" s="91"/>
      <c r="M3" s="91"/>
    </row>
    <row r="4" spans="2:13">
      <c r="B4" s="50" t="s">
        <v>19</v>
      </c>
      <c r="C4" s="109">
        <v>45442</v>
      </c>
      <c r="D4" s="29"/>
      <c r="F4" s="1"/>
      <c r="G4" s="1"/>
      <c r="H4" s="92"/>
      <c r="I4" s="1"/>
      <c r="J4" s="1"/>
      <c r="K4" s="1"/>
      <c r="L4" s="1"/>
      <c r="M4" s="1"/>
    </row>
    <row r="5" spans="2:13">
      <c r="B5" s="50" t="s">
        <v>140</v>
      </c>
      <c r="C5" s="112">
        <v>0.84375</v>
      </c>
      <c r="D5" s="29"/>
      <c r="F5" s="1"/>
      <c r="G5" s="1"/>
      <c r="H5" s="92"/>
      <c r="I5" s="1"/>
      <c r="J5" s="1"/>
      <c r="K5" s="1"/>
      <c r="L5" s="1"/>
      <c r="M5" s="1"/>
    </row>
    <row r="6" spans="2:13">
      <c r="B6" s="50" t="s">
        <v>141</v>
      </c>
      <c r="C6" s="51">
        <v>1</v>
      </c>
      <c r="D6" s="29"/>
      <c r="F6" s="1"/>
      <c r="G6" s="1"/>
      <c r="H6" s="1"/>
      <c r="I6" s="1"/>
      <c r="J6" s="1"/>
      <c r="K6" s="1"/>
      <c r="L6" s="1"/>
      <c r="M6" s="1"/>
    </row>
    <row r="7" spans="2:13">
      <c r="B7" s="50" t="s">
        <v>36</v>
      </c>
      <c r="C7" s="52" t="str">
        <f>IF(OR(MOD(YEAR(C4),400)=0,AND(MOD(YEAR(C4),4)=0,MOD(YEAR(C4),100)&lt;&gt;0)),"Y", "N")</f>
        <v>Y</v>
      </c>
      <c r="D7" s="29"/>
      <c r="F7" s="1"/>
      <c r="G7" s="1"/>
      <c r="H7" s="1"/>
      <c r="I7" s="1"/>
      <c r="J7" s="1"/>
      <c r="K7" s="1"/>
      <c r="L7" s="1"/>
      <c r="M7" s="1"/>
    </row>
    <row r="8" spans="2:13">
      <c r="B8" s="50" t="s">
        <v>4</v>
      </c>
      <c r="C8" s="52">
        <f>IF(C7="N",365.242,366)</f>
        <v>366</v>
      </c>
      <c r="D8" s="30"/>
      <c r="F8" s="1"/>
      <c r="G8" s="1"/>
      <c r="H8" s="1"/>
      <c r="I8" s="1"/>
      <c r="J8" s="1"/>
      <c r="K8" s="1"/>
      <c r="L8" s="1"/>
      <c r="M8" s="1"/>
    </row>
    <row r="9" spans="2:13">
      <c r="B9" s="50" t="s">
        <v>35</v>
      </c>
      <c r="C9" s="53">
        <f>INT(275*MONTH(C4)/9)-IF(C7="Y",1,2)*INT((MONTH(C4)+9)/12)+DAY(C4)-30</f>
        <v>151</v>
      </c>
      <c r="D9" s="31"/>
    </row>
    <row r="10" spans="2:13">
      <c r="B10" s="50" t="s">
        <v>130</v>
      </c>
      <c r="C10" s="102">
        <f>367*YEAR(C4)-INT(7/4*YEAR(C4))-INT(3*(INT((YEAR(C4)-8/7)/100)+1)/4)+1721059.5-1+C9+(3600*HOUR(C5)+60*MINUTE(C5))/(24*3600)</f>
        <v>2460461.34375</v>
      </c>
      <c r="D10" s="32"/>
    </row>
    <row r="11" spans="2:13">
      <c r="B11" s="50" t="s">
        <v>142</v>
      </c>
      <c r="C11" s="102">
        <v>2451545</v>
      </c>
      <c r="D11" s="33"/>
    </row>
    <row r="12" spans="2:13">
      <c r="B12" s="50" t="s">
        <v>143</v>
      </c>
      <c r="C12" s="54">
        <f>C10-C11-(C6/24)</f>
        <v>8916.3020833333339</v>
      </c>
    </row>
    <row r="13" spans="2:13">
      <c r="B13" s="34" t="s">
        <v>109</v>
      </c>
      <c r="C13" s="35">
        <f>(C10-2451545)/36525</f>
        <v>0.24411618754277892</v>
      </c>
    </row>
    <row r="14" spans="2:13">
      <c r="B14" s="47" t="s">
        <v>145</v>
      </c>
      <c r="C14" s="61">
        <f>MOD(HOUR(C5)+(MINUTE(C5)/60)-C6,24)</f>
        <v>19.25</v>
      </c>
    </row>
    <row r="15" spans="2:13">
      <c r="B15" s="48" t="s">
        <v>146</v>
      </c>
      <c r="C15" s="62">
        <f>MOD(100.46+0.985647*C12+C18+15*C14, 360)</f>
        <v>184.97929953125094</v>
      </c>
    </row>
    <row r="16" spans="2:13">
      <c r="B16" s="36" t="s">
        <v>131</v>
      </c>
      <c r="C16" s="37" t="s">
        <v>132</v>
      </c>
      <c r="D16" s="33"/>
    </row>
    <row r="17" spans="2:10">
      <c r="B17" s="38" t="s">
        <v>133</v>
      </c>
      <c r="C17" s="162">
        <f>VLOOKUP(C16,B23:D27,2,FALSE)</f>
        <v>46.4572</v>
      </c>
      <c r="D17" s="33"/>
      <c r="G17" s="63"/>
    </row>
    <row r="18" spans="2:10">
      <c r="B18" s="28" t="s">
        <v>134</v>
      </c>
      <c r="C18" s="162">
        <f>VLOOKUP(C16,B23:D27,3,FALSE)</f>
        <v>7.4428999999999998</v>
      </c>
      <c r="D18" s="39"/>
      <c r="G18" s="63"/>
    </row>
    <row r="19" spans="2:10">
      <c r="D19" s="39"/>
      <c r="G19" s="63"/>
    </row>
    <row r="20" spans="2:10">
      <c r="B20" s="40"/>
      <c r="C20" s="41"/>
      <c r="D20" s="42"/>
    </row>
    <row r="21" spans="2:10">
      <c r="B21" s="235" t="s">
        <v>135</v>
      </c>
      <c r="C21" s="235"/>
      <c r="D21" s="235"/>
    </row>
    <row r="22" spans="2:10">
      <c r="B22" s="43" t="s">
        <v>136</v>
      </c>
      <c r="C22" s="44" t="s">
        <v>137</v>
      </c>
      <c r="D22" s="45" t="s">
        <v>138</v>
      </c>
    </row>
    <row r="23" spans="2:10">
      <c r="B23" s="46" t="s">
        <v>132</v>
      </c>
      <c r="C23" s="161">
        <v>46.4572</v>
      </c>
      <c r="D23" s="161">
        <v>7.4428999999999998</v>
      </c>
    </row>
    <row r="24" spans="2:10">
      <c r="B24" s="46" t="s">
        <v>139</v>
      </c>
      <c r="C24" s="161">
        <v>51.493400000000001</v>
      </c>
      <c r="D24" s="161">
        <v>9.7999999999999997E-3</v>
      </c>
    </row>
    <row r="25" spans="2:10">
      <c r="B25" s="46"/>
      <c r="C25" s="161"/>
      <c r="D25" s="161"/>
    </row>
    <row r="26" spans="2:10">
      <c r="B26" s="46"/>
      <c r="C26" s="161"/>
      <c r="D26" s="161"/>
    </row>
    <row r="27" spans="2:10">
      <c r="B27" s="46"/>
      <c r="C27" s="161"/>
      <c r="D27" s="161"/>
    </row>
    <row r="28" spans="2:10">
      <c r="B28" s="55"/>
      <c r="C28" s="55"/>
      <c r="D28" s="41"/>
    </row>
    <row r="30" spans="2:10">
      <c r="B30" s="89" t="s">
        <v>154</v>
      </c>
      <c r="C30" s="90" t="s">
        <v>103</v>
      </c>
      <c r="D30" s="90" t="s">
        <v>104</v>
      </c>
      <c r="E30" s="90" t="s">
        <v>144</v>
      </c>
      <c r="F30" s="90" t="s">
        <v>44</v>
      </c>
      <c r="G30" s="90" t="s">
        <v>45</v>
      </c>
      <c r="H30" s="24"/>
      <c r="I30" s="24"/>
      <c r="J30" s="24"/>
    </row>
    <row r="31" spans="2:10">
      <c r="B31" s="89" t="s">
        <v>6</v>
      </c>
      <c r="C31" s="87">
        <f>(G150/360)*24</f>
        <v>4.5475114717072298</v>
      </c>
      <c r="D31" s="87">
        <f>H150</f>
        <v>21.925056165158988</v>
      </c>
      <c r="E31" s="88">
        <f>I150</f>
        <v>116.77051177807152</v>
      </c>
      <c r="F31" s="88">
        <f t="shared" ref="F31" si="0">IF(SIN($C$100*E31)&lt;0,ACOS((SIN($C$100*D31)-SIN($C$100*G31)*SIN($C$100*$C$17))/(COS($C$100*G31)*COS($C$100*$C$17)))/$C$100,360-ACOS((SIN($C$100*D31)-SIN($C$100*G31)*SIN($C$100*$C$17))/(COS($C$100*G31)*COS($C$100*$C$17)))/$C$100)</f>
        <v>304.06881256484695</v>
      </c>
      <c r="G31" s="88">
        <f t="shared" ref="G31" si="1">ASIN(SIN($C$100*D31)*SIN($C$100*$C$17)+COS($C$100*D31)*COS($C$100*$C$17)*COS($C$100*E31))/$C$100</f>
        <v>-0.98501493496462578</v>
      </c>
      <c r="H31" s="24"/>
      <c r="I31" s="24"/>
      <c r="J31" s="24"/>
    </row>
    <row r="32" spans="2:10">
      <c r="B32" s="89" t="s">
        <v>10</v>
      </c>
      <c r="C32" s="87">
        <f>C135</f>
        <v>3.406141330540239</v>
      </c>
      <c r="D32" s="87">
        <f>C134</f>
        <v>16.97923619645594</v>
      </c>
      <c r="E32" s="88">
        <f>$C$15-((C32/24)*360)</f>
        <v>133.88717957314736</v>
      </c>
      <c r="F32" s="88">
        <f t="shared" ref="F32:F40" si="2">IF(SIN($C$100*E32)&lt;0,ACOS((SIN($C$100*D32)-SIN($C$100*G32)*SIN($C$100*$C$17))/(COS($C$100*G32)*COS($C$100*$C$17)))/$C$100,360-ACOS((SIN($C$100*D32)-SIN($C$100*G32)*SIN($C$100*$C$17))/(COS($C$100*G32)*COS($C$100*$C$17)))/$C$100)</f>
        <v>314.6858512643206</v>
      </c>
      <c r="G32" s="88">
        <f t="shared" ref="G32:G40" si="3">ASIN(SIN($C$100*D32)*SIN($C$100*$C$17)+COS($C$100*D32)*COS($C$100*$C$17)*COS($C$100*E32))/$C$100</f>
        <v>-14.186354943853418</v>
      </c>
      <c r="H32" s="24"/>
      <c r="I32" s="24"/>
      <c r="J32" s="24"/>
    </row>
    <row r="33" spans="2:10">
      <c r="B33" s="89" t="s">
        <v>13</v>
      </c>
      <c r="C33" s="87">
        <f>D135</f>
        <v>4.4371023671324243</v>
      </c>
      <c r="D33" s="87">
        <f>D134</f>
        <v>21.436345936689431</v>
      </c>
      <c r="E33" s="88">
        <f>$C$15-((C33/24)*360)</f>
        <v>118.42276402426458</v>
      </c>
      <c r="F33" s="88">
        <f t="shared" si="2"/>
        <v>304.98643670281035</v>
      </c>
      <c r="G33" s="88">
        <f t="shared" si="3"/>
        <v>-2.3097208548964772</v>
      </c>
      <c r="H33" s="24"/>
      <c r="I33" s="24"/>
      <c r="J33" s="24"/>
    </row>
    <row r="34" spans="2:10">
      <c r="B34" s="89" t="s">
        <v>7</v>
      </c>
      <c r="C34" s="87">
        <f>(Z150/360)*24</f>
        <v>22.911386244503834</v>
      </c>
      <c r="D34" s="87">
        <f>AA150</f>
        <v>-10.636336095513331</v>
      </c>
      <c r="E34" s="88">
        <f>AB150</f>
        <v>201.31239018635824</v>
      </c>
      <c r="F34" s="88">
        <f t="shared" si="2"/>
        <v>33.654497702404122</v>
      </c>
      <c r="G34" s="88">
        <f t="shared" si="3"/>
        <v>-49.866834334925969</v>
      </c>
      <c r="H34" s="24"/>
      <c r="I34" s="24"/>
      <c r="J34" s="24"/>
    </row>
    <row r="35" spans="2:10">
      <c r="B35" s="89" t="s">
        <v>11</v>
      </c>
      <c r="C35" s="87">
        <f>F135</f>
        <v>1.4288488268914832</v>
      </c>
      <c r="D35" s="87">
        <f>F134</f>
        <v>7.7309115361052747</v>
      </c>
      <c r="E35" s="88">
        <f t="shared" ref="E35:E40" si="4">$C$15-((C35/24)*360)</f>
        <v>163.54656712787869</v>
      </c>
      <c r="F35" s="88">
        <f t="shared" si="2"/>
        <v>340.24585352947236</v>
      </c>
      <c r="G35" s="88">
        <f t="shared" si="3"/>
        <v>-33.860463513058399</v>
      </c>
      <c r="H35" s="24"/>
      <c r="I35" s="24"/>
      <c r="J35" s="24"/>
    </row>
    <row r="36" spans="2:10">
      <c r="B36" s="89" t="s">
        <v>12</v>
      </c>
      <c r="C36" s="87">
        <f>G135</f>
        <v>3.9189965923735248</v>
      </c>
      <c r="D36" s="87">
        <f>G134</f>
        <v>19.60466754808402</v>
      </c>
      <c r="E36" s="88">
        <f t="shared" si="4"/>
        <v>126.19435064564807</v>
      </c>
      <c r="F36" s="88">
        <f t="shared" si="2"/>
        <v>309.843320126744</v>
      </c>
      <c r="G36" s="88">
        <f t="shared" si="3"/>
        <v>-8.0488514204010837</v>
      </c>
      <c r="H36" s="24"/>
      <c r="I36" s="24"/>
      <c r="J36" s="24"/>
    </row>
    <row r="37" spans="2:10">
      <c r="B37" s="89" t="s">
        <v>14</v>
      </c>
      <c r="C37" s="87">
        <f>H135</f>
        <v>23.336690191455414</v>
      </c>
      <c r="D37" s="87">
        <f>H134</f>
        <v>-6.2968517367088026</v>
      </c>
      <c r="E37" s="88">
        <f t="shared" si="4"/>
        <v>-165.07105334058025</v>
      </c>
      <c r="F37" s="88">
        <f t="shared" si="2"/>
        <v>22.421296763123411</v>
      </c>
      <c r="G37" s="88">
        <f t="shared" si="3"/>
        <v>-47.827750793701448</v>
      </c>
      <c r="H37" s="24"/>
      <c r="I37" s="24"/>
      <c r="J37" s="24"/>
    </row>
    <row r="38" spans="2:10">
      <c r="B38" s="89" t="s">
        <v>43</v>
      </c>
      <c r="C38" s="87">
        <f>I135</f>
        <v>3.4324139912247325</v>
      </c>
      <c r="D38" s="87">
        <f>I134</f>
        <v>18.463093719392475</v>
      </c>
      <c r="E38" s="88">
        <f t="shared" si="4"/>
        <v>133.49308966287995</v>
      </c>
      <c r="F38" s="88">
        <f t="shared" si="2"/>
        <v>315.13583688887439</v>
      </c>
      <c r="G38" s="88">
        <f t="shared" si="3"/>
        <v>-12.719649349559406</v>
      </c>
      <c r="H38" s="24"/>
      <c r="I38" s="24"/>
      <c r="J38" s="24"/>
    </row>
    <row r="39" spans="2:10">
      <c r="B39" s="89" t="s">
        <v>42</v>
      </c>
      <c r="C39" s="87">
        <f>J135</f>
        <v>23.990651538160975</v>
      </c>
      <c r="D39" s="87">
        <f>J134</f>
        <v>-1.4275141468999852</v>
      </c>
      <c r="E39" s="88">
        <f t="shared" si="4"/>
        <v>-174.88047354116367</v>
      </c>
      <c r="F39" s="88">
        <f t="shared" si="2"/>
        <v>7.2157362802366176</v>
      </c>
      <c r="G39" s="88">
        <f t="shared" si="3"/>
        <v>-44.748244992605343</v>
      </c>
      <c r="H39" s="24"/>
      <c r="I39" s="24"/>
      <c r="J39" s="24"/>
    </row>
    <row r="40" spans="2:10">
      <c r="B40" s="89" t="s">
        <v>41</v>
      </c>
      <c r="C40" s="87">
        <f>K135</f>
        <v>20.303863289759214</v>
      </c>
      <c r="D40" s="87">
        <f>K134</f>
        <v>-22.841608793032567</v>
      </c>
      <c r="E40" s="88">
        <f t="shared" si="4"/>
        <v>-119.57864981513723</v>
      </c>
      <c r="F40" s="88">
        <f t="shared" si="2"/>
        <v>85.55340545549771</v>
      </c>
      <c r="G40" s="88">
        <f t="shared" si="3"/>
        <v>-36.495871968431622</v>
      </c>
      <c r="H40" s="24"/>
      <c r="I40" s="24"/>
      <c r="J40" s="24"/>
    </row>
    <row r="41" spans="2:10">
      <c r="D41" s="59"/>
      <c r="E41" s="59"/>
      <c r="G41" s="56"/>
      <c r="H41" s="56"/>
      <c r="I41" s="24"/>
      <c r="J41" s="24"/>
    </row>
    <row r="42" spans="2:10">
      <c r="D42" s="59"/>
      <c r="E42" s="59"/>
      <c r="G42" s="56"/>
      <c r="H42" s="56"/>
      <c r="I42" s="24"/>
      <c r="J42" s="24"/>
    </row>
    <row r="43" spans="2:10">
      <c r="D43" s="59"/>
      <c r="E43" s="59"/>
      <c r="G43" s="56"/>
      <c r="H43" s="56"/>
      <c r="I43" s="24"/>
      <c r="J43" s="24"/>
    </row>
    <row r="44" spans="2:10">
      <c r="D44" s="59"/>
      <c r="E44" s="59"/>
      <c r="G44" s="56"/>
      <c r="H44" s="56"/>
      <c r="I44" s="24"/>
      <c r="J44" s="24"/>
    </row>
    <row r="45" spans="2:10">
      <c r="D45" s="59"/>
      <c r="E45" s="59"/>
      <c r="G45" s="56"/>
      <c r="H45" s="56"/>
      <c r="I45" s="24"/>
      <c r="J45" s="24"/>
    </row>
    <row r="46" spans="2:10">
      <c r="D46" s="59"/>
      <c r="E46" s="59"/>
      <c r="G46" s="56"/>
      <c r="H46" s="56"/>
      <c r="I46" s="24"/>
      <c r="J46" s="24"/>
    </row>
    <row r="47" spans="2:10">
      <c r="D47" s="59"/>
      <c r="E47" s="59"/>
      <c r="G47" s="56"/>
      <c r="H47" s="56"/>
      <c r="I47" s="24"/>
      <c r="J47" s="24"/>
    </row>
    <row r="79" spans="1:22" s="95" customFormat="1">
      <c r="A79" s="93"/>
      <c r="B79" s="93"/>
      <c r="C79" s="93"/>
      <c r="D79" s="93"/>
      <c r="E79" s="93"/>
      <c r="F79" s="94"/>
      <c r="G79" s="94"/>
      <c r="H79" s="94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</row>
    <row r="81" spans="2:5" ht="19">
      <c r="B81" s="100" t="s">
        <v>182</v>
      </c>
    </row>
    <row r="82" spans="2:5">
      <c r="B82" s="58" t="s">
        <v>100</v>
      </c>
    </row>
    <row r="84" spans="2:5">
      <c r="B84" s="72" t="s">
        <v>101</v>
      </c>
      <c r="C84" s="73"/>
      <c r="E84" s="57"/>
    </row>
    <row r="85" spans="2:5">
      <c r="B85" s="67" t="s">
        <v>102</v>
      </c>
      <c r="C85" s="74">
        <f>C18</f>
        <v>7.4428999999999998</v>
      </c>
    </row>
    <row r="86" spans="2:5">
      <c r="B86" s="67" t="s">
        <v>105</v>
      </c>
      <c r="C86" s="74">
        <f>C17</f>
        <v>46.4572</v>
      </c>
    </row>
    <row r="87" spans="2:5">
      <c r="B87" s="70" t="s">
        <v>106</v>
      </c>
      <c r="C87" s="75">
        <f>C6</f>
        <v>1</v>
      </c>
    </row>
    <row r="88" spans="2:5">
      <c r="B88" s="59"/>
      <c r="C88" s="60"/>
    </row>
    <row r="89" spans="2:5">
      <c r="B89" s="65" t="s">
        <v>107</v>
      </c>
      <c r="C89" s="66"/>
    </row>
    <row r="90" spans="2:5">
      <c r="B90" s="67" t="s">
        <v>0</v>
      </c>
      <c r="C90" s="68">
        <f>YEAR(C4)</f>
        <v>2024</v>
      </c>
    </row>
    <row r="91" spans="2:5">
      <c r="B91" s="67" t="s">
        <v>1</v>
      </c>
      <c r="C91" s="69">
        <f>MONTH(C4)</f>
        <v>5</v>
      </c>
    </row>
    <row r="92" spans="2:5">
      <c r="B92" s="67" t="s">
        <v>2</v>
      </c>
      <c r="C92" s="69">
        <f>DAY(C4)</f>
        <v>30</v>
      </c>
    </row>
    <row r="93" spans="2:5">
      <c r="B93" s="67" t="s">
        <v>3</v>
      </c>
      <c r="C93" s="69">
        <f>HOUR(C5)</f>
        <v>20</v>
      </c>
    </row>
    <row r="94" spans="2:5">
      <c r="B94" s="70" t="s">
        <v>38</v>
      </c>
      <c r="C94" s="71">
        <f>MINUTE(C5)</f>
        <v>15</v>
      </c>
    </row>
    <row r="96" spans="2:5">
      <c r="B96" s="72" t="s">
        <v>108</v>
      </c>
      <c r="C96" s="73"/>
    </row>
    <row r="97" spans="2:11">
      <c r="B97" s="67" t="s">
        <v>147</v>
      </c>
      <c r="C97" s="76">
        <f>C12</f>
        <v>8916.3020833333339</v>
      </c>
    </row>
    <row r="98" spans="2:11">
      <c r="B98" s="67" t="s">
        <v>109</v>
      </c>
      <c r="C98" s="76">
        <f>C13</f>
        <v>0.24411618754277892</v>
      </c>
    </row>
    <row r="99" spans="2:11">
      <c r="B99" s="67" t="s">
        <v>110</v>
      </c>
      <c r="C99" s="76">
        <f>C15</f>
        <v>184.97929953125094</v>
      </c>
    </row>
    <row r="100" spans="2:11">
      <c r="B100" s="70" t="s">
        <v>155</v>
      </c>
      <c r="C100" s="96">
        <f>PI()/180</f>
        <v>1.7453292519943295E-2</v>
      </c>
      <c r="F100" s="64"/>
    </row>
    <row r="101" spans="2:11">
      <c r="F101" s="64"/>
    </row>
    <row r="102" spans="2:11">
      <c r="C102" s="97" t="s">
        <v>10</v>
      </c>
      <c r="D102" s="98" t="s">
        <v>13</v>
      </c>
      <c r="E102" s="98" t="s">
        <v>8</v>
      </c>
      <c r="F102" s="98" t="s">
        <v>11</v>
      </c>
      <c r="G102" s="98" t="s">
        <v>12</v>
      </c>
      <c r="H102" s="98" t="s">
        <v>14</v>
      </c>
      <c r="I102" s="98" t="s">
        <v>43</v>
      </c>
      <c r="J102" s="98" t="s">
        <v>42</v>
      </c>
      <c r="K102" s="99" t="s">
        <v>41</v>
      </c>
    </row>
    <row r="103" spans="2:11">
      <c r="B103" s="72" t="s">
        <v>111</v>
      </c>
      <c r="C103" s="77"/>
      <c r="D103" s="77"/>
      <c r="E103" s="77"/>
      <c r="F103" s="78"/>
      <c r="G103" s="78"/>
      <c r="H103" s="78"/>
      <c r="I103" s="77"/>
      <c r="J103" s="77"/>
      <c r="K103" s="86"/>
    </row>
    <row r="104" spans="2:11">
      <c r="B104" s="67" t="s">
        <v>15</v>
      </c>
      <c r="C104" s="79">
        <f>0.38709893+0.00000066*$C$98</f>
        <v>0.38709909111668378</v>
      </c>
      <c r="D104" s="79">
        <f>0.72333199+0.00000092*$C$98</f>
        <v>0.72333221458689256</v>
      </c>
      <c r="E104" s="79">
        <f>1.00000011- 0.00000005*$C$98</f>
        <v>1.0000000977941905</v>
      </c>
      <c r="F104" s="80">
        <f>1.52366231+0.00007221*$C$98</f>
        <v>1.5236799376299024</v>
      </c>
      <c r="G104" s="80">
        <f>5.20336301+0.00060737*$C$98</f>
        <v>5.2035112788488282</v>
      </c>
      <c r="H104" s="80">
        <f>9.53707032- 0.0030153*$C$98</f>
        <v>9.5363342364597017</v>
      </c>
      <c r="I104" s="79">
        <f>19.19126393+0.00152025*$C$98</f>
        <v>19.191635047634115</v>
      </c>
      <c r="J104" s="79">
        <f>30.06896348 - 0.00125196*$C$98</f>
        <v>30.068657856297843</v>
      </c>
      <c r="K104" s="74">
        <f>39.481686773 - 0.00076912*$C$98</f>
        <v>39.481499018357837</v>
      </c>
    </row>
    <row r="105" spans="2:11">
      <c r="B105" s="67" t="s">
        <v>17</v>
      </c>
      <c r="C105" s="79">
        <f>0.20563069 + 0.00002527*$C$98</f>
        <v>0.2056368588160592</v>
      </c>
      <c r="D105" s="79">
        <f>0.00677323 - 0.00004938 *$C$98</f>
        <v>6.7611755426591376E-3</v>
      </c>
      <c r="E105" s="79">
        <f>0.01671022 - 0.00003804 *$C$98</f>
        <v>1.6700933820225874E-2</v>
      </c>
      <c r="F105" s="80">
        <f>0.09341233 + 0.00011902 * $C$98</f>
        <v>9.3441384708641342E-2</v>
      </c>
      <c r="G105" s="80">
        <f>0.04839266 - 0.0001288 * $C$98</f>
        <v>4.836121783504449E-2</v>
      </c>
      <c r="H105" s="80">
        <f>0.0541506 - 0.00036762 *$C$98</f>
        <v>5.4060858007135525E-2</v>
      </c>
      <c r="I105" s="79">
        <f>0.04716771 - 0.0001915 * $C$98</f>
        <v>4.7120961750085559E-2</v>
      </c>
      <c r="J105" s="79">
        <f>0.00858587 + 0.00002514 * $C$98</f>
        <v>8.5920070809548266E-3</v>
      </c>
      <c r="K105" s="74">
        <f>0.24880766 + 0.00006465 * $C$98</f>
        <v>0.24882344211152466</v>
      </c>
    </row>
    <row r="106" spans="2:11">
      <c r="B106" s="67" t="s">
        <v>29</v>
      </c>
      <c r="C106" s="79">
        <f>7.00487-23.51*$C$98/3600</f>
        <v>7.0032757856752417</v>
      </c>
      <c r="D106" s="79">
        <f>3.39471 - 2.86 * $C$98/3600</f>
        <v>3.3945160632510074</v>
      </c>
      <c r="E106" s="79">
        <f>0.00005 - 46.94 *$C$98/3600</f>
        <v>-3.1330038453494559E-3</v>
      </c>
      <c r="F106" s="80">
        <f>1.85061- 25.47 *$C$98/3600</f>
        <v>1.848882877973135</v>
      </c>
      <c r="G106" s="80">
        <f>1.3053 - 4.15 *$C$98/3600</f>
        <v>1.3050185882838048</v>
      </c>
      <c r="H106" s="80">
        <f>2.48446 + 6.11 *$C$98/3600</f>
        <v>2.4848743194183016</v>
      </c>
      <c r="I106" s="79">
        <f>0.76986 - 2.09 *$C$98/3600</f>
        <v>0.76971827699112094</v>
      </c>
      <c r="J106" s="79">
        <f>1.76917 - 3.64 *$C$98/3600</f>
        <v>1.7689231714103733</v>
      </c>
      <c r="K106" s="74">
        <f>17.14175 + 11.07 *$C$98/3600</f>
        <v>17.142500657276692</v>
      </c>
    </row>
    <row r="107" spans="2:11">
      <c r="B107" s="67" t="s">
        <v>112</v>
      </c>
      <c r="C107" s="79">
        <f>48.33167-446.3*$C$98/3600</f>
        <v>48.301406373749906</v>
      </c>
      <c r="D107" s="79">
        <f>76.68069 - 996.89 *$C$98/3600</f>
        <v>76.613090837166794</v>
      </c>
      <c r="E107" s="79">
        <f>-11.26064 - 18228.25 *$C$98/3600</f>
        <v>-12.496698582104628</v>
      </c>
      <c r="F107" s="80">
        <f>49.57854 - 1020.19 *$C$98/3600</f>
        <v>49.509360862952981</v>
      </c>
      <c r="G107" s="80">
        <f>100.55615 + 1217.17 *$C$98/3600</f>
        <v>100.63868636110874</v>
      </c>
      <c r="H107" s="80">
        <f>113.71504 - 1591.05 *$C$98/3600</f>
        <v>113.60715081661391</v>
      </c>
      <c r="I107" s="79">
        <f>74.22988 + 1681.4 *$C$98/3600</f>
        <v>74.343895821592895</v>
      </c>
      <c r="J107" s="79">
        <f>131.72169 - 151.25 *$C$98/3600</f>
        <v>131.71143372962058</v>
      </c>
      <c r="K107" s="74">
        <f>110.30347 - 37.33 *$C$98/3600</f>
        <v>110.30093865075528</v>
      </c>
    </row>
    <row r="108" spans="2:11">
      <c r="B108" s="67" t="s">
        <v>24</v>
      </c>
      <c r="C108" s="79">
        <f>77.45645+573.57*$C$98/3600</f>
        <v>77.495343811580256</v>
      </c>
      <c r="D108" s="79">
        <f>131.53298 - 108.8*$C$98/3600</f>
        <v>131.52560226633204</v>
      </c>
      <c r="E108" s="79">
        <f>102.94719 + 1198.28 *$C$98/3600</f>
        <v>103.02844542922466</v>
      </c>
      <c r="F108" s="80">
        <f>336.04084 + 1560.78 *$C$98/3600</f>
        <v>336.14667657310918</v>
      </c>
      <c r="G108" s="80">
        <f>14.75385 + 839.93 *$C$98/3600</f>
        <v>14.810805697056335</v>
      </c>
      <c r="H108" s="80">
        <f>92.43194 - 1948.89 *$C$98/3600</f>
        <v>92.299785667572152</v>
      </c>
      <c r="I108" s="79">
        <f>170.96424 + 1312.56 *$C$98/3600</f>
        <v>171.05324476197808</v>
      </c>
      <c r="J108" s="79">
        <f>44.97135 - 844.43 *$C$98/3600</f>
        <v>44.914089157709235</v>
      </c>
      <c r="K108" s="74">
        <f>224.06676 - 132.25 *$C$98/3600</f>
        <v>224.0577921206104</v>
      </c>
    </row>
    <row r="109" spans="2:11">
      <c r="B109" s="70" t="s">
        <v>113</v>
      </c>
      <c r="C109" s="81">
        <f>MOD(252.25084+ 149472.674525*$C$98,360)</f>
        <v>20.950286865656381</v>
      </c>
      <c r="D109" s="81">
        <f>MOD(181.97973+ 58517.8155722222*$C$98,360)</f>
        <v>67.12577082234202</v>
      </c>
      <c r="E109" s="81">
        <f>MOD(100.46435+ 35999.3723972222*$C$98,360)</f>
        <v>248.49389354263258</v>
      </c>
      <c r="F109" s="82">
        <f>MOD(355.45332+ 19140.3066055556*$C$98,360)</f>
        <v>347.91199694810075</v>
      </c>
      <c r="G109" s="82">
        <f>MOD(34.40438+ 3034.74398611111*$C$98,360)</f>
        <v>55.234512057820211</v>
      </c>
      <c r="H109" s="82">
        <f>MOD(49.94432 + 1222.51470833333*$C$98,360)</f>
        <v>348.37994981330485</v>
      </c>
      <c r="I109" s="81">
        <f>MOD(313.23218 + 428.48549722222 *$C$98,360)</f>
        <v>57.832425999260352</v>
      </c>
      <c r="J109" s="81">
        <f>MOD(304.88003 + 218.45811388889 *$C$98,360)</f>
        <v>358.20919190034203</v>
      </c>
      <c r="K109" s="83">
        <f>MOD(238.92881 +  145.20775 *$C$98,360)</f>
        <v>274.37637233166492</v>
      </c>
    </row>
    <row r="110" spans="2:11">
      <c r="B110" s="59"/>
      <c r="C110" s="97" t="s">
        <v>10</v>
      </c>
      <c r="D110" s="98" t="s">
        <v>13</v>
      </c>
      <c r="E110" s="98" t="s">
        <v>8</v>
      </c>
      <c r="F110" s="98" t="s">
        <v>11</v>
      </c>
      <c r="G110" s="98" t="s">
        <v>12</v>
      </c>
      <c r="H110" s="98" t="s">
        <v>14</v>
      </c>
      <c r="I110" s="98" t="s">
        <v>43</v>
      </c>
      <c r="J110" s="98" t="s">
        <v>42</v>
      </c>
      <c r="K110" s="99" t="s">
        <v>41</v>
      </c>
    </row>
    <row r="111" spans="2:11">
      <c r="B111" s="72" t="s">
        <v>114</v>
      </c>
      <c r="C111" s="84">
        <f>DEGREES(C112)</f>
        <v>303.45494305407613</v>
      </c>
      <c r="D111" s="84">
        <f t="shared" ref="D111:J111" si="5">DEGREES(D112)</f>
        <v>295.60016855600998</v>
      </c>
      <c r="E111" s="84">
        <f t="shared" si="5"/>
        <v>145.46544811340792</v>
      </c>
      <c r="F111" s="85">
        <f t="shared" si="5"/>
        <v>11.765320374991575</v>
      </c>
      <c r="G111" s="85">
        <f t="shared" si="5"/>
        <v>40.423706360763873</v>
      </c>
      <c r="H111" s="85">
        <f t="shared" si="5"/>
        <v>256.08016414573268</v>
      </c>
      <c r="I111" s="84">
        <f t="shared" si="5"/>
        <v>246.77918123728227</v>
      </c>
      <c r="J111" s="84">
        <f t="shared" si="5"/>
        <v>313.29510274263282</v>
      </c>
      <c r="K111" s="66"/>
    </row>
    <row r="112" spans="2:11">
      <c r="B112" s="67" t="s">
        <v>115</v>
      </c>
      <c r="C112" s="79">
        <f>RADIANS(MOD(C109-C108,360))</f>
        <v>5.2962878877455255</v>
      </c>
      <c r="D112" s="79">
        <f t="shared" ref="D112:K112" si="6">RADIANS(MOD(D109-D108,360))</f>
        <v>5.1591962107525866</v>
      </c>
      <c r="E112" s="79">
        <f t="shared" si="6"/>
        <v>2.538851017467942</v>
      </c>
      <c r="F112" s="80">
        <f t="shared" si="6"/>
        <v>0.20534357809557691</v>
      </c>
      <c r="G112" s="80">
        <f t="shared" si="6"/>
        <v>0.70552677185470436</v>
      </c>
      <c r="H112" s="80">
        <f t="shared" si="6"/>
        <v>4.4694420133905677</v>
      </c>
      <c r="I112" s="79">
        <f t="shared" si="6"/>
        <v>4.3071092379663893</v>
      </c>
      <c r="J112" s="79">
        <f t="shared" si="6"/>
        <v>5.4680310732328596</v>
      </c>
      <c r="K112" s="74">
        <f t="shared" si="6"/>
        <v>0.87822489961176464</v>
      </c>
    </row>
    <row r="113" spans="2:11">
      <c r="B113" s="67" t="s">
        <v>152</v>
      </c>
      <c r="C113" s="79">
        <f xml:space="preserve"> C112 + (2*C105 - 0.25*C105^3 + 5/96*C105^5)*SIN(C112) + (1.25*C105^2 - 11/24 * C105^4)*SIN(2*C112) + (13/12* C105^3 - 43/64 * C105^5)* SIN(3*C112) + 103/96 * C105^4 * SIN(4*C112) + 1097/960 * C105^5 * SIN(5*C112)</f>
        <v>4.9072259198768071</v>
      </c>
      <c r="D113" s="79">
        <f t="shared" ref="D113:K113" si="7" xml:space="preserve"> D112 + (2*D105 - 0.25*D105^3 + 5/96*D105^5)*SIN(D112) + (1.25*D105^2 - 11/24 * D105^4)*SIN(2*D112) + (13/12* D105^3 - 43/64 * D105^5)* SIN(3*D112) + 103/96 * D105^4 * SIN(4*D112) + 1097/960 * D105^5 * SIN(5*D112)</f>
        <v>5.1469569479448385</v>
      </c>
      <c r="E113" s="79">
        <f t="shared" si="7"/>
        <v>2.557465217376881</v>
      </c>
      <c r="F113" s="80">
        <f t="shared" si="7"/>
        <v>0.24832628617389627</v>
      </c>
      <c r="G113" s="80">
        <f t="shared" si="7"/>
        <v>0.77121677318779025</v>
      </c>
      <c r="H113" s="80">
        <f t="shared" si="7"/>
        <v>4.3663577128982451</v>
      </c>
      <c r="I113" s="79">
        <f t="shared" si="7"/>
        <v>4.2225695292075498</v>
      </c>
      <c r="J113" s="79">
        <f t="shared" si="7"/>
        <v>5.4554315717534605</v>
      </c>
      <c r="K113" s="74">
        <f t="shared" si="7"/>
        <v>1.3378910859488198</v>
      </c>
    </row>
    <row r="114" spans="2:11">
      <c r="B114" s="67" t="s">
        <v>153</v>
      </c>
      <c r="C114" s="79">
        <f t="shared" ref="C114:K114" si="8">DEGREES(C113)</f>
        <v>281.16333432614414</v>
      </c>
      <c r="D114" s="79">
        <f t="shared" si="8"/>
        <v>294.8989104527746</v>
      </c>
      <c r="E114" s="79">
        <f t="shared" si="8"/>
        <v>146.53196320720292</v>
      </c>
      <c r="F114" s="80">
        <f t="shared" si="8"/>
        <v>14.228048139922144</v>
      </c>
      <c r="G114" s="80">
        <f t="shared" si="8"/>
        <v>44.187466193358446</v>
      </c>
      <c r="H114" s="80">
        <f t="shared" si="8"/>
        <v>250.17386879346427</v>
      </c>
      <c r="I114" s="79">
        <f t="shared" si="8"/>
        <v>241.9354127241356</v>
      </c>
      <c r="J114" s="79">
        <f t="shared" si="8"/>
        <v>312.57320448389441</v>
      </c>
      <c r="K114" s="74">
        <f t="shared" si="8"/>
        <v>76.655512673041855</v>
      </c>
    </row>
    <row r="115" spans="2:11">
      <c r="B115" s="70" t="s">
        <v>116</v>
      </c>
      <c r="C115" s="81">
        <f t="shared" ref="C115:K115" si="9" xml:space="preserve"> C104 * (1 - C105^2) / (1 + C105 * COS(C113))</f>
        <v>0.35653540108381382</v>
      </c>
      <c r="D115" s="81">
        <f t="shared" si="9"/>
        <v>0.72124606361855037</v>
      </c>
      <c r="E115" s="81">
        <f t="shared" si="9"/>
        <v>1.0138458869384439</v>
      </c>
      <c r="F115" s="82">
        <f t="shared" si="9"/>
        <v>1.3849355855472925</v>
      </c>
      <c r="G115" s="82">
        <f t="shared" si="9"/>
        <v>5.0173494010805788</v>
      </c>
      <c r="H115" s="82">
        <f t="shared" si="9"/>
        <v>9.686063935850715</v>
      </c>
      <c r="I115" s="81">
        <f t="shared" si="9"/>
        <v>19.583158078481983</v>
      </c>
      <c r="J115" s="81">
        <f t="shared" si="9"/>
        <v>29.892679001365952</v>
      </c>
      <c r="K115" s="83">
        <f t="shared" si="9"/>
        <v>35.025566663324533</v>
      </c>
    </row>
    <row r="116" spans="2:11">
      <c r="B116" s="59"/>
      <c r="C116" s="97" t="s">
        <v>10</v>
      </c>
      <c r="D116" s="98" t="s">
        <v>13</v>
      </c>
      <c r="E116" s="98" t="s">
        <v>8</v>
      </c>
      <c r="F116" s="98" t="s">
        <v>11</v>
      </c>
      <c r="G116" s="98" t="s">
        <v>12</v>
      </c>
      <c r="H116" s="98" t="s">
        <v>14</v>
      </c>
      <c r="I116" s="98" t="s">
        <v>43</v>
      </c>
      <c r="J116" s="98" t="s">
        <v>42</v>
      </c>
      <c r="K116" s="99" t="s">
        <v>41</v>
      </c>
    </row>
    <row r="117" spans="2:11">
      <c r="B117" s="65" t="s">
        <v>117</v>
      </c>
      <c r="C117" s="84">
        <f>DEGREES(C112)</f>
        <v>303.45494305407613</v>
      </c>
      <c r="D117" s="84">
        <f>DEGREES(D112)</f>
        <v>295.60016855600998</v>
      </c>
      <c r="E117" s="84">
        <f>DEGREES(E112)</f>
        <v>145.46544811340792</v>
      </c>
      <c r="F117" s="85"/>
      <c r="G117" s="85"/>
      <c r="H117" s="85"/>
      <c r="I117" s="84"/>
      <c r="J117" s="84"/>
      <c r="K117" s="66"/>
    </row>
    <row r="118" spans="2:11">
      <c r="B118" s="67" t="s">
        <v>118</v>
      </c>
      <c r="C118" s="79">
        <f t="shared" ref="C118:K118" si="10" xml:space="preserve"> C115 * (COS(RADIANS(C107)) * COS(C113 + RADIANS((C108 - C107))) - SIN(RADIANS(C107)) * SIN(C113 + RADIANS(C108 - C107)) * COS(RADIANS(106:106)))</f>
        <v>0.35492422833162346</v>
      </c>
      <c r="D118" s="79">
        <f t="shared" si="10"/>
        <v>0.28824961880130956</v>
      </c>
      <c r="E118" s="79">
        <f t="shared" si="10"/>
        <v>-0.35405488070611529</v>
      </c>
      <c r="F118" s="80">
        <f t="shared" si="10"/>
        <v>1.3649683069769796</v>
      </c>
      <c r="G118" s="80">
        <f t="shared" si="10"/>
        <v>2.5834058282753039</v>
      </c>
      <c r="H118" s="80">
        <f t="shared" si="10"/>
        <v>9.23013738225883</v>
      </c>
      <c r="I118" s="79">
        <f t="shared" si="10"/>
        <v>11.787915004323118</v>
      </c>
      <c r="J118" s="79">
        <f t="shared" si="10"/>
        <v>29.856317230268001</v>
      </c>
      <c r="K118" s="74">
        <f t="shared" si="10"/>
        <v>17.625294309523351</v>
      </c>
    </row>
    <row r="119" spans="2:11">
      <c r="B119" s="67" t="s">
        <v>119</v>
      </c>
      <c r="C119" s="79">
        <f t="shared" ref="C119:K119" si="11" xml:space="preserve"> C115 * (SIN(RADIANS(C107)) * COS(C113 + RADIANS((C108 - C107))) + COS(RADIANS(C107)) * SIN(C113 + RADIANS(C108 - C107)) * COS(RADIANS(C106)))</f>
        <v>-6.9975109015561164E-3</v>
      </c>
      <c r="D119" s="79">
        <f t="shared" si="11"/>
        <v>0.66109831092606131</v>
      </c>
      <c r="E119" s="79">
        <f t="shared" si="11"/>
        <v>-0.95001506350976173</v>
      </c>
      <c r="F119" s="80">
        <f t="shared" si="11"/>
        <v>-0.23116448082256713</v>
      </c>
      <c r="G119" s="80">
        <f t="shared" si="11"/>
        <v>4.3004702591949986</v>
      </c>
      <c r="H119" s="80">
        <f t="shared" si="11"/>
        <v>-2.9196500629932811</v>
      </c>
      <c r="I119" s="79">
        <f t="shared" si="11"/>
        <v>15.637645693709993</v>
      </c>
      <c r="J119" s="79">
        <f t="shared" si="11"/>
        <v>-1.3173157314012771</v>
      </c>
      <c r="K119" s="74">
        <f t="shared" si="11"/>
        <v>-30.210230184893589</v>
      </c>
    </row>
    <row r="120" spans="2:11">
      <c r="B120" s="70" t="s">
        <v>120</v>
      </c>
      <c r="C120" s="81">
        <f t="shared" ref="C120:K120" si="12" xml:space="preserve"> C115 * (SIN(C113 + RADIANS(C108 - C107)) * SIN(RADIANS(C106)))</f>
        <v>-3.3125808826052323E-2</v>
      </c>
      <c r="D120" s="81">
        <f t="shared" si="12"/>
        <v>-7.5541271410073342E-3</v>
      </c>
      <c r="E120" s="81">
        <f t="shared" si="12"/>
        <v>5.4906483438809586E-5</v>
      </c>
      <c r="F120" s="82">
        <f t="shared" si="12"/>
        <v>-3.8354659034496752E-2</v>
      </c>
      <c r="G120" s="82">
        <f t="shared" si="12"/>
        <v>-7.5926864390248872E-2</v>
      </c>
      <c r="H120" s="82">
        <f t="shared" si="12"/>
        <v>-0.31629414107640896</v>
      </c>
      <c r="I120" s="81">
        <f t="shared" si="12"/>
        <v>-9.5798411580339748E-2</v>
      </c>
      <c r="J120" s="81">
        <f t="shared" si="12"/>
        <v>-0.66125531234903245</v>
      </c>
      <c r="K120" s="83">
        <f t="shared" si="12"/>
        <v>-1.8658276355062913</v>
      </c>
    </row>
    <row r="121" spans="2:11">
      <c r="B121" s="59"/>
      <c r="C121" s="97" t="s">
        <v>10</v>
      </c>
      <c r="D121" s="98" t="s">
        <v>13</v>
      </c>
      <c r="E121" s="98" t="s">
        <v>8</v>
      </c>
      <c r="F121" s="98" t="s">
        <v>11</v>
      </c>
      <c r="G121" s="98" t="s">
        <v>12</v>
      </c>
      <c r="H121" s="98" t="s">
        <v>14</v>
      </c>
      <c r="I121" s="98" t="s">
        <v>43</v>
      </c>
      <c r="J121" s="98" t="s">
        <v>42</v>
      </c>
      <c r="K121" s="99" t="s">
        <v>41</v>
      </c>
    </row>
    <row r="122" spans="2:11">
      <c r="B122" s="72" t="s">
        <v>121</v>
      </c>
      <c r="C122" s="84"/>
      <c r="D122" s="84"/>
      <c r="E122" s="84"/>
      <c r="F122" s="85"/>
      <c r="G122" s="85"/>
      <c r="H122" s="85"/>
      <c r="I122" s="84"/>
      <c r="J122" s="84"/>
      <c r="K122" s="66"/>
    </row>
    <row r="123" spans="2:11">
      <c r="B123" s="67" t="s">
        <v>122</v>
      </c>
      <c r="C123" s="79">
        <f t="shared" ref="C123:K123" si="13">C118-$E118</f>
        <v>0.70897910903773875</v>
      </c>
      <c r="D123" s="79">
        <f t="shared" si="13"/>
        <v>0.64230449950742485</v>
      </c>
      <c r="E123" s="79">
        <f t="shared" si="13"/>
        <v>0</v>
      </c>
      <c r="F123" s="80">
        <f t="shared" si="13"/>
        <v>1.7190231876830948</v>
      </c>
      <c r="G123" s="80">
        <f t="shared" si="13"/>
        <v>2.9374607089814191</v>
      </c>
      <c r="H123" s="80">
        <f t="shared" si="13"/>
        <v>9.5841922629649456</v>
      </c>
      <c r="I123" s="79">
        <f t="shared" si="13"/>
        <v>12.141969885029233</v>
      </c>
      <c r="J123" s="79">
        <f t="shared" si="13"/>
        <v>30.210372110974117</v>
      </c>
      <c r="K123" s="74">
        <f t="shared" si="13"/>
        <v>17.979349190229467</v>
      </c>
    </row>
    <row r="124" spans="2:11">
      <c r="B124" s="67" t="s">
        <v>22</v>
      </c>
      <c r="C124" s="79">
        <f t="shared" ref="C124:K124" si="14">C119-$E119</f>
        <v>0.94301755260820563</v>
      </c>
      <c r="D124" s="79">
        <f t="shared" si="14"/>
        <v>1.611113374435823</v>
      </c>
      <c r="E124" s="79">
        <f t="shared" si="14"/>
        <v>0</v>
      </c>
      <c r="F124" s="80">
        <f t="shared" si="14"/>
        <v>0.71885058268719459</v>
      </c>
      <c r="G124" s="80">
        <f t="shared" si="14"/>
        <v>5.2504853227047601</v>
      </c>
      <c r="H124" s="80">
        <f t="shared" si="14"/>
        <v>-1.9696349994835194</v>
      </c>
      <c r="I124" s="79">
        <f t="shared" si="14"/>
        <v>16.587660757219755</v>
      </c>
      <c r="J124" s="79">
        <f t="shared" si="14"/>
        <v>-0.36730066789151539</v>
      </c>
      <c r="K124" s="74">
        <f t="shared" si="14"/>
        <v>-29.260215121383826</v>
      </c>
    </row>
    <row r="125" spans="2:11">
      <c r="B125" s="70" t="s">
        <v>123</v>
      </c>
      <c r="C125" s="81">
        <f t="shared" ref="C125:K125" si="15">C120-$E120</f>
        <v>-3.3180715309491134E-2</v>
      </c>
      <c r="D125" s="81">
        <f t="shared" si="15"/>
        <v>-7.6090336244461435E-3</v>
      </c>
      <c r="E125" s="81">
        <f t="shared" si="15"/>
        <v>0</v>
      </c>
      <c r="F125" s="82">
        <f t="shared" si="15"/>
        <v>-3.8409565517935562E-2</v>
      </c>
      <c r="G125" s="82">
        <f t="shared" si="15"/>
        <v>-7.5981770873687682E-2</v>
      </c>
      <c r="H125" s="82">
        <f t="shared" si="15"/>
        <v>-0.31634904755984777</v>
      </c>
      <c r="I125" s="81">
        <f t="shared" si="15"/>
        <v>-9.5853318063778559E-2</v>
      </c>
      <c r="J125" s="81">
        <f t="shared" si="15"/>
        <v>-0.66131021883247121</v>
      </c>
      <c r="K125" s="83">
        <f t="shared" si="15"/>
        <v>-1.86588254198973</v>
      </c>
    </row>
    <row r="126" spans="2:11">
      <c r="B126" s="59"/>
      <c r="C126" s="97" t="s">
        <v>10</v>
      </c>
      <c r="D126" s="98" t="s">
        <v>13</v>
      </c>
      <c r="E126" s="98" t="s">
        <v>8</v>
      </c>
      <c r="F126" s="98" t="s">
        <v>11</v>
      </c>
      <c r="G126" s="98" t="s">
        <v>12</v>
      </c>
      <c r="H126" s="98" t="s">
        <v>14</v>
      </c>
      <c r="I126" s="98" t="s">
        <v>43</v>
      </c>
      <c r="J126" s="98" t="s">
        <v>42</v>
      </c>
      <c r="K126" s="99" t="s">
        <v>41</v>
      </c>
    </row>
    <row r="127" spans="2:11">
      <c r="B127" s="72" t="s">
        <v>124</v>
      </c>
      <c r="C127" s="84"/>
      <c r="D127" s="84"/>
      <c r="E127" s="84"/>
      <c r="F127" s="85"/>
      <c r="G127" s="85"/>
      <c r="H127" s="85"/>
      <c r="I127" s="84"/>
      <c r="J127" s="84"/>
      <c r="K127" s="66"/>
    </row>
    <row r="128" spans="2:11">
      <c r="B128" s="67" t="s">
        <v>125</v>
      </c>
      <c r="C128" s="79">
        <v>23.439291999999998</v>
      </c>
      <c r="D128" s="79">
        <f>RADIANS(C128)</f>
        <v>0.40909281973636669</v>
      </c>
      <c r="E128" s="79">
        <f>SIN(D128)</f>
        <v>0.39777717016576503</v>
      </c>
      <c r="F128" s="80">
        <f>COS(D128)</f>
        <v>0.91748205589805187</v>
      </c>
      <c r="G128" s="80"/>
      <c r="H128" s="80"/>
      <c r="I128" s="79"/>
      <c r="J128" s="79"/>
      <c r="K128" s="74"/>
    </row>
    <row r="129" spans="2:11">
      <c r="B129" s="67" t="s">
        <v>126</v>
      </c>
      <c r="C129" s="79">
        <f>C123</f>
        <v>0.70897910903773875</v>
      </c>
      <c r="D129" s="79">
        <f>D123</f>
        <v>0.64230449950742485</v>
      </c>
      <c r="E129" s="79"/>
      <c r="F129" s="80">
        <f t="shared" ref="F129:K129" si="16">F123</f>
        <v>1.7190231876830948</v>
      </c>
      <c r="G129" s="80">
        <f t="shared" si="16"/>
        <v>2.9374607089814191</v>
      </c>
      <c r="H129" s="80">
        <f t="shared" si="16"/>
        <v>9.5841922629649456</v>
      </c>
      <c r="I129" s="79">
        <f t="shared" si="16"/>
        <v>12.141969885029233</v>
      </c>
      <c r="J129" s="79">
        <f t="shared" si="16"/>
        <v>30.210372110974117</v>
      </c>
      <c r="K129" s="74">
        <f t="shared" si="16"/>
        <v>17.979349190229467</v>
      </c>
    </row>
    <row r="130" spans="2:11">
      <c r="B130" s="67" t="s">
        <v>127</v>
      </c>
      <c r="C130" s="79">
        <f>C124*$F$128-C125*$E$128</f>
        <v>0.87840021395481105</v>
      </c>
      <c r="D130" s="79">
        <f>D124*$F$128-D125*$E$128</f>
        <v>1.4811943109250552</v>
      </c>
      <c r="E130" s="79"/>
      <c r="F130" s="80">
        <f t="shared" ref="F130:K130" si="17">F124*$F$128-F125*$E$128</f>
        <v>0.67481095876638075</v>
      </c>
      <c r="G130" s="80">
        <f t="shared" si="17"/>
        <v>4.8474498821400287</v>
      </c>
      <c r="H130" s="80">
        <f t="shared" si="17"/>
        <v>-1.6812683397719066</v>
      </c>
      <c r="I130" s="79">
        <f t="shared" si="17"/>
        <v>15.257009355683826</v>
      </c>
      <c r="J130" s="79">
        <f t="shared" si="17"/>
        <v>-7.3937664460951902E-2</v>
      </c>
      <c r="K130" s="74">
        <f t="shared" si="17"/>
        <v>-26.103516848172116</v>
      </c>
    </row>
    <row r="131" spans="2:11">
      <c r="B131" s="67" t="s">
        <v>128</v>
      </c>
      <c r="C131" s="79">
        <f>C124*$E$128+C125*$F$128</f>
        <v>0.34466814259481759</v>
      </c>
      <c r="D131" s="79">
        <f>D124*$E$128+D125*$F$128</f>
        <v>0.633882967086144</v>
      </c>
      <c r="E131" s="79"/>
      <c r="F131" s="80">
        <f t="shared" ref="F131:K131" si="18">F124*$E$128+F125*$F$128</f>
        <v>0.25070226341577712</v>
      </c>
      <c r="G131" s="80">
        <f t="shared" si="18"/>
        <v>2.0188112823104172</v>
      </c>
      <c r="H131" s="80">
        <f t="shared" si="18"/>
        <v>-1.0737204108906022</v>
      </c>
      <c r="I131" s="79">
        <f t="shared" si="18"/>
        <v>6.5102490563547804</v>
      </c>
      <c r="J131" s="79">
        <f t="shared" si="18"/>
        <v>-0.75284407943468878</v>
      </c>
      <c r="K131" s="74">
        <f t="shared" si="18"/>
        <v>-13.350959320114606</v>
      </c>
    </row>
    <row r="132" spans="2:11">
      <c r="B132" s="67" t="s">
        <v>148</v>
      </c>
      <c r="C132" s="79">
        <f>ATAN(C131/SQRT(C129^2 + C130^2))</f>
        <v>0.29634357610195489</v>
      </c>
      <c r="D132" s="79">
        <f t="shared" ref="D132:K132" si="19">ATAN(D131/SQRT(D129^2 + D130^2))</f>
        <v>0.3741348161917385</v>
      </c>
      <c r="E132" s="79"/>
      <c r="F132" s="80">
        <f t="shared" si="19"/>
        <v>0.13492986048544953</v>
      </c>
      <c r="G132" s="80">
        <f t="shared" si="19"/>
        <v>0.3421659974729499</v>
      </c>
      <c r="H132" s="80">
        <f t="shared" si="19"/>
        <v>-0.1099007953154917</v>
      </c>
      <c r="I132" s="79">
        <f t="shared" si="19"/>
        <v>0.32224177550768474</v>
      </c>
      <c r="J132" s="79">
        <f t="shared" si="19"/>
        <v>-2.4914821982202746E-2</v>
      </c>
      <c r="K132" s="74">
        <f t="shared" si="19"/>
        <v>-0.39866127989090627</v>
      </c>
    </row>
    <row r="133" spans="2:11">
      <c r="B133" s="67" t="s">
        <v>149</v>
      </c>
      <c r="C133" s="79">
        <f>IF(C129&lt;0, PI()+ATAN(C130/C129), IF(C130&lt;0, 2*PI()+ATAN(C130/C129), ATAN(C130/C129)))</f>
        <v>0.89172571509281495</v>
      </c>
      <c r="D133" s="79">
        <f t="shared" ref="D133:K133" si="20">IF(D129&lt;0, PI()+ATAN(D130/D129), IF(D130&lt;0, 2*PI()+ATAN(D130/D129), ATAN(D130/D129)))</f>
        <v>1.1616306833174255</v>
      </c>
      <c r="E133" s="79"/>
      <c r="F133" s="80">
        <f t="shared" si="20"/>
        <v>0.37407174813772315</v>
      </c>
      <c r="G133" s="80">
        <f t="shared" si="20"/>
        <v>1.0259909086703416</v>
      </c>
      <c r="H133" s="80">
        <f t="shared" si="20"/>
        <v>6.1095312053814421</v>
      </c>
      <c r="I133" s="79">
        <f t="shared" si="20"/>
        <v>0.89860388157587001</v>
      </c>
      <c r="J133" s="79">
        <f t="shared" si="20"/>
        <v>6.2807378855932656</v>
      </c>
      <c r="K133" s="74">
        <f t="shared" si="20"/>
        <v>5.3155389792165861</v>
      </c>
    </row>
    <row r="134" spans="2:11">
      <c r="B134" s="67" t="s">
        <v>150</v>
      </c>
      <c r="C134" s="79">
        <f>DEGREES(C132)</f>
        <v>16.97923619645594</v>
      </c>
      <c r="D134" s="79">
        <f t="shared" ref="D134:K134" si="21">DEGREES(D132)</f>
        <v>21.436345936689431</v>
      </c>
      <c r="E134" s="79"/>
      <c r="F134" s="80">
        <f t="shared" si="21"/>
        <v>7.7309115361052747</v>
      </c>
      <c r="G134" s="80">
        <f t="shared" si="21"/>
        <v>19.60466754808402</v>
      </c>
      <c r="H134" s="80">
        <f t="shared" si="21"/>
        <v>-6.2968517367088026</v>
      </c>
      <c r="I134" s="79">
        <f t="shared" si="21"/>
        <v>18.463093719392475</v>
      </c>
      <c r="J134" s="79">
        <f t="shared" si="21"/>
        <v>-1.4275141468999852</v>
      </c>
      <c r="K134" s="74">
        <f t="shared" si="21"/>
        <v>-22.841608793032567</v>
      </c>
    </row>
    <row r="135" spans="2:11">
      <c r="B135" s="70" t="s">
        <v>151</v>
      </c>
      <c r="C135" s="81">
        <f>DEGREES(C133)/15</f>
        <v>3.406141330540239</v>
      </c>
      <c r="D135" s="81">
        <f t="shared" ref="D135:K135" si="22">DEGREES(D133)/15</f>
        <v>4.4371023671324243</v>
      </c>
      <c r="E135" s="81"/>
      <c r="F135" s="82">
        <f t="shared" si="22"/>
        <v>1.4288488268914832</v>
      </c>
      <c r="G135" s="82">
        <f t="shared" si="22"/>
        <v>3.9189965923735248</v>
      </c>
      <c r="H135" s="82">
        <f t="shared" si="22"/>
        <v>23.336690191455414</v>
      </c>
      <c r="I135" s="81">
        <f t="shared" si="22"/>
        <v>3.4324139912247325</v>
      </c>
      <c r="J135" s="81">
        <f t="shared" si="22"/>
        <v>23.990651538160975</v>
      </c>
      <c r="K135" s="83">
        <f t="shared" si="22"/>
        <v>20.303863289759214</v>
      </c>
    </row>
    <row r="138" spans="2:11" ht="19">
      <c r="B138" s="100" t="s">
        <v>183</v>
      </c>
    </row>
    <row r="139" spans="2:11" ht="19">
      <c r="B139" s="100"/>
    </row>
    <row r="140" spans="2:11">
      <c r="B140" s="139" t="s">
        <v>155</v>
      </c>
      <c r="C140" s="153">
        <f>PI()/180</f>
        <v>1.7453292519943295E-2</v>
      </c>
    </row>
    <row r="141" spans="2:11">
      <c r="B141" s="154" t="s">
        <v>181</v>
      </c>
      <c r="C141" s="155">
        <f>C12</f>
        <v>8916.3020833333339</v>
      </c>
    </row>
    <row r="142" spans="2:11">
      <c r="B142" s="154" t="s">
        <v>180</v>
      </c>
      <c r="C142" s="156">
        <f>C13</f>
        <v>0.24411618754277892</v>
      </c>
    </row>
    <row r="143" spans="2:11">
      <c r="B143" s="154" t="s">
        <v>179</v>
      </c>
      <c r="C143" s="157">
        <f>C15</f>
        <v>184.97929953125094</v>
      </c>
    </row>
    <row r="144" spans="2:11">
      <c r="B144" s="154" t="s">
        <v>178</v>
      </c>
      <c r="C144" s="158">
        <f xml:space="preserve"> 23.439 - 0.0000004 * $C$141</f>
        <v>23.435433479166665</v>
      </c>
    </row>
    <row r="145" spans="2:28">
      <c r="B145" s="154" t="s">
        <v>18</v>
      </c>
      <c r="C145" s="158">
        <f>180/PI()</f>
        <v>57.295779513082323</v>
      </c>
    </row>
    <row r="146" spans="2:28">
      <c r="B146" s="159" t="s">
        <v>170</v>
      </c>
      <c r="C146" s="160">
        <f>TAN(RADIANS(C144/2))^2</f>
        <v>4.3019962425332861E-2</v>
      </c>
    </row>
    <row r="148" spans="2:28">
      <c r="B148" s="101"/>
      <c r="C148" s="101"/>
      <c r="D148" s="230" t="s">
        <v>177</v>
      </c>
      <c r="E148" s="231"/>
      <c r="F148" s="231"/>
      <c r="G148" s="231"/>
      <c r="H148" s="231"/>
      <c r="I148" s="232"/>
      <c r="J148" s="230" t="s">
        <v>176</v>
      </c>
      <c r="K148" s="231"/>
      <c r="L148" s="231"/>
      <c r="M148" s="231"/>
      <c r="N148" s="231"/>
      <c r="O148" s="231"/>
      <c r="P148" s="231"/>
      <c r="Q148" s="231"/>
      <c r="R148" s="231"/>
      <c r="S148" s="231"/>
      <c r="T148" s="232"/>
      <c r="U148" s="230" t="s">
        <v>175</v>
      </c>
      <c r="V148" s="231"/>
      <c r="W148" s="231"/>
      <c r="X148" s="231"/>
      <c r="Y148" s="231"/>
      <c r="Z148" s="231"/>
      <c r="AA148" s="231"/>
      <c r="AB148" s="232"/>
    </row>
    <row r="149" spans="2:28" ht="18">
      <c r="B149" s="139" t="s">
        <v>184</v>
      </c>
      <c r="C149" s="140" t="s">
        <v>185</v>
      </c>
      <c r="D149" s="141" t="s">
        <v>174</v>
      </c>
      <c r="E149" s="142" t="s">
        <v>28</v>
      </c>
      <c r="F149" s="142" t="s">
        <v>169</v>
      </c>
      <c r="G149" s="142" t="s">
        <v>173</v>
      </c>
      <c r="H149" s="142" t="s">
        <v>172</v>
      </c>
      <c r="I149" s="142" t="s">
        <v>171</v>
      </c>
      <c r="J149" s="141" t="s">
        <v>170</v>
      </c>
      <c r="K149" s="142" t="s">
        <v>169</v>
      </c>
      <c r="L149" s="142" t="s">
        <v>168</v>
      </c>
      <c r="M149" s="142" t="s">
        <v>167</v>
      </c>
      <c r="N149" s="142" t="s">
        <v>9</v>
      </c>
      <c r="O149" s="142" t="s">
        <v>166</v>
      </c>
      <c r="P149" s="142" t="s">
        <v>25</v>
      </c>
      <c r="Q149" s="142" t="s">
        <v>26</v>
      </c>
      <c r="R149" s="142" t="s">
        <v>20</v>
      </c>
      <c r="S149" s="142" t="s">
        <v>165</v>
      </c>
      <c r="T149" s="143" t="s">
        <v>164</v>
      </c>
      <c r="U149" s="141" t="s">
        <v>163</v>
      </c>
      <c r="V149" s="142" t="s">
        <v>162</v>
      </c>
      <c r="W149" s="142" t="s">
        <v>161</v>
      </c>
      <c r="X149" s="142" t="s">
        <v>160</v>
      </c>
      <c r="Y149" s="142" t="s">
        <v>159</v>
      </c>
      <c r="Z149" s="142" t="s">
        <v>158</v>
      </c>
      <c r="AA149" s="142" t="s">
        <v>157</v>
      </c>
      <c r="AB149" s="143" t="s">
        <v>156</v>
      </c>
    </row>
    <row r="150" spans="2:28">
      <c r="B150" s="144">
        <f>(3600*HOUR(C5)+60*MINUTE(C5))/3600</f>
        <v>20.25</v>
      </c>
      <c r="C150" s="145">
        <f>$C$141</f>
        <v>8916.3020833333339</v>
      </c>
      <c r="D150" s="144">
        <f>MOD(280.461 + 0.9856474 * C150, 360)</f>
        <v>68.790966052083604</v>
      </c>
      <c r="E150" s="146">
        <f>MOD(357.528 + 0.9856003 * C150,360)</f>
        <v>145.4380082239586</v>
      </c>
      <c r="F150" s="146">
        <f>D150+1.915 * SIN(RADIANS(E150)) + 0.02 * SIN(RADIANS(2 *E150))</f>
        <v>69.858653838189056</v>
      </c>
      <c r="G150" s="146">
        <f>F150 - $C$145*$C$146*SIN(RADIANS(2*F150)) + $C$145/2 * $C$146^2 * SIN(RADIANS(4*F150))</f>
        <v>68.212672075608452</v>
      </c>
      <c r="H150" s="146">
        <f>DEGREES(ASIN(SIN(RADIANS($C$144))*SIN(RADIANS(F150))))</f>
        <v>21.925056165158988</v>
      </c>
      <c r="I150" s="146">
        <f>MOD(280.46061837 + 360.98564736629*C150+ C18-G150,360)</f>
        <v>116.77051177807152</v>
      </c>
      <c r="J150" s="147">
        <f>C150/36525</f>
        <v>0.24411504677161763</v>
      </c>
      <c r="K150" s="148">
        <f xml:space="preserve"> MOD(218.32 + 481267.883 * J150,360)
+ 6.29 * SIN(RADIANS(MOD(134.9 + 477198.85 * J150,360)))
- 1.27 * SIN(RADIANS(MOD(259.2 - 413335.38 * J150,360)))
+ 0.66 * SIN(RADIANS(MOD(235.7 + 890534.23 * J150,360)))
+ 0.21 * SIN(RADIANS(MOD(269.9 + 954397.7 * J150, 360)))
- 0.19 * SIN(RADIANS(MOD(357.5 + 35999.05 * J150, 360)))
- 0.11 * SIN(RADIANS(MOD(186.6 + 966404.05 * J150, 360)))</f>
        <v>340.87782259355845</v>
      </c>
      <c r="L150" s="149">
        <f>5.13 * SIN(RADIANS(MOD(93.3 + 483202.03 * J150, 360)))
+ 0.28 * SIN(RADIANS(MOD(228.2 + 960400.87 * J150, 360)))
- 0.28 * SIN(RADIANS(MOD(318.3 + 6003.18 * J150, 360)))
- 0.17 * SIN(RADIANS(MOD(217.6 - 407332.2 * J150, 360)))</f>
        <v>-2.7704121386827962</v>
      </c>
      <c r="M150" s="146">
        <f xml:space="preserve"> 0.9508
+ 0.0518 * COS(RADIANS(MOD(134.9 + 477198.85 * J150, 360)))
+ 0.0095 * COS(RADIANS(MOD(259.2 - 413335.38 * J150, 360)))
+ 0.0078 * COS(RADIANS(MOD(235.7 + 890534.23 * J150, 360)))
+ 0.0028 * COS(RADIANS(MOD(269.9 + 954397.7 * J150, 360)))</f>
        <v>0.98710855119884622</v>
      </c>
      <c r="N150" s="146">
        <f>1/ SIN(RADIANS(M150))</f>
        <v>58.046922912124089</v>
      </c>
      <c r="O150" s="150">
        <f>COS(RADIANS(L150))*COS(RADIANS(K150))</f>
        <v>0.94371790615221218</v>
      </c>
      <c r="P150" s="150">
        <f>0.9175*COS(RADIANS(L150))*SIN(RADIANS(K150)) - 0.3978 * SIN(RADIANS(L150))</f>
        <v>-0.28097944683869308</v>
      </c>
      <c r="Q150" s="150">
        <f>0.3978 * COS(RADIANS(L150))*SIN(RADIANS(K150)) + 0.9175 * SIN(RADIANS(L150))</f>
        <v>-0.17450688562285072</v>
      </c>
      <c r="R150" s="150">
        <f>DEGREES(ATAN(P150/O150))</f>
        <v>-16.580199570038243</v>
      </c>
      <c r="S150" s="150">
        <f>IF(O150 &lt; 0, R150 + 180, IF(P150 &lt; 0, 360 + R150, R150))</f>
        <v>343.41980042996175</v>
      </c>
      <c r="T150" s="151">
        <f>DEGREES(ASIN(Q150))</f>
        <v>-10.049963183811659</v>
      </c>
      <c r="U150" s="152">
        <f>N150*COS(RADIANS(T150))*COS(RADIANS(S150)) - COS(RADIANS(C17))*COS(RADIANS(MOD(280.46061837 + 360.98564736629*C150+ C18, 360)))</f>
        <v>55.466055030413848</v>
      </c>
      <c r="V150" s="150">
        <f>N150*COS(RADIANS(T150))*SIN(RADIANS(S150)) - COS(RADIANS(C17))*SIN(RADIANS(MOD(280.46061837 + 360.98564736629*C150+ C18, 360)))</f>
        <v>-16.250105439196705</v>
      </c>
      <c r="W150" s="150">
        <f>N150*SIN(RADIANS(T150))-SIN(RADIANS(C17))</f>
        <v>-10.854447704560151</v>
      </c>
      <c r="X150" s="150">
        <f>SQRT(U150*U150+V150*V150+W150*W150)</f>
        <v>58.807892517866506</v>
      </c>
      <c r="Y150" s="150">
        <f>DEGREES(ATAN(V150/U150))</f>
        <v>-16.329206332442482</v>
      </c>
      <c r="Z150" s="150">
        <f>IF(U150 &lt; 0, Y150 + 180, IF(V150 &lt; 0, 360 + Y150, Y150))</f>
        <v>343.67079366755752</v>
      </c>
      <c r="AA150" s="150">
        <f>DEGREES(ASIN(W150/X150))</f>
        <v>-10.636336095513331</v>
      </c>
      <c r="AB150" s="151">
        <f>MOD(280.46061837 + 360.98564736629*C150+ C18-Z150,360)</f>
        <v>201.31239018635824</v>
      </c>
    </row>
  </sheetData>
  <mergeCells count="5">
    <mergeCell ref="U148:AB148"/>
    <mergeCell ref="J148:T148"/>
    <mergeCell ref="D148:I148"/>
    <mergeCell ref="B2:C2"/>
    <mergeCell ref="B21:D21"/>
  </mergeCells>
  <dataValidations disablePrompts="1" count="1">
    <dataValidation type="list" allowBlank="1" showInputMessage="1" showErrorMessage="1" sqref="C16" xr:uid="{9FCC9048-BD59-7746-8140-1F77A79F4470}">
      <formula1>$B$23:$B$27</formula1>
    </dataValidation>
  </dataValidations>
  <pageMargins left="0.75" right="0.75" top="1" bottom="1" header="0.5" footer="0.5"/>
  <pageSetup paperSize="9" orientation="landscape" horizontalDpi="360" verticalDpi="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482BE-3BB6-6445-A3F7-1F6214F97C1D}">
  <dimension ref="B1:P264"/>
  <sheetViews>
    <sheetView showGridLines="0" zoomScaleNormal="100" zoomScalePageLayoutView="85" workbookViewId="0">
      <selection activeCell="C167" sqref="C167"/>
    </sheetView>
  </sheetViews>
  <sheetFormatPr baseColWidth="10" defaultColWidth="8.83203125" defaultRowHeight="15"/>
  <cols>
    <col min="1" max="1" width="10.83203125" style="1" customWidth="1"/>
    <col min="2" max="2" width="16.5" style="1" customWidth="1"/>
    <col min="3" max="13" width="12.83203125" style="1" customWidth="1"/>
    <col min="14" max="14" width="11.1640625" style="1" customWidth="1"/>
    <col min="15" max="15" width="10.5" style="1" bestFit="1" customWidth="1"/>
    <col min="16" max="16" width="13.5" style="1" customWidth="1"/>
    <col min="17" max="17" width="11.1640625" style="1" customWidth="1"/>
    <col min="18" max="18" width="8.83203125" style="1"/>
    <col min="19" max="19" width="9.5" style="1" bestFit="1" customWidth="1"/>
    <col min="20" max="20" width="8.83203125" style="1"/>
    <col min="21" max="21" width="9.1640625" style="1" customWidth="1"/>
    <col min="22" max="22" width="12.5" style="1" bestFit="1" customWidth="1"/>
    <col min="23" max="29" width="10.5" style="1" bestFit="1" customWidth="1"/>
    <col min="30" max="16384" width="8.83203125" style="1"/>
  </cols>
  <sheetData>
    <row r="1" spans="2:7" ht="16" customHeight="1"/>
    <row r="2" spans="2:7" ht="16" customHeight="1">
      <c r="B2" s="236" t="s">
        <v>129</v>
      </c>
      <c r="C2" s="237"/>
      <c r="D2" s="103"/>
      <c r="E2" s="104"/>
      <c r="F2" s="105"/>
      <c r="G2" s="105"/>
    </row>
    <row r="3" spans="2:7" ht="16" customHeight="1">
      <c r="B3" s="166"/>
      <c r="C3" s="106" t="s">
        <v>16</v>
      </c>
      <c r="D3" s="107"/>
      <c r="E3" s="108"/>
      <c r="F3" s="105"/>
      <c r="G3" s="105"/>
    </row>
    <row r="4" spans="2:7" ht="16" customHeight="1">
      <c r="B4" s="47" t="s">
        <v>19</v>
      </c>
      <c r="C4" s="109">
        <v>45442</v>
      </c>
      <c r="D4" s="110"/>
      <c r="E4" s="108"/>
      <c r="F4" s="111"/>
      <c r="G4" s="111"/>
    </row>
    <row r="5" spans="2:7" ht="16" customHeight="1">
      <c r="B5" s="48" t="s">
        <v>140</v>
      </c>
      <c r="C5" s="112">
        <v>0.84375</v>
      </c>
      <c r="D5" s="110"/>
      <c r="E5" s="108"/>
      <c r="F5" s="111"/>
      <c r="G5" s="111"/>
    </row>
    <row r="6" spans="2:7" ht="16" customHeight="1">
      <c r="B6" s="48" t="s">
        <v>141</v>
      </c>
      <c r="C6" s="51">
        <v>1</v>
      </c>
      <c r="D6" s="110"/>
      <c r="E6" s="108"/>
      <c r="F6" s="111"/>
      <c r="G6" s="111"/>
    </row>
    <row r="7" spans="2:7" ht="16" customHeight="1">
      <c r="B7" s="48" t="s">
        <v>36</v>
      </c>
      <c r="C7" s="113" t="str">
        <f>IF(OR(MOD(YEAR(C4),400)=0,AND(MOD(YEAR(C4),4)=0,MOD(YEAR(C4),100)&lt;&gt;0)),"Y", "N")</f>
        <v>Y</v>
      </c>
      <c r="D7" s="110"/>
      <c r="E7" s="108"/>
      <c r="F7" s="111"/>
      <c r="G7" s="111"/>
    </row>
    <row r="8" spans="2:7" ht="16" customHeight="1">
      <c r="B8" s="48" t="s">
        <v>4</v>
      </c>
      <c r="C8" s="113">
        <f>IF(C7="N",365.242,366)</f>
        <v>366</v>
      </c>
      <c r="D8" s="115"/>
      <c r="E8" s="108"/>
      <c r="F8" s="111"/>
      <c r="G8" s="111"/>
    </row>
    <row r="9" spans="2:7" ht="16" customHeight="1">
      <c r="B9" s="48" t="s">
        <v>35</v>
      </c>
      <c r="C9" s="116">
        <f>INT(275*MONTH(C4)/9)-IF(C7="Y",1,2)*INT((MONTH(C4)+9)/12)+DAY(C4)-30</f>
        <v>151</v>
      </c>
      <c r="D9" s="117"/>
      <c r="E9" s="108"/>
      <c r="F9" s="118"/>
      <c r="G9" s="118"/>
    </row>
    <row r="10" spans="2:7" ht="16" customHeight="1">
      <c r="B10" s="48" t="s">
        <v>130</v>
      </c>
      <c r="C10" s="138">
        <f>367*YEAR(C4)-INT(7/4*YEAR(C4))-INT(3*(INT((YEAR(C4)-8/7)/100)+1)/4)+1721059.5-1+C9+(3600*HOUR(C5)+60*MINUTE(C5))/(24*3600)</f>
        <v>2460461.34375</v>
      </c>
      <c r="D10" s="119"/>
      <c r="E10" s="108"/>
      <c r="F10" s="118"/>
      <c r="G10" s="118"/>
    </row>
    <row r="11" spans="2:7" ht="16" customHeight="1">
      <c r="B11" s="48" t="s">
        <v>142</v>
      </c>
      <c r="C11" s="138">
        <v>2451545</v>
      </c>
      <c r="D11" s="120"/>
      <c r="E11" s="108"/>
      <c r="F11" s="118"/>
      <c r="G11" s="118"/>
    </row>
    <row r="12" spans="2:7" ht="16" customHeight="1">
      <c r="B12" s="48" t="s">
        <v>143</v>
      </c>
      <c r="C12" s="121">
        <f>C10-C11-(C6/24)</f>
        <v>8916.3020833333339</v>
      </c>
      <c r="D12" s="108"/>
      <c r="E12" s="108"/>
      <c r="F12" s="118"/>
      <c r="G12" s="118"/>
    </row>
    <row r="13" spans="2:7" ht="16" customHeight="1">
      <c r="B13" s="122" t="s">
        <v>109</v>
      </c>
      <c r="C13" s="123">
        <f>(C10-2451545)/36525</f>
        <v>0.24411618754277892</v>
      </c>
      <c r="D13" s="108"/>
      <c r="E13" s="108"/>
      <c r="F13" s="118"/>
      <c r="G13" s="118"/>
    </row>
    <row r="14" spans="2:7" ht="16" customHeight="1">
      <c r="B14" s="47" t="s">
        <v>145</v>
      </c>
      <c r="C14" s="61">
        <f>MOD(HOUR(C5)+(MINUTE(C5)/60)-C6,24)</f>
        <v>19.25</v>
      </c>
      <c r="D14" s="108"/>
      <c r="E14" s="108"/>
      <c r="F14" s="118"/>
      <c r="G14" s="118"/>
    </row>
    <row r="15" spans="2:7" ht="16" customHeight="1">
      <c r="B15" s="48" t="s">
        <v>146</v>
      </c>
      <c r="C15" s="62">
        <f>MOD(100.46+0.985647*C12+C18+15*C14, 360)</f>
        <v>184.97929953125094</v>
      </c>
      <c r="D15" s="108"/>
      <c r="E15" s="108"/>
      <c r="F15" s="118"/>
      <c r="G15" s="118"/>
    </row>
    <row r="16" spans="2:7" ht="16" customHeight="1">
      <c r="B16" s="122" t="s">
        <v>131</v>
      </c>
      <c r="C16" s="37" t="s">
        <v>132</v>
      </c>
      <c r="D16" s="120"/>
      <c r="E16" s="108"/>
      <c r="F16" s="118"/>
      <c r="G16" s="118"/>
    </row>
    <row r="17" spans="2:7" ht="16" customHeight="1">
      <c r="B17" s="124" t="s">
        <v>133</v>
      </c>
      <c r="C17" s="162">
        <f>VLOOKUP(C16,B23:D27,2,FALSE)</f>
        <v>46.4572</v>
      </c>
      <c r="D17" s="120"/>
      <c r="E17" s="108"/>
      <c r="F17" s="118"/>
      <c r="G17" s="125"/>
    </row>
    <row r="18" spans="2:7" ht="16" customHeight="1">
      <c r="B18" s="48" t="s">
        <v>134</v>
      </c>
      <c r="C18" s="162">
        <f>VLOOKUP(C16,B23:D27,3,FALSE)</f>
        <v>7.4428999999999998</v>
      </c>
      <c r="D18" s="126"/>
      <c r="E18" s="108"/>
      <c r="F18" s="118"/>
      <c r="G18" s="125"/>
    </row>
    <row r="19" spans="2:7" ht="16" customHeight="1">
      <c r="B19" s="108"/>
      <c r="C19" s="108"/>
      <c r="D19" s="126"/>
      <c r="E19" s="108"/>
      <c r="F19" s="118"/>
      <c r="G19" s="125"/>
    </row>
    <row r="20" spans="2:7" ht="16" customHeight="1">
      <c r="B20" s="127"/>
      <c r="C20" s="128"/>
      <c r="D20" s="129"/>
      <c r="E20" s="108"/>
      <c r="F20" s="118"/>
      <c r="G20" s="118"/>
    </row>
    <row r="21" spans="2:7" ht="16" customHeight="1">
      <c r="B21" s="238" t="s">
        <v>135</v>
      </c>
      <c r="C21" s="238"/>
      <c r="D21" s="238"/>
      <c r="E21" s="108"/>
      <c r="F21" s="118"/>
      <c r="G21" s="118"/>
    </row>
    <row r="22" spans="2:7" ht="16" customHeight="1">
      <c r="B22" s="130" t="s">
        <v>136</v>
      </c>
      <c r="C22" s="131" t="s">
        <v>137</v>
      </c>
      <c r="D22" s="132" t="s">
        <v>138</v>
      </c>
      <c r="E22" s="108"/>
      <c r="F22" s="118"/>
      <c r="G22" s="118"/>
    </row>
    <row r="23" spans="2:7" ht="16" customHeight="1">
      <c r="B23" s="133" t="s">
        <v>132</v>
      </c>
      <c r="C23" s="164">
        <v>46.4572</v>
      </c>
      <c r="D23" s="165">
        <v>7.4428999999999998</v>
      </c>
      <c r="E23" s="108"/>
      <c r="F23" s="118"/>
      <c r="G23" s="118"/>
    </row>
    <row r="24" spans="2:7" ht="16" customHeight="1">
      <c r="B24" s="133" t="s">
        <v>139</v>
      </c>
      <c r="C24" s="163">
        <v>51.49</v>
      </c>
      <c r="D24" s="163">
        <v>0.01</v>
      </c>
      <c r="E24" s="108"/>
      <c r="F24" s="118"/>
      <c r="G24" s="118"/>
    </row>
    <row r="25" spans="2:7" ht="16" customHeight="1">
      <c r="B25" s="133"/>
      <c r="C25" s="163"/>
      <c r="D25" s="163"/>
      <c r="E25" s="108"/>
      <c r="F25" s="118"/>
      <c r="G25" s="118"/>
    </row>
    <row r="26" spans="2:7" ht="16" customHeight="1">
      <c r="B26" s="133"/>
      <c r="C26" s="163"/>
      <c r="D26" s="163"/>
      <c r="E26" s="108"/>
      <c r="F26" s="118"/>
      <c r="G26" s="118"/>
    </row>
    <row r="27" spans="2:7" ht="16" customHeight="1">
      <c r="B27" s="133"/>
      <c r="C27" s="163"/>
      <c r="D27" s="163"/>
      <c r="E27" s="108"/>
      <c r="F27" s="118"/>
      <c r="G27" s="118"/>
    </row>
    <row r="28" spans="2:7" ht="16" customHeight="1">
      <c r="B28" s="114"/>
      <c r="C28" s="114"/>
      <c r="D28" s="128"/>
      <c r="E28" s="108"/>
      <c r="F28" s="118"/>
      <c r="G28" s="118"/>
    </row>
    <row r="29" spans="2:7" ht="16" customHeight="1">
      <c r="B29" s="108"/>
      <c r="C29" s="108"/>
      <c r="D29" s="108"/>
      <c r="E29" s="108"/>
      <c r="F29" s="118"/>
      <c r="G29" s="118"/>
    </row>
    <row r="30" spans="2:7" ht="16" customHeight="1">
      <c r="B30" s="134" t="s">
        <v>154</v>
      </c>
      <c r="C30" s="135" t="s">
        <v>103</v>
      </c>
      <c r="D30" s="135" t="s">
        <v>104</v>
      </c>
      <c r="E30" s="135" t="s">
        <v>144</v>
      </c>
      <c r="F30" s="135" t="s">
        <v>44</v>
      </c>
      <c r="G30" s="135" t="s">
        <v>45</v>
      </c>
    </row>
    <row r="31" spans="2:7" ht="16" customHeight="1">
      <c r="B31" s="136" t="s">
        <v>6</v>
      </c>
      <c r="C31" s="137">
        <f>C164</f>
        <v>4.5505377433245329</v>
      </c>
      <c r="D31" s="137">
        <f>C167</f>
        <v>21.932171920666526</v>
      </c>
      <c r="E31" s="137">
        <f>$C$15-((C31/24)*360)</f>
        <v>116.72123338138294</v>
      </c>
      <c r="F31" s="137">
        <f t="shared" ref="F31:F40" si="0">IF(SIN($C$83*E31)&lt;0,ACOS((SIN($C$83*D31)-SIN($C$83*G31)*SIN($C$83*$C$17))/(COS($C$83*G31)*COS($C$83*$C$17)))/$C$83,360-ACOS((SIN($C$83*D31)-SIN($C$83*G31)*SIN($C$83*$C$17))/(COS($C$83*G31)*COS($C$83*$C$17)))/$C$83)</f>
        <v>304.03715019606034</v>
      </c>
      <c r="G31" s="137">
        <f t="shared" ref="G31:G40" si="1">ASIN(SIN($C$83*D31)*SIN($C$83*$C$17)+COS($C$83*D31)*COS($C$83*$C$17)*COS($C$83*E31))/$C$83</f>
        <v>-0.95127916870032503</v>
      </c>
    </row>
    <row r="32" spans="2:7" ht="16" customHeight="1">
      <c r="B32" s="136" t="s">
        <v>10</v>
      </c>
      <c r="C32" s="137">
        <f>MOD(E164,24)</f>
        <v>3.4291582084875429</v>
      </c>
      <c r="D32" s="137">
        <f>E167</f>
        <v>17.064163236860555</v>
      </c>
      <c r="E32" s="137">
        <f>$C$15-((C32/24)*360)</f>
        <v>133.54192640393779</v>
      </c>
      <c r="F32" s="137">
        <f t="shared" si="0"/>
        <v>314.43872022878884</v>
      </c>
      <c r="G32" s="137">
        <f t="shared" si="1"/>
        <v>-13.944009812083939</v>
      </c>
    </row>
    <row r="33" spans="2:16" ht="16" customHeight="1">
      <c r="B33" s="136" t="s">
        <v>13</v>
      </c>
      <c r="C33" s="137">
        <f>MOD(F164,24)</f>
        <v>4.4612500511343365</v>
      </c>
      <c r="D33" s="137">
        <f>F167</f>
        <v>21.490109561188419</v>
      </c>
      <c r="E33" s="137">
        <f>$C$15-((C33/24)*360)</f>
        <v>118.06054876423589</v>
      </c>
      <c r="F33" s="137">
        <f t="shared" si="0"/>
        <v>304.75111173451774</v>
      </c>
      <c r="G33" s="137">
        <f t="shared" si="1"/>
        <v>-2.0622791844262816</v>
      </c>
    </row>
    <row r="34" spans="2:16" ht="16" customHeight="1">
      <c r="B34" s="136" t="s">
        <v>7</v>
      </c>
      <c r="C34" s="137">
        <f>MOD(G164,24)</f>
        <v>22.933388633448502</v>
      </c>
      <c r="D34" s="137">
        <f>G167</f>
        <v>-9.8160188751382922</v>
      </c>
      <c r="E34" s="137">
        <f>$C$15-((C34/24)*360)</f>
        <v>-159.02152997047659</v>
      </c>
      <c r="F34" s="137">
        <f t="shared" si="0"/>
        <v>32.702229356049941</v>
      </c>
      <c r="G34" s="137">
        <f t="shared" si="1"/>
        <v>-49.234973442484844</v>
      </c>
    </row>
    <row r="35" spans="2:16" ht="16" customHeight="1">
      <c r="B35" s="136" t="s">
        <v>11</v>
      </c>
      <c r="C35" s="137">
        <f>MOD(H164,24)</f>
        <v>1.4496342758122245</v>
      </c>
      <c r="D35" s="137">
        <f>H167</f>
        <v>7.8550343461137713</v>
      </c>
      <c r="E35" s="137">
        <f>$C$15-((C35/24)*360)</f>
        <v>163.23478539406759</v>
      </c>
      <c r="F35" s="137">
        <f t="shared" si="0"/>
        <v>339.92022013557255</v>
      </c>
      <c r="G35" s="137">
        <f t="shared" si="1"/>
        <v>-33.666704343748265</v>
      </c>
    </row>
    <row r="36" spans="2:16" ht="16" customHeight="1">
      <c r="B36" s="136" t="s">
        <v>12</v>
      </c>
      <c r="C36" s="137">
        <f>MOD(I164,24)</f>
        <v>3.9457996230598331</v>
      </c>
      <c r="D36" s="137">
        <f>I167</f>
        <v>19.688112634798308</v>
      </c>
      <c r="E36" s="137">
        <f t="shared" ref="E36:E39" si="2">$C$15-((C36/24)*360)</f>
        <v>125.79230518535344</v>
      </c>
      <c r="F36" s="137">
        <f t="shared" si="0"/>
        <v>309.57472181379256</v>
      </c>
      <c r="G36" s="137">
        <f t="shared" si="1"/>
        <v>-7.7668011354277544</v>
      </c>
    </row>
    <row r="37" spans="2:16" ht="16" customHeight="1">
      <c r="B37" s="136" t="s">
        <v>14</v>
      </c>
      <c r="C37" s="137">
        <f>MOD(J164,24)</f>
        <v>23.354399639304965</v>
      </c>
      <c r="D37" s="137">
        <f>J167</f>
        <v>-6.1855519055057755</v>
      </c>
      <c r="E37" s="137">
        <f t="shared" si="2"/>
        <v>-165.33669505832353</v>
      </c>
      <c r="F37" s="137">
        <f t="shared" si="0"/>
        <v>21.998428774554778</v>
      </c>
      <c r="G37" s="137">
        <f t="shared" si="1"/>
        <v>-47.789511234033874</v>
      </c>
    </row>
    <row r="38" spans="2:16" ht="16" customHeight="1">
      <c r="B38" s="136" t="s">
        <v>43</v>
      </c>
      <c r="C38" s="137">
        <f>MOD(K164,24)</f>
        <v>3.4555290941046413</v>
      </c>
      <c r="D38" s="137">
        <f>K167</f>
        <v>18.549957385180956</v>
      </c>
      <c r="E38" s="137">
        <f t="shared" si="2"/>
        <v>133.14636311968133</v>
      </c>
      <c r="F38" s="137">
        <f t="shared" si="0"/>
        <v>314.89246233379805</v>
      </c>
      <c r="G38" s="137">
        <f t="shared" si="1"/>
        <v>-12.476258776356241</v>
      </c>
    </row>
    <row r="39" spans="2:16" ht="16" customHeight="1">
      <c r="B39" s="136" t="s">
        <v>42</v>
      </c>
      <c r="C39" s="137">
        <f>MOD(L164,24)</f>
        <v>1.1822804787484188E-2</v>
      </c>
      <c r="D39" s="137">
        <f>L167</f>
        <v>-1.2889389155601476</v>
      </c>
      <c r="E39" s="137">
        <f t="shared" si="2"/>
        <v>184.80195745943868</v>
      </c>
      <c r="F39" s="137">
        <f t="shared" si="0"/>
        <v>6.754377348295856</v>
      </c>
      <c r="G39" s="137">
        <f t="shared" si="1"/>
        <v>-44.636761707638399</v>
      </c>
    </row>
    <row r="40" spans="2:16" ht="16" customHeight="1">
      <c r="B40" s="136" t="s">
        <v>41</v>
      </c>
      <c r="C40" s="137">
        <f>MOD(M164,24)</f>
        <v>20.328297852837391</v>
      </c>
      <c r="D40" s="137">
        <f>M167</f>
        <v>-22.761664083548709</v>
      </c>
      <c r="E40" s="137">
        <f>$C$15-((C40/24)*360)</f>
        <v>-119.9451682613099</v>
      </c>
      <c r="F40" s="137">
        <f t="shared" si="0"/>
        <v>85.198447187642458</v>
      </c>
      <c r="G40" s="137">
        <f t="shared" si="1"/>
        <v>-36.694202402946409</v>
      </c>
    </row>
    <row r="41" spans="2:16" ht="16" customHeight="1"/>
    <row r="42" spans="2:16" ht="16" customHeight="1">
      <c r="N42" s="6" t="s">
        <v>14</v>
      </c>
      <c r="O42" s="7" t="e">
        <f>('Solar System (2)'!#REF!)</f>
        <v>#REF!</v>
      </c>
      <c r="P42" s="7" t="e">
        <f>'Solar System (2)'!#REF!</f>
        <v>#REF!</v>
      </c>
    </row>
    <row r="43" spans="2:16" ht="16" customHeight="1">
      <c r="N43" s="6" t="s">
        <v>43</v>
      </c>
      <c r="O43" s="7" t="e">
        <f>('Solar System (2)'!#REF!)</f>
        <v>#REF!</v>
      </c>
      <c r="P43" s="7" t="e">
        <f>'Solar System (2)'!#REF!</f>
        <v>#REF!</v>
      </c>
    </row>
    <row r="44" spans="2:16" ht="16" customHeight="1">
      <c r="N44" s="6" t="s">
        <v>42</v>
      </c>
      <c r="O44" s="7" t="e">
        <f>('Solar System (2)'!#REF!)</f>
        <v>#REF!</v>
      </c>
      <c r="P44" s="7" t="e">
        <f>'Solar System (2)'!#REF!</f>
        <v>#REF!</v>
      </c>
    </row>
    <row r="45" spans="2:16" ht="16" customHeight="1">
      <c r="N45" s="6" t="s">
        <v>41</v>
      </c>
      <c r="O45" s="7" t="e">
        <f>('Solar System (2)'!#REF!)</f>
        <v>#REF!</v>
      </c>
      <c r="P45" s="7" t="e">
        <f>'Solar System (2)'!#REF!</f>
        <v>#REF!</v>
      </c>
    </row>
    <row r="46" spans="2:16" ht="16" customHeight="1">
      <c r="N46" s="6" t="s">
        <v>7</v>
      </c>
      <c r="O46" s="7" t="e">
        <f>('Solar System (2)'!#REF!)</f>
        <v>#REF!</v>
      </c>
      <c r="P46" s="7" t="e">
        <f>'Solar System (2)'!#REF!</f>
        <v>#REF!</v>
      </c>
    </row>
    <row r="47" spans="2:16" ht="16" customHeight="1"/>
    <row r="48" spans="2:16" ht="16" customHeight="1"/>
    <row r="49" ht="16" customHeight="1"/>
    <row r="50" ht="16" customHeight="1"/>
    <row r="51" ht="16" customHeight="1"/>
    <row r="52" ht="16" customHeight="1"/>
    <row r="53" ht="16" customHeight="1"/>
    <row r="54" ht="16" customHeight="1"/>
    <row r="55" ht="16" customHeight="1"/>
    <row r="56" ht="16" customHeight="1"/>
    <row r="57" ht="16" customHeight="1"/>
    <row r="58" ht="16" customHeight="1"/>
    <row r="59" ht="16" customHeight="1"/>
    <row r="60" ht="16" customHeight="1"/>
    <row r="61" ht="16" customHeight="1"/>
    <row r="62" ht="16" customHeight="1"/>
    <row r="63" ht="16" customHeight="1"/>
    <row r="64" ht="16" customHeight="1"/>
    <row r="65" ht="16" customHeight="1"/>
    <row r="66" ht="16" customHeight="1"/>
    <row r="67" ht="16" customHeight="1"/>
    <row r="68" ht="16" customHeight="1"/>
    <row r="69" ht="16" customHeight="1"/>
    <row r="70" ht="16" customHeight="1"/>
    <row r="71" ht="16" customHeight="1"/>
    <row r="72" ht="16" customHeight="1"/>
    <row r="73" ht="16" customHeight="1"/>
    <row r="74" ht="16" customHeight="1"/>
    <row r="75" ht="16" customHeight="1"/>
    <row r="76" ht="16" customHeight="1"/>
    <row r="77" ht="16" customHeight="1"/>
    <row r="78" ht="16" customHeight="1"/>
    <row r="79" s="3" customFormat="1" ht="16" customHeight="1"/>
    <row r="80" ht="16" customHeight="1"/>
    <row r="81" spans="2:15" ht="16" customHeight="1">
      <c r="B81" s="4" t="s">
        <v>39</v>
      </c>
    </row>
    <row r="82" spans="2:15" ht="16" customHeight="1">
      <c r="B82" s="4"/>
    </row>
    <row r="83" spans="2:15" ht="16" customHeight="1">
      <c r="B83" s="168" t="s">
        <v>155</v>
      </c>
      <c r="C83" s="169">
        <f>PI()/180</f>
        <v>1.7453292519943295E-2</v>
      </c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</row>
    <row r="84" spans="2:15" ht="16" customHeight="1">
      <c r="B84" s="171"/>
      <c r="C84" s="170"/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</row>
    <row r="85" spans="2:15" ht="16" customHeight="1">
      <c r="B85" s="172" t="s">
        <v>98</v>
      </c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</row>
    <row r="86" spans="2:15" ht="16" customHeight="1">
      <c r="B86" s="170" t="s">
        <v>37</v>
      </c>
      <c r="C86" s="173">
        <f>C10</f>
        <v>2460461.34375</v>
      </c>
      <c r="D86" s="173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</row>
    <row r="87" spans="2:15" ht="16" customHeight="1">
      <c r="B87" s="174" t="s">
        <v>35</v>
      </c>
      <c r="C87" s="175">
        <f>C86-2451543.5</f>
        <v>8917.84375</v>
      </c>
      <c r="D87" s="176">
        <f>INT(C87)+0.5</f>
        <v>8917.5</v>
      </c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</row>
    <row r="88" spans="2:15" ht="16" customHeight="1">
      <c r="B88" s="170"/>
      <c r="C88" s="176"/>
      <c r="D88" s="176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</row>
    <row r="89" spans="2:15" ht="16" customHeight="1">
      <c r="B89" s="170"/>
      <c r="C89" s="177" t="s">
        <v>46</v>
      </c>
      <c r="D89" s="178" t="s">
        <v>47</v>
      </c>
      <c r="E89" s="178" t="s">
        <v>10</v>
      </c>
      <c r="F89" s="178" t="s">
        <v>13</v>
      </c>
      <c r="G89" s="178" t="s">
        <v>7</v>
      </c>
      <c r="H89" s="178" t="s">
        <v>11</v>
      </c>
      <c r="I89" s="178" t="s">
        <v>12</v>
      </c>
      <c r="J89" s="178" t="s">
        <v>14</v>
      </c>
      <c r="K89" s="178" t="s">
        <v>43</v>
      </c>
      <c r="L89" s="178" t="s">
        <v>42</v>
      </c>
      <c r="M89" s="179" t="s">
        <v>41</v>
      </c>
      <c r="N89" s="170"/>
      <c r="O89" s="170"/>
    </row>
    <row r="90" spans="2:15" ht="16" customHeight="1">
      <c r="B90" s="180" t="s">
        <v>30</v>
      </c>
      <c r="C90" s="181">
        <v>0</v>
      </c>
      <c r="D90" s="182">
        <v>0</v>
      </c>
      <c r="E90" s="183">
        <f>MOD(48.3313 + 0.0000324587*$C$87,360)</f>
        <v>48.620761614928121</v>
      </c>
      <c r="F90" s="183">
        <f>MOD(76.6799+0.000024659*$C$87,360)</f>
        <v>76.899805109031249</v>
      </c>
      <c r="G90" s="183">
        <f>125.1228-0.0529538083*$C$87</f>
        <v>-347.11098838685314</v>
      </c>
      <c r="H90" s="183">
        <f>MOD(49.5574+0.0000211081*$C$87,360)</f>
        <v>49.745638737659377</v>
      </c>
      <c r="I90" s="183">
        <f>MOD(100.4542+0.0000276854*$C$87,360)</f>
        <v>100.70109407135625</v>
      </c>
      <c r="J90" s="183">
        <f>MOD(113.6634+0.000023898*$C$87,360)</f>
        <v>113.87651862993749</v>
      </c>
      <c r="K90" s="183">
        <f>MOD(74.0005+0.000013978*$C$87,360)</f>
        <v>74.125153619937507</v>
      </c>
      <c r="L90" s="183">
        <f>MOD(131.7806+0.000030173*$C$87,360)</f>
        <v>132.04967809946874</v>
      </c>
      <c r="M90" s="184"/>
      <c r="N90" s="170"/>
      <c r="O90" s="170"/>
    </row>
    <row r="91" spans="2:15" ht="16" customHeight="1">
      <c r="B91" s="185" t="s">
        <v>29</v>
      </c>
      <c r="C91" s="181">
        <v>0</v>
      </c>
      <c r="D91" s="182">
        <v>0</v>
      </c>
      <c r="E91" s="183">
        <f>MOD(7.0047+0.00000005*$C$87,360)</f>
        <v>7.0051458921874996</v>
      </c>
      <c r="F91" s="183">
        <f>MOD(3.3946+0.0000000275*$C$87,360)</f>
        <v>3.3948452407031251</v>
      </c>
      <c r="G91" s="183">
        <v>5.1454000000000004</v>
      </c>
      <c r="H91" s="183">
        <f>MOD(1.8497-0.0000000178*$C$87,360)</f>
        <v>1.8495412623812499</v>
      </c>
      <c r="I91" s="183">
        <f>MOD(1.303-0.0000001557*$C$87,360)</f>
        <v>1.301611491728125</v>
      </c>
      <c r="J91" s="183">
        <f>MOD(2.4886-0.0000001081*$C$87,360)</f>
        <v>2.4876359810906248</v>
      </c>
      <c r="K91" s="183">
        <f>MOD(0.7733+0.000000019*$C$87,360)</f>
        <v>0.77346943903124998</v>
      </c>
      <c r="L91" s="183">
        <f>MOD(1.77-0.000000255*$C$87,360)</f>
        <v>1.7677259498437501</v>
      </c>
      <c r="M91" s="184"/>
      <c r="N91" s="170"/>
      <c r="O91" s="170"/>
    </row>
    <row r="92" spans="2:15" ht="16" customHeight="1">
      <c r="B92" s="185" t="s">
        <v>97</v>
      </c>
      <c r="C92" s="181">
        <f>MOD(282.9404 + 0.0000470935*$C$87,360)</f>
        <v>283.36037247464066</v>
      </c>
      <c r="D92" s="182">
        <f>MOD(282.9404 + 0.0000470935*$D$87,360)</f>
        <v>283.36035628625001</v>
      </c>
      <c r="E92" s="183">
        <f>MOD(29.1241 + 0.0000101444*$C$87,360)</f>
        <v>29.214566174137499</v>
      </c>
      <c r="F92" s="183">
        <f>MOD(54.891+0.0000138374*$C$87,360)</f>
        <v>55.014399771106248</v>
      </c>
      <c r="G92" s="183">
        <f>MOD(318.0634 + 0.1643573223*$C$87,360)</f>
        <v>343.77631943979054</v>
      </c>
      <c r="H92" s="183">
        <f>MOD(286.5016+0.0000292961*$C$87,360)</f>
        <v>286.76285804228439</v>
      </c>
      <c r="I92" s="183">
        <f>MOD(273.8777+0.0000164505*$C$87,360)</f>
        <v>274.02440298860938</v>
      </c>
      <c r="J92" s="183">
        <f>MOD(339.3939+0.0000297661*$C$87,360)</f>
        <v>339.65934942884684</v>
      </c>
      <c r="K92" s="183">
        <f>MOD(96.6612+0.000030565*$C$87,360)</f>
        <v>96.933773894218746</v>
      </c>
      <c r="L92" s="183">
        <f>MOD(272.8461-0.000006027*$C$87,360)</f>
        <v>272.79235215571873</v>
      </c>
      <c r="M92" s="184"/>
      <c r="N92" s="170"/>
      <c r="O92" s="170"/>
    </row>
    <row r="93" spans="2:15" ht="16" customHeight="1">
      <c r="B93" s="185" t="s">
        <v>15</v>
      </c>
      <c r="C93" s="181">
        <v>1</v>
      </c>
      <c r="D93" s="182">
        <v>1</v>
      </c>
      <c r="E93" s="183">
        <v>0.387098</v>
      </c>
      <c r="F93" s="183">
        <v>0.72333000000000003</v>
      </c>
      <c r="G93" s="183">
        <v>60.266599999999997</v>
      </c>
      <c r="H93" s="183">
        <v>1.5236879999999999</v>
      </c>
      <c r="I93" s="183">
        <v>5.2025600000000001</v>
      </c>
      <c r="J93" s="183">
        <v>9.5547500000000003</v>
      </c>
      <c r="K93" s="183">
        <f>19.18171 - 0.0000000155*$C$87</f>
        <v>19.181571773421872</v>
      </c>
      <c r="L93" s="183">
        <f>30.05826+0.00000003313*$C$87</f>
        <v>30.058555448163439</v>
      </c>
      <c r="M93" s="184"/>
      <c r="N93" s="170"/>
      <c r="O93" s="170"/>
    </row>
    <row r="94" spans="2:15" ht="16" customHeight="1">
      <c r="B94" s="185" t="s">
        <v>17</v>
      </c>
      <c r="C94" s="181">
        <f>0.016709-0.000000001151*$C$87</f>
        <v>1.6698735561843751E-2</v>
      </c>
      <c r="D94" s="182">
        <f>0.016709-0.000000001151*$D$87</f>
        <v>1.6698735957500002E-2</v>
      </c>
      <c r="E94" s="183">
        <f>0.205635 + 0.000000000559*$C$87</f>
        <v>0.20563998507465625</v>
      </c>
      <c r="F94" s="183">
        <f>0.006773-0.000000001302*$C$87</f>
        <v>6.7613889674375E-3</v>
      </c>
      <c r="G94" s="183">
        <v>5.4899999999999997E-2</v>
      </c>
      <c r="H94" s="183">
        <f>0.093405+0.000000002516*$C$87</f>
        <v>9.3427437294875001E-2</v>
      </c>
      <c r="I94" s="183">
        <f>0.048498+0.000000004469*$C$87</f>
        <v>4.8537853843718747E-2</v>
      </c>
      <c r="J94" s="183">
        <f>0.055546-0.000000009499*$C$87</f>
        <v>5.5461289402218748E-2</v>
      </c>
      <c r="K94" s="183">
        <f>0.047318+0.00000000745*$C$87</f>
        <v>4.7384437935937496E-2</v>
      </c>
      <c r="L94" s="183">
        <f>0.008606+0.00000000215*$C$87</f>
        <v>8.6251733640625005E-3</v>
      </c>
      <c r="M94" s="184"/>
      <c r="N94" s="170"/>
      <c r="O94" s="170"/>
    </row>
    <row r="95" spans="2:15" ht="16" customHeight="1">
      <c r="B95" s="185" t="s">
        <v>96</v>
      </c>
      <c r="C95" s="181">
        <f>MOD(356.047 + 0.9856002585*$C$87+3600,360)</f>
        <v>145.47610526260905</v>
      </c>
      <c r="D95" s="182">
        <f>MOD(356.047 + 0.9856002585*$D$87+3600,360)</f>
        <v>145.13730517375006</v>
      </c>
      <c r="E95" s="183">
        <f>MOD(168.6562+4.0923344368*$C$87+360,360)</f>
        <v>303.45528012664727</v>
      </c>
      <c r="F95" s="183">
        <f>MOD(48.0052+1.6021302244*$C$87+360,360)</f>
        <v>295.55220835163709</v>
      </c>
      <c r="G95" s="183">
        <f>MOD(115.3654 + 13.0649929509*$C$87+360,360)</f>
        <v>346.93113097762398</v>
      </c>
      <c r="H95" s="183">
        <f>MOD(18.6021+0.5240207766*$C$87+360,360)</f>
        <v>11.737507472456855</v>
      </c>
      <c r="I95" s="183">
        <f>MOD(19.895+0.0830853001*$C$87+360,360)</f>
        <v>40.836724213659181</v>
      </c>
      <c r="J95" s="183">
        <f>MOD(316.967+0.0334442282*$C$87+360,360)</f>
        <v>255.21740142694375</v>
      </c>
      <c r="K95" s="183">
        <f>MOD(142.5905+0.011725806*$C$87+360,360)</f>
        <v>247.15940575081254</v>
      </c>
      <c r="L95" s="183">
        <f>MOD(260.2471+0.005995147*$C$87+360,360)</f>
        <v>313.71088420428123</v>
      </c>
      <c r="M95" s="184"/>
      <c r="N95" s="170"/>
      <c r="O95" s="170"/>
    </row>
    <row r="96" spans="2:15" ht="16" customHeight="1">
      <c r="B96" s="185" t="s">
        <v>95</v>
      </c>
      <c r="C96" s="181">
        <f t="shared" ref="C96:L96" si="3">MOD(C92+C95,360)</f>
        <v>68.836477737249709</v>
      </c>
      <c r="D96" s="182">
        <f t="shared" si="3"/>
        <v>68.497661460000074</v>
      </c>
      <c r="E96" s="183">
        <f t="shared" si="3"/>
        <v>332.66984630078474</v>
      </c>
      <c r="F96" s="183">
        <f t="shared" si="3"/>
        <v>350.56660812274333</v>
      </c>
      <c r="G96" s="183">
        <f t="shared" si="3"/>
        <v>330.70745041741452</v>
      </c>
      <c r="H96" s="183">
        <f t="shared" si="3"/>
        <v>298.50036551474125</v>
      </c>
      <c r="I96" s="183">
        <f t="shared" si="3"/>
        <v>314.86112720226856</v>
      </c>
      <c r="J96" s="183">
        <f t="shared" si="3"/>
        <v>234.87675085579053</v>
      </c>
      <c r="K96" s="183">
        <f t="shared" si="3"/>
        <v>344.09317964503128</v>
      </c>
      <c r="L96" s="183">
        <f t="shared" si="3"/>
        <v>226.50323635999996</v>
      </c>
      <c r="M96" s="184"/>
      <c r="N96" s="170"/>
      <c r="O96" s="170"/>
    </row>
    <row r="97" spans="2:15" ht="16" customHeight="1">
      <c r="B97" s="185" t="s">
        <v>94</v>
      </c>
      <c r="C97" s="181"/>
      <c r="D97" s="182"/>
      <c r="E97" s="183"/>
      <c r="F97" s="183"/>
      <c r="G97" s="183"/>
      <c r="H97" s="183"/>
      <c r="I97" s="183"/>
      <c r="J97" s="183"/>
      <c r="K97" s="183"/>
      <c r="L97" s="183"/>
      <c r="M97" s="184">
        <f>MOD(50.03 + 0.033459652*$C$87,360)</f>
        <v>348.41794846537505</v>
      </c>
      <c r="N97" s="170"/>
      <c r="O97" s="170"/>
    </row>
    <row r="98" spans="2:15" ht="16" customHeight="1">
      <c r="B98" s="186" t="s">
        <v>93</v>
      </c>
      <c r="C98" s="187"/>
      <c r="D98" s="188"/>
      <c r="E98" s="189"/>
      <c r="F98" s="189"/>
      <c r="G98" s="189"/>
      <c r="H98" s="189"/>
      <c r="I98" s="189"/>
      <c r="J98" s="189"/>
      <c r="K98" s="189"/>
      <c r="L98" s="189"/>
      <c r="M98" s="190">
        <f>MOD(238.95+0.003968789*$C$87,360)</f>
        <v>274.34304017871875</v>
      </c>
      <c r="N98" s="170"/>
      <c r="O98" s="170"/>
    </row>
    <row r="99" spans="2:15" ht="16" customHeight="1">
      <c r="B99" s="170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</row>
    <row r="100" spans="2:15" ht="16" customHeight="1">
      <c r="B100" s="172" t="s">
        <v>92</v>
      </c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</row>
    <row r="101" spans="2:15" ht="16" customHeight="1">
      <c r="B101" s="172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</row>
    <row r="102" spans="2:15" ht="16" customHeight="1">
      <c r="B102" s="170"/>
      <c r="C102" s="191" t="s">
        <v>46</v>
      </c>
      <c r="D102" s="191" t="s">
        <v>47</v>
      </c>
      <c r="E102" s="191" t="s">
        <v>10</v>
      </c>
      <c r="F102" s="191" t="s">
        <v>13</v>
      </c>
      <c r="G102" s="191" t="s">
        <v>7</v>
      </c>
      <c r="H102" s="191" t="s">
        <v>11</v>
      </c>
      <c r="I102" s="191" t="s">
        <v>12</v>
      </c>
      <c r="J102" s="191" t="s">
        <v>14</v>
      </c>
      <c r="K102" s="191" t="s">
        <v>43</v>
      </c>
      <c r="L102" s="191" t="s">
        <v>42</v>
      </c>
      <c r="M102" s="191" t="s">
        <v>41</v>
      </c>
      <c r="N102" s="170"/>
      <c r="O102" s="170"/>
    </row>
    <row r="103" spans="2:15" ht="16" customHeight="1">
      <c r="B103" s="180" t="s">
        <v>91</v>
      </c>
      <c r="C103" s="216">
        <f>C95+(1/$C$83)*C$94*SIN($C$83*C95)*(1+C$94*COS($C$83*C95))</f>
        <v>146.01089268863828</v>
      </c>
      <c r="D103" s="194">
        <f t="shared" ref="D103:L103" si="4">D95+(1/$C$83)*D$94*SIN($C$83*D95)*(1+D$94*COS($C$83*D95))</f>
        <v>145.67671102933872</v>
      </c>
      <c r="E103" s="194">
        <f t="shared" si="4"/>
        <v>292.51070061289198</v>
      </c>
      <c r="F103" s="194">
        <f t="shared" si="4"/>
        <v>295.20168047337847</v>
      </c>
      <c r="G103" s="194">
        <f t="shared" si="4"/>
        <v>346.18181770579082</v>
      </c>
      <c r="H103" s="194">
        <f t="shared" si="4"/>
        <v>12.926069173752214</v>
      </c>
      <c r="I103" s="194">
        <f t="shared" si="4"/>
        <v>42.722025934550203</v>
      </c>
      <c r="J103" s="194">
        <f t="shared" si="4"/>
        <v>252.1883618882577</v>
      </c>
      <c r="K103" s="194">
        <f t="shared" si="4"/>
        <v>244.70337993209861</v>
      </c>
      <c r="L103" s="194">
        <f t="shared" si="4"/>
        <v>313.35153974213836</v>
      </c>
      <c r="M103" s="195"/>
      <c r="N103" s="170"/>
      <c r="O103" s="170"/>
    </row>
    <row r="104" spans="2:15" ht="16" customHeight="1">
      <c r="B104" s="185" t="s">
        <v>90</v>
      </c>
      <c r="C104" s="217">
        <f>(C103-(C103-(1/$C$83)*C$94*SIN($C$83*C103)-C$95)/(1-C$94*COS($C$83*C103)))</f>
        <v>146.01097073164038</v>
      </c>
      <c r="D104" s="183">
        <f t="shared" ref="D104:L108" si="5">(D103-(D103-(1/$C$83)*D$94*SIN($C$83*D103)-D$95)/(1-D$94*COS($C$83*D103)))</f>
        <v>145.67678850732639</v>
      </c>
      <c r="E104" s="183">
        <f t="shared" si="5"/>
        <v>292.57582051031136</v>
      </c>
      <c r="F104" s="183">
        <f t="shared" si="5"/>
        <v>295.20168405807573</v>
      </c>
      <c r="G104" s="183">
        <f t="shared" si="5"/>
        <v>346.17973443442753</v>
      </c>
      <c r="H104" s="183">
        <f t="shared" si="5"/>
        <v>12.935827430534202</v>
      </c>
      <c r="I104" s="183">
        <f t="shared" si="5"/>
        <v>42.723535237500208</v>
      </c>
      <c r="J104" s="183">
        <f t="shared" si="5"/>
        <v>252.19195830641684</v>
      </c>
      <c r="K104" s="183">
        <f t="shared" si="5"/>
        <v>244.70478946431581</v>
      </c>
      <c r="L104" s="183">
        <f t="shared" si="5"/>
        <v>313.3515340584313</v>
      </c>
      <c r="M104" s="184"/>
      <c r="N104" s="170"/>
      <c r="O104" s="170"/>
    </row>
    <row r="105" spans="2:15" ht="16" customHeight="1">
      <c r="B105" s="185" t="s">
        <v>89</v>
      </c>
      <c r="C105" s="217">
        <f>(C104-(C104-(1/$C$83)*C$94*SIN($C$83*C104)-C$95)/(1-C$94*COS($C$83*C104)))</f>
        <v>146.01097073163987</v>
      </c>
      <c r="D105" s="183">
        <f t="shared" si="5"/>
        <v>145.67678850732591</v>
      </c>
      <c r="E105" s="183">
        <f t="shared" si="5"/>
        <v>292.57582814182928</v>
      </c>
      <c r="F105" s="183">
        <f t="shared" si="5"/>
        <v>295.20168405807573</v>
      </c>
      <c r="G105" s="183">
        <f t="shared" si="5"/>
        <v>346.17973443495214</v>
      </c>
      <c r="H105" s="183">
        <f t="shared" si="5"/>
        <v>12.935827411422899</v>
      </c>
      <c r="I105" s="183">
        <f t="shared" si="5"/>
        <v>42.72353523682137</v>
      </c>
      <c r="J105" s="183">
        <f t="shared" si="5"/>
        <v>252.19195831227745</v>
      </c>
      <c r="K105" s="183">
        <f t="shared" si="5"/>
        <v>244.70478946504383</v>
      </c>
      <c r="L105" s="183">
        <f t="shared" si="5"/>
        <v>313.3515340584313</v>
      </c>
      <c r="M105" s="184"/>
      <c r="N105" s="170"/>
      <c r="O105" s="170"/>
    </row>
    <row r="106" spans="2:15" ht="16" customHeight="1">
      <c r="B106" s="185" t="s">
        <v>88</v>
      </c>
      <c r="C106" s="217">
        <f>(C105-(C105-(1/$C$83)*C$94*SIN($C$83*C105)-C$95)/(1-C$94*COS($C$83*C105)))</f>
        <v>146.01097073163987</v>
      </c>
      <c r="D106" s="183">
        <f t="shared" si="5"/>
        <v>145.67678850732591</v>
      </c>
      <c r="E106" s="183">
        <f t="shared" si="5"/>
        <v>292.57582814182933</v>
      </c>
      <c r="F106" s="183">
        <f t="shared" si="5"/>
        <v>295.20168405807573</v>
      </c>
      <c r="G106" s="183">
        <f t="shared" si="5"/>
        <v>346.17973443495214</v>
      </c>
      <c r="H106" s="183">
        <f t="shared" si="5"/>
        <v>12.935827411422899</v>
      </c>
      <c r="I106" s="183">
        <f t="shared" si="5"/>
        <v>42.723535236821377</v>
      </c>
      <c r="J106" s="183">
        <f t="shared" si="5"/>
        <v>252.19195831227748</v>
      </c>
      <c r="K106" s="183">
        <f t="shared" si="5"/>
        <v>244.70478946504383</v>
      </c>
      <c r="L106" s="183">
        <f t="shared" si="5"/>
        <v>313.3515340584313</v>
      </c>
      <c r="M106" s="184"/>
      <c r="N106" s="170"/>
      <c r="O106" s="170"/>
    </row>
    <row r="107" spans="2:15" ht="16" customHeight="1">
      <c r="B107" s="185" t="s">
        <v>87</v>
      </c>
      <c r="C107" s="217">
        <f>(C106-(C106-(1/$C$83)*C$94*SIN($C$83*C106)-C$95)/(1-C$94*COS($C$83*C106)))</f>
        <v>146.01097073163987</v>
      </c>
      <c r="D107" s="183">
        <f t="shared" si="5"/>
        <v>145.67678850732591</v>
      </c>
      <c r="E107" s="183">
        <f t="shared" si="5"/>
        <v>292.57582814182933</v>
      </c>
      <c r="F107" s="183">
        <f t="shared" si="5"/>
        <v>295.20168405807573</v>
      </c>
      <c r="G107" s="183">
        <f t="shared" si="5"/>
        <v>346.17973443495214</v>
      </c>
      <c r="H107" s="183">
        <f t="shared" si="5"/>
        <v>12.935827411422899</v>
      </c>
      <c r="I107" s="183">
        <f t="shared" si="5"/>
        <v>42.723535236821377</v>
      </c>
      <c r="J107" s="183">
        <f t="shared" si="5"/>
        <v>252.19195831227748</v>
      </c>
      <c r="K107" s="183">
        <f t="shared" si="5"/>
        <v>244.70478946504383</v>
      </c>
      <c r="L107" s="183">
        <f t="shared" si="5"/>
        <v>313.3515340584313</v>
      </c>
      <c r="M107" s="184"/>
      <c r="N107" s="170"/>
      <c r="O107" s="170"/>
    </row>
    <row r="108" spans="2:15" ht="16" customHeight="1">
      <c r="B108" s="186" t="s">
        <v>86</v>
      </c>
      <c r="C108" s="218">
        <f>(C107-(C107-(1/$C$83)*C$94*SIN($C$83*C107)-C$95)/(1-C$94*COS($C$83*C107)))</f>
        <v>146.01097073163987</v>
      </c>
      <c r="D108" s="189">
        <f t="shared" si="5"/>
        <v>145.67678850732591</v>
      </c>
      <c r="E108" s="189">
        <f t="shared" si="5"/>
        <v>292.57582814182933</v>
      </c>
      <c r="F108" s="189">
        <f t="shared" si="5"/>
        <v>295.20168405807573</v>
      </c>
      <c r="G108" s="189">
        <f t="shared" si="5"/>
        <v>346.17973443495214</v>
      </c>
      <c r="H108" s="189">
        <f t="shared" si="5"/>
        <v>12.935827411422899</v>
      </c>
      <c r="I108" s="189">
        <f t="shared" si="5"/>
        <v>42.723535236821377</v>
      </c>
      <c r="J108" s="189">
        <f t="shared" si="5"/>
        <v>252.19195831227748</v>
      </c>
      <c r="K108" s="189">
        <f t="shared" si="5"/>
        <v>244.70478946504383</v>
      </c>
      <c r="L108" s="189">
        <f t="shared" si="5"/>
        <v>313.3515340584313</v>
      </c>
      <c r="M108" s="190"/>
      <c r="N108" s="170"/>
      <c r="O108" s="170"/>
    </row>
    <row r="109" spans="2:15" ht="16" customHeight="1">
      <c r="B109" s="170"/>
      <c r="C109" s="196"/>
      <c r="D109" s="196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</row>
    <row r="110" spans="2:15" ht="16" customHeight="1">
      <c r="B110" s="172" t="s">
        <v>85</v>
      </c>
      <c r="C110" s="196"/>
      <c r="D110" s="196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</row>
    <row r="111" spans="2:15" ht="16" customHeight="1">
      <c r="B111" s="172"/>
      <c r="C111" s="196"/>
      <c r="D111" s="196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</row>
    <row r="112" spans="2:15" ht="16" customHeight="1">
      <c r="B112" s="170"/>
      <c r="C112" s="191" t="s">
        <v>46</v>
      </c>
      <c r="D112" s="191"/>
      <c r="E112" s="191" t="s">
        <v>10</v>
      </c>
      <c r="F112" s="191" t="s">
        <v>13</v>
      </c>
      <c r="G112" s="191" t="s">
        <v>7</v>
      </c>
      <c r="H112" s="191" t="s">
        <v>11</v>
      </c>
      <c r="I112" s="191" t="s">
        <v>12</v>
      </c>
      <c r="J112" s="191" t="s">
        <v>14</v>
      </c>
      <c r="K112" s="191" t="s">
        <v>43</v>
      </c>
      <c r="L112" s="191" t="s">
        <v>42</v>
      </c>
      <c r="M112" s="191" t="s">
        <v>41</v>
      </c>
      <c r="N112" s="170"/>
      <c r="O112" s="170"/>
    </row>
    <row r="113" spans="2:15" ht="16" customHeight="1">
      <c r="B113" s="180" t="s">
        <v>84</v>
      </c>
      <c r="C113" s="192">
        <f>COS($C$83*C108)-C94</f>
        <v>-0.84584336459722276</v>
      </c>
      <c r="D113" s="193">
        <f>COS($C$83*D108)-D94</f>
        <v>-0.84256866870369485</v>
      </c>
      <c r="E113" s="194">
        <f t="shared" ref="E113:L113" si="6">E93*(COS($C$83*E108)-E94)</f>
        <v>6.9006342717794072E-2</v>
      </c>
      <c r="F113" s="194">
        <f t="shared" si="6"/>
        <v>0.3031074563148759</v>
      </c>
      <c r="G113" s="194">
        <f t="shared" si="6"/>
        <v>55.213236530831971</v>
      </c>
      <c r="H113" s="194">
        <f t="shared" si="6"/>
        <v>1.3426646726319742</v>
      </c>
      <c r="I113" s="194">
        <f t="shared" si="6"/>
        <v>3.5694666010956393</v>
      </c>
      <c r="J113" s="194">
        <f t="shared" si="6"/>
        <v>-3.452037791214297</v>
      </c>
      <c r="K113" s="194">
        <f t="shared" si="6"/>
        <v>-9.1048538697888972</v>
      </c>
      <c r="L113" s="194">
        <f t="shared" si="6"/>
        <v>20.37511634143015</v>
      </c>
      <c r="M113" s="195"/>
      <c r="N113" s="170"/>
      <c r="O113" s="170"/>
    </row>
    <row r="114" spans="2:15" ht="16" customHeight="1">
      <c r="B114" s="185" t="s">
        <v>83</v>
      </c>
      <c r="C114" s="181">
        <f>SQRT(1-C94*C94)*SIN($C$83*C108)</f>
        <v>0.55895620478209407</v>
      </c>
      <c r="D114" s="182">
        <f>SQRT(1-D94*D94)*SIN($C$83*D108)</f>
        <v>0.56378204799488818</v>
      </c>
      <c r="E114" s="183">
        <f t="shared" ref="E114:L114" si="7">E93*(SQRT(1-E94*E94)*SIN($C$83*E108))</f>
        <v>-0.34979633941973787</v>
      </c>
      <c r="F114" s="183">
        <f t="shared" si="7"/>
        <v>-0.65446453896237333</v>
      </c>
      <c r="G114" s="183">
        <f t="shared" si="7"/>
        <v>-14.374588940741882</v>
      </c>
      <c r="H114" s="183">
        <f t="shared" si="7"/>
        <v>0.33960027506425089</v>
      </c>
      <c r="I114" s="183">
        <f t="shared" si="7"/>
        <v>3.5255762715550101</v>
      </c>
      <c r="J114" s="183">
        <f t="shared" si="7"/>
        <v>-9.0829465985527236</v>
      </c>
      <c r="K114" s="183">
        <f t="shared" si="7"/>
        <v>-17.32292922455737</v>
      </c>
      <c r="L114" s="183">
        <f t="shared" si="7"/>
        <v>-21.856434235432623</v>
      </c>
      <c r="M114" s="184"/>
      <c r="N114" s="170"/>
      <c r="O114" s="170"/>
    </row>
    <row r="115" spans="2:15" ht="16" customHeight="1">
      <c r="B115" s="185" t="s">
        <v>82</v>
      </c>
      <c r="C115" s="181">
        <f>(1/$C$83)*ATAN2(C113,C114)</f>
        <v>146.54219184888359</v>
      </c>
      <c r="D115" s="182">
        <f>(1/$C$83)*ATAN2(D113,D114)</f>
        <v>146.21261050857626</v>
      </c>
      <c r="E115" s="183">
        <f>(1/$C$83)*ATAN2(E113,E114)</f>
        <v>-78.840229309252649</v>
      </c>
      <c r="F115" s="183">
        <f>(1/$C$83)*ATAN2(F113,F114)</f>
        <v>-65.149348469278621</v>
      </c>
      <c r="G115" s="183">
        <f t="shared" ref="G115:L115" si="8">(1/$C$83)*ATAN2(G113,G114)</f>
        <v>-14.592826136973684</v>
      </c>
      <c r="H115" s="183">
        <f t="shared" si="8"/>
        <v>14.194139740316935</v>
      </c>
      <c r="I115" s="183">
        <f t="shared" si="8"/>
        <v>44.645569644512967</v>
      </c>
      <c r="J115" s="183">
        <f t="shared" si="8"/>
        <v>-110.80964669428444</v>
      </c>
      <c r="K115" s="183">
        <f t="shared" si="8"/>
        <v>-117.72621421696321</v>
      </c>
      <c r="L115" s="183">
        <f t="shared" si="8"/>
        <v>-47.008888627417257</v>
      </c>
      <c r="M115" s="184"/>
      <c r="N115" s="170"/>
      <c r="O115" s="170"/>
    </row>
    <row r="116" spans="2:15" ht="16" customHeight="1">
      <c r="B116" s="185" t="s">
        <v>9</v>
      </c>
      <c r="C116" s="181">
        <f t="shared" ref="C116:L116" si="9">SQRT(C113*C113+C114*C114)</f>
        <v>1.0138456669027849</v>
      </c>
      <c r="D116" s="182">
        <f t="shared" si="9"/>
        <v>1.0137909839421668</v>
      </c>
      <c r="E116" s="183">
        <f t="shared" si="9"/>
        <v>0.3565380125691146</v>
      </c>
      <c r="F116" s="183">
        <f t="shared" si="9"/>
        <v>0.72124750455922293</v>
      </c>
      <c r="G116" s="183">
        <f t="shared" si="9"/>
        <v>57.053749179391332</v>
      </c>
      <c r="H116" s="183">
        <f t="shared" si="9"/>
        <v>1.384946486315497</v>
      </c>
      <c r="I116" s="183">
        <f t="shared" si="9"/>
        <v>5.0170489197225283</v>
      </c>
      <c r="J116" s="183">
        <f t="shared" si="9"/>
        <v>9.71681448953988</v>
      </c>
      <c r="K116" s="183">
        <f t="shared" si="9"/>
        <v>19.56993206194732</v>
      </c>
      <c r="L116" s="183">
        <f t="shared" si="9"/>
        <v>29.88058037278736</v>
      </c>
      <c r="M116" s="184">
        <f>40.72+6.68*SIN($C$83*M98)+6.9*COS($C$83*M98)-1.18*SIN($C$83*2*M98)-0.03*COS($C$83*2*M98)+0.15*SIN($C$83*3*M98)-0.14*COS($C$83*3*M98)</f>
        <v>34.967264259113584</v>
      </c>
      <c r="N116" s="170"/>
      <c r="O116" s="170"/>
    </row>
    <row r="117" spans="2:15" ht="16" customHeight="1">
      <c r="B117" s="185" t="s">
        <v>66</v>
      </c>
      <c r="C117" s="181">
        <f t="shared" ref="C117:L117" si="10">C116*(COS($C$83*C90)*COS($C$83*(C115+C92)) - SIN($C$83*C90)*SIN($C$83*(C115+C92))*COS($C$83*C91))</f>
        <v>0.34837527996475459</v>
      </c>
      <c r="D117" s="182">
        <f t="shared" si="10"/>
        <v>0.35382748514747348</v>
      </c>
      <c r="E117" s="183">
        <f t="shared" si="10"/>
        <v>0.35496176957823605</v>
      </c>
      <c r="F117" s="183">
        <f t="shared" si="10"/>
        <v>0.28431926337904773</v>
      </c>
      <c r="G117" s="183">
        <f t="shared" si="10"/>
        <v>54.257334716123736</v>
      </c>
      <c r="H117" s="183">
        <f t="shared" si="10"/>
        <v>1.3662804411616742</v>
      </c>
      <c r="I117" s="183">
        <f t="shared" si="10"/>
        <v>2.5552260188650338</v>
      </c>
      <c r="J117" s="183">
        <f t="shared" si="10"/>
        <v>9.2722499699432941</v>
      </c>
      <c r="K117" s="183">
        <f t="shared" si="10"/>
        <v>11.685914086255375</v>
      </c>
      <c r="L117" s="183">
        <f t="shared" si="10"/>
        <v>29.851646289321891</v>
      </c>
      <c r="M117" s="184"/>
      <c r="N117" s="170"/>
      <c r="O117" s="170"/>
    </row>
    <row r="118" spans="2:15" ht="16" customHeight="1">
      <c r="B118" s="185" t="s">
        <v>65</v>
      </c>
      <c r="C118" s="181">
        <f t="shared" ref="C118:L118" si="11">C116*(SIN($C$83*C90)*COS($C$83*(C115+C92))+COS($C$83*C90)*SIN($C$83*(C115+C92))*COS($C$83*C91))</f>
        <v>0.95211223109832566</v>
      </c>
      <c r="D118" s="182">
        <f t="shared" si="11"/>
        <v>0.9500411937787967</v>
      </c>
      <c r="E118" s="183">
        <f t="shared" si="11"/>
        <v>-4.9126214951525577E-3</v>
      </c>
      <c r="F118" s="183">
        <f t="shared" si="11"/>
        <v>0.66280014800854448</v>
      </c>
      <c r="G118" s="183">
        <f t="shared" si="11"/>
        <v>-17.447086615659682</v>
      </c>
      <c r="H118" s="183">
        <f t="shared" si="11"/>
        <v>-0.2233499322542567</v>
      </c>
      <c r="I118" s="183">
        <f t="shared" si="11"/>
        <v>4.3169358971997145</v>
      </c>
      <c r="J118" s="183">
        <f t="shared" si="11"/>
        <v>-2.8880813756050476</v>
      </c>
      <c r="K118" s="183">
        <f t="shared" si="11"/>
        <v>15.697543068987249</v>
      </c>
      <c r="L118" s="183">
        <f t="shared" si="11"/>
        <v>-1.1366049551391784</v>
      </c>
      <c r="M118" s="184"/>
      <c r="N118" s="170"/>
      <c r="O118" s="170"/>
    </row>
    <row r="119" spans="2:15" ht="16" customHeight="1">
      <c r="B119" s="185" t="s">
        <v>64</v>
      </c>
      <c r="C119" s="181">
        <f t="shared" ref="C119:L119" si="12">C116*(SIN($C$83*(C115+C92))*SIN($C$83*C91))</f>
        <v>0</v>
      </c>
      <c r="D119" s="182">
        <f t="shared" si="12"/>
        <v>0</v>
      </c>
      <c r="E119" s="183">
        <f t="shared" si="12"/>
        <v>-3.3126465170113348E-2</v>
      </c>
      <c r="F119" s="183">
        <f t="shared" si="12"/>
        <v>-7.5155242234581565E-3</v>
      </c>
      <c r="G119" s="183">
        <f t="shared" si="12"/>
        <v>-2.6212770843770303</v>
      </c>
      <c r="H119" s="183">
        <f t="shared" si="12"/>
        <v>-3.8331890361953946E-2</v>
      </c>
      <c r="I119" s="183">
        <f t="shared" si="12"/>
        <v>-7.5261642771324674E-2</v>
      </c>
      <c r="J119" s="183">
        <f t="shared" si="12"/>
        <v>-0.31756934187984914</v>
      </c>
      <c r="K119" s="183">
        <f t="shared" si="12"/>
        <v>-9.3778863195673426E-2</v>
      </c>
      <c r="L119" s="183">
        <f t="shared" si="12"/>
        <v>-0.6606257698371939</v>
      </c>
      <c r="M119" s="184"/>
      <c r="N119" s="170"/>
      <c r="O119" s="170"/>
    </row>
    <row r="120" spans="2:15" ht="16" customHeight="1">
      <c r="B120" s="185" t="s">
        <v>81</v>
      </c>
      <c r="C120" s="181"/>
      <c r="D120" s="182"/>
      <c r="E120" s="183">
        <f>MOD((1/$C$83)*ATAN2(E117,E118)+360,360)</f>
        <v>359.20708500756723</v>
      </c>
      <c r="F120" s="183">
        <f>MOD((1/$C$83)*ATAN2(F117,F118)+360,360)</f>
        <v>66.782273896542847</v>
      </c>
      <c r="G120" s="183">
        <f t="shared" ref="G120:L120" si="13">MOD((1/$C$83)*ATAN2(G117,G118)+360,360)</f>
        <v>342.17419234246915</v>
      </c>
      <c r="H120" s="183">
        <f t="shared" si="13"/>
        <v>350.71580882596407</v>
      </c>
      <c r="I120" s="183">
        <f t="shared" si="13"/>
        <v>59.378398948031077</v>
      </c>
      <c r="J120" s="183">
        <f t="shared" si="13"/>
        <v>342.69945300249464</v>
      </c>
      <c r="K120" s="183">
        <f t="shared" si="13"/>
        <v>53.334445875154358</v>
      </c>
      <c r="L120" s="183">
        <f t="shared" si="13"/>
        <v>357.81950972295863</v>
      </c>
      <c r="M120" s="184"/>
      <c r="N120" s="170"/>
      <c r="O120" s="170"/>
    </row>
    <row r="121" spans="2:15" ht="16" customHeight="1">
      <c r="B121" s="185" t="s">
        <v>80</v>
      </c>
      <c r="C121" s="181"/>
      <c r="D121" s="182"/>
      <c r="E121" s="183">
        <f>(1/$C$83)*ATAN2(SQRT(E117*E117+E118*E118),E119)</f>
        <v>-5.3311232168584581</v>
      </c>
      <c r="F121" s="183">
        <f>(1/$C$83)*ATAN2(SQRT(F117*F117+F118*F118),F119)</f>
        <v>-0.59704277527297211</v>
      </c>
      <c r="G121" s="183">
        <f t="shared" ref="G121:L121" si="14">(1/$C$83)*ATAN2(SQRT(G117*G117+G118*G118),G119)</f>
        <v>-2.633323904673182</v>
      </c>
      <c r="H121" s="183">
        <f t="shared" si="14"/>
        <v>-1.5860078798253547</v>
      </c>
      <c r="I121" s="183">
        <f t="shared" si="14"/>
        <v>-0.85953641420245985</v>
      </c>
      <c r="J121" s="183">
        <f t="shared" si="14"/>
        <v>-1.8729001959668767</v>
      </c>
      <c r="K121" s="183">
        <f t="shared" si="14"/>
        <v>-0.27456169065140135</v>
      </c>
      <c r="L121" s="183">
        <f t="shared" si="14"/>
        <v>-1.266847975119034</v>
      </c>
      <c r="M121" s="184"/>
      <c r="N121" s="170"/>
      <c r="O121" s="170"/>
    </row>
    <row r="122" spans="2:15" ht="16" customHeight="1">
      <c r="B122" s="186" t="s">
        <v>79</v>
      </c>
      <c r="C122" s="197">
        <f>23.4393-0.0000003563*$C$87</f>
        <v>23.436122572271874</v>
      </c>
      <c r="D122" s="198">
        <f>23.4393-0.0000003563*$D$87</f>
        <v>23.436122694750001</v>
      </c>
      <c r="E122" s="199"/>
      <c r="F122" s="199"/>
      <c r="G122" s="199"/>
      <c r="H122" s="199"/>
      <c r="I122" s="199"/>
      <c r="J122" s="199"/>
      <c r="K122" s="199"/>
      <c r="L122" s="199"/>
      <c r="M122" s="200"/>
      <c r="N122" s="170"/>
      <c r="O122" s="170"/>
    </row>
    <row r="123" spans="2:15" ht="16" customHeight="1">
      <c r="B123" s="170"/>
      <c r="C123" s="170"/>
      <c r="D123" s="170"/>
      <c r="E123" s="170"/>
      <c r="F123" s="170"/>
      <c r="G123" s="170"/>
      <c r="H123" s="170"/>
      <c r="I123" s="170"/>
      <c r="J123" s="201"/>
      <c r="K123" s="201"/>
      <c r="L123" s="170"/>
      <c r="M123" s="170"/>
      <c r="N123" s="170"/>
      <c r="O123" s="170"/>
    </row>
    <row r="124" spans="2:15" ht="16" customHeight="1">
      <c r="B124" s="172" t="s">
        <v>78</v>
      </c>
      <c r="C124" s="196"/>
      <c r="D124" s="196"/>
      <c r="E124" s="196"/>
      <c r="F124" s="196"/>
      <c r="G124" s="196"/>
      <c r="H124" s="196"/>
      <c r="I124" s="196"/>
      <c r="J124" s="196"/>
      <c r="K124" s="196"/>
      <c r="L124" s="196"/>
      <c r="M124" s="196"/>
      <c r="N124" s="170"/>
      <c r="O124" s="170"/>
    </row>
    <row r="125" spans="2:15" ht="16" customHeight="1">
      <c r="B125" s="172"/>
      <c r="C125" s="196"/>
      <c r="D125" s="196"/>
      <c r="E125" s="196"/>
      <c r="F125" s="196"/>
      <c r="G125" s="196"/>
      <c r="H125" s="196"/>
      <c r="I125" s="196"/>
      <c r="J125" s="196"/>
      <c r="K125" s="196"/>
      <c r="L125" s="196"/>
      <c r="M125" s="196"/>
      <c r="N125" s="170"/>
      <c r="O125" s="170"/>
    </row>
    <row r="126" spans="2:15" ht="16" customHeight="1">
      <c r="B126" s="170"/>
      <c r="C126" s="191" t="s">
        <v>46</v>
      </c>
      <c r="D126" s="191" t="s">
        <v>47</v>
      </c>
      <c r="E126" s="191" t="s">
        <v>10</v>
      </c>
      <c r="F126" s="191" t="s">
        <v>13</v>
      </c>
      <c r="G126" s="191" t="s">
        <v>7</v>
      </c>
      <c r="H126" s="191" t="s">
        <v>11</v>
      </c>
      <c r="I126" s="191" t="s">
        <v>12</v>
      </c>
      <c r="J126" s="191" t="s">
        <v>14</v>
      </c>
      <c r="K126" s="191" t="s">
        <v>43</v>
      </c>
      <c r="L126" s="191" t="s">
        <v>42</v>
      </c>
      <c r="M126" s="191" t="s">
        <v>41</v>
      </c>
      <c r="N126" s="170"/>
      <c r="O126" s="170"/>
    </row>
    <row r="127" spans="2:15" ht="16" customHeight="1">
      <c r="B127" s="180" t="s">
        <v>77</v>
      </c>
      <c r="C127" s="192">
        <f>C95</f>
        <v>145.47610526260905</v>
      </c>
      <c r="D127" s="193">
        <f>D95</f>
        <v>145.13730517375006</v>
      </c>
      <c r="E127" s="194"/>
      <c r="F127" s="194"/>
      <c r="G127" s="194">
        <f>C95</f>
        <v>145.47610526260905</v>
      </c>
      <c r="H127" s="194"/>
      <c r="I127" s="194"/>
      <c r="J127" s="194"/>
      <c r="K127" s="194"/>
      <c r="L127" s="194"/>
      <c r="M127" s="195"/>
      <c r="N127" s="170"/>
      <c r="O127" s="170"/>
    </row>
    <row r="128" spans="2:15" ht="16" customHeight="1">
      <c r="B128" s="185" t="s">
        <v>76</v>
      </c>
      <c r="C128" s="181"/>
      <c r="D128" s="182"/>
      <c r="E128" s="183"/>
      <c r="F128" s="183"/>
      <c r="G128" s="183">
        <f>G95</f>
        <v>346.93113097762398</v>
      </c>
      <c r="H128" s="183"/>
      <c r="I128" s="183">
        <f>I95</f>
        <v>40.836724213659181</v>
      </c>
      <c r="J128" s="183">
        <f>J95</f>
        <v>255.21740142694375</v>
      </c>
      <c r="K128" s="183">
        <f>K95</f>
        <v>247.15940575081254</v>
      </c>
      <c r="L128" s="183"/>
      <c r="M128" s="184"/>
      <c r="N128" s="170"/>
      <c r="O128" s="170"/>
    </row>
    <row r="129" spans="2:15" ht="16" customHeight="1">
      <c r="B129" s="185" t="s">
        <v>75</v>
      </c>
      <c r="C129" s="181">
        <f>MOD(C90+C92+C95,360)</f>
        <v>68.836477737249709</v>
      </c>
      <c r="D129" s="182">
        <f>MOD(D90+D92+D95,360)</f>
        <v>68.497661460000074</v>
      </c>
      <c r="E129" s="183"/>
      <c r="F129" s="183"/>
      <c r="G129" s="183">
        <f>C96</f>
        <v>68.836477737249709</v>
      </c>
      <c r="H129" s="183"/>
      <c r="I129" s="183"/>
      <c r="J129" s="183"/>
      <c r="K129" s="183"/>
      <c r="L129" s="183"/>
      <c r="M129" s="184"/>
      <c r="N129" s="170"/>
      <c r="O129" s="170"/>
    </row>
    <row r="130" spans="2:15" ht="16" customHeight="1">
      <c r="B130" s="185" t="s">
        <v>74</v>
      </c>
      <c r="C130" s="181"/>
      <c r="D130" s="182"/>
      <c r="E130" s="183"/>
      <c r="F130" s="183"/>
      <c r="G130" s="183">
        <f>G90+G92+G95</f>
        <v>343.59646203056138</v>
      </c>
      <c r="H130" s="183"/>
      <c r="I130" s="183"/>
      <c r="J130" s="183"/>
      <c r="K130" s="183"/>
      <c r="L130" s="183"/>
      <c r="M130" s="184"/>
      <c r="N130" s="170"/>
      <c r="O130" s="170"/>
    </row>
    <row r="131" spans="2:15" ht="16" customHeight="1">
      <c r="B131" s="185" t="s">
        <v>23</v>
      </c>
      <c r="C131" s="181"/>
      <c r="D131" s="182"/>
      <c r="E131" s="183"/>
      <c r="F131" s="183"/>
      <c r="G131" s="183">
        <f>G130-C129</f>
        <v>274.75998429331167</v>
      </c>
      <c r="H131" s="183"/>
      <c r="I131" s="183"/>
      <c r="J131" s="183"/>
      <c r="K131" s="183"/>
      <c r="L131" s="183"/>
      <c r="M131" s="184"/>
      <c r="N131" s="170"/>
      <c r="O131" s="170"/>
    </row>
    <row r="132" spans="2:15" ht="16" customHeight="1">
      <c r="B132" s="185" t="s">
        <v>21</v>
      </c>
      <c r="C132" s="181"/>
      <c r="D132" s="182"/>
      <c r="E132" s="183"/>
      <c r="F132" s="183"/>
      <c r="G132" s="183">
        <f>G130-G90</f>
        <v>690.70745041741452</v>
      </c>
      <c r="H132" s="183"/>
      <c r="I132" s="183"/>
      <c r="J132" s="183"/>
      <c r="K132" s="183"/>
      <c r="L132" s="183"/>
      <c r="M132" s="184"/>
      <c r="N132" s="170"/>
      <c r="O132" s="170"/>
    </row>
    <row r="133" spans="2:15" ht="16" customHeight="1">
      <c r="B133" s="185"/>
      <c r="C133" s="181"/>
      <c r="D133" s="182"/>
      <c r="E133" s="183"/>
      <c r="F133" s="183"/>
      <c r="G133" s="183"/>
      <c r="H133" s="183"/>
      <c r="I133" s="183"/>
      <c r="J133" s="183"/>
      <c r="K133" s="183"/>
      <c r="L133" s="183"/>
      <c r="M133" s="184"/>
      <c r="N133" s="170"/>
      <c r="O133" s="170"/>
    </row>
    <row r="134" spans="2:15" ht="16" customHeight="1">
      <c r="B134" s="185" t="s">
        <v>73</v>
      </c>
      <c r="C134" s="181"/>
      <c r="D134" s="182"/>
      <c r="E134" s="183"/>
      <c r="F134" s="183"/>
      <c r="G134" s="183">
        <f>-1.274*SIN($C$83*(G128-2*G131))+0.658*SIN($C$83*2*G131)-0.186*SIN($C$83*C127)-0.059*SIN($C$83*(2*G128-2*G131))-0.057*SIN($C$83*(G128-2*G131+C127))+0.053*SIN($C$83*(G128+2*G131))+0.046*SIN($C$83*(2*G131-C127))+0.041*SIN($C$83*(G128-C127))-0.035*SIN($C$83*G131)-0.031*SIN($C$83*(G128+C127))-0.015*SIN($C$83*(2*G132-2*G131))+0.011*SIN($C$83*(G128-4*G131))</f>
        <v>-0.67764572575224424</v>
      </c>
      <c r="H134" s="183"/>
      <c r="I134" s="183">
        <f>-0.332*SIN($C$83*(2*I128-5*J128-67.6))-0.056*SIN($C$83*(2*I128-2*J128+21))+0.042*SIN($C$83*(3*I128-5*J128+21))-0.036*SIN($C$83*(I128-2*J128))+0.022*COS($C$83*(I128-J128))+0.023*SIN($C$83*(2*I128-3*J128+52))-0.016*SIN($C$83*(I128-5*J128-69))</f>
        <v>2.401879479362394E-2</v>
      </c>
      <c r="J134" s="183">
        <f>0.812*SIN($C$83*(2*I128-5*J128-67.6))-0.229*COS($C$83*(2*I128-4*J128-2))+0.119*SIN($C$83*(I128-2*J128-3))+0.046*SIN($C$83*(2*I128-6*J128-69))+0.014*SIN($C$83*(I128-3*J128+32))</f>
        <v>5.227863547613542E-2</v>
      </c>
      <c r="K134" s="183">
        <f>0.04*SIN($C$83*(J128-2*K128+6))+0.035*SIN($C$83*(J128-3*K128+33))-0.015*SIN($C$83*(I128-K128+20))</f>
        <v>-4.6072725726671948E-3</v>
      </c>
      <c r="L134" s="183"/>
      <c r="M134" s="184"/>
      <c r="N134" s="170"/>
      <c r="O134" s="170"/>
    </row>
    <row r="135" spans="2:15" ht="16" customHeight="1">
      <c r="B135" s="185" t="s">
        <v>72</v>
      </c>
      <c r="C135" s="181"/>
      <c r="D135" s="182"/>
      <c r="E135" s="183"/>
      <c r="F135" s="183"/>
      <c r="G135" s="183">
        <f>-0.173*SIN($C$83*(G132-2*G131))-0.055*SIN($C$83*(G128-G132-2*G131))-0.046*SIN($C$83*(G128+G132-2*G131))+0.033*SIN($C$83*(G132+2*G131))+0.017*SIN($C$83*(2*G128+G132))</f>
        <v>-0.14103620074121001</v>
      </c>
      <c r="H135" s="183"/>
      <c r="I135" s="183"/>
      <c r="J135" s="183">
        <f>-0.02*COS($C$83*(2*I128-4*J128-2))+0.018*SIN($C$83*(2*I128-6*J128-49))</f>
        <v>-3.1979797739211703E-4</v>
      </c>
      <c r="K135" s="183"/>
      <c r="L135" s="183"/>
      <c r="M135" s="184"/>
      <c r="N135" s="170"/>
      <c r="O135" s="170"/>
    </row>
    <row r="136" spans="2:15" ht="16" customHeight="1">
      <c r="B136" s="185" t="s">
        <v>71</v>
      </c>
      <c r="C136" s="181"/>
      <c r="D136" s="182"/>
      <c r="E136" s="183"/>
      <c r="F136" s="183"/>
      <c r="G136" s="183">
        <f>-0.58*COS($C$83*(G128-2*G131))-0.46*COS($C$83*2*G131)</f>
        <v>0.98917022858732584</v>
      </c>
      <c r="H136" s="183"/>
      <c r="I136" s="183"/>
      <c r="J136" s="183"/>
      <c r="K136" s="183"/>
      <c r="L136" s="183"/>
      <c r="M136" s="184"/>
      <c r="N136" s="170"/>
      <c r="O136" s="170"/>
    </row>
    <row r="137" spans="2:15" ht="16" customHeight="1">
      <c r="B137" s="185" t="s">
        <v>70</v>
      </c>
      <c r="C137" s="181"/>
      <c r="D137" s="182"/>
      <c r="E137" s="183">
        <f t="shared" ref="E137:L137" si="15">MOD(E120+E134+360,360)</f>
        <v>359.20708500756723</v>
      </c>
      <c r="F137" s="183">
        <f t="shared" si="15"/>
        <v>66.782273896542847</v>
      </c>
      <c r="G137" s="183">
        <f t="shared" si="15"/>
        <v>341.49654661671684</v>
      </c>
      <c r="H137" s="183">
        <f t="shared" si="15"/>
        <v>350.71580882596413</v>
      </c>
      <c r="I137" s="183">
        <f t="shared" si="15"/>
        <v>59.402417742824696</v>
      </c>
      <c r="J137" s="183">
        <f t="shared" si="15"/>
        <v>342.75173163797081</v>
      </c>
      <c r="K137" s="183">
        <f t="shared" si="15"/>
        <v>53.329838602581674</v>
      </c>
      <c r="L137" s="183">
        <f t="shared" si="15"/>
        <v>357.81950972295863</v>
      </c>
      <c r="M137" s="184">
        <f>238.9508+0.00400703*$C$87-19.799*SIN($C$83*M98)+19.848*COS($C$83*M98)+0.897*SIN($C$83*2*M98)-4.956*COS($C$83*2*M98)+0.61*SIN($C$83*3*M98)+1.211*COS($C$83*3*M98)-0.341*SIN($C$83*4*M98)-0.19*COS($C$83*4*M98)+0.128*SIN($C$83*5*M98)-0.034*COS($C$83*5*M98)-0.038*SIN($C$83*6*M98)+0.031*COS($C$83*6*M98)+0.02*SIN($C$83*(M97-M98))-0.01*COS($C$83*(M97-M98))</f>
        <v>300.60572131965574</v>
      </c>
      <c r="N137" s="170"/>
      <c r="O137" s="170"/>
    </row>
    <row r="138" spans="2:15" ht="16" customHeight="1">
      <c r="B138" s="185" t="s">
        <v>69</v>
      </c>
      <c r="C138" s="181"/>
      <c r="D138" s="182"/>
      <c r="E138" s="183">
        <f t="shared" ref="E138:L138" si="16">E121+E135</f>
        <v>-5.3311232168584581</v>
      </c>
      <c r="F138" s="183">
        <f t="shared" si="16"/>
        <v>-0.59704277527297211</v>
      </c>
      <c r="G138" s="183">
        <f t="shared" si="16"/>
        <v>-2.774360105414392</v>
      </c>
      <c r="H138" s="183">
        <f t="shared" si="16"/>
        <v>-1.5860078798253547</v>
      </c>
      <c r="I138" s="183">
        <f t="shared" si="16"/>
        <v>-0.85953641420245985</v>
      </c>
      <c r="J138" s="183">
        <f t="shared" si="16"/>
        <v>-1.8732199939442689</v>
      </c>
      <c r="K138" s="183">
        <f t="shared" si="16"/>
        <v>-0.27456169065140135</v>
      </c>
      <c r="L138" s="183">
        <f t="shared" si="16"/>
        <v>-1.266847975119034</v>
      </c>
      <c r="M138" s="184">
        <f>-3.9082-5.453*SIN($C$83*M98)-14.975*COS($C$83*M98)+3.527*SIN($C$83*2*M98)+1.673*COS($C$83*2*M98)-1.051*SIN($C$83*3*M98)+0.328*COS($C$83*3*M98)+0.179*SIN($C$83*4*M98)-0.292*COS($C$83*4*M98)+0.019*SIN($C$83*5*M98)+0.1*COS($C$83*5*M98)-0.031*SIN($C$83*6*M98)-0.026*COS($C$83*6*M98)+0.011*COS($C$83*(M97-M98))</f>
        <v>-3.0551268540271455</v>
      </c>
      <c r="N138" s="170"/>
      <c r="O138" s="170"/>
    </row>
    <row r="139" spans="2:15" ht="16" customHeight="1">
      <c r="B139" s="186" t="s">
        <v>68</v>
      </c>
      <c r="C139" s="187"/>
      <c r="D139" s="188"/>
      <c r="E139" s="189">
        <f t="shared" ref="E139:M139" si="17">E116+E136</f>
        <v>0.3565380125691146</v>
      </c>
      <c r="F139" s="189">
        <f t="shared" si="17"/>
        <v>0.72124750455922293</v>
      </c>
      <c r="G139" s="189">
        <f t="shared" si="17"/>
        <v>58.042919407978658</v>
      </c>
      <c r="H139" s="189">
        <f t="shared" si="17"/>
        <v>1.384946486315497</v>
      </c>
      <c r="I139" s="189">
        <f t="shared" si="17"/>
        <v>5.0170489197225283</v>
      </c>
      <c r="J139" s="189">
        <f t="shared" si="17"/>
        <v>9.71681448953988</v>
      </c>
      <c r="K139" s="189">
        <f t="shared" si="17"/>
        <v>19.56993206194732</v>
      </c>
      <c r="L139" s="189">
        <f t="shared" si="17"/>
        <v>29.88058037278736</v>
      </c>
      <c r="M139" s="190">
        <f t="shared" si="17"/>
        <v>34.967264259113584</v>
      </c>
      <c r="N139" s="170"/>
      <c r="O139" s="170"/>
    </row>
    <row r="140" spans="2:15" ht="16" customHeight="1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</row>
    <row r="141" spans="2:15" ht="16" customHeight="1">
      <c r="B141" s="172" t="s">
        <v>67</v>
      </c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</row>
    <row r="142" spans="2:15" ht="16" customHeight="1">
      <c r="B142" s="172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</row>
    <row r="143" spans="2:15" ht="16" customHeight="1">
      <c r="B143" s="170"/>
      <c r="C143" s="191" t="s">
        <v>46</v>
      </c>
      <c r="D143" s="191" t="s">
        <v>47</v>
      </c>
      <c r="E143" s="191" t="s">
        <v>10</v>
      </c>
      <c r="F143" s="191" t="s">
        <v>13</v>
      </c>
      <c r="G143" s="191" t="s">
        <v>7</v>
      </c>
      <c r="H143" s="191" t="s">
        <v>11</v>
      </c>
      <c r="I143" s="191" t="s">
        <v>12</v>
      </c>
      <c r="J143" s="191" t="s">
        <v>14</v>
      </c>
      <c r="K143" s="191" t="s">
        <v>43</v>
      </c>
      <c r="L143" s="191" t="s">
        <v>42</v>
      </c>
      <c r="M143" s="191" t="s">
        <v>41</v>
      </c>
      <c r="N143" s="170"/>
      <c r="O143" s="170"/>
    </row>
    <row r="144" spans="2:15" ht="16" customHeight="1">
      <c r="B144" s="180" t="s">
        <v>66</v>
      </c>
      <c r="C144" s="192"/>
      <c r="D144" s="193"/>
      <c r="E144" s="194">
        <f>E139*COS($C$83*E137)*COS($C$83*E138)</f>
        <v>0.35496176957823605</v>
      </c>
      <c r="F144" s="194">
        <f>F139*COS($C$83*F137)*COS($C$83*F138)</f>
        <v>0.28431926337904767</v>
      </c>
      <c r="G144" s="194">
        <f>COS($C$83*G137)*COS($C$83*G138)</f>
        <v>0.94719301862572103</v>
      </c>
      <c r="H144" s="194">
        <f t="shared" ref="H144:M144" si="18">H139*COS($C$83*H137)*COS($C$83*H138)</f>
        <v>1.3662804411616747</v>
      </c>
      <c r="I144" s="194">
        <f t="shared" si="18"/>
        <v>2.5534161044282717</v>
      </c>
      <c r="J144" s="194">
        <f t="shared" si="18"/>
        <v>9.2748796014397676</v>
      </c>
      <c r="K144" s="194">
        <f t="shared" si="18"/>
        <v>11.687176320498036</v>
      </c>
      <c r="L144" s="194">
        <f t="shared" si="18"/>
        <v>29.851646289321891</v>
      </c>
      <c r="M144" s="195">
        <f t="shared" si="18"/>
        <v>17.777488264977521</v>
      </c>
      <c r="N144" s="170"/>
      <c r="O144" s="170"/>
    </row>
    <row r="145" spans="2:15" ht="16" customHeight="1">
      <c r="B145" s="185" t="s">
        <v>65</v>
      </c>
      <c r="C145" s="181"/>
      <c r="D145" s="182"/>
      <c r="E145" s="183">
        <f>E139*SIN($C$83*E137)*COS($C$83*E138)</f>
        <v>-4.9126214951525412E-3</v>
      </c>
      <c r="F145" s="183">
        <f>F139*SIN($C$83*F137)*COS($C$83*F138)</f>
        <v>0.66280014800854459</v>
      </c>
      <c r="G145" s="183">
        <f>SIN($C$83*G137)*COS($C$83*G138)</f>
        <v>-0.31698983352001558</v>
      </c>
      <c r="H145" s="183">
        <f t="shared" ref="H145:M145" si="19">H139*SIN($C$83*H137)*COS($C$83*H138)</f>
        <v>-0.22334993225425528</v>
      </c>
      <c r="I145" s="183">
        <f t="shared" si="19"/>
        <v>4.3180066866162568</v>
      </c>
      <c r="J145" s="183">
        <f t="shared" si="19"/>
        <v>-2.8796193298693584</v>
      </c>
      <c r="K145" s="183">
        <f t="shared" si="19"/>
        <v>15.696603329626489</v>
      </c>
      <c r="L145" s="183">
        <f t="shared" si="19"/>
        <v>-1.1366049551391664</v>
      </c>
      <c r="M145" s="184">
        <f t="shared" si="19"/>
        <v>-30.053241420295169</v>
      </c>
      <c r="N145" s="170"/>
      <c r="O145" s="170"/>
    </row>
    <row r="146" spans="2:15" ht="16" customHeight="1">
      <c r="B146" s="186" t="s">
        <v>64</v>
      </c>
      <c r="C146" s="187"/>
      <c r="D146" s="188"/>
      <c r="E146" s="189">
        <f>E139*SIN($C$83*E138)</f>
        <v>-3.3126465170113355E-2</v>
      </c>
      <c r="F146" s="189">
        <f>F139*SIN($C$83*F138)</f>
        <v>-7.5155242234581591E-3</v>
      </c>
      <c r="G146" s="189">
        <f>SIN($C$83*G138)</f>
        <v>-4.8402798593132283E-2</v>
      </c>
      <c r="H146" s="189">
        <f t="shared" ref="H146:M146" si="20">H139*SIN($C$83*H138)</f>
        <v>-3.8331890361953946E-2</v>
      </c>
      <c r="I146" s="189">
        <f t="shared" si="20"/>
        <v>-7.5261642771324674E-2</v>
      </c>
      <c r="J146" s="189">
        <f t="shared" si="20"/>
        <v>-0.31762354757068928</v>
      </c>
      <c r="K146" s="189">
        <f t="shared" si="20"/>
        <v>-9.377886319567344E-2</v>
      </c>
      <c r="L146" s="189">
        <f t="shared" si="20"/>
        <v>-0.6606257698371939</v>
      </c>
      <c r="M146" s="190">
        <f t="shared" si="20"/>
        <v>-1.8636418348823263</v>
      </c>
      <c r="N146" s="170"/>
      <c r="O146" s="170"/>
    </row>
    <row r="147" spans="2:15" ht="16" customHeight="1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</row>
    <row r="148" spans="2:15" ht="16" customHeight="1">
      <c r="B148" s="172" t="s">
        <v>63</v>
      </c>
      <c r="C148" s="196"/>
      <c r="D148" s="196"/>
      <c r="E148" s="196"/>
      <c r="F148" s="196"/>
      <c r="G148" s="196"/>
      <c r="H148" s="196"/>
      <c r="I148" s="196"/>
      <c r="J148" s="196"/>
      <c r="K148" s="196"/>
      <c r="L148" s="196"/>
      <c r="M148" s="196"/>
      <c r="N148" s="170"/>
      <c r="O148" s="170"/>
    </row>
    <row r="149" spans="2:15" ht="16" customHeight="1">
      <c r="B149" s="172"/>
      <c r="C149" s="196"/>
      <c r="D149" s="196"/>
      <c r="E149" s="196"/>
      <c r="F149" s="196"/>
      <c r="G149" s="196"/>
      <c r="H149" s="196"/>
      <c r="I149" s="196"/>
      <c r="J149" s="196"/>
      <c r="K149" s="196"/>
      <c r="L149" s="196"/>
      <c r="M149" s="196"/>
      <c r="N149" s="170"/>
      <c r="O149" s="170"/>
    </row>
    <row r="150" spans="2:15" ht="16" customHeight="1">
      <c r="B150" s="170"/>
      <c r="C150" s="191" t="s">
        <v>46</v>
      </c>
      <c r="D150" s="191" t="s">
        <v>47</v>
      </c>
      <c r="E150" s="191" t="s">
        <v>10</v>
      </c>
      <c r="F150" s="191" t="s">
        <v>13</v>
      </c>
      <c r="G150" s="191" t="s">
        <v>7</v>
      </c>
      <c r="H150" s="191" t="s">
        <v>11</v>
      </c>
      <c r="I150" s="191" t="s">
        <v>12</v>
      </c>
      <c r="J150" s="191" t="s">
        <v>14</v>
      </c>
      <c r="K150" s="191" t="s">
        <v>43</v>
      </c>
      <c r="L150" s="191" t="s">
        <v>42</v>
      </c>
      <c r="M150" s="191" t="s">
        <v>41</v>
      </c>
      <c r="N150" s="170"/>
      <c r="O150" s="170"/>
    </row>
    <row r="151" spans="2:15" ht="16" customHeight="1">
      <c r="B151" s="180" t="s">
        <v>62</v>
      </c>
      <c r="C151" s="202">
        <f>C116*COS($C$83*(C115+C92))</f>
        <v>0.34837527996475459</v>
      </c>
      <c r="D151" s="203">
        <f>D116*COS($C$83*(D115+D92))</f>
        <v>0.35382748514747348</v>
      </c>
      <c r="E151" s="204"/>
      <c r="F151" s="204"/>
      <c r="G151" s="204"/>
      <c r="H151" s="204"/>
      <c r="I151" s="204"/>
      <c r="J151" s="204"/>
      <c r="K151" s="204"/>
      <c r="L151" s="204"/>
      <c r="M151" s="205"/>
      <c r="N151" s="170"/>
      <c r="O151" s="170"/>
    </row>
    <row r="152" spans="2:15" ht="16" customHeight="1">
      <c r="B152" s="185" t="s">
        <v>61</v>
      </c>
      <c r="C152" s="206">
        <f>C116*SIN($C$83*(C115+C92))</f>
        <v>0.95211223109832566</v>
      </c>
      <c r="D152" s="207">
        <f>D116*SIN($C$83*(D115+D92))</f>
        <v>0.9500411937787967</v>
      </c>
      <c r="E152" s="208"/>
      <c r="F152" s="208"/>
      <c r="G152" s="208"/>
      <c r="H152" s="208"/>
      <c r="I152" s="208"/>
      <c r="J152" s="208"/>
      <c r="K152" s="208"/>
      <c r="L152" s="208"/>
      <c r="M152" s="209"/>
      <c r="N152" s="170"/>
      <c r="O152" s="170"/>
    </row>
    <row r="153" spans="2:15" ht="16" customHeight="1">
      <c r="B153" s="185" t="s">
        <v>60</v>
      </c>
      <c r="C153" s="206">
        <f>C151</f>
        <v>0.34837527996475459</v>
      </c>
      <c r="D153" s="207">
        <f>D151</f>
        <v>0.35382748514747348</v>
      </c>
      <c r="E153" s="208">
        <f t="shared" ref="E153:L153" si="21">E144+$C$151</f>
        <v>0.7033370495429907</v>
      </c>
      <c r="F153" s="208">
        <f t="shared" si="21"/>
        <v>0.63269454334380226</v>
      </c>
      <c r="G153" s="208">
        <f t="shared" si="21"/>
        <v>1.2955682985904757</v>
      </c>
      <c r="H153" s="208">
        <f t="shared" si="21"/>
        <v>1.7146557211264293</v>
      </c>
      <c r="I153" s="208">
        <f t="shared" si="21"/>
        <v>2.9017913843930261</v>
      </c>
      <c r="J153" s="208">
        <f t="shared" si="21"/>
        <v>9.623254881404522</v>
      </c>
      <c r="K153" s="208">
        <f t="shared" si="21"/>
        <v>12.03555160046279</v>
      </c>
      <c r="L153" s="208">
        <f t="shared" si="21"/>
        <v>30.200021569286648</v>
      </c>
      <c r="M153" s="209">
        <f>M144+$C$151</f>
        <v>18.125863544942277</v>
      </c>
      <c r="N153" s="170"/>
      <c r="O153" s="170"/>
    </row>
    <row r="154" spans="2:15" ht="16" customHeight="1">
      <c r="B154" s="185" t="s">
        <v>59</v>
      </c>
      <c r="C154" s="206">
        <f>C152*COS($C$83*C122)</f>
        <v>0.87356683600296603</v>
      </c>
      <c r="D154" s="207">
        <f>D152*COS($C$83*D122)</f>
        <v>0.87166665004965527</v>
      </c>
      <c r="E154" s="208">
        <f t="shared" ref="E154:L154" si="22">E145+$C$152</f>
        <v>0.94719960960317306</v>
      </c>
      <c r="F154" s="208">
        <f t="shared" si="22"/>
        <v>1.6149123791068702</v>
      </c>
      <c r="G154" s="208">
        <f t="shared" si="22"/>
        <v>0.63512239757831002</v>
      </c>
      <c r="H154" s="208">
        <f t="shared" si="22"/>
        <v>0.7287622988440704</v>
      </c>
      <c r="I154" s="208">
        <f t="shared" si="22"/>
        <v>5.2701189177145826</v>
      </c>
      <c r="J154" s="208">
        <f t="shared" si="22"/>
        <v>-1.9275070987710328</v>
      </c>
      <c r="K154" s="208">
        <f t="shared" si="22"/>
        <v>16.648715560724813</v>
      </c>
      <c r="L154" s="208">
        <f t="shared" si="22"/>
        <v>-0.18449272404084072</v>
      </c>
      <c r="M154" s="209">
        <f>M145+$C$152</f>
        <v>-29.101129189196843</v>
      </c>
      <c r="N154" s="170"/>
      <c r="O154" s="170"/>
    </row>
    <row r="155" spans="2:15" ht="16" customHeight="1">
      <c r="B155" s="186" t="s">
        <v>58</v>
      </c>
      <c r="C155" s="210">
        <f>C152*SIN($C$83*C122)</f>
        <v>0.37868018649356133</v>
      </c>
      <c r="D155" s="211">
        <f>D152*SIN($C$83*D122)</f>
        <v>0.37785648210379164</v>
      </c>
      <c r="E155" s="212">
        <f t="shared" ref="E155:M155" si="23">E146</f>
        <v>-3.3126465170113355E-2</v>
      </c>
      <c r="F155" s="212">
        <f t="shared" si="23"/>
        <v>-7.5155242234581591E-3</v>
      </c>
      <c r="G155" s="212">
        <f t="shared" si="23"/>
        <v>-4.8402798593132283E-2</v>
      </c>
      <c r="H155" s="212">
        <f t="shared" si="23"/>
        <v>-3.8331890361953946E-2</v>
      </c>
      <c r="I155" s="212">
        <f t="shared" si="23"/>
        <v>-7.5261642771324674E-2</v>
      </c>
      <c r="J155" s="212">
        <f t="shared" si="23"/>
        <v>-0.31762354757068928</v>
      </c>
      <c r="K155" s="212">
        <f t="shared" si="23"/>
        <v>-9.377886319567344E-2</v>
      </c>
      <c r="L155" s="212">
        <f t="shared" si="23"/>
        <v>-0.6606257698371939</v>
      </c>
      <c r="M155" s="213">
        <f t="shared" si="23"/>
        <v>-1.8636418348823263</v>
      </c>
      <c r="N155" s="170"/>
      <c r="O155" s="170"/>
    </row>
    <row r="156" spans="2:15" ht="16" customHeight="1">
      <c r="B156" s="170"/>
      <c r="C156" s="196"/>
      <c r="D156" s="196"/>
      <c r="E156" s="196"/>
      <c r="F156" s="196"/>
      <c r="G156" s="196"/>
      <c r="H156" s="196"/>
      <c r="I156" s="196"/>
      <c r="J156" s="196"/>
      <c r="K156" s="196"/>
      <c r="L156" s="196"/>
      <c r="M156" s="196"/>
      <c r="N156" s="170"/>
      <c r="O156" s="170"/>
    </row>
    <row r="157" spans="2:15" ht="16" customHeight="1">
      <c r="B157" s="172" t="s">
        <v>57</v>
      </c>
      <c r="C157" s="196"/>
      <c r="D157" s="196"/>
      <c r="E157" s="196"/>
      <c r="F157" s="196"/>
      <c r="G157" s="196"/>
      <c r="H157" s="196"/>
      <c r="I157" s="196"/>
      <c r="J157" s="196"/>
      <c r="K157" s="196"/>
      <c r="L157" s="196"/>
      <c r="M157" s="196"/>
      <c r="N157" s="170"/>
      <c r="O157" s="170"/>
    </row>
    <row r="158" spans="2:15" ht="16" customHeight="1">
      <c r="B158" s="172"/>
      <c r="C158" s="196"/>
      <c r="D158" s="196"/>
      <c r="E158" s="196"/>
      <c r="F158" s="196"/>
      <c r="G158" s="196"/>
      <c r="H158" s="196"/>
      <c r="I158" s="196"/>
      <c r="J158" s="196"/>
      <c r="K158" s="196"/>
      <c r="L158" s="196"/>
      <c r="M158" s="196"/>
      <c r="N158" s="170"/>
      <c r="O158" s="170"/>
    </row>
    <row r="159" spans="2:15" ht="16" customHeight="1">
      <c r="B159" s="170"/>
      <c r="C159" s="191" t="s">
        <v>46</v>
      </c>
      <c r="D159" s="191" t="s">
        <v>47</v>
      </c>
      <c r="E159" s="191" t="s">
        <v>10</v>
      </c>
      <c r="F159" s="191" t="s">
        <v>13</v>
      </c>
      <c r="G159" s="191" t="s">
        <v>7</v>
      </c>
      <c r="H159" s="191" t="s">
        <v>11</v>
      </c>
      <c r="I159" s="191" t="s">
        <v>12</v>
      </c>
      <c r="J159" s="191" t="s">
        <v>14</v>
      </c>
      <c r="K159" s="191" t="s">
        <v>43</v>
      </c>
      <c r="L159" s="191" t="s">
        <v>42</v>
      </c>
      <c r="M159" s="191" t="s">
        <v>41</v>
      </c>
      <c r="N159" s="170"/>
      <c r="O159" s="170"/>
    </row>
    <row r="160" spans="2:15" ht="16" customHeight="1">
      <c r="B160" s="180" t="s">
        <v>56</v>
      </c>
      <c r="C160" s="202">
        <f>C151</f>
        <v>0.34837527996475459</v>
      </c>
      <c r="D160" s="203">
        <f>D151</f>
        <v>0.35382748514747348</v>
      </c>
      <c r="E160" s="204">
        <f>E153</f>
        <v>0.7033370495429907</v>
      </c>
      <c r="F160" s="204">
        <f>F153</f>
        <v>0.63269454334380226</v>
      </c>
      <c r="G160" s="204">
        <f>G144</f>
        <v>0.94719301862572103</v>
      </c>
      <c r="H160" s="204">
        <f t="shared" ref="H160:M160" si="24">H153</f>
        <v>1.7146557211264293</v>
      </c>
      <c r="I160" s="204">
        <f t="shared" si="24"/>
        <v>2.9017913843930261</v>
      </c>
      <c r="J160" s="204">
        <f t="shared" si="24"/>
        <v>9.623254881404522</v>
      </c>
      <c r="K160" s="204">
        <f t="shared" si="24"/>
        <v>12.03555160046279</v>
      </c>
      <c r="L160" s="204">
        <f t="shared" si="24"/>
        <v>30.200021569286648</v>
      </c>
      <c r="M160" s="205">
        <f t="shared" si="24"/>
        <v>18.125863544942277</v>
      </c>
      <c r="N160" s="170"/>
      <c r="O160" s="170"/>
    </row>
    <row r="161" spans="2:15" ht="16" customHeight="1">
      <c r="B161" s="185" t="s">
        <v>55</v>
      </c>
      <c r="C161" s="206">
        <f>C152*COS($C$83*C122)</f>
        <v>0.87356683600296603</v>
      </c>
      <c r="D161" s="207">
        <f>D152*COS($C$83*D122)</f>
        <v>0.87166665004965527</v>
      </c>
      <c r="E161" s="208">
        <f>E154*COS($C$83*$C$122)-E155*SIN($C$83*$C$122)</f>
        <v>0.88223475615243219</v>
      </c>
      <c r="F161" s="208">
        <f>F154*COS($C$83*$C$122)-F155*SIN($C$83*$C$122)</f>
        <v>1.4846777841749679</v>
      </c>
      <c r="G161" s="208">
        <f>G145*COS($C$83*$C$122)-G155*SIN($C$83*$C$122)</f>
        <v>-0.27158838702958038</v>
      </c>
      <c r="H161" s="208">
        <f t="shared" ref="H161:M161" si="25">H154*COS($C$83*$C$122)-H155*SIN($C$83*$C$122)</f>
        <v>0.68388797215560015</v>
      </c>
      <c r="I161" s="208">
        <f t="shared" si="25"/>
        <v>4.8652890383354173</v>
      </c>
      <c r="J161" s="208">
        <f t="shared" si="25"/>
        <v>-1.6421683099420086</v>
      </c>
      <c r="K161" s="208">
        <f t="shared" si="25"/>
        <v>15.312562423950414</v>
      </c>
      <c r="L161" s="208">
        <f t="shared" si="25"/>
        <v>9.3475497542772873E-2</v>
      </c>
      <c r="M161" s="209">
        <f t="shared" si="25"/>
        <v>-25.959184542580832</v>
      </c>
      <c r="N161" s="170"/>
      <c r="O161" s="170"/>
    </row>
    <row r="162" spans="2:15" ht="16" customHeight="1">
      <c r="B162" s="185" t="s">
        <v>54</v>
      </c>
      <c r="C162" s="206">
        <f>C152*SIN($C$83*C122)</f>
        <v>0.37868018649356133</v>
      </c>
      <c r="D162" s="207">
        <f>D152*SIN($C$83*D122)</f>
        <v>0.37785648210379164</v>
      </c>
      <c r="E162" s="208">
        <f>E154*SIN($C$83*$C$122)+E155*COS($C$83*$C$122)</f>
        <v>0.34633264091582316</v>
      </c>
      <c r="F162" s="208">
        <f>F154*SIN($C$83*$C$122)+F155*COS($C$83*$C$122)</f>
        <v>0.63539779073763902</v>
      </c>
      <c r="G162" s="208">
        <f>G145*SIN($C$83*$C$122)+G155*COS($C$83*$C$122)</f>
        <v>-0.17048499493317693</v>
      </c>
      <c r="H162" s="208">
        <f t="shared" ref="H162:M162" si="26">H154*SIN($C$83*$C$122)+H155*COS($C$83*$C$122)</f>
        <v>0.25467835317536525</v>
      </c>
      <c r="I162" s="208">
        <f t="shared" si="26"/>
        <v>2.0270126529400341</v>
      </c>
      <c r="J162" s="208">
        <f t="shared" si="26"/>
        <v>-1.0580413865281078</v>
      </c>
      <c r="K162" s="208">
        <f t="shared" si="26"/>
        <v>6.5355915041964341</v>
      </c>
      <c r="L162" s="208">
        <f t="shared" si="26"/>
        <v>-0.67950445499358281</v>
      </c>
      <c r="M162" s="209">
        <f t="shared" si="26"/>
        <v>-13.284186797063654</v>
      </c>
      <c r="N162" s="170"/>
      <c r="O162" s="170"/>
    </row>
    <row r="163" spans="2:15" ht="16" customHeight="1">
      <c r="B163" s="185" t="s">
        <v>53</v>
      </c>
      <c r="C163" s="206">
        <f t="shared" ref="C163:M163" si="27">ATAN2(C160,C161)</f>
        <v>1.1913279953592859</v>
      </c>
      <c r="D163" s="207">
        <f t="shared" si="27"/>
        <v>1.1851963921459923</v>
      </c>
      <c r="E163" s="208">
        <f t="shared" si="27"/>
        <v>0.89775151964846678</v>
      </c>
      <c r="F163" s="208">
        <f t="shared" si="27"/>
        <v>1.1679525322058935</v>
      </c>
      <c r="G163" s="208">
        <f t="shared" si="27"/>
        <v>-0.27923820278279665</v>
      </c>
      <c r="H163" s="208">
        <f t="shared" si="27"/>
        <v>0.37951336594030372</v>
      </c>
      <c r="I163" s="208">
        <f t="shared" si="27"/>
        <v>1.033007925695179</v>
      </c>
      <c r="J163" s="208">
        <f t="shared" si="27"/>
        <v>-0.16901777919287059</v>
      </c>
      <c r="K163" s="208">
        <f t="shared" si="27"/>
        <v>0.90465540135874456</v>
      </c>
      <c r="L163" s="208">
        <f t="shared" si="27"/>
        <v>3.0952030554322139E-3</v>
      </c>
      <c r="M163" s="209">
        <f t="shared" si="27"/>
        <v>-0.96124937430799329</v>
      </c>
      <c r="N163" s="170"/>
      <c r="O163" s="170"/>
    </row>
    <row r="164" spans="2:15" ht="16" customHeight="1">
      <c r="B164" s="185" t="s">
        <v>27</v>
      </c>
      <c r="C164" s="206">
        <f>MOD((C163/(2*PI()))*24+24,24)</f>
        <v>4.5505377433245329</v>
      </c>
      <c r="D164" s="207">
        <f t="shared" ref="D164:M164" si="28">(D163/(2*PI()))*24</f>
        <v>4.5271167442731617</v>
      </c>
      <c r="E164" s="208">
        <f t="shared" si="28"/>
        <v>3.4291582084875429</v>
      </c>
      <c r="F164" s="208">
        <f t="shared" si="28"/>
        <v>4.4612500511343365</v>
      </c>
      <c r="G164" s="208">
        <f t="shared" si="28"/>
        <v>-1.0666113665514991</v>
      </c>
      <c r="H164" s="208">
        <f t="shared" si="28"/>
        <v>1.4496342758122245</v>
      </c>
      <c r="I164" s="208">
        <f t="shared" si="28"/>
        <v>3.9457996230598331</v>
      </c>
      <c r="J164" s="208">
        <f t="shared" si="28"/>
        <v>-0.64560036069503646</v>
      </c>
      <c r="K164" s="208">
        <f t="shared" si="28"/>
        <v>3.4555290941046413</v>
      </c>
      <c r="L164" s="208">
        <f t="shared" si="28"/>
        <v>1.1822804787484188E-2</v>
      </c>
      <c r="M164" s="209">
        <f t="shared" si="28"/>
        <v>-3.6717021471626081</v>
      </c>
      <c r="N164" s="170"/>
      <c r="O164" s="170"/>
    </row>
    <row r="165" spans="2:15" ht="16" customHeight="1">
      <c r="B165" s="185" t="s">
        <v>52</v>
      </c>
      <c r="C165" s="206">
        <f t="shared" ref="C165:M165" si="29">MOD((C163+2*PI())/(2*PI())*360,360)</f>
        <v>68.258066149868</v>
      </c>
      <c r="D165" s="207">
        <f t="shared" si="29"/>
        <v>67.906751164097443</v>
      </c>
      <c r="E165" s="208">
        <f t="shared" si="29"/>
        <v>51.437373127313151</v>
      </c>
      <c r="F165" s="208">
        <f t="shared" si="29"/>
        <v>66.918750767015069</v>
      </c>
      <c r="G165" s="208">
        <f t="shared" si="29"/>
        <v>344.00082950172754</v>
      </c>
      <c r="H165" s="208">
        <f t="shared" si="29"/>
        <v>21.744514137183387</v>
      </c>
      <c r="I165" s="208">
        <f t="shared" si="29"/>
        <v>59.186994345897517</v>
      </c>
      <c r="J165" s="208">
        <f t="shared" si="29"/>
        <v>350.31599458957447</v>
      </c>
      <c r="K165" s="208">
        <f t="shared" si="29"/>
        <v>51.832936411569619</v>
      </c>
      <c r="L165" s="208">
        <f t="shared" si="29"/>
        <v>0.17734207181229067</v>
      </c>
      <c r="M165" s="209">
        <f t="shared" si="29"/>
        <v>304.9244677925609</v>
      </c>
      <c r="N165" s="170"/>
      <c r="O165" s="170"/>
    </row>
    <row r="166" spans="2:15" ht="16" customHeight="1">
      <c r="B166" s="185" t="s">
        <v>51</v>
      </c>
      <c r="C166" s="206">
        <f>ATAN2(SQRT(C160*C160+C161*C161),C162)</f>
        <v>0.38278861212907944</v>
      </c>
      <c r="D166" s="207">
        <f t="shared" ref="D166:M166" si="30">ATAN2(SQRT(D160*D160+D161*D161),D162)</f>
        <v>0.38193458710408063</v>
      </c>
      <c r="E166" s="208">
        <f t="shared" si="30"/>
        <v>0.29782583258098971</v>
      </c>
      <c r="F166" s="208">
        <f t="shared" si="30"/>
        <v>0.37507316845705169</v>
      </c>
      <c r="G166" s="208">
        <f t="shared" si="30"/>
        <v>-0.17132184880907336</v>
      </c>
      <c r="H166" s="208">
        <f t="shared" si="30"/>
        <v>0.13709621219692517</v>
      </c>
      <c r="I166" s="208">
        <f t="shared" si="30"/>
        <v>0.34362238898072639</v>
      </c>
      <c r="J166" s="208">
        <f t="shared" si="30"/>
        <v>-0.10795824680408495</v>
      </c>
      <c r="K166" s="208">
        <f t="shared" si="30"/>
        <v>0.32375783247604567</v>
      </c>
      <c r="L166" s="208">
        <f t="shared" si="30"/>
        <v>-2.2496227933609746E-2</v>
      </c>
      <c r="M166" s="209">
        <f t="shared" si="30"/>
        <v>-0.39726598149086262</v>
      </c>
      <c r="N166" s="170"/>
      <c r="O166" s="170"/>
    </row>
    <row r="167" spans="2:15" ht="16" customHeight="1">
      <c r="B167" s="185" t="s">
        <v>50</v>
      </c>
      <c r="C167" s="206">
        <f t="shared" ref="C167:M167" si="31">(C166)/(2*PI())*360</f>
        <v>21.932171920666526</v>
      </c>
      <c r="D167" s="207">
        <f t="shared" si="31"/>
        <v>21.883239891135538</v>
      </c>
      <c r="E167" s="208">
        <f t="shared" si="31"/>
        <v>17.064163236860555</v>
      </c>
      <c r="F167" s="208">
        <f t="shared" si="31"/>
        <v>21.490109561188419</v>
      </c>
      <c r="G167" s="208">
        <f t="shared" si="31"/>
        <v>-9.8160188751382922</v>
      </c>
      <c r="H167" s="208">
        <f t="shared" si="31"/>
        <v>7.8550343461137713</v>
      </c>
      <c r="I167" s="208">
        <f t="shared" si="31"/>
        <v>19.688112634798308</v>
      </c>
      <c r="J167" s="208">
        <f t="shared" si="31"/>
        <v>-6.1855519055057755</v>
      </c>
      <c r="K167" s="208">
        <f t="shared" si="31"/>
        <v>18.549957385180956</v>
      </c>
      <c r="L167" s="208">
        <f t="shared" si="31"/>
        <v>-1.2889389155601476</v>
      </c>
      <c r="M167" s="209">
        <f t="shared" si="31"/>
        <v>-22.761664083548709</v>
      </c>
      <c r="N167" s="170"/>
      <c r="O167" s="170"/>
    </row>
    <row r="168" spans="2:15" ht="16" customHeight="1">
      <c r="B168" s="186" t="s">
        <v>49</v>
      </c>
      <c r="C168" s="210">
        <f>SQRT(C160*C160+C161*C161+C83*C83)</f>
        <v>0.94063221828435195</v>
      </c>
      <c r="D168" s="211">
        <f t="shared" ref="D168:M168" si="32">SQRT(D160*D160+D161*D161+D162*D162)</f>
        <v>1.0137909839421668</v>
      </c>
      <c r="E168" s="212">
        <f t="shared" si="32"/>
        <v>1.1802404282123662</v>
      </c>
      <c r="F168" s="212">
        <f t="shared" si="32"/>
        <v>1.7344454042932533</v>
      </c>
      <c r="G168" s="212">
        <f t="shared" si="32"/>
        <v>1</v>
      </c>
      <c r="H168" s="212">
        <f t="shared" si="32"/>
        <v>1.8634935105942307</v>
      </c>
      <c r="I168" s="212">
        <f t="shared" si="32"/>
        <v>6.0166611139620745</v>
      </c>
      <c r="J168" s="212">
        <f t="shared" si="32"/>
        <v>9.8195317019835553</v>
      </c>
      <c r="K168" s="212">
        <f t="shared" si="32"/>
        <v>20.543685809136228</v>
      </c>
      <c r="L168" s="212">
        <f t="shared" si="32"/>
        <v>30.207809698128987</v>
      </c>
      <c r="M168" s="213">
        <f t="shared" si="32"/>
        <v>34.335052209439198</v>
      </c>
      <c r="N168" s="170"/>
      <c r="O168" s="170"/>
    </row>
    <row r="169" spans="2:15" ht="16" customHeight="1">
      <c r="B169" s="170"/>
      <c r="C169" s="170"/>
      <c r="D169" s="170"/>
      <c r="E169" s="170"/>
      <c r="F169" s="170"/>
      <c r="G169" s="214"/>
      <c r="H169" s="170"/>
      <c r="I169" s="170"/>
      <c r="J169" s="170"/>
      <c r="K169" s="170"/>
      <c r="L169" s="170"/>
      <c r="M169" s="170"/>
      <c r="N169" s="170"/>
      <c r="O169" s="170"/>
    </row>
    <row r="170" spans="2:15" ht="16" customHeight="1">
      <c r="B170" s="172" t="s">
        <v>48</v>
      </c>
      <c r="C170" s="170"/>
      <c r="D170" s="170"/>
      <c r="E170" s="170"/>
      <c r="F170" s="170"/>
      <c r="G170" s="201"/>
      <c r="H170" s="170"/>
      <c r="I170" s="170"/>
      <c r="J170" s="170"/>
      <c r="K170" s="170"/>
      <c r="L170" s="170"/>
      <c r="M170" s="170"/>
      <c r="N170" s="170"/>
      <c r="O170" s="170"/>
    </row>
    <row r="171" spans="2:15" ht="16" customHeight="1">
      <c r="B171" s="172"/>
      <c r="C171" s="170"/>
      <c r="D171" s="170"/>
      <c r="E171" s="170"/>
      <c r="F171" s="170"/>
      <c r="G171" s="170"/>
      <c r="H171" s="170"/>
      <c r="I171" s="170"/>
      <c r="J171" s="170"/>
      <c r="K171" s="170"/>
      <c r="L171" s="170"/>
      <c r="M171" s="170"/>
      <c r="N171" s="170"/>
      <c r="O171" s="170"/>
    </row>
    <row r="172" spans="2:15" ht="16" customHeight="1">
      <c r="B172" s="170" t="s">
        <v>188</v>
      </c>
      <c r="C172" s="170"/>
      <c r="D172" s="170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</row>
    <row r="173" spans="2:15" ht="16" customHeight="1">
      <c r="B173" s="172"/>
      <c r="C173" s="170"/>
      <c r="D173" s="170"/>
      <c r="E173" s="170"/>
      <c r="F173" s="170"/>
      <c r="G173" s="170"/>
      <c r="H173" s="170"/>
      <c r="I173" s="170"/>
      <c r="J173" s="170"/>
      <c r="K173" s="170"/>
      <c r="L173" s="170"/>
      <c r="M173" s="170"/>
      <c r="N173" s="170"/>
      <c r="O173" s="170"/>
    </row>
    <row r="174" spans="2:15" ht="16" customHeight="1">
      <c r="B174" s="170"/>
      <c r="C174" s="170"/>
      <c r="D174" s="170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</row>
    <row r="175" spans="2:15" ht="16" customHeight="1">
      <c r="B175" s="170"/>
      <c r="C175" s="170"/>
      <c r="D175" s="170"/>
      <c r="E175" s="170"/>
      <c r="F175" s="170"/>
      <c r="G175" s="170"/>
      <c r="H175" s="170"/>
      <c r="I175" s="170"/>
      <c r="J175" s="170"/>
      <c r="K175" s="170"/>
      <c r="L175" s="170"/>
      <c r="M175" s="170"/>
      <c r="N175" s="170"/>
      <c r="O175" s="170"/>
    </row>
    <row r="176" spans="2:15" ht="16" customHeight="1">
      <c r="B176" s="170"/>
      <c r="C176" s="170"/>
      <c r="D176" s="170"/>
      <c r="E176" s="170"/>
      <c r="F176" s="170"/>
      <c r="G176" s="170"/>
      <c r="H176" s="170"/>
      <c r="I176" s="170"/>
      <c r="J176" s="170"/>
      <c r="K176" s="170"/>
      <c r="L176" s="170"/>
      <c r="M176" s="170"/>
      <c r="N176" s="170"/>
      <c r="O176" s="170"/>
    </row>
    <row r="177" spans="2:15" ht="16" customHeight="1">
      <c r="B177" s="170"/>
      <c r="C177" s="170"/>
      <c r="D177" s="170"/>
      <c r="E177" s="170"/>
      <c r="F177" s="170"/>
      <c r="G177" s="170"/>
      <c r="H177" s="170"/>
      <c r="I177" s="170"/>
      <c r="J177" s="170"/>
      <c r="K177" s="170"/>
      <c r="L177" s="170"/>
      <c r="M177" s="170"/>
      <c r="N177" s="170"/>
      <c r="O177" s="170"/>
    </row>
    <row r="178" spans="2:15" ht="16">
      <c r="B178" s="170"/>
      <c r="C178" s="170"/>
      <c r="D178" s="170"/>
      <c r="E178" s="170"/>
      <c r="F178" s="170"/>
      <c r="G178" s="170"/>
      <c r="H178" s="170"/>
      <c r="I178" s="170"/>
      <c r="J178" s="170"/>
      <c r="K178" s="170"/>
      <c r="L178" s="170"/>
      <c r="M178" s="170"/>
      <c r="N178" s="170"/>
      <c r="O178" s="170"/>
    </row>
    <row r="179" spans="2:15" ht="16">
      <c r="B179" s="170"/>
      <c r="C179" s="170"/>
      <c r="D179" s="170"/>
      <c r="E179" s="170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/>
    </row>
    <row r="180" spans="2:15" ht="16">
      <c r="B180" s="170"/>
      <c r="C180" s="170"/>
      <c r="D180" s="170"/>
      <c r="E180" s="170"/>
      <c r="F180" s="170"/>
      <c r="G180" s="170"/>
      <c r="H180" s="170"/>
      <c r="I180" s="170"/>
      <c r="J180" s="170"/>
      <c r="K180" s="170"/>
      <c r="L180" s="170"/>
      <c r="M180" s="170"/>
      <c r="N180" s="170"/>
      <c r="O180" s="170"/>
    </row>
    <row r="181" spans="2:15" ht="16">
      <c r="B181" s="170"/>
      <c r="C181" s="170"/>
      <c r="D181" s="170"/>
      <c r="E181" s="170"/>
      <c r="F181" s="170"/>
      <c r="G181" s="170"/>
      <c r="H181" s="170"/>
      <c r="I181" s="170"/>
      <c r="J181" s="170"/>
      <c r="K181" s="170"/>
      <c r="L181" s="170"/>
      <c r="M181" s="170"/>
      <c r="N181" s="170"/>
      <c r="O181" s="170"/>
    </row>
    <row r="182" spans="2:15" ht="16">
      <c r="B182" s="170"/>
      <c r="C182" s="170"/>
      <c r="D182" s="170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</row>
    <row r="183" spans="2:15" ht="16">
      <c r="B183" s="170"/>
      <c r="C183" s="170"/>
      <c r="D183" s="170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</row>
    <row r="184" spans="2:15" ht="16">
      <c r="B184" s="170"/>
      <c r="C184" s="170"/>
      <c r="D184" s="170"/>
      <c r="E184" s="170"/>
      <c r="F184" s="170"/>
      <c r="G184" s="170"/>
      <c r="H184" s="170"/>
      <c r="I184" s="170"/>
      <c r="J184" s="170"/>
      <c r="K184" s="170"/>
      <c r="L184" s="170"/>
      <c r="M184" s="170"/>
      <c r="N184" s="170"/>
      <c r="O184" s="170"/>
    </row>
    <row r="185" spans="2:15" ht="16">
      <c r="B185" s="170"/>
      <c r="C185" s="170"/>
      <c r="D185" s="170"/>
      <c r="E185" s="170"/>
      <c r="F185" s="170"/>
      <c r="G185" s="170"/>
      <c r="H185" s="170"/>
      <c r="I185" s="170"/>
      <c r="J185" s="170"/>
      <c r="K185" s="170"/>
      <c r="L185" s="170"/>
      <c r="M185" s="170"/>
      <c r="N185" s="170"/>
      <c r="O185" s="170"/>
    </row>
    <row r="186" spans="2:15" ht="16">
      <c r="B186" s="170"/>
      <c r="C186" s="170"/>
      <c r="D186" s="170"/>
      <c r="E186" s="170"/>
      <c r="F186" s="170"/>
      <c r="G186" s="170"/>
      <c r="H186" s="170"/>
      <c r="I186" s="170"/>
      <c r="J186" s="170"/>
      <c r="K186" s="170"/>
      <c r="L186" s="170"/>
      <c r="M186" s="170"/>
      <c r="N186" s="170"/>
      <c r="O186" s="170"/>
    </row>
    <row r="187" spans="2:15" ht="16">
      <c r="B187" s="170"/>
      <c r="C187" s="170"/>
      <c r="D187" s="170"/>
      <c r="E187" s="170"/>
      <c r="F187" s="170"/>
      <c r="G187" s="170"/>
      <c r="H187" s="170"/>
      <c r="I187" s="170"/>
      <c r="J187" s="170"/>
      <c r="K187" s="170"/>
      <c r="L187" s="170"/>
      <c r="M187" s="170"/>
      <c r="N187" s="170"/>
      <c r="O187" s="170"/>
    </row>
    <row r="188" spans="2:15" ht="16">
      <c r="B188" s="170"/>
      <c r="C188" s="170"/>
      <c r="D188" s="170"/>
      <c r="E188" s="170"/>
      <c r="F188" s="170"/>
      <c r="G188" s="170"/>
      <c r="H188" s="170"/>
      <c r="I188" s="170"/>
      <c r="J188" s="170"/>
      <c r="K188" s="170"/>
      <c r="L188" s="170"/>
      <c r="M188" s="170"/>
      <c r="N188" s="170"/>
      <c r="O188" s="170"/>
    </row>
    <row r="189" spans="2:15" ht="16">
      <c r="B189" s="170"/>
      <c r="C189" s="170"/>
      <c r="D189" s="170"/>
      <c r="E189" s="170"/>
      <c r="F189" s="170"/>
      <c r="G189" s="170"/>
      <c r="H189" s="170"/>
      <c r="I189" s="170"/>
      <c r="J189" s="170"/>
      <c r="K189" s="170"/>
      <c r="L189" s="170"/>
      <c r="M189" s="170"/>
      <c r="N189" s="170"/>
      <c r="O189" s="170"/>
    </row>
    <row r="190" spans="2:15" ht="16">
      <c r="B190" s="170"/>
      <c r="C190" s="170"/>
      <c r="D190" s="170"/>
      <c r="E190" s="170"/>
      <c r="F190" s="170"/>
      <c r="G190" s="170"/>
      <c r="H190" s="170"/>
      <c r="I190" s="170"/>
      <c r="J190" s="170"/>
      <c r="K190" s="170"/>
      <c r="L190" s="170"/>
      <c r="M190" s="170"/>
      <c r="N190" s="170"/>
      <c r="O190" s="170"/>
    </row>
    <row r="191" spans="2:15" ht="16">
      <c r="B191" s="170"/>
      <c r="C191" s="170"/>
      <c r="D191" s="170"/>
      <c r="E191" s="170"/>
      <c r="F191" s="170"/>
      <c r="G191" s="170"/>
      <c r="H191" s="170"/>
      <c r="I191" s="170"/>
      <c r="J191" s="170"/>
      <c r="K191" s="170"/>
      <c r="L191" s="170"/>
      <c r="M191" s="170"/>
      <c r="N191" s="170"/>
      <c r="O191" s="170"/>
    </row>
    <row r="192" spans="2:15" ht="16">
      <c r="B192" s="170"/>
      <c r="C192" s="170"/>
      <c r="D192" s="170"/>
      <c r="E192" s="170"/>
      <c r="F192" s="170"/>
      <c r="G192" s="170"/>
      <c r="H192" s="170"/>
      <c r="I192" s="170"/>
      <c r="J192" s="170"/>
      <c r="K192" s="170"/>
      <c r="L192" s="170"/>
      <c r="M192" s="170"/>
      <c r="N192" s="170"/>
      <c r="O192" s="170"/>
    </row>
    <row r="193" spans="2:15" ht="16">
      <c r="B193" s="170"/>
      <c r="C193" s="170"/>
      <c r="D193" s="170"/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  <c r="O193" s="170"/>
    </row>
    <row r="194" spans="2:15" ht="16">
      <c r="B194" s="170"/>
      <c r="C194" s="170"/>
      <c r="D194" s="170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</row>
    <row r="195" spans="2:15" ht="16">
      <c r="B195" s="170"/>
      <c r="C195" s="170"/>
      <c r="D195" s="170"/>
      <c r="E195" s="170"/>
      <c r="F195" s="170"/>
      <c r="G195" s="170"/>
      <c r="H195" s="170"/>
      <c r="I195" s="170"/>
      <c r="J195" s="170"/>
      <c r="K195" s="170"/>
      <c r="L195" s="170"/>
      <c r="M195" s="170"/>
      <c r="N195" s="170"/>
      <c r="O195" s="170"/>
    </row>
    <row r="196" spans="2:15" ht="16">
      <c r="B196" s="170"/>
      <c r="C196" s="170"/>
      <c r="D196" s="170"/>
      <c r="E196" s="170"/>
      <c r="F196" s="170"/>
      <c r="G196" s="170"/>
      <c r="H196" s="170"/>
      <c r="I196" s="170"/>
      <c r="J196" s="170"/>
      <c r="K196" s="170"/>
      <c r="L196" s="170"/>
      <c r="M196" s="170"/>
      <c r="N196" s="170"/>
      <c r="O196" s="170"/>
    </row>
    <row r="197" spans="2:15" ht="16">
      <c r="B197" s="170"/>
      <c r="C197" s="170"/>
      <c r="D197" s="170"/>
      <c r="E197" s="170"/>
      <c r="F197" s="170"/>
      <c r="G197" s="170"/>
      <c r="H197" s="170"/>
      <c r="I197" s="170"/>
      <c r="J197" s="170"/>
      <c r="K197" s="170"/>
      <c r="L197" s="170"/>
      <c r="M197" s="170"/>
      <c r="N197" s="170"/>
      <c r="O197" s="170"/>
    </row>
    <row r="198" spans="2:15" ht="16">
      <c r="B198" s="170"/>
      <c r="C198" s="170"/>
      <c r="D198" s="170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</row>
    <row r="199" spans="2:15" ht="16">
      <c r="B199" s="170"/>
      <c r="C199" s="170"/>
      <c r="D199" s="170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</row>
    <row r="200" spans="2:15" ht="16">
      <c r="B200" s="170"/>
      <c r="C200" s="170"/>
      <c r="D200" s="170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</row>
    <row r="201" spans="2:15" ht="16">
      <c r="B201" s="170"/>
      <c r="C201" s="170"/>
      <c r="D201" s="170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  <c r="O201" s="170"/>
    </row>
    <row r="202" spans="2:15" ht="16">
      <c r="B202" s="170"/>
      <c r="C202" s="170"/>
      <c r="D202" s="170"/>
      <c r="E202" s="170"/>
      <c r="F202" s="170"/>
      <c r="G202" s="170"/>
      <c r="H202" s="170"/>
      <c r="I202" s="170"/>
      <c r="J202" s="170"/>
      <c r="K202" s="170"/>
      <c r="L202" s="170"/>
      <c r="M202" s="170"/>
      <c r="N202" s="170"/>
      <c r="O202" s="170"/>
    </row>
    <row r="203" spans="2:15" ht="16">
      <c r="B203" s="170"/>
      <c r="C203" s="170"/>
      <c r="D203" s="170"/>
      <c r="E203" s="170"/>
      <c r="F203" s="170"/>
      <c r="G203" s="170"/>
      <c r="H203" s="170"/>
      <c r="I203" s="170"/>
      <c r="J203" s="170"/>
      <c r="K203" s="170"/>
      <c r="L203" s="170"/>
      <c r="M203" s="170"/>
      <c r="N203" s="170"/>
      <c r="O203" s="170"/>
    </row>
    <row r="204" spans="2:15" ht="16">
      <c r="B204" s="170"/>
      <c r="C204" s="170"/>
      <c r="D204" s="170"/>
      <c r="E204" s="170"/>
      <c r="F204" s="170"/>
      <c r="G204" s="170"/>
      <c r="H204" s="170"/>
      <c r="I204" s="170"/>
      <c r="J204" s="170"/>
      <c r="K204" s="170"/>
      <c r="L204" s="170"/>
      <c r="M204" s="170"/>
      <c r="N204" s="170"/>
      <c r="O204" s="170"/>
    </row>
    <row r="205" spans="2:15" ht="16">
      <c r="B205" s="170"/>
      <c r="C205" s="170"/>
      <c r="D205" s="170"/>
      <c r="E205" s="170"/>
      <c r="F205" s="170"/>
      <c r="G205" s="170"/>
      <c r="H205" s="170"/>
      <c r="I205" s="170"/>
      <c r="J205" s="170"/>
      <c r="K205" s="170"/>
      <c r="L205" s="170"/>
      <c r="M205" s="170"/>
      <c r="N205" s="170"/>
      <c r="O205" s="170"/>
    </row>
    <row r="206" spans="2:15" ht="16">
      <c r="B206" s="170"/>
      <c r="C206" s="170"/>
      <c r="D206" s="170"/>
      <c r="E206" s="170"/>
      <c r="F206" s="170"/>
      <c r="G206" s="170"/>
      <c r="H206" s="170"/>
      <c r="I206" s="170"/>
      <c r="J206" s="170"/>
      <c r="K206" s="170"/>
      <c r="L206" s="170"/>
      <c r="M206" s="170"/>
      <c r="N206" s="170"/>
      <c r="O206" s="170"/>
    </row>
    <row r="207" spans="2:15" ht="16">
      <c r="B207" s="170"/>
      <c r="C207" s="170"/>
      <c r="D207" s="170"/>
      <c r="E207" s="170"/>
      <c r="F207" s="170"/>
      <c r="G207" s="170"/>
      <c r="H207" s="170"/>
      <c r="I207" s="170"/>
      <c r="J207" s="170"/>
      <c r="K207" s="170"/>
      <c r="L207" s="170"/>
      <c r="M207" s="170"/>
      <c r="N207" s="170"/>
      <c r="O207" s="170"/>
    </row>
    <row r="208" spans="2:15" ht="16">
      <c r="B208" s="170"/>
      <c r="C208" s="170"/>
      <c r="D208" s="170"/>
      <c r="E208" s="170"/>
      <c r="F208" s="170"/>
      <c r="G208" s="170"/>
      <c r="H208" s="170"/>
      <c r="I208" s="170"/>
      <c r="J208" s="170"/>
      <c r="K208" s="170"/>
      <c r="L208" s="170"/>
      <c r="M208" s="170"/>
      <c r="N208" s="170"/>
      <c r="O208" s="170"/>
    </row>
    <row r="209" spans="2:15" ht="16">
      <c r="B209" s="170"/>
      <c r="C209" s="170"/>
      <c r="D209" s="170"/>
      <c r="E209" s="170"/>
      <c r="F209" s="170"/>
      <c r="G209" s="170"/>
      <c r="H209" s="170"/>
      <c r="I209" s="170"/>
      <c r="J209" s="170"/>
      <c r="K209" s="170"/>
      <c r="L209" s="170"/>
      <c r="M209" s="170"/>
      <c r="N209" s="170"/>
      <c r="O209" s="170"/>
    </row>
    <row r="210" spans="2:15" ht="16">
      <c r="B210" s="170"/>
      <c r="C210" s="170"/>
      <c r="D210" s="170"/>
      <c r="E210" s="170"/>
      <c r="F210" s="170"/>
      <c r="G210" s="170"/>
      <c r="H210" s="170"/>
      <c r="I210" s="170"/>
      <c r="J210" s="170"/>
      <c r="K210" s="170"/>
      <c r="L210" s="170"/>
      <c r="M210" s="170"/>
      <c r="N210" s="170"/>
      <c r="O210" s="170"/>
    </row>
    <row r="211" spans="2:15" ht="16">
      <c r="B211" s="170"/>
      <c r="C211" s="170"/>
      <c r="D211" s="170"/>
      <c r="E211" s="170"/>
      <c r="F211" s="170"/>
      <c r="G211" s="170"/>
      <c r="H211" s="170"/>
      <c r="I211" s="170"/>
      <c r="J211" s="170"/>
      <c r="K211" s="170"/>
      <c r="L211" s="170"/>
      <c r="M211" s="170"/>
      <c r="N211" s="170"/>
      <c r="O211" s="170"/>
    </row>
    <row r="212" spans="2:15" ht="16">
      <c r="B212" s="170"/>
      <c r="C212" s="170"/>
      <c r="D212" s="170"/>
      <c r="E212" s="170"/>
      <c r="F212" s="170"/>
      <c r="G212" s="170"/>
      <c r="H212" s="170"/>
      <c r="I212" s="170"/>
      <c r="J212" s="170"/>
      <c r="K212" s="170"/>
      <c r="L212" s="170"/>
      <c r="M212" s="170"/>
      <c r="N212" s="170"/>
      <c r="O212" s="170"/>
    </row>
    <row r="213" spans="2:15" ht="16">
      <c r="B213" s="170"/>
      <c r="C213" s="170"/>
      <c r="D213" s="170"/>
      <c r="E213" s="170"/>
      <c r="F213" s="170"/>
      <c r="G213" s="170"/>
      <c r="H213" s="170"/>
      <c r="I213" s="170"/>
      <c r="J213" s="170"/>
      <c r="K213" s="170"/>
      <c r="L213" s="170"/>
      <c r="M213" s="170"/>
      <c r="N213" s="170"/>
      <c r="O213" s="170"/>
    </row>
    <row r="214" spans="2:15" ht="16">
      <c r="B214" s="170"/>
      <c r="C214" s="170"/>
      <c r="D214" s="170"/>
      <c r="E214" s="170"/>
      <c r="F214" s="170"/>
      <c r="G214" s="170"/>
      <c r="H214" s="170"/>
      <c r="I214" s="170"/>
      <c r="J214" s="170"/>
      <c r="K214" s="170"/>
      <c r="L214" s="170"/>
      <c r="M214" s="170"/>
      <c r="N214" s="170"/>
      <c r="O214" s="170"/>
    </row>
    <row r="215" spans="2:15" ht="16">
      <c r="B215" s="170"/>
      <c r="C215" s="196"/>
      <c r="D215" s="170"/>
      <c r="E215" s="170"/>
      <c r="F215" s="170"/>
      <c r="G215" s="170"/>
      <c r="H215" s="170"/>
      <c r="I215" s="170"/>
      <c r="J215" s="170"/>
      <c r="K215" s="170"/>
      <c r="L215" s="170"/>
      <c r="M215" s="170"/>
      <c r="N215" s="170"/>
      <c r="O215" s="170"/>
    </row>
    <row r="216" spans="2:15" ht="16">
      <c r="B216" s="170"/>
      <c r="C216" s="170"/>
      <c r="D216" s="170"/>
      <c r="E216" s="170"/>
      <c r="F216" s="170"/>
      <c r="G216" s="170"/>
      <c r="H216" s="170"/>
      <c r="I216" s="170"/>
      <c r="J216" s="170"/>
      <c r="K216" s="170"/>
      <c r="L216" s="170"/>
      <c r="M216" s="170"/>
      <c r="N216" s="170"/>
      <c r="O216" s="170"/>
    </row>
    <row r="217" spans="2:15" ht="16">
      <c r="B217" s="170"/>
      <c r="C217" s="170"/>
      <c r="D217" s="170"/>
      <c r="E217" s="170"/>
      <c r="F217" s="2"/>
      <c r="G217" s="170"/>
      <c r="H217" s="170"/>
      <c r="I217" s="170"/>
      <c r="J217" s="170"/>
      <c r="K217" s="170"/>
      <c r="L217" s="170"/>
      <c r="M217" s="170"/>
      <c r="N217" s="170"/>
      <c r="O217" s="170"/>
    </row>
    <row r="218" spans="2:15" ht="16">
      <c r="B218" s="170"/>
      <c r="C218" s="170"/>
      <c r="D218" s="2"/>
      <c r="E218" s="170"/>
      <c r="F218" s="170"/>
      <c r="G218" s="170"/>
      <c r="H218" s="170"/>
      <c r="I218" s="170"/>
      <c r="J218" s="170"/>
      <c r="K218" s="170"/>
      <c r="L218" s="170"/>
      <c r="M218" s="170"/>
      <c r="N218" s="170"/>
      <c r="O218" s="170"/>
    </row>
    <row r="219" spans="2:15" ht="16">
      <c r="B219" s="170"/>
      <c r="C219" s="2"/>
      <c r="D219" s="170"/>
      <c r="E219" s="170"/>
      <c r="F219" s="170"/>
      <c r="G219" s="2"/>
      <c r="H219" s="170"/>
      <c r="I219" s="170"/>
      <c r="J219" s="170"/>
      <c r="K219" s="170"/>
      <c r="L219" s="170"/>
      <c r="M219" s="170"/>
      <c r="N219" s="170"/>
      <c r="O219" s="170"/>
    </row>
    <row r="220" spans="2:15" ht="16">
      <c r="B220" s="170"/>
      <c r="C220" s="170"/>
      <c r="D220" s="170"/>
      <c r="E220" s="170"/>
      <c r="F220" s="170"/>
      <c r="G220" s="170"/>
      <c r="H220" s="170"/>
      <c r="I220" s="170"/>
      <c r="J220" s="170"/>
      <c r="K220" s="170"/>
      <c r="L220" s="170"/>
      <c r="M220" s="170"/>
      <c r="N220" s="170"/>
      <c r="O220" s="170"/>
    </row>
    <row r="221" spans="2:15" ht="16">
      <c r="B221" s="170"/>
      <c r="C221" s="170"/>
      <c r="D221" s="170"/>
      <c r="E221" s="170"/>
      <c r="F221" s="170"/>
      <c r="G221" s="170"/>
      <c r="H221" s="170"/>
      <c r="I221" s="170"/>
      <c r="J221" s="170"/>
      <c r="K221" s="170"/>
      <c r="L221" s="170"/>
      <c r="M221" s="170"/>
      <c r="N221" s="170"/>
      <c r="O221" s="170"/>
    </row>
    <row r="222" spans="2:15" ht="16">
      <c r="B222" s="170"/>
      <c r="C222" s="170"/>
      <c r="D222" s="170"/>
      <c r="E222" s="170"/>
      <c r="F222" s="170"/>
      <c r="G222" s="170"/>
      <c r="H222" s="170"/>
      <c r="I222" s="170"/>
      <c r="J222" s="170"/>
      <c r="K222" s="170"/>
      <c r="L222" s="170"/>
      <c r="M222" s="170"/>
      <c r="N222" s="170"/>
      <c r="O222" s="170"/>
    </row>
    <row r="223" spans="2:15" ht="16">
      <c r="B223" s="170"/>
      <c r="C223" s="170"/>
      <c r="D223" s="170"/>
      <c r="E223" s="170"/>
      <c r="F223" s="170"/>
      <c r="G223" s="170"/>
      <c r="H223" s="170"/>
      <c r="I223" s="170"/>
      <c r="J223" s="170"/>
      <c r="K223" s="170"/>
      <c r="L223" s="170"/>
      <c r="M223" s="170"/>
      <c r="N223" s="170"/>
      <c r="O223" s="170"/>
    </row>
    <row r="224" spans="2:15" ht="16">
      <c r="B224" s="170"/>
      <c r="C224" s="170"/>
      <c r="D224" s="170"/>
      <c r="E224" s="170"/>
      <c r="F224" s="170"/>
      <c r="G224" s="170"/>
      <c r="H224" s="170"/>
      <c r="I224" s="170"/>
      <c r="J224" s="170"/>
      <c r="K224" s="170"/>
      <c r="L224" s="170"/>
      <c r="M224" s="170"/>
      <c r="N224" s="170"/>
      <c r="O224" s="170"/>
    </row>
    <row r="225" spans="2:15" ht="16">
      <c r="B225" s="170"/>
      <c r="C225" s="215"/>
      <c r="D225" s="170"/>
      <c r="E225" s="170"/>
      <c r="F225" s="170"/>
      <c r="G225" s="170"/>
      <c r="H225" s="170"/>
      <c r="I225" s="170"/>
      <c r="J225" s="170"/>
      <c r="K225" s="170"/>
      <c r="L225" s="170"/>
      <c r="M225" s="170"/>
      <c r="N225" s="170"/>
      <c r="O225" s="170"/>
    </row>
    <row r="226" spans="2:15" ht="16">
      <c r="B226" s="170"/>
      <c r="C226" s="170"/>
      <c r="D226" s="170"/>
      <c r="E226" s="170"/>
      <c r="F226" s="170"/>
      <c r="G226" s="170"/>
      <c r="H226" s="170"/>
      <c r="I226" s="170"/>
      <c r="J226" s="170"/>
      <c r="K226" s="170"/>
      <c r="L226" s="170"/>
      <c r="M226" s="170"/>
      <c r="N226" s="170"/>
      <c r="O226" s="170"/>
    </row>
    <row r="227" spans="2:15" ht="16">
      <c r="B227" s="170"/>
      <c r="C227" s="170"/>
      <c r="D227" s="170"/>
      <c r="E227" s="170"/>
      <c r="F227" s="170"/>
      <c r="G227" s="170"/>
      <c r="H227" s="170"/>
      <c r="I227" s="170"/>
      <c r="J227" s="170"/>
      <c r="K227" s="170"/>
      <c r="L227" s="170"/>
      <c r="M227" s="170"/>
      <c r="N227" s="170"/>
      <c r="O227" s="170"/>
    </row>
    <row r="228" spans="2:15" ht="16">
      <c r="B228" s="170"/>
      <c r="C228" s="170"/>
      <c r="D228" s="170"/>
      <c r="E228" s="170"/>
      <c r="F228" s="170"/>
      <c r="G228" s="170"/>
      <c r="H228" s="170"/>
      <c r="I228" s="170"/>
      <c r="J228" s="170"/>
      <c r="K228" s="170"/>
      <c r="L228" s="170"/>
      <c r="M228" s="170"/>
      <c r="N228" s="170"/>
      <c r="O228" s="170"/>
    </row>
    <row r="229" spans="2:15" ht="16">
      <c r="B229" s="170"/>
      <c r="C229" s="170"/>
      <c r="D229" s="170"/>
      <c r="E229" s="170"/>
      <c r="F229" s="170"/>
      <c r="G229" s="170"/>
      <c r="H229" s="170"/>
      <c r="I229" s="170"/>
      <c r="J229" s="170"/>
      <c r="K229" s="170"/>
      <c r="L229" s="170"/>
      <c r="M229" s="170"/>
      <c r="N229" s="170"/>
      <c r="O229" s="170"/>
    </row>
    <row r="230" spans="2:15" ht="16">
      <c r="B230" s="170"/>
      <c r="C230" s="170"/>
      <c r="D230" s="170"/>
      <c r="E230" s="170"/>
      <c r="F230" s="170"/>
      <c r="G230" s="170"/>
      <c r="H230" s="170"/>
      <c r="I230" s="170"/>
      <c r="J230" s="170"/>
      <c r="K230" s="170"/>
      <c r="L230" s="170"/>
      <c r="M230" s="170"/>
      <c r="N230" s="170"/>
      <c r="O230" s="170"/>
    </row>
    <row r="231" spans="2:15" ht="16">
      <c r="B231" s="170"/>
      <c r="C231" s="170"/>
      <c r="D231" s="170"/>
      <c r="E231" s="170"/>
      <c r="F231" s="170"/>
      <c r="G231" s="170"/>
      <c r="H231" s="170"/>
      <c r="I231" s="170"/>
      <c r="J231" s="170"/>
      <c r="K231" s="170"/>
      <c r="L231" s="170"/>
      <c r="M231" s="170"/>
      <c r="N231" s="170"/>
      <c r="O231" s="170"/>
    </row>
    <row r="232" spans="2:15" ht="16">
      <c r="B232" s="170"/>
      <c r="C232" s="170"/>
      <c r="D232" s="170"/>
      <c r="E232" s="170"/>
      <c r="F232" s="170"/>
      <c r="G232" s="170"/>
      <c r="H232" s="170"/>
      <c r="I232" s="170"/>
      <c r="J232" s="170"/>
      <c r="K232" s="170"/>
      <c r="L232" s="170"/>
      <c r="M232" s="170"/>
      <c r="N232" s="170"/>
      <c r="O232" s="170"/>
    </row>
    <row r="233" spans="2:15" ht="16">
      <c r="B233" s="170"/>
      <c r="C233" s="170"/>
      <c r="D233" s="170"/>
      <c r="E233" s="170"/>
      <c r="F233" s="170"/>
      <c r="G233" s="170"/>
      <c r="H233" s="170"/>
      <c r="I233" s="170"/>
      <c r="J233" s="170"/>
      <c r="K233" s="170"/>
      <c r="L233" s="170"/>
      <c r="M233" s="170"/>
      <c r="N233" s="170"/>
      <c r="O233" s="170"/>
    </row>
    <row r="234" spans="2:15" ht="16">
      <c r="B234" s="170"/>
      <c r="C234" s="170"/>
      <c r="D234" s="170"/>
      <c r="E234" s="170"/>
      <c r="F234" s="170"/>
      <c r="G234" s="170"/>
      <c r="H234" s="170"/>
      <c r="I234" s="170"/>
      <c r="J234" s="170"/>
      <c r="K234" s="170"/>
      <c r="L234" s="170"/>
      <c r="M234" s="170"/>
      <c r="N234" s="170"/>
      <c r="O234" s="170"/>
    </row>
    <row r="235" spans="2:15" ht="16">
      <c r="B235" s="170"/>
      <c r="C235" s="170"/>
      <c r="D235" s="170"/>
      <c r="E235" s="170"/>
      <c r="F235" s="170"/>
      <c r="G235" s="170"/>
      <c r="H235" s="170"/>
      <c r="I235" s="170"/>
      <c r="J235" s="170"/>
      <c r="K235" s="170"/>
      <c r="L235" s="170"/>
      <c r="M235" s="170"/>
      <c r="N235" s="170"/>
      <c r="O235" s="170"/>
    </row>
    <row r="236" spans="2:15" ht="16">
      <c r="B236" s="170"/>
      <c r="C236" s="170"/>
      <c r="D236" s="170"/>
      <c r="E236" s="170"/>
      <c r="F236" s="170"/>
      <c r="G236" s="170"/>
      <c r="H236" s="170"/>
      <c r="I236" s="170"/>
      <c r="J236" s="170"/>
      <c r="K236" s="170"/>
      <c r="L236" s="170"/>
      <c r="M236" s="170"/>
      <c r="N236" s="170"/>
      <c r="O236" s="170"/>
    </row>
    <row r="237" spans="2:15" ht="16">
      <c r="B237" s="170"/>
      <c r="C237" s="170"/>
      <c r="D237" s="170"/>
      <c r="E237" s="170"/>
      <c r="F237" s="170"/>
      <c r="G237" s="170"/>
      <c r="H237" s="170"/>
      <c r="I237" s="170"/>
      <c r="J237" s="170"/>
      <c r="K237" s="170"/>
      <c r="L237" s="170"/>
      <c r="M237" s="170"/>
      <c r="N237" s="170"/>
      <c r="O237" s="170"/>
    </row>
    <row r="238" spans="2:15" ht="16">
      <c r="B238" s="170"/>
      <c r="C238" s="170"/>
      <c r="D238" s="170"/>
      <c r="E238" s="170"/>
      <c r="F238" s="170"/>
      <c r="G238" s="170"/>
      <c r="H238" s="170"/>
      <c r="I238" s="170"/>
      <c r="J238" s="170"/>
      <c r="K238" s="170"/>
      <c r="L238" s="170"/>
      <c r="M238" s="170"/>
      <c r="N238" s="170"/>
      <c r="O238" s="170"/>
    </row>
    <row r="239" spans="2:15" ht="16">
      <c r="B239" s="170"/>
      <c r="C239" s="170"/>
      <c r="D239" s="170"/>
      <c r="E239" s="170"/>
      <c r="F239" s="170"/>
      <c r="G239" s="170"/>
      <c r="H239" s="170"/>
      <c r="I239" s="170"/>
      <c r="J239" s="170"/>
      <c r="K239" s="170"/>
      <c r="L239" s="170"/>
      <c r="M239" s="170"/>
      <c r="N239" s="170"/>
      <c r="O239" s="170"/>
    </row>
    <row r="240" spans="2:15" ht="16">
      <c r="B240" s="170"/>
      <c r="C240" s="170"/>
      <c r="D240" s="170"/>
      <c r="E240" s="170"/>
      <c r="F240" s="170"/>
      <c r="G240" s="170"/>
      <c r="H240" s="170"/>
      <c r="I240" s="170"/>
      <c r="J240" s="170"/>
      <c r="K240" s="170"/>
      <c r="L240" s="170"/>
      <c r="M240" s="170"/>
      <c r="N240" s="170"/>
      <c r="O240" s="170"/>
    </row>
    <row r="241" spans="2:15" ht="16">
      <c r="B241" s="170"/>
      <c r="C241" s="170"/>
      <c r="D241" s="170"/>
      <c r="E241" s="170"/>
      <c r="F241" s="170"/>
      <c r="G241" s="170"/>
      <c r="H241" s="170"/>
      <c r="I241" s="170"/>
      <c r="J241" s="170"/>
      <c r="K241" s="170"/>
      <c r="L241" s="170"/>
      <c r="M241" s="170"/>
      <c r="N241" s="170"/>
      <c r="O241" s="170"/>
    </row>
    <row r="242" spans="2:15" ht="16">
      <c r="B242" s="170"/>
      <c r="C242" s="170"/>
      <c r="D242" s="170"/>
      <c r="E242" s="170"/>
      <c r="F242" s="170"/>
      <c r="G242" s="170"/>
      <c r="H242" s="170"/>
      <c r="I242" s="170"/>
      <c r="J242" s="170"/>
      <c r="K242" s="170"/>
      <c r="L242" s="170"/>
      <c r="M242" s="170"/>
      <c r="N242" s="170"/>
      <c r="O242" s="170"/>
    </row>
    <row r="243" spans="2:15" ht="16">
      <c r="B243" s="170"/>
      <c r="C243" s="170"/>
      <c r="D243" s="170"/>
      <c r="E243" s="170"/>
      <c r="F243" s="170"/>
      <c r="G243" s="170"/>
      <c r="H243" s="170"/>
      <c r="I243" s="170"/>
      <c r="J243" s="170"/>
      <c r="K243" s="170"/>
      <c r="L243" s="170"/>
      <c r="M243" s="170"/>
      <c r="N243" s="170"/>
      <c r="O243" s="170"/>
    </row>
    <row r="244" spans="2:15" ht="16">
      <c r="B244" s="170"/>
      <c r="C244" s="170"/>
      <c r="D244" s="170"/>
      <c r="E244" s="170"/>
      <c r="F244" s="170"/>
      <c r="G244" s="170"/>
      <c r="H244" s="170"/>
      <c r="I244" s="170"/>
      <c r="J244" s="170"/>
      <c r="K244" s="170"/>
      <c r="L244" s="170"/>
      <c r="M244" s="170"/>
      <c r="N244" s="170"/>
      <c r="O244" s="170"/>
    </row>
    <row r="245" spans="2:15" ht="16">
      <c r="B245" s="170"/>
      <c r="C245" s="170"/>
      <c r="D245" s="170"/>
      <c r="E245" s="170"/>
      <c r="F245" s="170"/>
      <c r="G245" s="170"/>
      <c r="H245" s="170"/>
      <c r="I245" s="170"/>
      <c r="J245" s="170"/>
      <c r="K245" s="170"/>
      <c r="L245" s="170"/>
      <c r="M245" s="170"/>
      <c r="N245" s="170"/>
      <c r="O245" s="170"/>
    </row>
    <row r="246" spans="2:15" ht="16">
      <c r="B246" s="170"/>
      <c r="C246" s="170"/>
      <c r="D246" s="170"/>
      <c r="E246" s="170"/>
      <c r="F246" s="170"/>
      <c r="G246" s="170"/>
      <c r="H246" s="170"/>
      <c r="I246" s="170"/>
      <c r="J246" s="170"/>
      <c r="K246" s="170"/>
      <c r="L246" s="170"/>
      <c r="M246" s="170"/>
      <c r="N246" s="170"/>
      <c r="O246" s="170"/>
    </row>
    <row r="247" spans="2:15" ht="16">
      <c r="B247" s="170"/>
      <c r="C247" s="170"/>
      <c r="D247" s="170"/>
      <c r="E247" s="170"/>
      <c r="F247" s="170"/>
      <c r="G247" s="170"/>
      <c r="H247" s="170"/>
      <c r="I247" s="170"/>
      <c r="J247" s="170"/>
      <c r="K247" s="170"/>
      <c r="L247" s="170"/>
      <c r="M247" s="170"/>
      <c r="N247" s="170"/>
      <c r="O247" s="170"/>
    </row>
    <row r="248" spans="2:15" ht="16">
      <c r="B248" s="170"/>
      <c r="C248" s="170"/>
      <c r="D248" s="170"/>
      <c r="E248" s="170"/>
      <c r="F248" s="170"/>
      <c r="G248" s="170"/>
      <c r="H248" s="170"/>
      <c r="I248" s="170"/>
      <c r="J248" s="170"/>
      <c r="K248" s="170"/>
      <c r="L248" s="170"/>
      <c r="M248" s="170"/>
      <c r="N248" s="170"/>
      <c r="O248" s="170"/>
    </row>
    <row r="249" spans="2:15" ht="16">
      <c r="B249" s="170"/>
      <c r="C249" s="170"/>
      <c r="D249" s="170"/>
      <c r="E249" s="170"/>
      <c r="F249" s="170"/>
      <c r="G249" s="170"/>
      <c r="H249" s="170"/>
      <c r="I249" s="170"/>
      <c r="J249" s="170"/>
      <c r="K249" s="170"/>
      <c r="L249" s="170"/>
      <c r="M249" s="170"/>
      <c r="N249" s="170"/>
      <c r="O249" s="170"/>
    </row>
    <row r="250" spans="2:15" ht="16">
      <c r="B250" s="170"/>
      <c r="C250" s="170"/>
      <c r="D250" s="170"/>
      <c r="E250" s="170"/>
      <c r="F250" s="170"/>
      <c r="G250" s="170"/>
      <c r="H250" s="170"/>
      <c r="I250" s="170"/>
      <c r="J250" s="170"/>
      <c r="K250" s="170"/>
      <c r="L250" s="170"/>
      <c r="M250" s="170"/>
      <c r="N250" s="170"/>
      <c r="O250" s="170"/>
    </row>
    <row r="251" spans="2:15" ht="16">
      <c r="B251" s="170"/>
      <c r="C251" s="170"/>
      <c r="D251" s="196"/>
      <c r="E251" s="170"/>
      <c r="F251" s="196"/>
      <c r="G251" s="170"/>
      <c r="H251" s="170"/>
      <c r="I251" s="170"/>
      <c r="J251" s="170"/>
      <c r="K251" s="170"/>
      <c r="L251" s="170"/>
      <c r="M251" s="170"/>
      <c r="N251" s="170"/>
      <c r="O251" s="170"/>
    </row>
    <row r="252" spans="2:15" ht="16">
      <c r="B252" s="170"/>
      <c r="C252" s="170"/>
      <c r="D252" s="170"/>
      <c r="E252" s="170"/>
      <c r="F252" s="170"/>
      <c r="G252" s="170"/>
      <c r="H252" s="170"/>
      <c r="I252" s="170"/>
      <c r="J252" s="170"/>
      <c r="K252" s="170"/>
      <c r="L252" s="170"/>
      <c r="M252" s="170"/>
      <c r="N252" s="170"/>
      <c r="O252" s="170"/>
    </row>
    <row r="253" spans="2:15" ht="16">
      <c r="B253" s="170"/>
      <c r="C253" s="170"/>
      <c r="D253" s="170"/>
      <c r="E253" s="170"/>
      <c r="F253" s="170"/>
      <c r="G253" s="170"/>
      <c r="H253" s="170"/>
      <c r="I253" s="170"/>
      <c r="J253" s="170"/>
      <c r="K253" s="170"/>
      <c r="L253" s="170"/>
      <c r="M253" s="170"/>
      <c r="N253" s="170"/>
      <c r="O253" s="170"/>
    </row>
    <row r="254" spans="2:15" ht="16">
      <c r="B254" s="170"/>
      <c r="C254" s="170"/>
      <c r="D254" s="170"/>
      <c r="E254" s="170"/>
      <c r="F254" s="170"/>
      <c r="G254" s="170"/>
      <c r="H254" s="170"/>
      <c r="I254" s="170"/>
      <c r="J254" s="170"/>
      <c r="K254" s="170"/>
      <c r="L254" s="170"/>
      <c r="M254" s="170"/>
      <c r="N254" s="170"/>
      <c r="O254" s="170"/>
    </row>
    <row r="255" spans="2:15" ht="16">
      <c r="B255" s="170"/>
      <c r="C255" s="196"/>
      <c r="D255" s="170"/>
      <c r="E255" s="170"/>
      <c r="F255" s="170"/>
      <c r="G255" s="170"/>
      <c r="H255" s="170"/>
      <c r="I255" s="170"/>
      <c r="J255" s="170"/>
      <c r="K255" s="170"/>
      <c r="L255" s="170"/>
      <c r="M255" s="170"/>
      <c r="N255" s="170"/>
      <c r="O255" s="170"/>
    </row>
    <row r="256" spans="2:15" ht="16">
      <c r="B256" s="170"/>
      <c r="C256" s="170"/>
      <c r="D256" s="170"/>
      <c r="E256" s="170"/>
      <c r="F256" s="170"/>
      <c r="G256" s="196"/>
      <c r="H256" s="170"/>
      <c r="I256" s="170"/>
      <c r="J256" s="170"/>
      <c r="K256" s="170"/>
      <c r="L256" s="170"/>
      <c r="M256" s="170"/>
      <c r="N256" s="170"/>
      <c r="O256" s="170"/>
    </row>
    <row r="257" spans="2:15" ht="16">
      <c r="B257" s="170"/>
      <c r="C257" s="170"/>
      <c r="D257" s="170"/>
      <c r="E257" s="170"/>
      <c r="F257" s="170"/>
      <c r="G257" s="170"/>
      <c r="H257" s="170"/>
      <c r="I257" s="170"/>
      <c r="J257" s="170"/>
      <c r="K257" s="170"/>
      <c r="L257" s="170"/>
      <c r="M257" s="170"/>
      <c r="N257" s="170"/>
      <c r="O257" s="170"/>
    </row>
    <row r="258" spans="2:15" ht="16">
      <c r="B258" s="170"/>
      <c r="C258" s="170"/>
      <c r="D258" s="170"/>
      <c r="E258" s="170"/>
      <c r="F258" s="170"/>
      <c r="G258" s="170"/>
      <c r="H258" s="170"/>
      <c r="I258" s="170"/>
      <c r="J258" s="170"/>
      <c r="K258" s="170"/>
      <c r="L258" s="170"/>
      <c r="M258" s="170"/>
      <c r="N258" s="170"/>
      <c r="O258" s="170"/>
    </row>
    <row r="259" spans="2:15" ht="16">
      <c r="B259" s="170"/>
      <c r="C259" s="170"/>
      <c r="D259" s="170"/>
      <c r="E259" s="170"/>
      <c r="F259" s="170"/>
      <c r="G259" s="170"/>
      <c r="H259" s="170"/>
      <c r="I259" s="170"/>
      <c r="J259" s="170"/>
      <c r="K259" s="170"/>
      <c r="L259" s="170"/>
      <c r="M259" s="170"/>
      <c r="N259" s="170"/>
      <c r="O259" s="170"/>
    </row>
    <row r="260" spans="2:15" ht="16">
      <c r="B260" s="170"/>
      <c r="C260" s="170"/>
      <c r="D260" s="170"/>
      <c r="E260" s="170"/>
      <c r="F260" s="170"/>
      <c r="G260" s="170"/>
      <c r="H260" s="170"/>
      <c r="I260" s="170"/>
      <c r="J260" s="170"/>
      <c r="K260" s="170"/>
      <c r="L260" s="170"/>
      <c r="M260" s="170"/>
      <c r="N260" s="170"/>
      <c r="O260" s="170"/>
    </row>
    <row r="261" spans="2:15" ht="16">
      <c r="B261" s="170"/>
      <c r="C261" s="170"/>
      <c r="D261" s="170"/>
      <c r="E261" s="170"/>
      <c r="F261" s="170"/>
      <c r="G261" s="170"/>
      <c r="H261" s="170"/>
      <c r="I261" s="170"/>
      <c r="J261" s="170"/>
      <c r="K261" s="170"/>
      <c r="L261" s="170"/>
      <c r="M261" s="170"/>
      <c r="N261" s="170"/>
      <c r="O261" s="170"/>
    </row>
    <row r="262" spans="2:15" ht="16">
      <c r="B262" s="170"/>
      <c r="C262" s="170"/>
      <c r="D262" s="170"/>
      <c r="E262" s="170"/>
      <c r="F262" s="170"/>
      <c r="G262" s="170"/>
      <c r="H262" s="170"/>
      <c r="I262" s="170"/>
      <c r="J262" s="170"/>
      <c r="K262" s="170"/>
      <c r="L262" s="170"/>
      <c r="M262" s="170"/>
      <c r="N262" s="170"/>
      <c r="O262" s="170"/>
    </row>
    <row r="263" spans="2:15" ht="16">
      <c r="B263" s="170"/>
      <c r="C263" s="170"/>
      <c r="D263" s="170"/>
      <c r="E263" s="170"/>
      <c r="F263" s="170"/>
      <c r="G263" s="170"/>
      <c r="H263" s="170"/>
      <c r="I263" s="170"/>
      <c r="J263" s="170"/>
      <c r="K263" s="170"/>
      <c r="L263" s="170"/>
      <c r="M263" s="170"/>
      <c r="N263" s="170"/>
      <c r="O263" s="170"/>
    </row>
    <row r="264" spans="2:15" ht="16">
      <c r="B264" s="170"/>
      <c r="C264" s="170"/>
      <c r="D264" s="170"/>
      <c r="E264" s="170"/>
      <c r="F264" s="170"/>
      <c r="G264" s="170"/>
      <c r="H264" s="170"/>
      <c r="I264" s="170"/>
      <c r="J264" s="170"/>
      <c r="K264" s="170"/>
      <c r="L264" s="170"/>
      <c r="M264" s="170"/>
      <c r="N264" s="170"/>
      <c r="O264" s="170"/>
    </row>
  </sheetData>
  <sheetProtection sheet="1" objects="1" scenarios="1"/>
  <mergeCells count="2">
    <mergeCell ref="B2:C2"/>
    <mergeCell ref="B21:D21"/>
  </mergeCells>
  <dataValidations disablePrompts="1" count="1">
    <dataValidation type="list" allowBlank="1" showInputMessage="1" showErrorMessage="1" sqref="C16" xr:uid="{E8B782A2-F870-C245-89A4-3984AC37A5EA}">
      <formula1>$B$23:$B$27</formula1>
    </dataValidation>
  </dataValidations>
  <hyperlinks>
    <hyperlink ref="B81" r:id="rId1" display="1. Orbital Elements (Paul Schlyter)" xr:uid="{67FA4905-ED79-C747-9ABE-BB07185C0E40}"/>
  </hyperlinks>
  <pageMargins left="0.7" right="0.7" top="0.75" bottom="0.75" header="0.3" footer="0.3"/>
  <pageSetup paperSize="9" orientation="portrait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BA542-5B0C-E348-A76F-A871FF615F4E}">
  <dimension ref="B2"/>
  <sheetViews>
    <sheetView showGridLines="0" workbookViewId="0">
      <selection activeCell="F77" sqref="F77"/>
    </sheetView>
  </sheetViews>
  <sheetFormatPr baseColWidth="10" defaultRowHeight="16"/>
  <sheetData>
    <row r="2" spans="2:2" ht="21">
      <c r="B2" s="5" t="s">
        <v>5</v>
      </c>
    </row>
  </sheetData>
  <sheetProtection sheet="1" objects="1" scenarios="1"/>
  <hyperlinks>
    <hyperlink ref="B2" r:id="rId1" xr:uid="{FFD24FA3-2E0E-4B48-99FA-CE3809CCB197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Introduction</vt:lpstr>
      <vt:lpstr>Solar System (1)</vt:lpstr>
      <vt:lpstr>Solar System (2)</vt:lpstr>
      <vt:lpstr>Background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Anton Viola</cp:lastModifiedBy>
  <dcterms:created xsi:type="dcterms:W3CDTF">2016-06-12T12:50:56Z</dcterms:created>
  <dcterms:modified xsi:type="dcterms:W3CDTF">2024-05-30T14:09:18Z</dcterms:modified>
  <cp:category/>
</cp:coreProperties>
</file>