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875B1BBC-6EDB-FE45-A602-BB17D9E28D61}" xr6:coauthVersionLast="47" xr6:coauthVersionMax="47" xr10:uidLastSave="{00000000-0000-0000-0000-000000000000}"/>
  <bookViews>
    <workbookView xWindow="5080" yWindow="2720" windowWidth="40740" windowHeight="23960" xr2:uid="{CC8EE947-C85F-0440-8208-92F294748D61}"/>
  </bookViews>
  <sheets>
    <sheet name="Introduction" sheetId="3" r:id="rId1"/>
    <sheet name="Sun-Earth-Moon Model" sheetId="2" r:id="rId2"/>
    <sheet name="Calculations" sheetId="5" r:id="rId3"/>
    <sheet name="Background" sheetId="6" r:id="rId4"/>
  </sheets>
  <definedNames>
    <definedName name="degrees" localSheetId="2">{0;90;180;270}</definedName>
    <definedName name="degrees" localSheetId="0">{0;90;180;270}</definedName>
    <definedName name="degrees">{0;90;180;270}</definedName>
    <definedName name="dgrs" localSheetId="2">{0;90;180;270}</definedName>
    <definedName name="dgrs" localSheetId="0">{0;90;180;270}</definedName>
    <definedName name="dgrs">{0;90;180;270}</definedName>
    <definedName name="MoonPhaseTable">Calculations!$H$4:$I$12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5" l="1"/>
  <c r="B10" i="5" s="1"/>
  <c r="E67" i="2"/>
  <c r="E68" i="2"/>
  <c r="E69" i="2"/>
  <c r="E70" i="2"/>
  <c r="E71" i="2"/>
  <c r="E72" i="2"/>
  <c r="B11" i="5" l="1"/>
  <c r="B82" i="2"/>
  <c r="B79" i="2"/>
  <c r="B77" i="2"/>
  <c r="D75" i="2"/>
  <c r="D79" i="2" s="1"/>
  <c r="C75" i="2"/>
  <c r="C79" i="2" s="1"/>
  <c r="H68" i="2"/>
  <c r="I68" i="2" s="1"/>
  <c r="J67" i="2"/>
  <c r="I67" i="2"/>
  <c r="N47" i="2"/>
  <c r="K47" i="2"/>
  <c r="N38" i="2"/>
  <c r="K38" i="2"/>
  <c r="J24" i="2"/>
  <c r="J23" i="2"/>
  <c r="J22" i="2"/>
  <c r="J21" i="2"/>
  <c r="B12" i="5" l="1"/>
  <c r="H69" i="2"/>
  <c r="D57" i="2"/>
  <c r="D58" i="2" s="1"/>
  <c r="J68" i="2"/>
  <c r="G57" i="2"/>
  <c r="G58" i="2" s="1"/>
  <c r="G59" i="2" s="1"/>
  <c r="J57" i="2"/>
  <c r="J58" i="2" s="1"/>
  <c r="J59" i="2" s="1"/>
  <c r="C77" i="2"/>
  <c r="D77" i="2"/>
  <c r="C82" i="2"/>
  <c r="D82" i="2"/>
  <c r="M57" i="2"/>
  <c r="M58" i="2" s="1"/>
  <c r="M59" i="2" s="1"/>
  <c r="C68" i="2"/>
  <c r="D68" i="2"/>
  <c r="F68" i="2"/>
  <c r="K11" i="2"/>
  <c r="C67" i="2"/>
  <c r="C69" i="2"/>
  <c r="D67" i="2"/>
  <c r="D69" i="2"/>
  <c r="D71" i="2"/>
  <c r="C71" i="2"/>
  <c r="D59" i="2"/>
  <c r="J69" i="2"/>
  <c r="I69" i="2"/>
  <c r="H70" i="2"/>
  <c r="B13" i="5" l="1"/>
  <c r="K14" i="2"/>
  <c r="L14" i="2" s="1"/>
  <c r="F71" i="2"/>
  <c r="K69" i="2"/>
  <c r="C83" i="2"/>
  <c r="C80" i="2"/>
  <c r="K70" i="2"/>
  <c r="K67" i="2"/>
  <c r="C78" i="2"/>
  <c r="C76" i="2"/>
  <c r="C84" i="2"/>
  <c r="K68" i="2"/>
  <c r="C81" i="2"/>
  <c r="D83" i="2"/>
  <c r="L67" i="2"/>
  <c r="L70" i="2"/>
  <c r="L69" i="2"/>
  <c r="D78" i="2"/>
  <c r="L68" i="2"/>
  <c r="D76" i="2"/>
  <c r="D80" i="2"/>
  <c r="D84" i="2"/>
  <c r="D81" i="2"/>
  <c r="F67" i="2"/>
  <c r="K10" i="2"/>
  <c r="K13" i="2"/>
  <c r="L13" i="2" s="1"/>
  <c r="F70" i="2"/>
  <c r="F72" i="2"/>
  <c r="K15" i="2"/>
  <c r="L15" i="2" s="1"/>
  <c r="J70" i="2"/>
  <c r="I70" i="2"/>
  <c r="H71" i="2"/>
  <c r="K71" i="2" s="1"/>
  <c r="L11" i="2"/>
  <c r="K12" i="2"/>
  <c r="L12" i="2" s="1"/>
  <c r="F69" i="2"/>
  <c r="N14" i="2" l="1"/>
  <c r="M25" i="2" s="1"/>
  <c r="F3" i="5"/>
  <c r="B14" i="5"/>
  <c r="N12" i="2"/>
  <c r="L21" i="2" s="1"/>
  <c r="J71" i="2"/>
  <c r="I71" i="2"/>
  <c r="H72" i="2"/>
  <c r="N25" i="2"/>
  <c r="L71" i="2"/>
  <c r="L10" i="2"/>
  <c r="N10" i="2"/>
  <c r="L22" i="2" l="1"/>
  <c r="L23" i="2"/>
  <c r="L24" i="2"/>
  <c r="B15" i="5"/>
  <c r="H73" i="2"/>
  <c r="J72" i="2"/>
  <c r="I72" i="2"/>
  <c r="K72" i="2"/>
  <c r="L72" i="2"/>
  <c r="N20" i="2"/>
  <c r="O21" i="2" s="1"/>
  <c r="M20" i="2"/>
  <c r="M21" i="2" s="1"/>
  <c r="B16" i="5" l="1"/>
  <c r="N23" i="2"/>
  <c r="N24" i="2" s="1"/>
  <c r="M22" i="2"/>
  <c r="J73" i="2"/>
  <c r="I73" i="2"/>
  <c r="H74" i="2"/>
  <c r="L73" i="2"/>
  <c r="K73" i="2"/>
  <c r="B17" i="5" l="1"/>
  <c r="H75" i="2"/>
  <c r="J74" i="2"/>
  <c r="I74" i="2"/>
  <c r="K74" i="2"/>
  <c r="L74" i="2"/>
  <c r="B18" i="5" l="1"/>
  <c r="H76" i="2"/>
  <c r="J75" i="2"/>
  <c r="I75" i="2"/>
  <c r="K75" i="2"/>
  <c r="L75" i="2"/>
  <c r="B19" i="5" l="1"/>
  <c r="J76" i="2"/>
  <c r="I76" i="2"/>
  <c r="H77" i="2"/>
  <c r="L76" i="2"/>
  <c r="K76" i="2"/>
  <c r="B20" i="5" l="1"/>
  <c r="J77" i="2"/>
  <c r="I77" i="2"/>
  <c r="H78" i="2"/>
  <c r="K77" i="2"/>
  <c r="L77" i="2"/>
  <c r="B21" i="5" l="1"/>
  <c r="H79" i="2"/>
  <c r="J78" i="2"/>
  <c r="I78" i="2"/>
  <c r="L78" i="2"/>
  <c r="K78" i="2"/>
  <c r="B22" i="5" l="1"/>
  <c r="J79" i="2"/>
  <c r="I79" i="2"/>
  <c r="H80" i="2"/>
  <c r="L79" i="2"/>
  <c r="K79" i="2"/>
  <c r="B23" i="5" l="1"/>
  <c r="J80" i="2"/>
  <c r="I80" i="2"/>
  <c r="H81" i="2"/>
  <c r="K80" i="2"/>
  <c r="L80" i="2"/>
  <c r="B24" i="5" l="1"/>
  <c r="H82" i="2"/>
  <c r="J81" i="2"/>
  <c r="I81" i="2"/>
  <c r="L81" i="2"/>
  <c r="K81" i="2"/>
  <c r="B25" i="5" l="1"/>
  <c r="H83" i="2"/>
  <c r="J82" i="2"/>
  <c r="I82" i="2"/>
  <c r="L82" i="2"/>
  <c r="K82" i="2"/>
  <c r="B26" i="5" l="1"/>
  <c r="H84" i="2"/>
  <c r="J83" i="2"/>
  <c r="I83" i="2"/>
  <c r="L83" i="2"/>
  <c r="K83" i="2"/>
  <c r="B27" i="5" l="1"/>
  <c r="J84" i="2"/>
  <c r="I84" i="2"/>
  <c r="H85" i="2"/>
  <c r="L84" i="2"/>
  <c r="K84" i="2"/>
  <c r="B28" i="5" l="1"/>
  <c r="H86" i="2"/>
  <c r="J85" i="2"/>
  <c r="I85" i="2"/>
  <c r="K85" i="2"/>
  <c r="L85" i="2"/>
  <c r="B29" i="5" l="1"/>
  <c r="J86" i="2"/>
  <c r="I86" i="2"/>
  <c r="H87" i="2"/>
  <c r="K86" i="2"/>
  <c r="L86" i="2"/>
  <c r="B30" i="5" l="1"/>
  <c r="H88" i="2"/>
  <c r="J87" i="2"/>
  <c r="I87" i="2"/>
  <c r="L87" i="2"/>
  <c r="K87" i="2"/>
  <c r="B31" i="5" l="1"/>
  <c r="J88" i="2"/>
  <c r="I88" i="2"/>
  <c r="H89" i="2"/>
  <c r="L88" i="2"/>
  <c r="K88" i="2"/>
  <c r="B32" i="5" l="1"/>
  <c r="J89" i="2"/>
  <c r="I89" i="2"/>
  <c r="H90" i="2"/>
  <c r="L89" i="2"/>
  <c r="K89" i="2"/>
  <c r="B33" i="5" l="1"/>
  <c r="H91" i="2"/>
  <c r="J90" i="2"/>
  <c r="I90" i="2"/>
  <c r="K90" i="2"/>
  <c r="L90" i="2"/>
  <c r="B34" i="5" l="1"/>
  <c r="J91" i="2"/>
  <c r="I91" i="2"/>
  <c r="H92" i="2"/>
  <c r="K91" i="2"/>
  <c r="L91" i="2"/>
  <c r="B35" i="5" l="1"/>
  <c r="H93" i="2"/>
  <c r="J92" i="2"/>
  <c r="I92" i="2"/>
  <c r="L92" i="2"/>
  <c r="K92" i="2"/>
  <c r="B36" i="5" l="1"/>
  <c r="I93" i="2"/>
  <c r="J93" i="2"/>
  <c r="H94" i="2"/>
  <c r="L93" i="2"/>
  <c r="K93" i="2"/>
  <c r="B37" i="5" l="1"/>
  <c r="H95" i="2"/>
  <c r="J94" i="2"/>
  <c r="I94" i="2"/>
  <c r="L94" i="2"/>
  <c r="K94" i="2"/>
  <c r="B38" i="5" l="1"/>
  <c r="H96" i="2"/>
  <c r="I95" i="2"/>
  <c r="J95" i="2"/>
  <c r="K95" i="2"/>
  <c r="L95" i="2"/>
  <c r="B39" i="5" l="1"/>
  <c r="J96" i="2"/>
  <c r="I96" i="2"/>
  <c r="H97" i="2"/>
  <c r="L96" i="2"/>
  <c r="K96" i="2"/>
  <c r="B40" i="5" l="1"/>
  <c r="H98" i="2"/>
  <c r="J97" i="2"/>
  <c r="I97" i="2"/>
  <c r="K97" i="2"/>
  <c r="L97" i="2"/>
  <c r="B41" i="5" l="1"/>
  <c r="I98" i="2"/>
  <c r="J98" i="2"/>
  <c r="H99" i="2"/>
  <c r="K98" i="2"/>
  <c r="L98" i="2"/>
  <c r="B42" i="5" l="1"/>
  <c r="J99" i="2"/>
  <c r="H100" i="2"/>
  <c r="I99" i="2"/>
  <c r="K99" i="2"/>
  <c r="L99" i="2"/>
  <c r="B43" i="5" l="1"/>
  <c r="H101" i="2"/>
  <c r="I100" i="2"/>
  <c r="J100" i="2"/>
  <c r="L100" i="2"/>
  <c r="K100" i="2"/>
  <c r="B44" i="5" l="1"/>
  <c r="I101" i="2"/>
  <c r="H102" i="2"/>
  <c r="J101" i="2"/>
  <c r="L101" i="2"/>
  <c r="K101" i="2"/>
  <c r="B45" i="5" l="1"/>
  <c r="I102" i="2"/>
  <c r="H103" i="2"/>
  <c r="J102" i="2"/>
  <c r="K102" i="2"/>
  <c r="L102" i="2"/>
  <c r="B46" i="5" l="1"/>
  <c r="H104" i="2"/>
  <c r="J103" i="2"/>
  <c r="I103" i="2"/>
  <c r="K103" i="2"/>
  <c r="L103" i="2"/>
  <c r="B47" i="5" l="1"/>
  <c r="J104" i="2"/>
  <c r="I104" i="2"/>
  <c r="H105" i="2"/>
  <c r="K104" i="2"/>
  <c r="L104" i="2"/>
  <c r="B48" i="5" l="1"/>
  <c r="I105" i="2"/>
  <c r="H106" i="2"/>
  <c r="J105" i="2"/>
  <c r="K105" i="2"/>
  <c r="L105" i="2"/>
  <c r="B49" i="5" l="1"/>
  <c r="J106" i="2"/>
  <c r="I106" i="2"/>
  <c r="H107" i="2"/>
  <c r="L106" i="2"/>
  <c r="K106" i="2"/>
  <c r="B50" i="5" l="1"/>
  <c r="J107" i="2"/>
  <c r="H108" i="2"/>
  <c r="I107" i="2"/>
  <c r="K107" i="2"/>
  <c r="L107" i="2"/>
  <c r="B51" i="5" l="1"/>
  <c r="H109" i="2"/>
  <c r="I108" i="2"/>
  <c r="J108" i="2"/>
  <c r="K108" i="2"/>
  <c r="L108" i="2"/>
  <c r="B52" i="5" l="1"/>
  <c r="I109" i="2"/>
  <c r="J109" i="2"/>
  <c r="H110" i="2"/>
  <c r="L109" i="2"/>
  <c r="K109" i="2"/>
  <c r="B53" i="5" l="1"/>
  <c r="J110" i="2"/>
  <c r="H111" i="2"/>
  <c r="I110" i="2"/>
  <c r="K110" i="2"/>
  <c r="L110" i="2"/>
  <c r="B54" i="5" l="1"/>
  <c r="H112" i="2"/>
  <c r="J111" i="2"/>
  <c r="I111" i="2"/>
  <c r="K111" i="2"/>
  <c r="L111" i="2"/>
  <c r="B55" i="5" l="1"/>
  <c r="J112" i="2"/>
  <c r="I112" i="2"/>
  <c r="H113" i="2"/>
  <c r="L112" i="2"/>
  <c r="K112" i="2"/>
  <c r="B56" i="5" l="1"/>
  <c r="H114" i="2"/>
  <c r="J113" i="2"/>
  <c r="I113" i="2"/>
  <c r="L113" i="2"/>
  <c r="K113" i="2"/>
  <c r="B57" i="5" l="1"/>
  <c r="H115" i="2"/>
  <c r="J114" i="2"/>
  <c r="I114" i="2"/>
  <c r="L114" i="2"/>
  <c r="K114" i="2"/>
  <c r="B58" i="5" l="1"/>
  <c r="J115" i="2"/>
  <c r="I115" i="2"/>
  <c r="H116" i="2"/>
  <c r="K115" i="2"/>
  <c r="L115" i="2"/>
  <c r="B59" i="5" l="1"/>
  <c r="H117" i="2"/>
  <c r="I116" i="2"/>
  <c r="J116" i="2"/>
  <c r="K116" i="2"/>
  <c r="L116" i="2"/>
  <c r="B60" i="5" l="1"/>
  <c r="I117" i="2"/>
  <c r="J117" i="2"/>
  <c r="H118" i="2"/>
  <c r="L117" i="2"/>
  <c r="K117" i="2"/>
  <c r="B61" i="5" l="1"/>
  <c r="H119" i="2"/>
  <c r="J118" i="2"/>
  <c r="I118" i="2"/>
  <c r="L118" i="2"/>
  <c r="K118" i="2"/>
  <c r="B62" i="5" l="1"/>
  <c r="H120" i="2"/>
  <c r="J119" i="2"/>
  <c r="I119" i="2"/>
  <c r="K119" i="2"/>
  <c r="L119" i="2"/>
  <c r="B63" i="5" l="1"/>
  <c r="J120" i="2"/>
  <c r="I120" i="2"/>
  <c r="H121" i="2"/>
  <c r="L120" i="2"/>
  <c r="K120" i="2"/>
  <c r="B64" i="5" l="1"/>
  <c r="J121" i="2"/>
  <c r="I121" i="2"/>
  <c r="H122" i="2"/>
  <c r="L121" i="2"/>
  <c r="K121" i="2"/>
  <c r="B65" i="5" l="1"/>
  <c r="H123" i="2"/>
  <c r="I122" i="2"/>
  <c r="J122" i="2"/>
  <c r="L122" i="2"/>
  <c r="K122" i="2"/>
  <c r="B66" i="5" l="1"/>
  <c r="J123" i="2"/>
  <c r="I123" i="2"/>
  <c r="H124" i="2"/>
  <c r="L123" i="2"/>
  <c r="K123" i="2"/>
  <c r="B67" i="5" l="1"/>
  <c r="H125" i="2"/>
  <c r="J124" i="2"/>
  <c r="I124" i="2"/>
  <c r="L124" i="2"/>
  <c r="K124" i="2"/>
  <c r="B68" i="5" l="1"/>
  <c r="I125" i="2"/>
  <c r="H126" i="2"/>
  <c r="J125" i="2"/>
  <c r="L125" i="2"/>
  <c r="K125" i="2"/>
  <c r="B69" i="5" l="1"/>
  <c r="I126" i="2"/>
  <c r="H127" i="2"/>
  <c r="J126" i="2"/>
  <c r="K126" i="2"/>
  <c r="L126" i="2"/>
  <c r="B70" i="5" l="1"/>
  <c r="H128" i="2"/>
  <c r="J127" i="2"/>
  <c r="I127" i="2"/>
  <c r="K127" i="2"/>
  <c r="L127" i="2"/>
  <c r="B71" i="5" l="1"/>
  <c r="J128" i="2"/>
  <c r="I128" i="2"/>
  <c r="H129" i="2"/>
  <c r="L128" i="2"/>
  <c r="K128" i="2"/>
  <c r="B72" i="5" l="1"/>
  <c r="H130" i="2"/>
  <c r="J129" i="2"/>
  <c r="I129" i="2"/>
  <c r="L129" i="2"/>
  <c r="K129" i="2"/>
  <c r="B73" i="5" l="1"/>
  <c r="I130" i="2"/>
  <c r="J130" i="2"/>
  <c r="H131" i="2"/>
  <c r="K130" i="2"/>
  <c r="L130" i="2"/>
  <c r="B74" i="5" l="1"/>
  <c r="J131" i="2"/>
  <c r="H132" i="2"/>
  <c r="I131" i="2"/>
  <c r="K131" i="2"/>
  <c r="L131" i="2"/>
  <c r="B75" i="5" l="1"/>
  <c r="H133" i="2"/>
  <c r="I132" i="2"/>
  <c r="J132" i="2"/>
  <c r="K132" i="2"/>
  <c r="L132" i="2"/>
  <c r="B76" i="5" l="1"/>
  <c r="I133" i="2"/>
  <c r="H134" i="2"/>
  <c r="J133" i="2"/>
  <c r="K133" i="2"/>
  <c r="L133" i="2"/>
  <c r="B77" i="5" l="1"/>
  <c r="I134" i="2"/>
  <c r="J134" i="2"/>
  <c r="H135" i="2"/>
  <c r="L134" i="2"/>
  <c r="K134" i="2"/>
  <c r="B78" i="5" l="1"/>
  <c r="H136" i="2"/>
  <c r="J135" i="2"/>
  <c r="I135" i="2"/>
  <c r="K135" i="2"/>
  <c r="L135" i="2"/>
  <c r="B79" i="5" l="1"/>
  <c r="J136" i="2"/>
  <c r="I136" i="2"/>
  <c r="H137" i="2"/>
  <c r="K136" i="2"/>
  <c r="L136" i="2"/>
  <c r="B80" i="5" l="1"/>
  <c r="J137" i="2"/>
  <c r="I137" i="2"/>
  <c r="H138" i="2"/>
  <c r="K137" i="2"/>
  <c r="L137" i="2"/>
  <c r="B81" i="5" l="1"/>
  <c r="J138" i="2"/>
  <c r="I138" i="2"/>
  <c r="H139" i="2"/>
  <c r="L138" i="2"/>
  <c r="K138" i="2"/>
  <c r="B82" i="5" l="1"/>
  <c r="J139" i="2"/>
  <c r="I139" i="2"/>
  <c r="L139" i="2"/>
  <c r="K139" i="2"/>
  <c r="B83" i="5" l="1"/>
  <c r="B84" i="5" l="1"/>
  <c r="B85" i="5" l="1"/>
  <c r="B86" i="5" l="1"/>
  <c r="B87" i="5" l="1"/>
  <c r="B88" i="5" l="1"/>
  <c r="B89" i="5" l="1"/>
  <c r="B90" i="5" l="1"/>
  <c r="B91" i="5" l="1"/>
  <c r="B92" i="5" l="1"/>
  <c r="B93" i="5" l="1"/>
  <c r="B94" i="5" l="1"/>
  <c r="B95" i="5" l="1"/>
  <c r="B96" i="5" l="1"/>
  <c r="B97" i="5" l="1"/>
  <c r="B98" i="5" l="1"/>
  <c r="B99" i="5" l="1"/>
  <c r="B100" i="5" l="1"/>
  <c r="B101" i="5" l="1"/>
  <c r="B102" i="5" l="1"/>
  <c r="B103" i="5" l="1"/>
  <c r="B104" i="5" l="1"/>
  <c r="B105" i="5" l="1"/>
  <c r="B106" i="5" l="1"/>
  <c r="B107" i="5" l="1"/>
  <c r="B108" i="5" l="1"/>
  <c r="B109" i="5" l="1"/>
  <c r="B110" i="5" l="1"/>
  <c r="B111" i="5" l="1"/>
  <c r="B112" i="5" l="1"/>
  <c r="B113" i="5" l="1"/>
  <c r="B114" i="5" l="1"/>
  <c r="B115" i="5" l="1"/>
  <c r="B116" i="5" l="1"/>
  <c r="B117" i="5" l="1"/>
  <c r="B118" i="5" l="1"/>
  <c r="B119" i="5" l="1"/>
  <c r="B120" i="5" l="1"/>
  <c r="B121" i="5" l="1"/>
  <c r="B122" i="5" l="1"/>
  <c r="B123" i="5" l="1"/>
  <c r="B124" i="5" l="1"/>
  <c r="B125" i="5" l="1"/>
  <c r="B126" i="5" l="1"/>
  <c r="B127" i="5" l="1"/>
  <c r="B128" i="5" l="1"/>
  <c r="B129" i="5" l="1"/>
  <c r="B130" i="5" l="1"/>
  <c r="B131" i="5" l="1"/>
  <c r="B132" i="5" l="1"/>
  <c r="B133" i="5" l="1"/>
  <c r="B134" i="5" l="1"/>
  <c r="B135" i="5" l="1"/>
  <c r="B136" i="5" l="1"/>
  <c r="B137" i="5" l="1"/>
  <c r="B138" i="5" l="1"/>
  <c r="B139" i="5" l="1"/>
  <c r="B140" i="5" l="1"/>
  <c r="B141" i="5" l="1"/>
  <c r="B142" i="5" l="1"/>
  <c r="B143" i="5" l="1"/>
  <c r="B144" i="5" l="1"/>
  <c r="B145" i="5" l="1"/>
  <c r="B146" i="5" l="1"/>
  <c r="B147" i="5" l="1"/>
  <c r="B148" i="5" l="1"/>
  <c r="B149" i="5" l="1"/>
  <c r="B150" i="5" l="1"/>
  <c r="B151" i="5" l="1"/>
  <c r="B152" i="5" l="1"/>
  <c r="B153" i="5" l="1"/>
  <c r="B154" i="5" l="1"/>
  <c r="B155" i="5" l="1"/>
  <c r="B156" i="5" l="1"/>
  <c r="B157" i="5" l="1"/>
  <c r="B158" i="5" l="1"/>
  <c r="B159" i="5" l="1"/>
  <c r="B160" i="5" l="1"/>
  <c r="B161" i="5" l="1"/>
  <c r="B162" i="5" l="1"/>
  <c r="B163" i="5" l="1"/>
  <c r="B164" i="5" l="1"/>
  <c r="B165" i="5" l="1"/>
  <c r="B166" i="5" l="1"/>
  <c r="B167" i="5" l="1"/>
  <c r="B168" i="5" l="1"/>
  <c r="B169" i="5" l="1"/>
  <c r="B170" i="5" l="1"/>
  <c r="B171" i="5" l="1"/>
  <c r="B172" i="5" l="1"/>
  <c r="B173" i="5" l="1"/>
  <c r="B174" i="5" l="1"/>
  <c r="B175" i="5" l="1"/>
  <c r="B176" i="5" l="1"/>
  <c r="B177" i="5" l="1"/>
  <c r="B178" i="5" l="1"/>
  <c r="B179" i="5" l="1"/>
  <c r="B180" i="5" l="1"/>
  <c r="B181" i="5" l="1"/>
  <c r="B182" i="5" l="1"/>
  <c r="B183" i="5" l="1"/>
  <c r="B184" i="5" l="1"/>
  <c r="B185" i="5" l="1"/>
  <c r="B186" i="5" l="1"/>
  <c r="B187" i="5" l="1"/>
  <c r="B188" i="5" l="1"/>
  <c r="B189" i="5" l="1"/>
  <c r="B190" i="5" l="1"/>
  <c r="B191" i="5" l="1"/>
  <c r="B192" i="5" l="1"/>
  <c r="B193" i="5" l="1"/>
  <c r="B194" i="5" l="1"/>
  <c r="B195" i="5" l="1"/>
  <c r="B196" i="5" l="1"/>
  <c r="B197" i="5" l="1"/>
  <c r="B198" i="5" l="1"/>
  <c r="B199" i="5" l="1"/>
  <c r="B200" i="5" l="1"/>
  <c r="B201" i="5" l="1"/>
  <c r="B202" i="5" l="1"/>
  <c r="B203" i="5" l="1"/>
  <c r="B204" i="5" l="1"/>
  <c r="B205" i="5" l="1"/>
  <c r="B206" i="5" l="1"/>
  <c r="B207" i="5" l="1"/>
  <c r="B208" i="5" l="1"/>
  <c r="B209" i="5" l="1"/>
  <c r="F4" i="5" l="1"/>
  <c r="F5" i="5" l="1"/>
  <c r="F6" i="5" s="1"/>
  <c r="C19" i="5" l="1"/>
  <c r="C35" i="5"/>
  <c r="C51" i="5"/>
  <c r="C67" i="5"/>
  <c r="C83" i="5"/>
  <c r="C99" i="5"/>
  <c r="C115" i="5"/>
  <c r="C131" i="5"/>
  <c r="C147" i="5"/>
  <c r="C163" i="5"/>
  <c r="C179" i="5"/>
  <c r="C195" i="5"/>
  <c r="C84" i="5"/>
  <c r="C132" i="5"/>
  <c r="C148" i="5"/>
  <c r="C180" i="5"/>
  <c r="C196" i="5"/>
  <c r="C200" i="5"/>
  <c r="C201" i="5"/>
  <c r="C122" i="5"/>
  <c r="C170" i="5"/>
  <c r="C155" i="5"/>
  <c r="C124" i="5"/>
  <c r="C77" i="5"/>
  <c r="C205" i="5"/>
  <c r="C142" i="5"/>
  <c r="C15" i="5"/>
  <c r="C128" i="5"/>
  <c r="C97" i="5"/>
  <c r="C20" i="5"/>
  <c r="C36" i="5"/>
  <c r="C52" i="5"/>
  <c r="C68" i="5"/>
  <c r="C100" i="5"/>
  <c r="C116" i="5"/>
  <c r="C164" i="5"/>
  <c r="C137" i="5"/>
  <c r="C106" i="5"/>
  <c r="C154" i="5"/>
  <c r="C139" i="5"/>
  <c r="C76" i="5"/>
  <c r="C109" i="5"/>
  <c r="C62" i="5"/>
  <c r="C31" i="5"/>
  <c r="C191" i="5"/>
  <c r="C160" i="5"/>
  <c r="C129" i="5"/>
  <c r="C34" i="5"/>
  <c r="C21" i="5"/>
  <c r="C37" i="5"/>
  <c r="C53" i="5"/>
  <c r="C69" i="5"/>
  <c r="C85" i="5"/>
  <c r="C101" i="5"/>
  <c r="C117" i="5"/>
  <c r="C133" i="5"/>
  <c r="C149" i="5"/>
  <c r="C165" i="5"/>
  <c r="C181" i="5"/>
  <c r="C197" i="5"/>
  <c r="C119" i="5"/>
  <c r="C167" i="5"/>
  <c r="C153" i="5"/>
  <c r="C74" i="5"/>
  <c r="C186" i="5"/>
  <c r="C44" i="5"/>
  <c r="C204" i="5"/>
  <c r="C189" i="5"/>
  <c r="C14" i="5"/>
  <c r="C79" i="5"/>
  <c r="C207" i="5"/>
  <c r="C176" i="5"/>
  <c r="C81" i="5"/>
  <c r="C18" i="5"/>
  <c r="C22" i="5"/>
  <c r="C38" i="5"/>
  <c r="C54" i="5"/>
  <c r="C70" i="5"/>
  <c r="C86" i="5"/>
  <c r="C102" i="5"/>
  <c r="C118" i="5"/>
  <c r="C134" i="5"/>
  <c r="C150" i="5"/>
  <c r="C166" i="5"/>
  <c r="C182" i="5"/>
  <c r="C198" i="5"/>
  <c r="C151" i="5"/>
  <c r="C199" i="5"/>
  <c r="C169" i="5"/>
  <c r="C90" i="5"/>
  <c r="C123" i="5"/>
  <c r="C140" i="5"/>
  <c r="C141" i="5"/>
  <c r="C46" i="5"/>
  <c r="C175" i="5"/>
  <c r="C16" i="5"/>
  <c r="C208" i="5"/>
  <c r="C161" i="5"/>
  <c r="C50" i="5"/>
  <c r="C23" i="5"/>
  <c r="C39" i="5"/>
  <c r="C55" i="5"/>
  <c r="C71" i="5"/>
  <c r="C87" i="5"/>
  <c r="C103" i="5"/>
  <c r="C135" i="5"/>
  <c r="C183" i="5"/>
  <c r="C42" i="5"/>
  <c r="C203" i="5"/>
  <c r="C156" i="5"/>
  <c r="C157" i="5"/>
  <c r="C30" i="5"/>
  <c r="C95" i="5"/>
  <c r="C64" i="5"/>
  <c r="C17" i="5"/>
  <c r="C177" i="5"/>
  <c r="C178" i="5"/>
  <c r="C24" i="5"/>
  <c r="C40" i="5"/>
  <c r="C56" i="5"/>
  <c r="C72" i="5"/>
  <c r="C88" i="5"/>
  <c r="C104" i="5"/>
  <c r="C120" i="5"/>
  <c r="C136" i="5"/>
  <c r="C152" i="5"/>
  <c r="C168" i="5"/>
  <c r="C184" i="5"/>
  <c r="C26" i="5"/>
  <c r="C60" i="5"/>
  <c r="C61" i="5"/>
  <c r="C126" i="5"/>
  <c r="C206" i="5"/>
  <c r="C143" i="5"/>
  <c r="C32" i="5"/>
  <c r="C193" i="5"/>
  <c r="C114" i="5"/>
  <c r="C9" i="5"/>
  <c r="C25" i="5"/>
  <c r="C41" i="5"/>
  <c r="C57" i="5"/>
  <c r="C73" i="5"/>
  <c r="C89" i="5"/>
  <c r="C105" i="5"/>
  <c r="C121" i="5"/>
  <c r="C185" i="5"/>
  <c r="C202" i="5"/>
  <c r="C171" i="5"/>
  <c r="C108" i="5"/>
  <c r="C173" i="5"/>
  <c r="C78" i="5"/>
  <c r="C63" i="5"/>
  <c r="C112" i="5"/>
  <c r="C49" i="5"/>
  <c r="C82" i="5"/>
  <c r="C10" i="5"/>
  <c r="C58" i="5"/>
  <c r="C138" i="5"/>
  <c r="C92" i="5"/>
  <c r="C93" i="5"/>
  <c r="C94" i="5"/>
  <c r="C174" i="5"/>
  <c r="C127" i="5"/>
  <c r="C80" i="5"/>
  <c r="C192" i="5"/>
  <c r="C145" i="5"/>
  <c r="C11" i="5"/>
  <c r="C27" i="5"/>
  <c r="C43" i="5"/>
  <c r="C59" i="5"/>
  <c r="C75" i="5"/>
  <c r="C91" i="5"/>
  <c r="C107" i="5"/>
  <c r="C187" i="5"/>
  <c r="C188" i="5"/>
  <c r="C45" i="5"/>
  <c r="C110" i="5"/>
  <c r="C190" i="5"/>
  <c r="C111" i="5"/>
  <c r="C48" i="5"/>
  <c r="C65" i="5"/>
  <c r="C209" i="5"/>
  <c r="C162" i="5"/>
  <c r="C12" i="5"/>
  <c r="C28" i="5"/>
  <c r="C172" i="5"/>
  <c r="C13" i="5"/>
  <c r="C29" i="5"/>
  <c r="C125" i="5"/>
  <c r="C158" i="5"/>
  <c r="C47" i="5"/>
  <c r="C96" i="5"/>
  <c r="C146" i="5"/>
  <c r="C194" i="5"/>
  <c r="C159" i="5"/>
  <c r="C113" i="5"/>
  <c r="C66" i="5"/>
  <c r="C144" i="5"/>
  <c r="C98" i="5"/>
  <c r="C33" i="5"/>
  <c r="C130" i="5"/>
  <c r="D52" i="5" l="1"/>
  <c r="F52" i="5"/>
  <c r="E52" i="5"/>
  <c r="E89" i="5"/>
  <c r="D89" i="5"/>
  <c r="F89" i="5"/>
  <c r="E36" i="5"/>
  <c r="D36" i="5"/>
  <c r="F36" i="5"/>
  <c r="E46" i="5"/>
  <c r="F46" i="5"/>
  <c r="D46" i="5"/>
  <c r="F20" i="5"/>
  <c r="E20" i="5"/>
  <c r="D20" i="5"/>
  <c r="F84" i="5"/>
  <c r="D84" i="5"/>
  <c r="E84" i="5"/>
  <c r="D34" i="5"/>
  <c r="F34" i="5"/>
  <c r="E34" i="5"/>
  <c r="F70" i="5"/>
  <c r="D70" i="5"/>
  <c r="E70" i="5"/>
  <c r="D41" i="5"/>
  <c r="E41" i="5"/>
  <c r="F41" i="5"/>
  <c r="F38" i="5"/>
  <c r="E38" i="5"/>
  <c r="D38" i="5"/>
  <c r="E31" i="5"/>
  <c r="D31" i="5"/>
  <c r="F31" i="5"/>
  <c r="E102" i="5"/>
  <c r="D102" i="5"/>
  <c r="F102" i="5"/>
  <c r="F54" i="5"/>
  <c r="E54" i="5"/>
  <c r="D54" i="5"/>
  <c r="D82" i="5"/>
  <c r="E82" i="5"/>
  <c r="F82" i="5"/>
  <c r="D22" i="5"/>
  <c r="E22" i="5"/>
  <c r="F22" i="5"/>
  <c r="F62" i="5"/>
  <c r="D62" i="5"/>
  <c r="E62" i="5"/>
  <c r="D15" i="5"/>
  <c r="E15" i="5"/>
  <c r="F15" i="5"/>
  <c r="D105" i="5"/>
  <c r="F105" i="5"/>
  <c r="E105" i="5"/>
  <c r="E97" i="5"/>
  <c r="F97" i="5"/>
  <c r="D97" i="5"/>
  <c r="F9" i="5"/>
  <c r="E9" i="5"/>
  <c r="D9" i="5"/>
  <c r="F90" i="5"/>
  <c r="D90" i="5"/>
  <c r="E90" i="5"/>
  <c r="E18" i="5"/>
  <c r="F18" i="5"/>
  <c r="D18" i="5"/>
  <c r="F92" i="5"/>
  <c r="D92" i="5"/>
  <c r="E92" i="5"/>
  <c r="E49" i="5"/>
  <c r="F49" i="5"/>
  <c r="D49" i="5"/>
  <c r="D103" i="5"/>
  <c r="F103" i="5"/>
  <c r="E103" i="5"/>
  <c r="E81" i="5"/>
  <c r="D81" i="5"/>
  <c r="F81" i="5"/>
  <c r="D76" i="5"/>
  <c r="F76" i="5"/>
  <c r="E76" i="5"/>
  <c r="E16" i="5"/>
  <c r="F16" i="5"/>
  <c r="D16" i="5"/>
  <c r="F75" i="5"/>
  <c r="E75" i="5"/>
  <c r="D75" i="5"/>
  <c r="E63" i="5"/>
  <c r="F63" i="5"/>
  <c r="D63" i="5"/>
  <c r="E87" i="5"/>
  <c r="D87" i="5"/>
  <c r="F87" i="5"/>
  <c r="E77" i="5"/>
  <c r="D77" i="5"/>
  <c r="F77" i="5"/>
  <c r="F30" i="5"/>
  <c r="D30" i="5"/>
  <c r="E30" i="5"/>
  <c r="E57" i="5"/>
  <c r="F57" i="5"/>
  <c r="D57" i="5"/>
  <c r="F10" i="5"/>
  <c r="E10" i="5"/>
  <c r="D10" i="5"/>
  <c r="E25" i="5"/>
  <c r="D25" i="5"/>
  <c r="F25" i="5"/>
  <c r="D43" i="5"/>
  <c r="E43" i="5"/>
  <c r="F43" i="5"/>
  <c r="F11" i="5"/>
  <c r="D11" i="5"/>
  <c r="E11" i="5"/>
  <c r="D32" i="5"/>
  <c r="E32" i="5"/>
  <c r="F32" i="5"/>
  <c r="D40" i="5"/>
  <c r="F40" i="5"/>
  <c r="E40" i="5"/>
  <c r="F71" i="5"/>
  <c r="E71" i="5"/>
  <c r="D71" i="5"/>
  <c r="F73" i="5"/>
  <c r="D73" i="5"/>
  <c r="E73" i="5"/>
  <c r="E33" i="5"/>
  <c r="F33" i="5"/>
  <c r="D33" i="5"/>
  <c r="F24" i="5"/>
  <c r="D24" i="5"/>
  <c r="E24" i="5"/>
  <c r="E55" i="5"/>
  <c r="F55" i="5"/>
  <c r="D55" i="5"/>
  <c r="E79" i="5"/>
  <c r="F79" i="5"/>
  <c r="D79" i="5"/>
  <c r="E101" i="5"/>
  <c r="D101" i="5"/>
  <c r="F101" i="5"/>
  <c r="D106" i="5"/>
  <c r="F106" i="5"/>
  <c r="E106" i="5"/>
  <c r="D99" i="5"/>
  <c r="E99" i="5"/>
  <c r="F99" i="5"/>
  <c r="F45" i="5"/>
  <c r="E45" i="5"/>
  <c r="D45" i="5"/>
  <c r="E86" i="5"/>
  <c r="D86" i="5"/>
  <c r="F86" i="5"/>
  <c r="E13" i="5"/>
  <c r="F13" i="5"/>
  <c r="D13" i="5"/>
  <c r="F59" i="5"/>
  <c r="E59" i="5"/>
  <c r="D59" i="5"/>
  <c r="E72" i="5"/>
  <c r="F72" i="5"/>
  <c r="D72" i="5"/>
  <c r="D98" i="5"/>
  <c r="E98" i="5"/>
  <c r="F98" i="5"/>
  <c r="F39" i="5"/>
  <c r="E39" i="5"/>
  <c r="D39" i="5"/>
  <c r="E14" i="5"/>
  <c r="D14" i="5"/>
  <c r="F14" i="5"/>
  <c r="D85" i="5"/>
  <c r="E85" i="5"/>
  <c r="F85" i="5"/>
  <c r="E83" i="5"/>
  <c r="D83" i="5"/>
  <c r="F83" i="5"/>
  <c r="E47" i="5"/>
  <c r="D47" i="5"/>
  <c r="F47" i="5"/>
  <c r="D88" i="5"/>
  <c r="F88" i="5"/>
  <c r="E88" i="5"/>
  <c r="E12" i="5"/>
  <c r="D12" i="5"/>
  <c r="F12" i="5"/>
  <c r="E78" i="5"/>
  <c r="F78" i="5"/>
  <c r="D78" i="5"/>
  <c r="D66" i="5"/>
  <c r="E66" i="5"/>
  <c r="F66" i="5"/>
  <c r="F48" i="5"/>
  <c r="D48" i="5"/>
  <c r="E48" i="5"/>
  <c r="D80" i="5"/>
  <c r="F80" i="5"/>
  <c r="E80" i="5"/>
  <c r="E23" i="5"/>
  <c r="D23" i="5"/>
  <c r="F23" i="5"/>
  <c r="D69" i="5"/>
  <c r="E69" i="5"/>
  <c r="F69" i="5"/>
  <c r="F67" i="5"/>
  <c r="E67" i="5"/>
  <c r="D67" i="5"/>
  <c r="F74" i="5"/>
  <c r="D74" i="5"/>
  <c r="E74" i="5"/>
  <c r="D42" i="5"/>
  <c r="F42" i="5"/>
  <c r="E42" i="5"/>
  <c r="F56" i="5"/>
  <c r="D56" i="5"/>
  <c r="E56" i="5"/>
  <c r="D108" i="5"/>
  <c r="E108" i="5"/>
  <c r="F108" i="5"/>
  <c r="E61" i="5"/>
  <c r="D61" i="5"/>
  <c r="F61" i="5"/>
  <c r="D17" i="5"/>
  <c r="E17" i="5"/>
  <c r="F17" i="5"/>
  <c r="F50" i="5"/>
  <c r="E50" i="5"/>
  <c r="D50" i="5"/>
  <c r="E53" i="5"/>
  <c r="D53" i="5"/>
  <c r="F53" i="5"/>
  <c r="D51" i="5"/>
  <c r="F51" i="5"/>
  <c r="E51" i="5"/>
  <c r="D93" i="5"/>
  <c r="E93" i="5"/>
  <c r="F93" i="5"/>
  <c r="E58" i="5"/>
  <c r="D58" i="5"/>
  <c r="F58" i="5"/>
  <c r="E29" i="5"/>
  <c r="D29" i="5"/>
  <c r="F29" i="5"/>
  <c r="F104" i="5"/>
  <c r="D104" i="5"/>
  <c r="E104" i="5"/>
  <c r="E28" i="5"/>
  <c r="F28" i="5"/>
  <c r="D28" i="5"/>
  <c r="F27" i="5"/>
  <c r="E27" i="5"/>
  <c r="D27" i="5"/>
  <c r="D65" i="5"/>
  <c r="E65" i="5"/>
  <c r="F65" i="5"/>
  <c r="E60" i="5"/>
  <c r="F60" i="5"/>
  <c r="D60" i="5"/>
  <c r="E64" i="5"/>
  <c r="D64" i="5"/>
  <c r="F64" i="5"/>
  <c r="E44" i="5"/>
  <c r="D44" i="5"/>
  <c r="F44" i="5"/>
  <c r="E37" i="5"/>
  <c r="F37" i="5"/>
  <c r="D37" i="5"/>
  <c r="D100" i="5"/>
  <c r="F100" i="5"/>
  <c r="E100" i="5"/>
  <c r="E35" i="5"/>
  <c r="D35" i="5"/>
  <c r="F35" i="5"/>
  <c r="D96" i="5"/>
  <c r="F96" i="5"/>
  <c r="E96" i="5"/>
  <c r="D107" i="5"/>
  <c r="E107" i="5"/>
  <c r="F107" i="5"/>
  <c r="E91" i="5"/>
  <c r="D91" i="5"/>
  <c r="F91" i="5"/>
  <c r="F94" i="5"/>
  <c r="E94" i="5"/>
  <c r="D94" i="5"/>
  <c r="D26" i="5"/>
  <c r="F26" i="5"/>
  <c r="E26" i="5"/>
  <c r="E95" i="5"/>
  <c r="F95" i="5"/>
  <c r="D95" i="5"/>
  <c r="D21" i="5"/>
  <c r="E21" i="5"/>
  <c r="F21" i="5"/>
  <c r="D68" i="5"/>
  <c r="F68" i="5"/>
  <c r="E68" i="5"/>
  <c r="E19" i="5"/>
  <c r="D19" i="5"/>
  <c r="F19" i="5"/>
  <c r="E180" i="5"/>
  <c r="F180" i="5"/>
  <c r="D180" i="5"/>
  <c r="D148" i="5"/>
  <c r="F148" i="5"/>
  <c r="E148" i="5"/>
  <c r="F160" i="5"/>
  <c r="E160" i="5"/>
  <c r="D160" i="5"/>
  <c r="F132" i="5"/>
  <c r="E132" i="5"/>
  <c r="D132" i="5"/>
  <c r="F129" i="5"/>
  <c r="E129" i="5"/>
  <c r="D129" i="5"/>
  <c r="E203" i="5"/>
  <c r="D203" i="5"/>
  <c r="F203" i="5"/>
  <c r="E191" i="5"/>
  <c r="D191" i="5"/>
  <c r="F191" i="5"/>
  <c r="D140" i="5"/>
  <c r="F140" i="5"/>
  <c r="E140" i="5"/>
  <c r="D197" i="5"/>
  <c r="E197" i="5"/>
  <c r="F197" i="5"/>
  <c r="D128" i="5"/>
  <c r="E128" i="5"/>
  <c r="F128" i="5"/>
  <c r="D195" i="5"/>
  <c r="E195" i="5"/>
  <c r="F195" i="5"/>
  <c r="D153" i="5"/>
  <c r="E153" i="5"/>
  <c r="F153" i="5"/>
  <c r="E125" i="5"/>
  <c r="D125" i="5"/>
  <c r="F125" i="5"/>
  <c r="D123" i="5"/>
  <c r="E123" i="5"/>
  <c r="F123" i="5"/>
  <c r="F181" i="5"/>
  <c r="E181" i="5"/>
  <c r="D181" i="5"/>
  <c r="D179" i="5"/>
  <c r="F179" i="5"/>
  <c r="E179" i="5"/>
  <c r="D152" i="5"/>
  <c r="E152" i="5"/>
  <c r="F152" i="5"/>
  <c r="D136" i="5"/>
  <c r="E136" i="5"/>
  <c r="F136" i="5"/>
  <c r="F135" i="5"/>
  <c r="D135" i="5"/>
  <c r="E135" i="5"/>
  <c r="F165" i="5"/>
  <c r="D165" i="5"/>
  <c r="E165" i="5"/>
  <c r="F109" i="5"/>
  <c r="D109" i="5"/>
  <c r="E109" i="5"/>
  <c r="E142" i="5"/>
  <c r="F142" i="5"/>
  <c r="D142" i="5"/>
  <c r="D163" i="5"/>
  <c r="E163" i="5"/>
  <c r="F163" i="5"/>
  <c r="F114" i="5"/>
  <c r="D114" i="5"/>
  <c r="E114" i="5"/>
  <c r="D169" i="5"/>
  <c r="F169" i="5"/>
  <c r="E169" i="5"/>
  <c r="D149" i="5"/>
  <c r="F149" i="5"/>
  <c r="E149" i="5"/>
  <c r="E205" i="5"/>
  <c r="F205" i="5"/>
  <c r="D205" i="5"/>
  <c r="E147" i="5"/>
  <c r="D147" i="5"/>
  <c r="F147" i="5"/>
  <c r="F184" i="5"/>
  <c r="E184" i="5"/>
  <c r="D184" i="5"/>
  <c r="E188" i="5"/>
  <c r="D188" i="5"/>
  <c r="F188" i="5"/>
  <c r="E167" i="5"/>
  <c r="D167" i="5"/>
  <c r="F167" i="5"/>
  <c r="F199" i="5"/>
  <c r="D199" i="5"/>
  <c r="E199" i="5"/>
  <c r="D176" i="5"/>
  <c r="E176" i="5"/>
  <c r="F176" i="5"/>
  <c r="E133" i="5"/>
  <c r="D133" i="5"/>
  <c r="F133" i="5"/>
  <c r="F139" i="5"/>
  <c r="D139" i="5"/>
  <c r="E139" i="5"/>
  <c r="F131" i="5"/>
  <c r="D131" i="5"/>
  <c r="E131" i="5"/>
  <c r="E151" i="5"/>
  <c r="D151" i="5"/>
  <c r="F151" i="5"/>
  <c r="D207" i="5"/>
  <c r="E207" i="5"/>
  <c r="F207" i="5"/>
  <c r="F117" i="5"/>
  <c r="E117" i="5"/>
  <c r="D117" i="5"/>
  <c r="D154" i="5"/>
  <c r="F154" i="5"/>
  <c r="E154" i="5"/>
  <c r="E124" i="5"/>
  <c r="D124" i="5"/>
  <c r="F124" i="5"/>
  <c r="F115" i="5"/>
  <c r="E115" i="5"/>
  <c r="D115" i="5"/>
  <c r="E175" i="5"/>
  <c r="F175" i="5"/>
  <c r="D175" i="5"/>
  <c r="E193" i="5"/>
  <c r="D193" i="5"/>
  <c r="F193" i="5"/>
  <c r="E145" i="5"/>
  <c r="D145" i="5"/>
  <c r="F145" i="5"/>
  <c r="D143" i="5"/>
  <c r="E143" i="5"/>
  <c r="F143" i="5"/>
  <c r="E198" i="5"/>
  <c r="D198" i="5"/>
  <c r="F198" i="5"/>
  <c r="E155" i="5"/>
  <c r="D155" i="5"/>
  <c r="F155" i="5"/>
  <c r="D157" i="5"/>
  <c r="F157" i="5"/>
  <c r="E157" i="5"/>
  <c r="E158" i="5"/>
  <c r="F158" i="5"/>
  <c r="D158" i="5"/>
  <c r="F172" i="5"/>
  <c r="E172" i="5"/>
  <c r="D172" i="5"/>
  <c r="F112" i="5"/>
  <c r="D112" i="5"/>
  <c r="E112" i="5"/>
  <c r="F144" i="5"/>
  <c r="D144" i="5"/>
  <c r="E144" i="5"/>
  <c r="F192" i="5"/>
  <c r="D192" i="5"/>
  <c r="E192" i="5"/>
  <c r="F206" i="5"/>
  <c r="D206" i="5"/>
  <c r="E206" i="5"/>
  <c r="E178" i="5"/>
  <c r="F178" i="5"/>
  <c r="D178" i="5"/>
  <c r="F182" i="5"/>
  <c r="E182" i="5"/>
  <c r="D182" i="5"/>
  <c r="F137" i="5"/>
  <c r="E137" i="5"/>
  <c r="D137" i="5"/>
  <c r="F170" i="5"/>
  <c r="D170" i="5"/>
  <c r="E170" i="5"/>
  <c r="D168" i="5"/>
  <c r="F168" i="5"/>
  <c r="E168" i="5"/>
  <c r="D138" i="5"/>
  <c r="F138" i="5"/>
  <c r="E138" i="5"/>
  <c r="F120" i="5"/>
  <c r="D120" i="5"/>
  <c r="E120" i="5"/>
  <c r="F183" i="5"/>
  <c r="D183" i="5"/>
  <c r="E183" i="5"/>
  <c r="D209" i="5"/>
  <c r="F209" i="5"/>
  <c r="E209" i="5"/>
  <c r="D113" i="5"/>
  <c r="F113" i="5"/>
  <c r="E113" i="5"/>
  <c r="F171" i="5"/>
  <c r="E171" i="5"/>
  <c r="D171" i="5"/>
  <c r="D177" i="5"/>
  <c r="F177" i="5"/>
  <c r="E177" i="5"/>
  <c r="D166" i="5"/>
  <c r="F166" i="5"/>
  <c r="E166" i="5"/>
  <c r="F189" i="5"/>
  <c r="E189" i="5"/>
  <c r="D189" i="5"/>
  <c r="D164" i="5"/>
  <c r="E164" i="5"/>
  <c r="F164" i="5"/>
  <c r="F122" i="5"/>
  <c r="E122" i="5"/>
  <c r="D122" i="5"/>
  <c r="E156" i="5"/>
  <c r="F156" i="5"/>
  <c r="D156" i="5"/>
  <c r="E111" i="5"/>
  <c r="D111" i="5"/>
  <c r="F111" i="5"/>
  <c r="E150" i="5"/>
  <c r="D150" i="5"/>
  <c r="F150" i="5"/>
  <c r="E204" i="5"/>
  <c r="D204" i="5"/>
  <c r="F204" i="5"/>
  <c r="D116" i="5"/>
  <c r="E116" i="5"/>
  <c r="F116" i="5"/>
  <c r="F201" i="5"/>
  <c r="D201" i="5"/>
  <c r="E201" i="5"/>
  <c r="D187" i="5"/>
  <c r="F187" i="5"/>
  <c r="E187" i="5"/>
  <c r="D119" i="5"/>
  <c r="E119" i="5"/>
  <c r="F119" i="5"/>
  <c r="D130" i="5"/>
  <c r="F130" i="5"/>
  <c r="E130" i="5"/>
  <c r="E159" i="5"/>
  <c r="F159" i="5"/>
  <c r="D159" i="5"/>
  <c r="D202" i="5"/>
  <c r="E202" i="5"/>
  <c r="F202" i="5"/>
  <c r="F190" i="5"/>
  <c r="E190" i="5"/>
  <c r="D190" i="5"/>
  <c r="D174" i="5"/>
  <c r="E174" i="5"/>
  <c r="F174" i="5"/>
  <c r="D185" i="5"/>
  <c r="E185" i="5"/>
  <c r="F185" i="5"/>
  <c r="D161" i="5"/>
  <c r="F161" i="5"/>
  <c r="E161" i="5"/>
  <c r="E134" i="5"/>
  <c r="F134" i="5"/>
  <c r="D134" i="5"/>
  <c r="F200" i="5"/>
  <c r="E200" i="5"/>
  <c r="D200" i="5"/>
  <c r="F141" i="5"/>
  <c r="D141" i="5"/>
  <c r="E141" i="5"/>
  <c r="E162" i="5"/>
  <c r="F162" i="5"/>
  <c r="D162" i="5"/>
  <c r="D173" i="5"/>
  <c r="E173" i="5"/>
  <c r="F173" i="5"/>
  <c r="F126" i="5"/>
  <c r="E126" i="5"/>
  <c r="D126" i="5"/>
  <c r="D127" i="5"/>
  <c r="F127" i="5"/>
  <c r="E127" i="5"/>
  <c r="D194" i="5"/>
  <c r="F194" i="5"/>
  <c r="E194" i="5"/>
  <c r="D146" i="5"/>
  <c r="F146" i="5"/>
  <c r="E146" i="5"/>
  <c r="D110" i="5"/>
  <c r="E110" i="5"/>
  <c r="F110" i="5"/>
  <c r="E121" i="5"/>
  <c r="F121" i="5"/>
  <c r="D121" i="5"/>
  <c r="D208" i="5"/>
  <c r="E208" i="5"/>
  <c r="F208" i="5"/>
  <c r="F118" i="5"/>
  <c r="D118" i="5"/>
  <c r="E118" i="5"/>
  <c r="E186" i="5"/>
  <c r="F186" i="5"/>
  <c r="D186" i="5"/>
  <c r="D196" i="5"/>
  <c r="E196" i="5"/>
  <c r="F196" i="5"/>
</calcChain>
</file>

<file path=xl/sharedStrings.xml><?xml version="1.0" encoding="utf-8"?>
<sst xmlns="http://schemas.openxmlformats.org/spreadsheetml/2006/main" count="165" uniqueCount="120">
  <si>
    <t>Earth</t>
  </si>
  <si>
    <t>Moon</t>
  </si>
  <si>
    <t>Angle</t>
  </si>
  <si>
    <t>points:</t>
  </si>
  <si>
    <t>dgr</t>
  </si>
  <si>
    <t>Pointer</t>
  </si>
  <si>
    <t>Position</t>
  </si>
  <si>
    <t>Differences</t>
  </si>
  <si>
    <t>Values</t>
  </si>
  <si>
    <t>step:</t>
  </si>
  <si>
    <t>cos</t>
  </si>
  <si>
    <t>delta (E-M)</t>
  </si>
  <si>
    <t>minor semi axis</t>
  </si>
  <si>
    <t>major semi axis</t>
  </si>
  <si>
    <t>DN</t>
  </si>
  <si>
    <t>delta (M-N)</t>
  </si>
  <si>
    <t>AN</t>
  </si>
  <si>
    <t>x</t>
  </si>
  <si>
    <t>ellipse</t>
  </si>
  <si>
    <t>black bottom</t>
  </si>
  <si>
    <t>transparent</t>
  </si>
  <si>
    <t>black top</t>
  </si>
  <si>
    <t>Perigee</t>
  </si>
  <si>
    <t>delta (M-P)</t>
  </si>
  <si>
    <t>Apogee</t>
  </si>
  <si>
    <t>Moon position</t>
  </si>
  <si>
    <t>New Moon?</t>
  </si>
  <si>
    <t>Full Moon?</t>
  </si>
  <si>
    <t>Super Moon?</t>
  </si>
  <si>
    <t>Inside inner?</t>
  </si>
  <si>
    <t>Inside outer?</t>
  </si>
  <si>
    <t>Perigee inside?</t>
  </si>
  <si>
    <t>Perigee outside?</t>
  </si>
  <si>
    <t>Perigee/Apogee</t>
  </si>
  <si>
    <t>Earth orbit</t>
  </si>
  <si>
    <t>Moon orbit</t>
  </si>
  <si>
    <t>Re</t>
  </si>
  <si>
    <t>Rm</t>
  </si>
  <si>
    <t>Offset (days)</t>
  </si>
  <si>
    <t>Sidereal/2</t>
  </si>
  <si>
    <t>Offset (x)</t>
  </si>
  <si>
    <t>Offset (y)</t>
  </si>
  <si>
    <t>Te</t>
  </si>
  <si>
    <t>Sidereal</t>
  </si>
  <si>
    <t>Tm</t>
  </si>
  <si>
    <t>Fe</t>
  </si>
  <si>
    <t>Fm</t>
  </si>
  <si>
    <t>Nodes</t>
  </si>
  <si>
    <t>Rn</t>
  </si>
  <si>
    <t>Rp</t>
  </si>
  <si>
    <t>Value</t>
  </si>
  <si>
    <t>Tn</t>
  </si>
  <si>
    <t>Td</t>
  </si>
  <si>
    <t>Tp</t>
  </si>
  <si>
    <t>Tl</t>
  </si>
  <si>
    <t>Fn</t>
  </si>
  <si>
    <t>Fp</t>
  </si>
  <si>
    <t>Ts</t>
  </si>
  <si>
    <t>Tf</t>
  </si>
  <si>
    <t>dFme = Fm - Fe</t>
  </si>
  <si>
    <t>dFne = Fn - Fne</t>
  </si>
  <si>
    <t>dFpe = Fp - Fpe</t>
  </si>
  <si>
    <t>dFnme = Fn - Fme</t>
  </si>
  <si>
    <t>Synodic month</t>
  </si>
  <si>
    <t xml:space="preserve">Eme = 1 / dFme </t>
  </si>
  <si>
    <t>Draconitic month</t>
  </si>
  <si>
    <t xml:space="preserve">Ene = 1 / dFne </t>
  </si>
  <si>
    <t>Anomalistic month</t>
  </si>
  <si>
    <t xml:space="preserve">Epe = 1 / dFpe </t>
  </si>
  <si>
    <t>Eclipse year</t>
  </si>
  <si>
    <t xml:space="preserve">Enme = 1 / dFnme </t>
  </si>
  <si>
    <t>Eme / 2</t>
  </si>
  <si>
    <t>Ene / 2</t>
  </si>
  <si>
    <t>Epe / 2</t>
  </si>
  <si>
    <t>Enme / 2</t>
  </si>
  <si>
    <t>Calculations</t>
  </si>
  <si>
    <t>Position (calculated)</t>
  </si>
  <si>
    <t>Object</t>
  </si>
  <si>
    <t>y</t>
  </si>
  <si>
    <t>angle</t>
  </si>
  <si>
    <t>days</t>
  </si>
  <si>
    <t>Node (DN)</t>
  </si>
  <si>
    <t>Node (AN)</t>
  </si>
  <si>
    <t>Position (graph)</t>
  </si>
  <si>
    <t>Sun</t>
  </si>
  <si>
    <t>Email</t>
  </si>
  <si>
    <t>V1.0</t>
  </si>
  <si>
    <t>Input</t>
  </si>
  <si>
    <t>Inputs</t>
  </si>
  <si>
    <t>All Rights Reserved:  © Astronomy Morsels.</t>
  </si>
  <si>
    <t>I'm solely responsible for the input and express no warranty.  Use at your own risk.</t>
  </si>
  <si>
    <t>Nonetheless, this spreadsheet has been carefully reviewed, and calculation results have been compared with other applications.</t>
  </si>
  <si>
    <t>New Moon</t>
  </si>
  <si>
    <t>NM</t>
  </si>
  <si>
    <t>Waning Crescent</t>
  </si>
  <si>
    <t>NC</t>
  </si>
  <si>
    <t>Third/Last Quarter</t>
  </si>
  <si>
    <t>LQ</t>
  </si>
  <si>
    <t>Waning Gibbous</t>
  </si>
  <si>
    <t>NG</t>
  </si>
  <si>
    <t>Full Moon</t>
  </si>
  <si>
    <t>FM</t>
  </si>
  <si>
    <t>Waxing Gibbous</t>
  </si>
  <si>
    <t>WG</t>
  </si>
  <si>
    <t>First Quarter</t>
  </si>
  <si>
    <t>FQ</t>
  </si>
  <si>
    <t>Waxing Crescent</t>
  </si>
  <si>
    <t>WC</t>
  </si>
  <si>
    <t>Moon Phase</t>
  </si>
  <si>
    <t>Abbrevation</t>
  </si>
  <si>
    <t>treshold delta (E-M)</t>
  </si>
  <si>
    <t>treshold delta (M-P)</t>
  </si>
  <si>
    <t>Solar eclipse boundaries</t>
  </si>
  <si>
    <t>Lunar eclipse boundaries</t>
  </si>
  <si>
    <t>Angle between sun-earth-moon</t>
  </si>
  <si>
    <t>Note: a planned improvement is modeling the earth's orbit around the sun and the moon's orbit around the earth as ellipses. This will improve eclipse predictions.</t>
  </si>
  <si>
    <r>
      <rPr>
        <b/>
        <sz val="14"/>
        <color theme="0"/>
        <rFont val="Calibri"/>
        <family val="2"/>
      </rPr>
      <t>Compiled by</t>
    </r>
    <r>
      <rPr>
        <sz val="14"/>
        <color theme="0"/>
        <rFont val="Calibri"/>
        <family val="2"/>
      </rPr>
      <t>: Anton Viola (Astronomy Morsels).</t>
    </r>
  </si>
  <si>
    <r>
      <rPr>
        <b/>
        <sz val="14"/>
        <color theme="0"/>
        <rFont val="Calibri"/>
        <family val="2"/>
      </rPr>
      <t>Latest update</t>
    </r>
    <r>
      <rPr>
        <sz val="14"/>
        <color theme="0"/>
        <rFont val="Calibri"/>
        <family val="2"/>
      </rPr>
      <t>: 21st February, 2022.</t>
    </r>
  </si>
  <si>
    <t># days</t>
  </si>
  <si>
    <t>This spreadsheet simulates the montion of the earth and moon around the sun, including the tilt of the moon's  orbit with respect to the plane of the earth around the sun. Also the distance between the moon and earth is simulated (perigee, apogee). This model can be used for predicting lunar and solar eclipses as well as super moons (full moon or a new moon that nearly coincides with perigee). As the orbits of both earth and moon are simulated as circles, the predictions are less accurate.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</si>
</sst>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0000"/>
  </numFmts>
  <fonts count="26" x14ac:knownFonts="1">
    <font>
      <sz val="12"/>
      <color theme="1"/>
      <name val="Aptos Narrow"/>
      <family val="2"/>
      <scheme val="minor"/>
    </font>
    <font>
      <sz val="12"/>
      <color theme="1"/>
      <name val="Verdana"/>
      <family val="2"/>
    </font>
    <font>
      <sz val="11"/>
      <color theme="1"/>
      <name val="Aptos Narrow"/>
      <family val="2"/>
      <charset val="238"/>
      <scheme val="minor"/>
    </font>
    <font>
      <b/>
      <sz val="11"/>
      <color theme="1"/>
      <name val="Verdana"/>
      <family val="2"/>
    </font>
    <font>
      <sz val="12"/>
      <color theme="1"/>
      <name val="Calibri"/>
      <family val="2"/>
    </font>
    <font>
      <sz val="10"/>
      <color theme="1"/>
      <name val="Calibri"/>
      <family val="2"/>
    </font>
    <font>
      <sz val="11"/>
      <color theme="1"/>
      <name val="Calibri"/>
      <family val="2"/>
    </font>
    <font>
      <b/>
      <sz val="11"/>
      <color theme="1"/>
      <name val="Calibri"/>
      <family val="2"/>
    </font>
    <font>
      <b/>
      <sz val="10"/>
      <color theme="1"/>
      <name val="Calibri"/>
      <family val="2"/>
    </font>
    <font>
      <i/>
      <sz val="10"/>
      <color theme="1"/>
      <name val="Calibri"/>
      <family val="2"/>
    </font>
    <font>
      <sz val="10"/>
      <color theme="0"/>
      <name val="Calibri"/>
      <family val="2"/>
    </font>
    <font>
      <b/>
      <sz val="12"/>
      <color theme="1"/>
      <name val="Calibri"/>
      <family val="2"/>
    </font>
    <font>
      <u/>
      <sz val="12"/>
      <color theme="10"/>
      <name val="Aptos Narrow"/>
      <family val="2"/>
      <scheme val="minor"/>
    </font>
    <font>
      <sz val="10"/>
      <color rgb="FF000000"/>
      <name val="Verdana"/>
      <family val="2"/>
    </font>
    <font>
      <sz val="12"/>
      <color rgb="FF000000"/>
      <name val="Calibri"/>
      <family val="2"/>
    </font>
    <font>
      <sz val="11"/>
      <color theme="1"/>
      <name val="Aptos Narrow"/>
      <family val="2"/>
      <scheme val="minor"/>
    </font>
    <font>
      <u/>
      <sz val="11"/>
      <color theme="10"/>
      <name val="Aptos Narrow"/>
      <family val="2"/>
      <scheme val="minor"/>
    </font>
    <font>
      <b/>
      <sz val="11"/>
      <color theme="2" tint="-0.499984740745262"/>
      <name val="Calibri"/>
      <family val="2"/>
    </font>
    <font>
      <b/>
      <sz val="14"/>
      <color rgb="FFFF0000"/>
      <name val="Calibri"/>
      <family val="2"/>
    </font>
    <font>
      <i/>
      <sz val="14"/>
      <color theme="0"/>
      <name val="Calibri"/>
      <family val="2"/>
    </font>
    <font>
      <sz val="14"/>
      <color theme="0"/>
      <name val="Calibri"/>
      <family val="2"/>
    </font>
    <font>
      <b/>
      <sz val="14"/>
      <color theme="0"/>
      <name val="Calibri"/>
      <family val="2"/>
    </font>
    <font>
      <sz val="14"/>
      <color theme="0"/>
      <name val="Aptos Narrow"/>
      <family val="2"/>
      <scheme val="minor"/>
    </font>
    <font>
      <u/>
      <sz val="14"/>
      <color theme="0"/>
      <name val="Calibri"/>
      <family val="2"/>
    </font>
    <font>
      <u/>
      <sz val="12"/>
      <color theme="0"/>
      <name val="Calibri"/>
      <family val="2"/>
    </font>
    <font>
      <sz val="9"/>
      <color theme="0"/>
      <name val="Calibri"/>
      <family val="2"/>
    </font>
  </fonts>
  <fills count="11">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59999389629810485"/>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thin">
        <color indexed="64"/>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thin">
        <color indexed="64"/>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right/>
      <top style="thin">
        <color indexed="64"/>
      </top>
      <bottom style="thin">
        <color indexed="64"/>
      </bottom>
      <diagonal/>
    </border>
  </borders>
  <cellStyleXfs count="5">
    <xf numFmtId="0" fontId="0" fillId="0" borderId="0"/>
    <xf numFmtId="0" fontId="2" fillId="0" borderId="0"/>
    <xf numFmtId="0" fontId="12" fillId="0" borderId="0" applyNumberFormat="0" applyFill="0" applyBorder="0" applyAlignment="0" applyProtection="0"/>
    <xf numFmtId="0" fontId="15" fillId="0" borderId="0"/>
    <xf numFmtId="0" fontId="16" fillId="0" borderId="0" applyNumberFormat="0" applyFill="0" applyBorder="0" applyAlignment="0" applyProtection="0"/>
  </cellStyleXfs>
  <cellXfs count="209">
    <xf numFmtId="0" fontId="0" fillId="0" borderId="0" xfId="0"/>
    <xf numFmtId="0" fontId="1" fillId="0" borderId="0" xfId="0" applyFont="1"/>
    <xf numFmtId="0" fontId="1" fillId="2" borderId="0" xfId="0" applyFont="1" applyFill="1"/>
    <xf numFmtId="0" fontId="4" fillId="0" borderId="0" xfId="0" applyFont="1"/>
    <xf numFmtId="0" fontId="5" fillId="0" borderId="0" xfId="0" applyFont="1"/>
    <xf numFmtId="0" fontId="4" fillId="2" borderId="0" xfId="0" applyFont="1" applyFill="1"/>
    <xf numFmtId="0" fontId="5" fillId="0" borderId="6" xfId="0" applyFont="1" applyBorder="1"/>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5" fillId="5" borderId="4" xfId="0" applyFont="1" applyFill="1" applyBorder="1" applyAlignment="1">
      <alignment horizontal="center" vertical="center"/>
    </xf>
    <xf numFmtId="164" fontId="5" fillId="5" borderId="0" xfId="0" applyNumberFormat="1" applyFont="1" applyFill="1" applyAlignment="1">
      <alignment horizontal="center" vertical="center"/>
    </xf>
    <xf numFmtId="0" fontId="5" fillId="5" borderId="0" xfId="0" applyFont="1" applyFill="1" applyAlignment="1">
      <alignment horizontal="center" vertical="center"/>
    </xf>
    <xf numFmtId="0" fontId="5" fillId="0" borderId="9" xfId="0" applyFont="1" applyBorder="1" applyAlignment="1">
      <alignment horizontal="center"/>
    </xf>
    <xf numFmtId="164" fontId="5" fillId="5" borderId="10" xfId="0" applyNumberFormat="1" applyFont="1" applyFill="1" applyBorder="1" applyAlignment="1">
      <alignment horizontal="center" vertical="center"/>
    </xf>
    <xf numFmtId="0" fontId="5" fillId="5" borderId="10"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2" xfId="0" applyFont="1" applyFill="1" applyBorder="1" applyAlignment="1">
      <alignment horizontal="center" vertical="center"/>
    </xf>
    <xf numFmtId="164" fontId="5" fillId="5" borderId="13" xfId="0" applyNumberFormat="1" applyFont="1" applyFill="1" applyBorder="1" applyAlignment="1">
      <alignment horizontal="center" vertical="center"/>
    </xf>
    <xf numFmtId="0" fontId="5" fillId="5" borderId="13" xfId="0" applyFont="1" applyFill="1" applyBorder="1" applyAlignment="1">
      <alignment horizontal="center" vertical="center"/>
    </xf>
    <xf numFmtId="0" fontId="5" fillId="5" borderId="6" xfId="0" applyFont="1" applyFill="1" applyBorder="1" applyAlignment="1">
      <alignment horizontal="center" vertical="center"/>
    </xf>
    <xf numFmtId="164" fontId="5" fillId="5" borderId="7" xfId="0" applyNumberFormat="1" applyFont="1" applyFill="1" applyBorder="1" applyAlignment="1">
      <alignment horizontal="center" vertical="center"/>
    </xf>
    <xf numFmtId="0" fontId="5" fillId="5" borderId="7" xfId="0" applyFont="1" applyFill="1" applyBorder="1" applyAlignment="1">
      <alignment horizontal="center" vertical="center"/>
    </xf>
    <xf numFmtId="0" fontId="4" fillId="0" borderId="8" xfId="0" applyFont="1" applyBorder="1" applyAlignment="1">
      <alignment horizontal="center" vertical="center"/>
    </xf>
    <xf numFmtId="0" fontId="5" fillId="7" borderId="17" xfId="0" applyFont="1" applyFill="1" applyBorder="1" applyAlignment="1">
      <alignment horizontal="center" vertical="center"/>
    </xf>
    <xf numFmtId="0" fontId="5" fillId="7" borderId="18" xfId="0" applyFont="1" applyFill="1" applyBorder="1" applyAlignment="1">
      <alignment horizontal="center" vertical="center"/>
    </xf>
    <xf numFmtId="0" fontId="5" fillId="0" borderId="0" xfId="0" applyFont="1" applyAlignment="1">
      <alignment horizontal="center"/>
    </xf>
    <xf numFmtId="164" fontId="5" fillId="5" borderId="19" xfId="0" applyNumberFormat="1" applyFont="1" applyFill="1" applyBorder="1" applyAlignment="1">
      <alignment horizontal="center" vertical="center"/>
    </xf>
    <xf numFmtId="164" fontId="5" fillId="5" borderId="20" xfId="0" applyNumberFormat="1" applyFont="1" applyFill="1" applyBorder="1" applyAlignment="1">
      <alignment horizontal="center" vertical="center"/>
    </xf>
    <xf numFmtId="4" fontId="9" fillId="0" borderId="1" xfId="0" applyNumberFormat="1" applyFont="1" applyBorder="1" applyAlignment="1">
      <alignment horizontal="center"/>
    </xf>
    <xf numFmtId="0" fontId="5" fillId="7" borderId="2" xfId="0" applyFont="1" applyFill="1" applyBorder="1" applyAlignment="1">
      <alignment horizont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4" fillId="2" borderId="21" xfId="0" applyFont="1" applyFill="1" applyBorder="1" applyAlignment="1">
      <alignment horizontal="center" vertical="center"/>
    </xf>
    <xf numFmtId="4" fontId="9" fillId="0" borderId="9" xfId="0" applyNumberFormat="1" applyFont="1" applyBorder="1" applyAlignment="1">
      <alignment horizontal="center"/>
    </xf>
    <xf numFmtId="0" fontId="5" fillId="7" borderId="10" xfId="0" applyFont="1" applyFill="1" applyBorder="1" applyAlignment="1">
      <alignment horizont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4" fillId="2" borderId="24" xfId="0" applyFont="1" applyFill="1" applyBorder="1" applyAlignment="1">
      <alignment horizontal="center" vertical="center"/>
    </xf>
    <xf numFmtId="4" fontId="9" fillId="0" borderId="4" xfId="0" applyNumberFormat="1" applyFont="1" applyBorder="1" applyAlignment="1">
      <alignment horizontal="center"/>
    </xf>
    <xf numFmtId="0" fontId="5" fillId="7" borderId="0" xfId="0" applyFont="1" applyFill="1" applyAlignment="1">
      <alignment horizontal="center"/>
    </xf>
    <xf numFmtId="0" fontId="4" fillId="0" borderId="5" xfId="0" applyFont="1" applyBorder="1" applyAlignment="1">
      <alignment horizontal="center" vertical="center"/>
    </xf>
    <xf numFmtId="4" fontId="9" fillId="0" borderId="6" xfId="0" applyNumberFormat="1" applyFont="1" applyBorder="1" applyAlignment="1">
      <alignment horizontal="center"/>
    </xf>
    <xf numFmtId="0" fontId="5" fillId="7" borderId="7" xfId="0" applyFont="1" applyFill="1" applyBorder="1" applyAlignment="1">
      <alignment horizontal="center"/>
    </xf>
    <xf numFmtId="164" fontId="5" fillId="5" borderId="25" xfId="0" applyNumberFormat="1" applyFont="1" applyFill="1" applyBorder="1" applyAlignment="1">
      <alignment horizontal="center" vertical="center"/>
    </xf>
    <xf numFmtId="0" fontId="4" fillId="0" borderId="26" xfId="0" applyFont="1" applyBorder="1" applyAlignment="1">
      <alignment horizontal="center" vertical="center"/>
    </xf>
    <xf numFmtId="0" fontId="5" fillId="7" borderId="19" xfId="0" applyFont="1" applyFill="1" applyBorder="1" applyAlignment="1">
      <alignment horizontal="center"/>
    </xf>
    <xf numFmtId="0" fontId="5" fillId="7" borderId="20" xfId="0" applyFont="1" applyFill="1" applyBorder="1" applyAlignment="1">
      <alignment horizontal="center"/>
    </xf>
    <xf numFmtId="0" fontId="5" fillId="5" borderId="4" xfId="0" applyFont="1" applyFill="1" applyBorder="1" applyAlignment="1">
      <alignment horizontal="left"/>
    </xf>
    <xf numFmtId="0" fontId="5" fillId="0" borderId="0" xfId="0" applyFont="1" applyAlignment="1">
      <alignment horizontal="right"/>
    </xf>
    <xf numFmtId="0" fontId="5" fillId="0" borderId="4" xfId="0" applyFont="1" applyBorder="1" applyAlignment="1">
      <alignment horizontal="left"/>
    </xf>
    <xf numFmtId="166" fontId="5" fillId="0" borderId="8" xfId="0" applyNumberFormat="1" applyFont="1" applyBorder="1" applyAlignment="1">
      <alignment horizontal="right"/>
    </xf>
    <xf numFmtId="0" fontId="5" fillId="2" borderId="0" xfId="0" applyFont="1" applyFill="1"/>
    <xf numFmtId="0" fontId="11" fillId="0" borderId="0" xfId="0" applyFont="1"/>
    <xf numFmtId="0" fontId="13" fillId="0" borderId="0" xfId="0" applyFont="1"/>
    <xf numFmtId="0" fontId="3" fillId="8" borderId="0" xfId="0" applyFont="1" applyFill="1" applyAlignment="1">
      <alignment horizontal="right"/>
    </xf>
    <xf numFmtId="2" fontId="8" fillId="8" borderId="5" xfId="0" applyNumberFormat="1" applyFont="1" applyFill="1" applyBorder="1" applyAlignment="1" applyProtection="1">
      <alignment horizontal="right"/>
      <protection locked="0"/>
    </xf>
    <xf numFmtId="165" fontId="8" fillId="8" borderId="5" xfId="0" applyNumberFormat="1" applyFont="1" applyFill="1" applyBorder="1" applyAlignment="1" applyProtection="1">
      <alignment horizontal="right"/>
      <protection locked="0"/>
    </xf>
    <xf numFmtId="0" fontId="8" fillId="8" borderId="0" xfId="0" applyFont="1" applyFill="1" applyAlignment="1">
      <alignment horizontal="right"/>
    </xf>
    <xf numFmtId="0" fontId="5" fillId="9" borderId="1" xfId="0" applyFont="1" applyFill="1" applyBorder="1"/>
    <xf numFmtId="0" fontId="5" fillId="9" borderId="1" xfId="0" applyFont="1" applyFill="1" applyBorder="1" applyAlignment="1">
      <alignment horizontal="center"/>
    </xf>
    <xf numFmtId="0" fontId="5" fillId="9" borderId="4" xfId="0" applyFont="1" applyFill="1" applyBorder="1" applyAlignment="1">
      <alignment horizontal="right"/>
    </xf>
    <xf numFmtId="0" fontId="5" fillId="9" borderId="6" xfId="0" applyFont="1" applyFill="1" applyBorder="1" applyAlignment="1">
      <alignment horizontal="right"/>
    </xf>
    <xf numFmtId="0" fontId="5" fillId="9" borderId="7" xfId="0" applyFont="1" applyFill="1" applyBorder="1" applyAlignment="1">
      <alignment horizontal="right"/>
    </xf>
    <xf numFmtId="0" fontId="5" fillId="9" borderId="8" xfId="0" applyFont="1" applyFill="1" applyBorder="1" applyAlignment="1">
      <alignment horizontal="right"/>
    </xf>
    <xf numFmtId="0" fontId="5" fillId="9" borderId="28" xfId="0" applyFont="1" applyFill="1" applyBorder="1" applyAlignment="1">
      <alignment horizontal="right"/>
    </xf>
    <xf numFmtId="2" fontId="5" fillId="9" borderId="28" xfId="0" applyNumberFormat="1" applyFont="1" applyFill="1" applyBorder="1"/>
    <xf numFmtId="2" fontId="5" fillId="9" borderId="29" xfId="0" applyNumberFormat="1" applyFont="1" applyFill="1" applyBorder="1"/>
    <xf numFmtId="164" fontId="5" fillId="9" borderId="29" xfId="0" applyNumberFormat="1" applyFont="1" applyFill="1" applyBorder="1"/>
    <xf numFmtId="164" fontId="5" fillId="9" borderId="30" xfId="0" applyNumberFormat="1" applyFont="1" applyFill="1" applyBorder="1"/>
    <xf numFmtId="0" fontId="5" fillId="9" borderId="31" xfId="0" applyFont="1" applyFill="1" applyBorder="1" applyAlignment="1">
      <alignment horizontal="right"/>
    </xf>
    <xf numFmtId="2" fontId="5" fillId="9" borderId="31" xfId="0" applyNumberFormat="1" applyFont="1" applyFill="1" applyBorder="1"/>
    <xf numFmtId="2" fontId="5" fillId="9" borderId="32" xfId="0" applyNumberFormat="1" applyFont="1" applyFill="1" applyBorder="1"/>
    <xf numFmtId="164" fontId="5" fillId="9" borderId="32" xfId="0" applyNumberFormat="1" applyFont="1" applyFill="1" applyBorder="1"/>
    <xf numFmtId="164" fontId="5" fillId="9" borderId="33" xfId="0" applyNumberFormat="1" applyFont="1" applyFill="1" applyBorder="1"/>
    <xf numFmtId="0" fontId="5" fillId="9" borderId="34" xfId="0" applyFont="1" applyFill="1" applyBorder="1" applyAlignment="1">
      <alignment horizontal="right"/>
    </xf>
    <xf numFmtId="2" fontId="5" fillId="9" borderId="12" xfId="0" applyNumberFormat="1" applyFont="1" applyFill="1" applyBorder="1"/>
    <xf numFmtId="2" fontId="5" fillId="9" borderId="13" xfId="0" applyNumberFormat="1" applyFont="1" applyFill="1" applyBorder="1"/>
    <xf numFmtId="164" fontId="5" fillId="9" borderId="13" xfId="0" applyNumberFormat="1" applyFont="1" applyFill="1" applyBorder="1"/>
    <xf numFmtId="164" fontId="5" fillId="9" borderId="14" xfId="0" applyNumberFormat="1" applyFont="1" applyFill="1" applyBorder="1"/>
    <xf numFmtId="0" fontId="5" fillId="9" borderId="35" xfId="0" applyFont="1" applyFill="1" applyBorder="1" applyAlignment="1">
      <alignment horizontal="right"/>
    </xf>
    <xf numFmtId="0" fontId="5" fillId="9" borderId="9" xfId="0" applyFont="1" applyFill="1" applyBorder="1"/>
    <xf numFmtId="0" fontId="5" fillId="9" borderId="10" xfId="0" applyFont="1" applyFill="1" applyBorder="1"/>
    <xf numFmtId="164" fontId="5" fillId="9" borderId="10" xfId="0" applyNumberFormat="1" applyFont="1" applyFill="1" applyBorder="1"/>
    <xf numFmtId="164" fontId="5" fillId="9" borderId="11" xfId="0" applyNumberFormat="1" applyFont="1" applyFill="1" applyBorder="1"/>
    <xf numFmtId="0" fontId="5" fillId="9" borderId="6" xfId="0" applyFont="1" applyFill="1" applyBorder="1"/>
    <xf numFmtId="0" fontId="5" fillId="9" borderId="7" xfId="0" applyFont="1" applyFill="1" applyBorder="1"/>
    <xf numFmtId="164" fontId="5" fillId="9" borderId="7" xfId="0" applyNumberFormat="1" applyFont="1" applyFill="1" applyBorder="1"/>
    <xf numFmtId="164" fontId="5" fillId="9" borderId="8" xfId="0" applyNumberFormat="1" applyFont="1" applyFill="1" applyBorder="1"/>
    <xf numFmtId="0" fontId="5" fillId="9" borderId="15" xfId="0" applyFont="1" applyFill="1" applyBorder="1"/>
    <xf numFmtId="0" fontId="5" fillId="9" borderId="15" xfId="0" applyFont="1" applyFill="1" applyBorder="1" applyAlignment="1">
      <alignment horizontal="right"/>
    </xf>
    <xf numFmtId="0" fontId="4" fillId="9" borderId="16" xfId="0" applyFont="1" applyFill="1" applyBorder="1" applyAlignment="1">
      <alignment horizontal="right"/>
    </xf>
    <xf numFmtId="0" fontId="5" fillId="9" borderId="9" xfId="0" applyFont="1" applyFill="1" applyBorder="1" applyAlignment="1">
      <alignment horizontal="right"/>
    </xf>
    <xf numFmtId="2" fontId="5" fillId="9" borderId="9" xfId="0" applyNumberFormat="1" applyFont="1" applyFill="1" applyBorder="1"/>
    <xf numFmtId="2" fontId="5" fillId="9" borderId="11" xfId="0" applyNumberFormat="1" applyFont="1" applyFill="1" applyBorder="1"/>
    <xf numFmtId="2" fontId="5" fillId="9" borderId="33" xfId="0" applyNumberFormat="1" applyFont="1" applyFill="1" applyBorder="1"/>
    <xf numFmtId="0" fontId="5" fillId="9" borderId="12" xfId="0" applyFont="1" applyFill="1" applyBorder="1" applyAlignment="1">
      <alignment horizontal="right"/>
    </xf>
    <xf numFmtId="2" fontId="5" fillId="9" borderId="14" xfId="0" applyNumberFormat="1" applyFont="1" applyFill="1" applyBorder="1"/>
    <xf numFmtId="2" fontId="5" fillId="9" borderId="4" xfId="0" applyNumberFormat="1" applyFont="1" applyFill="1" applyBorder="1"/>
    <xf numFmtId="2" fontId="5" fillId="9" borderId="5" xfId="0" applyNumberFormat="1" applyFont="1" applyFill="1" applyBorder="1"/>
    <xf numFmtId="2" fontId="5" fillId="9" borderId="6" xfId="0" applyNumberFormat="1" applyFont="1" applyFill="1" applyBorder="1"/>
    <xf numFmtId="2" fontId="5" fillId="9" borderId="8" xfId="0" applyNumberFormat="1" applyFont="1" applyFill="1" applyBorder="1"/>
    <xf numFmtId="0" fontId="5" fillId="9" borderId="21" xfId="0" applyFont="1" applyFill="1" applyBorder="1"/>
    <xf numFmtId="0" fontId="5" fillId="9" borderId="3" xfId="0" applyFont="1" applyFill="1" applyBorder="1" applyAlignment="1">
      <alignment horizontal="center"/>
    </xf>
    <xf numFmtId="0" fontId="5" fillId="9" borderId="24" xfId="0" applyFont="1" applyFill="1" applyBorder="1" applyAlignment="1">
      <alignment horizontal="right"/>
    </xf>
    <xf numFmtId="2" fontId="5" fillId="9" borderId="1" xfId="0" applyNumberFormat="1" applyFont="1" applyFill="1" applyBorder="1"/>
    <xf numFmtId="2" fontId="5" fillId="9" borderId="3" xfId="0" applyNumberFormat="1" applyFont="1" applyFill="1" applyBorder="1"/>
    <xf numFmtId="2" fontId="5" fillId="9" borderId="0" xfId="0" applyNumberFormat="1" applyFont="1" applyFill="1"/>
    <xf numFmtId="0" fontId="5" fillId="9" borderId="27" xfId="0" applyFont="1" applyFill="1" applyBorder="1"/>
    <xf numFmtId="0" fontId="5" fillId="9" borderId="24" xfId="0" applyFont="1" applyFill="1" applyBorder="1"/>
    <xf numFmtId="2" fontId="5" fillId="9" borderId="7" xfId="0" applyNumberFormat="1" applyFont="1" applyFill="1" applyBorder="1"/>
    <xf numFmtId="0" fontId="15" fillId="0" borderId="0" xfId="3"/>
    <xf numFmtId="0" fontId="6" fillId="0" borderId="0" xfId="3" applyFont="1"/>
    <xf numFmtId="0" fontId="6" fillId="9" borderId="6" xfId="1" applyFont="1" applyFill="1" applyBorder="1"/>
    <xf numFmtId="0" fontId="6" fillId="9" borderId="7" xfId="1" applyFont="1" applyFill="1" applyBorder="1"/>
    <xf numFmtId="2" fontId="6" fillId="9" borderId="8" xfId="1" applyNumberFormat="1" applyFont="1" applyFill="1" applyBorder="1"/>
    <xf numFmtId="0" fontId="6" fillId="9" borderId="4" xfId="1" applyFont="1" applyFill="1" applyBorder="1"/>
    <xf numFmtId="0" fontId="6" fillId="9" borderId="0" xfId="1" applyFont="1" applyFill="1"/>
    <xf numFmtId="0" fontId="6" fillId="9" borderId="5" xfId="1" applyFont="1" applyFill="1" applyBorder="1"/>
    <xf numFmtId="0" fontId="6" fillId="9" borderId="8" xfId="1" applyFont="1" applyFill="1" applyBorder="1"/>
    <xf numFmtId="0" fontId="8" fillId="9" borderId="1" xfId="3" applyFont="1" applyFill="1" applyBorder="1" applyAlignment="1">
      <alignment horizontal="center"/>
    </xf>
    <xf numFmtId="0" fontId="8" fillId="9" borderId="2" xfId="3" applyFont="1" applyFill="1" applyBorder="1" applyAlignment="1">
      <alignment horizontal="center"/>
    </xf>
    <xf numFmtId="0" fontId="8" fillId="9" borderId="2" xfId="3" applyFont="1" applyFill="1" applyBorder="1"/>
    <xf numFmtId="0" fontId="8" fillId="9" borderId="3" xfId="3" applyFont="1" applyFill="1" applyBorder="1"/>
    <xf numFmtId="0" fontId="5" fillId="9" borderId="4" xfId="3" applyFont="1" applyFill="1" applyBorder="1" applyAlignment="1">
      <alignment horizontal="center"/>
    </xf>
    <xf numFmtId="0" fontId="5" fillId="9" borderId="0" xfId="3" applyFont="1" applyFill="1" applyAlignment="1">
      <alignment horizontal="center"/>
    </xf>
    <xf numFmtId="0" fontId="5" fillId="9" borderId="0" xfId="3" applyFont="1" applyFill="1" applyAlignment="1">
      <alignment horizontal="left"/>
    </xf>
    <xf numFmtId="0" fontId="5" fillId="9" borderId="5" xfId="3" applyFont="1" applyFill="1" applyBorder="1"/>
    <xf numFmtId="0" fontId="5" fillId="9" borderId="0" xfId="3" applyFont="1" applyFill="1"/>
    <xf numFmtId="0" fontId="5" fillId="9" borderId="6" xfId="3" applyFont="1" applyFill="1" applyBorder="1" applyAlignment="1">
      <alignment horizontal="center"/>
    </xf>
    <xf numFmtId="0" fontId="5" fillId="9" borderId="7" xfId="3" applyFont="1" applyFill="1" applyBorder="1" applyAlignment="1">
      <alignment horizontal="center"/>
    </xf>
    <xf numFmtId="0" fontId="5" fillId="9" borderId="7" xfId="3" applyFont="1" applyFill="1" applyBorder="1" applyAlignment="1">
      <alignment horizontal="left"/>
    </xf>
    <xf numFmtId="0" fontId="5" fillId="9" borderId="8" xfId="3" applyFont="1" applyFill="1" applyBorder="1"/>
    <xf numFmtId="164" fontId="5" fillId="0" borderId="0" xfId="0" applyNumberFormat="1" applyFont="1"/>
    <xf numFmtId="0" fontId="17" fillId="0" borderId="0" xfId="0" applyFont="1" applyAlignment="1">
      <alignment horizontal="center"/>
    </xf>
    <xf numFmtId="0" fontId="17" fillId="0" borderId="0" xfId="0" applyFont="1"/>
    <xf numFmtId="0" fontId="5" fillId="9" borderId="2" xfId="0" applyFont="1" applyFill="1" applyBorder="1"/>
    <xf numFmtId="0" fontId="5" fillId="9" borderId="0" xfId="0" applyFont="1" applyFill="1"/>
    <xf numFmtId="0" fontId="5" fillId="10" borderId="1" xfId="0" applyFont="1" applyFill="1" applyBorder="1"/>
    <xf numFmtId="166" fontId="5" fillId="10" borderId="3" xfId="0" applyNumberFormat="1" applyFont="1" applyFill="1" applyBorder="1" applyAlignment="1">
      <alignment horizontal="right"/>
    </xf>
    <xf numFmtId="0" fontId="5" fillId="10" borderId="4" xfId="0" applyFont="1" applyFill="1" applyBorder="1"/>
    <xf numFmtId="166" fontId="5" fillId="10" borderId="5" xfId="0" applyNumberFormat="1" applyFont="1" applyFill="1" applyBorder="1" applyAlignment="1">
      <alignment horizontal="right"/>
    </xf>
    <xf numFmtId="0" fontId="5" fillId="10" borderId="6" xfId="0" applyFont="1" applyFill="1" applyBorder="1"/>
    <xf numFmtId="166" fontId="5" fillId="10" borderId="8" xfId="0" applyNumberFormat="1" applyFont="1" applyFill="1" applyBorder="1" applyAlignment="1">
      <alignment horizontal="right"/>
    </xf>
    <xf numFmtId="164" fontId="6" fillId="9" borderId="5" xfId="1" applyNumberFormat="1" applyFont="1" applyFill="1" applyBorder="1"/>
    <xf numFmtId="0" fontId="6" fillId="9" borderId="39" xfId="1" applyFont="1" applyFill="1" applyBorder="1"/>
    <xf numFmtId="0" fontId="4" fillId="9" borderId="39" xfId="0" applyFont="1" applyFill="1" applyBorder="1"/>
    <xf numFmtId="0" fontId="7" fillId="9" borderId="4" xfId="1" applyFont="1" applyFill="1" applyBorder="1" applyAlignment="1">
      <alignment horizontal="right"/>
    </xf>
    <xf numFmtId="0" fontId="7" fillId="9" borderId="0" xfId="1" applyFont="1" applyFill="1" applyAlignment="1">
      <alignment horizontal="right"/>
    </xf>
    <xf numFmtId="0" fontId="7" fillId="9" borderId="5" xfId="1" applyFont="1" applyFill="1" applyBorder="1" applyAlignment="1">
      <alignment horizontal="right"/>
    </xf>
    <xf numFmtId="0" fontId="5" fillId="9" borderId="1" xfId="0" applyFont="1" applyFill="1" applyBorder="1" applyAlignment="1">
      <alignment horizontal="right"/>
    </xf>
    <xf numFmtId="0" fontId="5" fillId="9" borderId="27" xfId="0" applyFont="1" applyFill="1" applyBorder="1" applyAlignment="1">
      <alignment horizontal="right"/>
    </xf>
    <xf numFmtId="0" fontId="5" fillId="9" borderId="21" xfId="0" applyFont="1" applyFill="1" applyBorder="1" applyAlignment="1">
      <alignment horizontal="right"/>
    </xf>
    <xf numFmtId="0" fontId="11" fillId="9" borderId="15" xfId="0" applyFont="1" applyFill="1" applyBorder="1" applyAlignment="1">
      <alignment horizontal="left"/>
    </xf>
    <xf numFmtId="164" fontId="11" fillId="9" borderId="39" xfId="0" applyNumberFormat="1" applyFont="1" applyFill="1" applyBorder="1"/>
    <xf numFmtId="2" fontId="6" fillId="9" borderId="4" xfId="1" applyNumberFormat="1" applyFont="1" applyFill="1" applyBorder="1"/>
    <xf numFmtId="2" fontId="6" fillId="9" borderId="6" xfId="1" applyNumberFormat="1" applyFont="1" applyFill="1" applyBorder="1"/>
    <xf numFmtId="0" fontId="18" fillId="0" borderId="0" xfId="0" applyFont="1"/>
    <xf numFmtId="0" fontId="20" fillId="2" borderId="1" xfId="0" applyFont="1" applyFill="1" applyBorder="1" applyAlignment="1">
      <alignment horizontal="left"/>
    </xf>
    <xf numFmtId="0" fontId="20" fillId="2" borderId="2" xfId="0" applyFont="1" applyFill="1" applyBorder="1" applyAlignment="1">
      <alignment horizontal="center"/>
    </xf>
    <xf numFmtId="0" fontId="22" fillId="2" borderId="2" xfId="0" applyFont="1" applyFill="1" applyBorder="1"/>
    <xf numFmtId="0" fontId="23" fillId="2" borderId="3" xfId="2" applyFont="1" applyFill="1" applyBorder="1" applyAlignment="1">
      <alignment horizontal="center"/>
    </xf>
    <xf numFmtId="0" fontId="23" fillId="2" borderId="4" xfId="2" applyFont="1" applyFill="1" applyBorder="1" applyAlignment="1">
      <alignment horizontal="left"/>
    </xf>
    <xf numFmtId="0" fontId="20" fillId="2" borderId="0" xfId="0" applyFont="1" applyFill="1" applyAlignment="1">
      <alignment horizontal="center"/>
    </xf>
    <xf numFmtId="0" fontId="22" fillId="2" borderId="0" xfId="0" applyFont="1" applyFill="1"/>
    <xf numFmtId="0" fontId="20" fillId="2" borderId="5" xfId="0" applyFont="1" applyFill="1" applyBorder="1" applyAlignment="1">
      <alignment horizontal="center"/>
    </xf>
    <xf numFmtId="0" fontId="20" fillId="2" borderId="6" xfId="2" applyFont="1" applyFill="1" applyBorder="1" applyAlignment="1">
      <alignment horizontal="left"/>
    </xf>
    <xf numFmtId="0" fontId="20" fillId="2" borderId="7" xfId="2" applyFont="1" applyFill="1" applyBorder="1" applyAlignment="1">
      <alignment horizontal="left"/>
    </xf>
    <xf numFmtId="0" fontId="22" fillId="2" borderId="7" xfId="0" applyFont="1" applyFill="1" applyBorder="1"/>
    <xf numFmtId="0" fontId="21" fillId="2" borderId="8" xfId="0" applyFont="1" applyFill="1" applyBorder="1" applyAlignment="1">
      <alignment horizontal="center"/>
    </xf>
    <xf numFmtId="0" fontId="14" fillId="0" borderId="0" xfId="0" applyFont="1" applyAlignment="1">
      <alignment horizontal="right" vertical="center"/>
    </xf>
    <xf numFmtId="164" fontId="11" fillId="8" borderId="0" xfId="0" applyNumberFormat="1" applyFont="1" applyFill="1" applyAlignment="1" applyProtection="1">
      <alignment horizontal="right" vertical="center"/>
      <protection locked="0"/>
    </xf>
    <xf numFmtId="0" fontId="19" fillId="2" borderId="0" xfId="0" applyFont="1" applyFill="1" applyAlignment="1">
      <alignment horizontal="center" vertical="center" wrapText="1"/>
    </xf>
    <xf numFmtId="0" fontId="24" fillId="2" borderId="1" xfId="2" applyFont="1" applyFill="1" applyBorder="1" applyAlignment="1">
      <alignment horizontal="center"/>
    </xf>
    <xf numFmtId="0" fontId="24" fillId="2" borderId="2" xfId="2" applyFont="1" applyFill="1" applyBorder="1" applyAlignment="1">
      <alignment horizontal="center"/>
    </xf>
    <xf numFmtId="0" fontId="24" fillId="2" borderId="36" xfId="2" applyFont="1" applyFill="1" applyBorder="1" applyAlignment="1">
      <alignment horizontal="center"/>
    </xf>
    <xf numFmtId="0" fontId="25" fillId="2" borderId="4" xfId="0" applyFont="1" applyFill="1" applyBorder="1" applyAlignment="1">
      <alignment horizontal="center"/>
    </xf>
    <xf numFmtId="0" fontId="25" fillId="2" borderId="0" xfId="0" applyFont="1" applyFill="1" applyAlignment="1">
      <alignment horizontal="center"/>
    </xf>
    <xf numFmtId="0" fontId="25" fillId="2" borderId="37" xfId="0" applyFont="1" applyFill="1" applyBorder="1" applyAlignment="1">
      <alignment horizontal="center"/>
    </xf>
    <xf numFmtId="0" fontId="25" fillId="2" borderId="6" xfId="0" applyFont="1" applyFill="1" applyBorder="1" applyAlignment="1">
      <alignment horizontal="center"/>
    </xf>
    <xf numFmtId="0" fontId="25" fillId="2" borderId="7" xfId="0" applyFont="1" applyFill="1" applyBorder="1" applyAlignment="1">
      <alignment horizontal="center"/>
    </xf>
    <xf numFmtId="0" fontId="25" fillId="2" borderId="38" xfId="0" applyFont="1" applyFill="1" applyBorder="1" applyAlignment="1">
      <alignment horizontal="center"/>
    </xf>
    <xf numFmtId="4" fontId="8" fillId="8" borderId="15" xfId="0" applyNumberFormat="1" applyFont="1" applyFill="1" applyBorder="1" applyAlignment="1" applyProtection="1">
      <alignment horizontal="center"/>
      <protection locked="0"/>
    </xf>
    <xf numFmtId="4" fontId="8" fillId="8" borderId="16" xfId="0" applyNumberFormat="1" applyFont="1" applyFill="1" applyBorder="1" applyAlignment="1" applyProtection="1">
      <alignment horizontal="center"/>
      <protection locked="0"/>
    </xf>
    <xf numFmtId="0" fontId="5" fillId="9" borderId="1" xfId="0" applyFont="1" applyFill="1" applyBorder="1" applyAlignment="1">
      <alignment horizontal="center"/>
    </xf>
    <xf numFmtId="0" fontId="4" fillId="9" borderId="2" xfId="0" applyFont="1" applyFill="1" applyBorder="1" applyAlignment="1">
      <alignment horizontal="center"/>
    </xf>
    <xf numFmtId="0" fontId="4" fillId="9" borderId="3" xfId="0" applyFont="1" applyFill="1" applyBorder="1" applyAlignment="1">
      <alignment horizontal="center"/>
    </xf>
    <xf numFmtId="0" fontId="10" fillId="6" borderId="1" xfId="0" applyFont="1" applyFill="1" applyBorder="1" applyAlignment="1">
      <alignment horizontal="center"/>
    </xf>
    <xf numFmtId="0" fontId="10" fillId="6" borderId="3" xfId="0" applyFont="1" applyFill="1" applyBorder="1" applyAlignment="1">
      <alignment horizontal="center"/>
    </xf>
    <xf numFmtId="0" fontId="5" fillId="7" borderId="21" xfId="0" applyFont="1" applyFill="1" applyBorder="1" applyAlignment="1">
      <alignment horizontal="center" vertical="center" textRotation="180"/>
    </xf>
    <xf numFmtId="0" fontId="5" fillId="7" borderId="5" xfId="0" applyFont="1" applyFill="1" applyBorder="1" applyAlignment="1">
      <alignment horizontal="center" vertical="center" textRotation="180"/>
    </xf>
    <xf numFmtId="0" fontId="5" fillId="7" borderId="24" xfId="0" applyFont="1" applyFill="1" applyBorder="1" applyAlignment="1">
      <alignment horizontal="center" vertical="center" textRotation="180"/>
    </xf>
    <xf numFmtId="164" fontId="5" fillId="5" borderId="15" xfId="0" applyNumberFormat="1" applyFont="1" applyFill="1" applyBorder="1" applyAlignment="1">
      <alignment horizontal="center" vertical="center"/>
    </xf>
    <xf numFmtId="0" fontId="10" fillId="6" borderId="15" xfId="0" applyFont="1" applyFill="1" applyBorder="1" applyAlignment="1">
      <alignment horizontal="center"/>
    </xf>
    <xf numFmtId="0" fontId="10" fillId="6" borderId="16" xfId="0" applyFont="1" applyFill="1" applyBorder="1" applyAlignment="1">
      <alignment horizontal="center"/>
    </xf>
    <xf numFmtId="0" fontId="10" fillId="3" borderId="7" xfId="0" applyFont="1" applyFill="1" applyBorder="1" applyAlignment="1">
      <alignment horizontal="center"/>
    </xf>
    <xf numFmtId="0" fontId="10" fillId="3" borderId="8"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5" fillId="5" borderId="4" xfId="0" applyFont="1" applyFill="1" applyBorder="1" applyAlignment="1">
      <alignment horizontal="center" vertical="center"/>
    </xf>
    <xf numFmtId="0" fontId="5" fillId="5" borderId="9" xfId="0" applyFont="1" applyFill="1" applyBorder="1" applyAlignment="1">
      <alignment horizontal="center" vertical="center"/>
    </xf>
    <xf numFmtId="164" fontId="5" fillId="5" borderId="5" xfId="0" applyNumberFormat="1" applyFont="1" applyFill="1" applyBorder="1" applyAlignment="1">
      <alignment horizontal="center" vertical="center"/>
    </xf>
    <xf numFmtId="164" fontId="5" fillId="5" borderId="11" xfId="0" applyNumberFormat="1" applyFont="1" applyFill="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164" fontId="5" fillId="5" borderId="14" xfId="0" applyNumberFormat="1" applyFont="1" applyFill="1" applyBorder="1" applyAlignment="1">
      <alignment horizontal="center" vertical="center"/>
    </xf>
    <xf numFmtId="0" fontId="5" fillId="0" borderId="6" xfId="0" applyFont="1" applyBorder="1" applyAlignment="1">
      <alignment horizontal="center" vertical="center"/>
    </xf>
    <xf numFmtId="0" fontId="4" fillId="0" borderId="8" xfId="0" applyFont="1" applyBorder="1" applyAlignment="1">
      <alignment horizontal="center" vertical="center"/>
    </xf>
    <xf numFmtId="0" fontId="0" fillId="2" borderId="0" xfId="0" applyFill="1"/>
  </cellXfs>
  <cellStyles count="5">
    <cellStyle name="Hyperlink" xfId="2" builtinId="8"/>
    <cellStyle name="Hyperlink 3" xfId="4" xr:uid="{5B2D0758-A6BA-2946-989D-37AFC94136AE}"/>
    <cellStyle name="Normal" xfId="0" builtinId="0"/>
    <cellStyle name="Normal 3" xfId="1" xr:uid="{150A7FBA-7A4E-4E4D-99A1-253F3C260301}"/>
    <cellStyle name="Normal 4" xfId="3" xr:uid="{A42ACF20-E5B0-F34F-965A-00F07001EE4F}"/>
  </cellStyles>
  <dxfs count="6">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3" Type="http://schemas.openxmlformats.org/officeDocument/2006/relationships/image" Target="../media/image3.jp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267175572519083E-2"/>
          <c:y val="1.2482662968099861E-2"/>
          <c:w val="0.96946564885496178"/>
          <c:h val="0.96948682385575591"/>
        </c:manualLayout>
      </c:layout>
      <c:scatterChart>
        <c:scatterStyle val="lineMarker"/>
        <c:varyColors val="0"/>
        <c:ser>
          <c:idx val="1"/>
          <c:order val="0"/>
          <c:tx>
            <c:v>Earth orbit</c:v>
          </c:tx>
          <c:spPr>
            <a:ln w="25400" cap="rnd">
              <a:solidFill>
                <a:srgbClr val="C00000"/>
              </a:solidFill>
            </a:ln>
            <a:effectLst>
              <a:glow>
                <a:schemeClr val="accent2">
                  <a:satMod val="175000"/>
                  <a:alpha val="14000"/>
                </a:schemeClr>
              </a:glow>
            </a:effectLst>
          </c:spPr>
          <c:marker>
            <c:symbol val="circle"/>
            <c:size val="3"/>
            <c:spPr>
              <a:noFill/>
              <a:ln>
                <a:noFill/>
              </a:ln>
              <a:effectLst>
                <a:glow>
                  <a:schemeClr val="accent2">
                    <a:satMod val="175000"/>
                    <a:alpha val="14000"/>
                  </a:schemeClr>
                </a:glow>
              </a:effectLst>
            </c:spPr>
          </c:marker>
          <c:xVal>
            <c:numRef>
              <c:f>'Sun-Earth-Moon Model'!$I$67:$I$139</c:f>
              <c:numCache>
                <c:formatCode>0.00</c:formatCode>
                <c:ptCount val="73"/>
                <c:pt idx="0">
                  <c:v>3</c:v>
                </c:pt>
                <c:pt idx="1">
                  <c:v>2.9885840942752369</c:v>
                </c:pt>
                <c:pt idx="2">
                  <c:v>2.9544232590366239</c:v>
                </c:pt>
                <c:pt idx="3">
                  <c:v>2.897777478867205</c:v>
                </c:pt>
                <c:pt idx="4">
                  <c:v>2.8190778623577253</c:v>
                </c:pt>
                <c:pt idx="5">
                  <c:v>2.7189233611099497</c:v>
                </c:pt>
                <c:pt idx="6">
                  <c:v>2.598076211353316</c:v>
                </c:pt>
                <c:pt idx="7">
                  <c:v>2.4574561328669753</c:v>
                </c:pt>
                <c:pt idx="8">
                  <c:v>2.2981333293569342</c:v>
                </c:pt>
                <c:pt idx="9">
                  <c:v>2.1213203435596428</c:v>
                </c:pt>
                <c:pt idx="10">
                  <c:v>1.9283628290596182</c:v>
                </c:pt>
                <c:pt idx="11">
                  <c:v>1.7207293090531386</c:v>
                </c:pt>
                <c:pt idx="12">
                  <c:v>1.5000000000000004</c:v>
                </c:pt>
                <c:pt idx="13">
                  <c:v>1.2678547852220983</c:v>
                </c:pt>
                <c:pt idx="14">
                  <c:v>1.0260604299770064</c:v>
                </c:pt>
                <c:pt idx="15">
                  <c:v>0.77645713530756222</c:v>
                </c:pt>
                <c:pt idx="16">
                  <c:v>0.52094453300079124</c:v>
                </c:pt>
                <c:pt idx="17">
                  <c:v>0.26146722824297441</c:v>
                </c:pt>
                <c:pt idx="18">
                  <c:v>1.83772268236293E-16</c:v>
                </c:pt>
                <c:pt idx="19">
                  <c:v>-0.26146722824297469</c:v>
                </c:pt>
                <c:pt idx="20">
                  <c:v>-0.52094453300079091</c:v>
                </c:pt>
                <c:pt idx="21">
                  <c:v>-0.77645713530756255</c:v>
                </c:pt>
                <c:pt idx="22">
                  <c:v>-1.0260604299770062</c:v>
                </c:pt>
                <c:pt idx="23">
                  <c:v>-1.267854785222098</c:v>
                </c:pt>
                <c:pt idx="24">
                  <c:v>-1.4999999999999993</c:v>
                </c:pt>
                <c:pt idx="25">
                  <c:v>-1.7207293090531386</c:v>
                </c:pt>
                <c:pt idx="26">
                  <c:v>-1.9283628290596182</c:v>
                </c:pt>
                <c:pt idx="27">
                  <c:v>-2.1213203435596424</c:v>
                </c:pt>
                <c:pt idx="28">
                  <c:v>-2.2981333293569337</c:v>
                </c:pt>
                <c:pt idx="29">
                  <c:v>-2.4574561328669757</c:v>
                </c:pt>
                <c:pt idx="30">
                  <c:v>-2.598076211353316</c:v>
                </c:pt>
                <c:pt idx="31">
                  <c:v>-2.7189233611099497</c:v>
                </c:pt>
                <c:pt idx="32">
                  <c:v>-2.8190778623577248</c:v>
                </c:pt>
                <c:pt idx="33">
                  <c:v>-2.8977774788672046</c:v>
                </c:pt>
                <c:pt idx="34">
                  <c:v>-2.9544232590366239</c:v>
                </c:pt>
                <c:pt idx="35">
                  <c:v>-2.9885840942752369</c:v>
                </c:pt>
                <c:pt idx="36">
                  <c:v>-3</c:v>
                </c:pt>
                <c:pt idx="37">
                  <c:v>-2.9885840942752369</c:v>
                </c:pt>
                <c:pt idx="38">
                  <c:v>-2.9544232590366239</c:v>
                </c:pt>
                <c:pt idx="39">
                  <c:v>-2.897777478867205</c:v>
                </c:pt>
                <c:pt idx="40">
                  <c:v>-2.8190778623577253</c:v>
                </c:pt>
                <c:pt idx="41">
                  <c:v>-2.7189233611099501</c:v>
                </c:pt>
                <c:pt idx="42">
                  <c:v>-2.598076211353316</c:v>
                </c:pt>
                <c:pt idx="43">
                  <c:v>-2.4574561328669753</c:v>
                </c:pt>
                <c:pt idx="44">
                  <c:v>-2.2981333293569342</c:v>
                </c:pt>
                <c:pt idx="45">
                  <c:v>-2.1213203435596428</c:v>
                </c:pt>
                <c:pt idx="46">
                  <c:v>-1.9283628290596184</c:v>
                </c:pt>
                <c:pt idx="47">
                  <c:v>-1.720729309053139</c:v>
                </c:pt>
                <c:pt idx="48">
                  <c:v>-1.5000000000000013</c:v>
                </c:pt>
                <c:pt idx="49">
                  <c:v>-1.2678547852220974</c:v>
                </c:pt>
                <c:pt idx="50">
                  <c:v>-1.0260604299770058</c:v>
                </c:pt>
                <c:pt idx="51">
                  <c:v>-0.77645713530756189</c:v>
                </c:pt>
                <c:pt idx="52">
                  <c:v>-0.52094453300079102</c:v>
                </c:pt>
                <c:pt idx="53">
                  <c:v>-0.26146722824297475</c:v>
                </c:pt>
                <c:pt idx="54">
                  <c:v>-5.51316804708879E-16</c:v>
                </c:pt>
                <c:pt idx="55">
                  <c:v>0.26146722824297364</c:v>
                </c:pt>
                <c:pt idx="56">
                  <c:v>0.52094453300078991</c:v>
                </c:pt>
                <c:pt idx="57">
                  <c:v>0.77645713530756089</c:v>
                </c:pt>
                <c:pt idx="58">
                  <c:v>1.0260604299770071</c:v>
                </c:pt>
                <c:pt idx="59">
                  <c:v>1.2678547852220987</c:v>
                </c:pt>
                <c:pt idx="60">
                  <c:v>1.5000000000000004</c:v>
                </c:pt>
                <c:pt idx="61">
                  <c:v>1.7207293090531381</c:v>
                </c:pt>
                <c:pt idx="62">
                  <c:v>1.9283628290596178</c:v>
                </c:pt>
                <c:pt idx="63">
                  <c:v>2.1213203435596419</c:v>
                </c:pt>
                <c:pt idx="64">
                  <c:v>2.2981333293569333</c:v>
                </c:pt>
                <c:pt idx="65">
                  <c:v>2.4574561328669748</c:v>
                </c:pt>
                <c:pt idx="66">
                  <c:v>2.5980762113533151</c:v>
                </c:pt>
                <c:pt idx="67">
                  <c:v>2.7189233611099501</c:v>
                </c:pt>
                <c:pt idx="68">
                  <c:v>2.8190778623577253</c:v>
                </c:pt>
                <c:pt idx="69">
                  <c:v>2.897777478867205</c:v>
                </c:pt>
                <c:pt idx="70">
                  <c:v>2.9544232590366239</c:v>
                </c:pt>
                <c:pt idx="71">
                  <c:v>2.9885840942752369</c:v>
                </c:pt>
                <c:pt idx="72">
                  <c:v>3</c:v>
                </c:pt>
              </c:numCache>
            </c:numRef>
          </c:xVal>
          <c:yVal>
            <c:numRef>
              <c:f>'Sun-Earth-Moon Model'!$J$67:$J$139</c:f>
              <c:numCache>
                <c:formatCode>0.00</c:formatCode>
                <c:ptCount val="73"/>
                <c:pt idx="0">
                  <c:v>0</c:v>
                </c:pt>
                <c:pt idx="1">
                  <c:v>0.26146722824297453</c:v>
                </c:pt>
                <c:pt idx="2">
                  <c:v>0.52094453300079102</c:v>
                </c:pt>
                <c:pt idx="3">
                  <c:v>0.77645713530756222</c:v>
                </c:pt>
                <c:pt idx="4">
                  <c:v>1.0260604299770062</c:v>
                </c:pt>
                <c:pt idx="5">
                  <c:v>1.2678547852220983</c:v>
                </c:pt>
                <c:pt idx="6">
                  <c:v>1.4999999999999998</c:v>
                </c:pt>
                <c:pt idx="7">
                  <c:v>1.7207293090531381</c:v>
                </c:pt>
                <c:pt idx="8">
                  <c:v>1.9283628290596178</c:v>
                </c:pt>
                <c:pt idx="9">
                  <c:v>2.1213203435596424</c:v>
                </c:pt>
                <c:pt idx="10">
                  <c:v>2.2981333293569342</c:v>
                </c:pt>
                <c:pt idx="11">
                  <c:v>2.4574561328669753</c:v>
                </c:pt>
                <c:pt idx="12">
                  <c:v>2.598076211353316</c:v>
                </c:pt>
                <c:pt idx="13">
                  <c:v>2.7189233611099497</c:v>
                </c:pt>
                <c:pt idx="14">
                  <c:v>2.8190778623577248</c:v>
                </c:pt>
                <c:pt idx="15">
                  <c:v>2.897777478867205</c:v>
                </c:pt>
                <c:pt idx="16">
                  <c:v>2.9544232590366239</c:v>
                </c:pt>
                <c:pt idx="17">
                  <c:v>2.9885840942752369</c:v>
                </c:pt>
                <c:pt idx="18">
                  <c:v>3</c:v>
                </c:pt>
                <c:pt idx="19">
                  <c:v>2.9885840942752369</c:v>
                </c:pt>
                <c:pt idx="20">
                  <c:v>2.9544232590366239</c:v>
                </c:pt>
                <c:pt idx="21">
                  <c:v>2.897777478867205</c:v>
                </c:pt>
                <c:pt idx="22">
                  <c:v>2.8190778623577253</c:v>
                </c:pt>
                <c:pt idx="23">
                  <c:v>2.7189233611099501</c:v>
                </c:pt>
                <c:pt idx="24">
                  <c:v>2.598076211353316</c:v>
                </c:pt>
                <c:pt idx="25">
                  <c:v>2.4574561328669748</c:v>
                </c:pt>
                <c:pt idx="26">
                  <c:v>2.2981333293569342</c:v>
                </c:pt>
                <c:pt idx="27">
                  <c:v>2.1213203435596428</c:v>
                </c:pt>
                <c:pt idx="28">
                  <c:v>1.9283628290596184</c:v>
                </c:pt>
                <c:pt idx="29">
                  <c:v>1.7207293090531377</c:v>
                </c:pt>
                <c:pt idx="30">
                  <c:v>1.4999999999999998</c:v>
                </c:pt>
                <c:pt idx="31">
                  <c:v>1.2678547852220985</c:v>
                </c:pt>
                <c:pt idx="32">
                  <c:v>1.0260604299770066</c:v>
                </c:pt>
                <c:pt idx="33">
                  <c:v>0.77645713530756311</c:v>
                </c:pt>
                <c:pt idx="34">
                  <c:v>0.5209445330007908</c:v>
                </c:pt>
                <c:pt idx="35">
                  <c:v>0.26146722824297458</c:v>
                </c:pt>
                <c:pt idx="36">
                  <c:v>3.67544536472586E-16</c:v>
                </c:pt>
                <c:pt idx="37">
                  <c:v>-0.26146722824297386</c:v>
                </c:pt>
                <c:pt idx="38">
                  <c:v>-0.52094453300079135</c:v>
                </c:pt>
                <c:pt idx="39">
                  <c:v>-0.77645713530756244</c:v>
                </c:pt>
                <c:pt idx="40">
                  <c:v>-1.026060429977006</c:v>
                </c:pt>
                <c:pt idx="41">
                  <c:v>-1.2678547852220978</c:v>
                </c:pt>
                <c:pt idx="42">
                  <c:v>-1.5000000000000004</c:v>
                </c:pt>
                <c:pt idx="43">
                  <c:v>-1.7207293090531386</c:v>
                </c:pt>
                <c:pt idx="44">
                  <c:v>-1.9283628290596178</c:v>
                </c:pt>
                <c:pt idx="45">
                  <c:v>-2.1213203435596424</c:v>
                </c:pt>
                <c:pt idx="46">
                  <c:v>-2.2981333293569337</c:v>
                </c:pt>
                <c:pt idx="47">
                  <c:v>-2.4574561328669748</c:v>
                </c:pt>
                <c:pt idx="48">
                  <c:v>-2.5980762113533151</c:v>
                </c:pt>
                <c:pt idx="49">
                  <c:v>-2.7189233611099501</c:v>
                </c:pt>
                <c:pt idx="50">
                  <c:v>-2.8190778623577253</c:v>
                </c:pt>
                <c:pt idx="51">
                  <c:v>-2.897777478867205</c:v>
                </c:pt>
                <c:pt idx="52">
                  <c:v>-2.9544232590366239</c:v>
                </c:pt>
                <c:pt idx="53">
                  <c:v>-2.9885840942752369</c:v>
                </c:pt>
                <c:pt idx="54">
                  <c:v>-3</c:v>
                </c:pt>
                <c:pt idx="55">
                  <c:v>-2.9885840942752369</c:v>
                </c:pt>
                <c:pt idx="56">
                  <c:v>-2.9544232590366244</c:v>
                </c:pt>
                <c:pt idx="57">
                  <c:v>-2.897777478867205</c:v>
                </c:pt>
                <c:pt idx="58">
                  <c:v>-2.8190778623577248</c:v>
                </c:pt>
                <c:pt idx="59">
                  <c:v>-2.7189233611099497</c:v>
                </c:pt>
                <c:pt idx="60">
                  <c:v>-2.598076211353316</c:v>
                </c:pt>
                <c:pt idx="61">
                  <c:v>-2.4574561328669753</c:v>
                </c:pt>
                <c:pt idx="62">
                  <c:v>-2.2981333293569346</c:v>
                </c:pt>
                <c:pt idx="63">
                  <c:v>-2.1213203435596428</c:v>
                </c:pt>
                <c:pt idx="64">
                  <c:v>-1.9283628290596186</c:v>
                </c:pt>
                <c:pt idx="65">
                  <c:v>-1.7207293090531395</c:v>
                </c:pt>
                <c:pt idx="66">
                  <c:v>-1.5000000000000013</c:v>
                </c:pt>
                <c:pt idx="67">
                  <c:v>-1.2678547852220976</c:v>
                </c:pt>
                <c:pt idx="68">
                  <c:v>-1.0260604299770058</c:v>
                </c:pt>
                <c:pt idx="69">
                  <c:v>-0.776457135307562</c:v>
                </c:pt>
                <c:pt idx="70">
                  <c:v>-0.52094453300079113</c:v>
                </c:pt>
                <c:pt idx="71">
                  <c:v>-0.26146722824297497</c:v>
                </c:pt>
                <c:pt idx="72">
                  <c:v>-7.3508907294517201E-16</c:v>
                </c:pt>
              </c:numCache>
            </c:numRef>
          </c:yVal>
          <c:smooth val="1"/>
          <c:extLst>
            <c:ext xmlns:c16="http://schemas.microsoft.com/office/drawing/2014/chart" uri="{C3380CC4-5D6E-409C-BE32-E72D297353CC}">
              <c16:uniqueId val="{00000000-3E64-8D4F-B7AB-C6414B3325CF}"/>
            </c:ext>
          </c:extLst>
        </c:ser>
        <c:ser>
          <c:idx val="2"/>
          <c:order val="1"/>
          <c:tx>
            <c:v>Moon orbit</c:v>
          </c:tx>
          <c:spPr>
            <a:ln w="25400" cap="rnd">
              <a:solidFill>
                <a:srgbClr val="00B050"/>
              </a:solidFill>
            </a:ln>
            <a:effectLst>
              <a:glow>
                <a:schemeClr val="accent3">
                  <a:satMod val="175000"/>
                  <a:alpha val="14000"/>
                </a:schemeClr>
              </a:glow>
            </a:effectLst>
          </c:spPr>
          <c:marker>
            <c:symbol val="circle"/>
            <c:size val="3"/>
            <c:spPr>
              <a:noFill/>
              <a:ln>
                <a:noFill/>
              </a:ln>
              <a:effectLst>
                <a:glow>
                  <a:schemeClr val="accent3">
                    <a:satMod val="175000"/>
                    <a:alpha val="14000"/>
                  </a:schemeClr>
                </a:glow>
              </a:effectLst>
            </c:spPr>
          </c:marker>
          <c:xVal>
            <c:numRef>
              <c:f>'Sun-Earth-Moon Model'!$K$67:$K$139</c:f>
              <c:numCache>
                <c:formatCode>0.00</c:formatCode>
                <c:ptCount val="73"/>
                <c:pt idx="0">
                  <c:v>3.4569950427339835</c:v>
                </c:pt>
                <c:pt idx="1">
                  <c:v>3.4512870898716015</c:v>
                </c:pt>
                <c:pt idx="2">
                  <c:v>3.4342066722522953</c:v>
                </c:pt>
                <c:pt idx="3">
                  <c:v>3.405883782167586</c:v>
                </c:pt>
                <c:pt idx="4">
                  <c:v>3.3665339739128459</c:v>
                </c:pt>
                <c:pt idx="5">
                  <c:v>3.3164567232889581</c:v>
                </c:pt>
                <c:pt idx="6">
                  <c:v>3.2560331484106415</c:v>
                </c:pt>
                <c:pt idx="7">
                  <c:v>3.1857231091674709</c:v>
                </c:pt>
                <c:pt idx="8">
                  <c:v>3.1060617074124504</c:v>
                </c:pt>
                <c:pt idx="9">
                  <c:v>3.0176552145138045</c:v>
                </c:pt>
                <c:pt idx="10">
                  <c:v>2.9211764572637922</c:v>
                </c:pt>
                <c:pt idx="11">
                  <c:v>2.8173596972605526</c:v>
                </c:pt>
                <c:pt idx="12">
                  <c:v>2.7069950427339835</c:v>
                </c:pt>
                <c:pt idx="13">
                  <c:v>2.5909224353450324</c:v>
                </c:pt>
                <c:pt idx="14">
                  <c:v>2.4700252577224866</c:v>
                </c:pt>
                <c:pt idx="15">
                  <c:v>2.3452236103877642</c:v>
                </c:pt>
                <c:pt idx="16">
                  <c:v>2.2174673092343791</c:v>
                </c:pt>
                <c:pt idx="17">
                  <c:v>2.0877286568554707</c:v>
                </c:pt>
                <c:pt idx="18">
                  <c:v>1.9569950427339833</c:v>
                </c:pt>
                <c:pt idx="19">
                  <c:v>1.8262614286124959</c:v>
                </c:pt>
                <c:pt idx="20">
                  <c:v>1.6965227762335879</c:v>
                </c:pt>
                <c:pt idx="21">
                  <c:v>1.5687664750802019</c:v>
                </c:pt>
                <c:pt idx="22">
                  <c:v>1.4439648277454802</c:v>
                </c:pt>
                <c:pt idx="23">
                  <c:v>1.3230676501229341</c:v>
                </c:pt>
                <c:pt idx="24">
                  <c:v>1.2069950427339835</c:v>
                </c:pt>
                <c:pt idx="25">
                  <c:v>1.096630388207414</c:v>
                </c:pt>
                <c:pt idx="26">
                  <c:v>0.99281362820417418</c:v>
                </c:pt>
                <c:pt idx="27">
                  <c:v>0.89633487095416209</c:v>
                </c:pt>
                <c:pt idx="28">
                  <c:v>0.80792837805551643</c:v>
                </c:pt>
                <c:pt idx="29">
                  <c:v>0.72826697630049542</c:v>
                </c:pt>
                <c:pt idx="30">
                  <c:v>0.65795693705732528</c:v>
                </c:pt>
                <c:pt idx="31">
                  <c:v>0.59753336217900843</c:v>
                </c:pt>
                <c:pt idx="32">
                  <c:v>0.54745611155512086</c:v>
                </c:pt>
                <c:pt idx="33">
                  <c:v>0.50810630330038098</c:v>
                </c:pt>
                <c:pt idx="34">
                  <c:v>0.47978341321567131</c:v>
                </c:pt>
                <c:pt idx="35">
                  <c:v>0.46270299559636485</c:v>
                </c:pt>
                <c:pt idx="36">
                  <c:v>0.45699504273398328</c:v>
                </c:pt>
                <c:pt idx="37">
                  <c:v>0.46270299559636485</c:v>
                </c:pt>
                <c:pt idx="38">
                  <c:v>0.47978341321567131</c:v>
                </c:pt>
                <c:pt idx="39">
                  <c:v>0.50810630330038076</c:v>
                </c:pt>
                <c:pt idx="40">
                  <c:v>0.54745611155512064</c:v>
                </c:pt>
                <c:pt idx="41">
                  <c:v>0.59753336217900821</c:v>
                </c:pt>
                <c:pt idx="42">
                  <c:v>0.65795693705732528</c:v>
                </c:pt>
                <c:pt idx="43">
                  <c:v>0.72826697630049564</c:v>
                </c:pt>
                <c:pt idx="44">
                  <c:v>0.80792837805551621</c:v>
                </c:pt>
                <c:pt idx="45">
                  <c:v>0.89633487095416187</c:v>
                </c:pt>
                <c:pt idx="46">
                  <c:v>0.99281362820417407</c:v>
                </c:pt>
                <c:pt idx="47">
                  <c:v>1.0966303882074138</c:v>
                </c:pt>
                <c:pt idx="48">
                  <c:v>1.2069950427339826</c:v>
                </c:pt>
                <c:pt idx="49">
                  <c:v>1.3230676501229346</c:v>
                </c:pt>
                <c:pt idx="50">
                  <c:v>1.4439648277454804</c:v>
                </c:pt>
                <c:pt idx="51">
                  <c:v>1.5687664750802024</c:v>
                </c:pt>
                <c:pt idx="52">
                  <c:v>1.6965227762335877</c:v>
                </c:pt>
                <c:pt idx="53">
                  <c:v>1.8262614286124959</c:v>
                </c:pt>
                <c:pt idx="54">
                  <c:v>1.9569950427339831</c:v>
                </c:pt>
                <c:pt idx="55">
                  <c:v>2.0877286568554703</c:v>
                </c:pt>
                <c:pt idx="56">
                  <c:v>2.2174673092343782</c:v>
                </c:pt>
                <c:pt idx="57">
                  <c:v>2.3452236103877637</c:v>
                </c:pt>
                <c:pt idx="58">
                  <c:v>2.4700252577224866</c:v>
                </c:pt>
                <c:pt idx="59">
                  <c:v>2.5909224353450329</c:v>
                </c:pt>
                <c:pt idx="60">
                  <c:v>2.7069950427339835</c:v>
                </c:pt>
                <c:pt idx="61">
                  <c:v>2.8173596972605521</c:v>
                </c:pt>
                <c:pt idx="62">
                  <c:v>2.9211764572637922</c:v>
                </c:pt>
                <c:pt idx="63">
                  <c:v>3.0176552145138045</c:v>
                </c:pt>
                <c:pt idx="64">
                  <c:v>3.1060617074124499</c:v>
                </c:pt>
                <c:pt idx="65">
                  <c:v>3.1857231091674709</c:v>
                </c:pt>
                <c:pt idx="66">
                  <c:v>3.2560331484106406</c:v>
                </c:pt>
                <c:pt idx="67">
                  <c:v>3.3164567232889581</c:v>
                </c:pt>
                <c:pt idx="68">
                  <c:v>3.3665339739128459</c:v>
                </c:pt>
                <c:pt idx="69">
                  <c:v>3.405883782167586</c:v>
                </c:pt>
                <c:pt idx="70">
                  <c:v>3.4342066722522953</c:v>
                </c:pt>
                <c:pt idx="71">
                  <c:v>3.4512870898716015</c:v>
                </c:pt>
                <c:pt idx="72">
                  <c:v>3.4569950427339835</c:v>
                </c:pt>
              </c:numCache>
            </c:numRef>
          </c:xVal>
          <c:yVal>
            <c:numRef>
              <c:f>'Sun-Earth-Moon Model'!$L$67:$L$139</c:f>
              <c:numCache>
                <c:formatCode>0.00</c:formatCode>
                <c:ptCount val="73"/>
                <c:pt idx="0">
                  <c:v>2.2738008713857543</c:v>
                </c:pt>
                <c:pt idx="1">
                  <c:v>2.4045344855072415</c:v>
                </c:pt>
                <c:pt idx="2">
                  <c:v>2.5342731378861498</c:v>
                </c:pt>
                <c:pt idx="3">
                  <c:v>2.6620294390395354</c:v>
                </c:pt>
                <c:pt idx="4">
                  <c:v>2.7868310863742574</c:v>
                </c:pt>
                <c:pt idx="5">
                  <c:v>2.9077282639968036</c:v>
                </c:pt>
                <c:pt idx="6">
                  <c:v>3.0238008713857543</c:v>
                </c:pt>
                <c:pt idx="7">
                  <c:v>3.1341655259123233</c:v>
                </c:pt>
                <c:pt idx="8">
                  <c:v>3.2379822859155629</c:v>
                </c:pt>
                <c:pt idx="9">
                  <c:v>3.3344610431655752</c:v>
                </c:pt>
                <c:pt idx="10">
                  <c:v>3.4228675360642216</c:v>
                </c:pt>
                <c:pt idx="11">
                  <c:v>3.5025289378192417</c:v>
                </c:pt>
                <c:pt idx="12">
                  <c:v>3.5728389770624123</c:v>
                </c:pt>
                <c:pt idx="13">
                  <c:v>3.6332625519407289</c:v>
                </c:pt>
                <c:pt idx="14">
                  <c:v>3.6833398025646167</c:v>
                </c:pt>
                <c:pt idx="15">
                  <c:v>3.7226896108193568</c:v>
                </c:pt>
                <c:pt idx="16">
                  <c:v>3.751012500904066</c:v>
                </c:pt>
                <c:pt idx="17">
                  <c:v>3.7680929185233727</c:v>
                </c:pt>
                <c:pt idx="18">
                  <c:v>3.7738008713857543</c:v>
                </c:pt>
                <c:pt idx="19">
                  <c:v>3.7680929185233727</c:v>
                </c:pt>
                <c:pt idx="20">
                  <c:v>3.751012500904066</c:v>
                </c:pt>
                <c:pt idx="21">
                  <c:v>3.7226896108193568</c:v>
                </c:pt>
                <c:pt idx="22">
                  <c:v>3.6833398025646167</c:v>
                </c:pt>
                <c:pt idx="23">
                  <c:v>3.6332625519407293</c:v>
                </c:pt>
                <c:pt idx="24">
                  <c:v>3.5728389770624123</c:v>
                </c:pt>
                <c:pt idx="25">
                  <c:v>3.5025289378192417</c:v>
                </c:pt>
                <c:pt idx="26">
                  <c:v>3.4228675360642216</c:v>
                </c:pt>
                <c:pt idx="27">
                  <c:v>3.3344610431655757</c:v>
                </c:pt>
                <c:pt idx="28">
                  <c:v>3.2379822859155634</c:v>
                </c:pt>
                <c:pt idx="29">
                  <c:v>3.1341655259123229</c:v>
                </c:pt>
                <c:pt idx="30">
                  <c:v>3.0238008713857543</c:v>
                </c:pt>
                <c:pt idx="31">
                  <c:v>2.9077282639968036</c:v>
                </c:pt>
                <c:pt idx="32">
                  <c:v>2.7868310863742574</c:v>
                </c:pt>
                <c:pt idx="33">
                  <c:v>2.6620294390395358</c:v>
                </c:pt>
                <c:pt idx="34">
                  <c:v>2.5342731378861498</c:v>
                </c:pt>
                <c:pt idx="35">
                  <c:v>2.4045344855072415</c:v>
                </c:pt>
                <c:pt idx="36">
                  <c:v>2.2738008713857543</c:v>
                </c:pt>
                <c:pt idx="37">
                  <c:v>2.1430672572642675</c:v>
                </c:pt>
                <c:pt idx="38">
                  <c:v>2.0133286048853587</c:v>
                </c:pt>
                <c:pt idx="39">
                  <c:v>1.8855723037319732</c:v>
                </c:pt>
                <c:pt idx="40">
                  <c:v>1.7607706563972512</c:v>
                </c:pt>
                <c:pt idx="41">
                  <c:v>1.6398734787747054</c:v>
                </c:pt>
                <c:pt idx="42">
                  <c:v>1.523800871385754</c:v>
                </c:pt>
                <c:pt idx="43">
                  <c:v>1.413436216859185</c:v>
                </c:pt>
                <c:pt idx="44">
                  <c:v>1.3096194568559454</c:v>
                </c:pt>
                <c:pt idx="45">
                  <c:v>1.2131406996059331</c:v>
                </c:pt>
                <c:pt idx="46">
                  <c:v>1.1247342067072874</c:v>
                </c:pt>
                <c:pt idx="47">
                  <c:v>1.0450728049522668</c:v>
                </c:pt>
                <c:pt idx="48">
                  <c:v>0.9747627657090967</c:v>
                </c:pt>
                <c:pt idx="49">
                  <c:v>0.91433919083077919</c:v>
                </c:pt>
                <c:pt idx="50">
                  <c:v>0.86426194020689162</c:v>
                </c:pt>
                <c:pt idx="51">
                  <c:v>0.82491213195215174</c:v>
                </c:pt>
                <c:pt idx="52">
                  <c:v>0.79658924186744229</c:v>
                </c:pt>
                <c:pt idx="53">
                  <c:v>0.77950882424813583</c:v>
                </c:pt>
                <c:pt idx="54">
                  <c:v>0.77380087138575426</c:v>
                </c:pt>
                <c:pt idx="55">
                  <c:v>0.77950882424813583</c:v>
                </c:pt>
                <c:pt idx="56">
                  <c:v>0.79658924186744207</c:v>
                </c:pt>
                <c:pt idx="57">
                  <c:v>0.82491213195215174</c:v>
                </c:pt>
                <c:pt idx="58">
                  <c:v>0.86426194020689184</c:v>
                </c:pt>
                <c:pt idx="59">
                  <c:v>0.91433919083077941</c:v>
                </c:pt>
                <c:pt idx="60">
                  <c:v>0.97476276570909626</c:v>
                </c:pt>
                <c:pt idx="61">
                  <c:v>1.0450728049522666</c:v>
                </c:pt>
                <c:pt idx="62">
                  <c:v>1.124734206707287</c:v>
                </c:pt>
                <c:pt idx="63">
                  <c:v>1.2131406996059328</c:v>
                </c:pt>
                <c:pt idx="64">
                  <c:v>1.3096194568559449</c:v>
                </c:pt>
                <c:pt idx="65">
                  <c:v>1.4134362168591845</c:v>
                </c:pt>
                <c:pt idx="66">
                  <c:v>1.5238008713857536</c:v>
                </c:pt>
                <c:pt idx="67">
                  <c:v>1.6398734787747054</c:v>
                </c:pt>
                <c:pt idx="68">
                  <c:v>1.7607706563972514</c:v>
                </c:pt>
                <c:pt idx="69">
                  <c:v>1.8855723037319732</c:v>
                </c:pt>
                <c:pt idx="70">
                  <c:v>2.0133286048853587</c:v>
                </c:pt>
                <c:pt idx="71">
                  <c:v>2.1430672572642666</c:v>
                </c:pt>
                <c:pt idx="72">
                  <c:v>2.2738008713857538</c:v>
                </c:pt>
              </c:numCache>
            </c:numRef>
          </c:yVal>
          <c:smooth val="1"/>
          <c:extLst>
            <c:ext xmlns:c16="http://schemas.microsoft.com/office/drawing/2014/chart" uri="{C3380CC4-5D6E-409C-BE32-E72D297353CC}">
              <c16:uniqueId val="{00000001-3E64-8D4F-B7AB-C6414B3325CF}"/>
            </c:ext>
          </c:extLst>
        </c:ser>
        <c:ser>
          <c:idx val="5"/>
          <c:order val="2"/>
          <c:tx>
            <c:v>Sun</c:v>
          </c:tx>
          <c:spPr>
            <a:ln w="22225" cap="rnd">
              <a:solidFill>
                <a:srgbClr val="C00000"/>
              </a:solidFill>
            </a:ln>
            <a:effectLst>
              <a:glow rad="139700">
                <a:schemeClr val="accent6">
                  <a:satMod val="175000"/>
                  <a:alpha val="14000"/>
                </a:schemeClr>
              </a:glow>
            </a:effectLst>
          </c:spPr>
          <c:marker>
            <c:symbol val="circle"/>
            <c:size val="3"/>
            <c:spPr>
              <a:solidFill>
                <a:srgbClr val="C00000"/>
              </a:solidFill>
              <a:ln w="95250">
                <a:solidFill>
                  <a:srgbClr val="C00000"/>
                </a:solidFill>
              </a:ln>
              <a:effectLst>
                <a:glow rad="63500">
                  <a:schemeClr val="accent6">
                    <a:satMod val="175000"/>
                    <a:alpha val="25000"/>
                  </a:schemeClr>
                </a:glow>
              </a:effectLst>
            </c:spPr>
          </c:marker>
          <c:dPt>
            <c:idx val="0"/>
            <c:marker>
              <c:spPr>
                <a:solidFill>
                  <a:srgbClr val="C00000"/>
                </a:solidFill>
                <a:ln w="95250">
                  <a:solidFill>
                    <a:srgbClr val="C00000"/>
                  </a:solidFill>
                </a:ln>
                <a:effectLst>
                  <a:glow>
                    <a:schemeClr val="accent6">
                      <a:satMod val="175000"/>
                      <a:alpha val="14000"/>
                    </a:schemeClr>
                  </a:glow>
                </a:effectLst>
              </c:spPr>
            </c:marker>
            <c:bubble3D val="0"/>
            <c:spPr>
              <a:ln w="22225" cap="rnd">
                <a:solidFill>
                  <a:srgbClr val="C00000"/>
                </a:solidFill>
              </a:ln>
              <a:effectLst>
                <a:glow>
                  <a:schemeClr val="accent6">
                    <a:satMod val="175000"/>
                    <a:alpha val="14000"/>
                  </a:schemeClr>
                </a:glow>
              </a:effectLst>
            </c:spPr>
            <c:extLst>
              <c:ext xmlns:c16="http://schemas.microsoft.com/office/drawing/2014/chart" uri="{C3380CC4-5D6E-409C-BE32-E72D297353CC}">
                <c16:uniqueId val="{00000003-3E64-8D4F-B7AB-C6414B3325CF}"/>
              </c:ext>
            </c:extLst>
          </c:dPt>
          <c:dLbls>
            <c:dLbl>
              <c:idx val="0"/>
              <c:tx>
                <c:rich>
                  <a:bodyPr rot="0" vert="horz"/>
                  <a:lstStyle/>
                  <a:p>
                    <a:pPr>
                      <a:defRPr/>
                    </a:pPr>
                    <a:r>
                      <a:rPr lang="en-US"/>
                      <a:t>Sun</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3-3E64-8D4F-B7AB-C6414B3325CF}"/>
                </c:ext>
              </c:extLst>
            </c:dLbl>
            <c:spPr>
              <a:noFill/>
              <a:ln>
                <a:noFill/>
              </a:ln>
              <a:effectLst/>
            </c:spPr>
            <c:txPr>
              <a:bodyPr rot="0" vert="horz"/>
              <a:lstStyle/>
              <a:p>
                <a:pPr>
                  <a:defRPr/>
                </a:pPr>
                <a:endParaRPr lang="en-CH"/>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xVal>
            <c:numRef>
              <c:f>'Sun-Earth-Moon Model'!$K$35</c:f>
              <c:numCache>
                <c:formatCode>0.00</c:formatCode>
                <c:ptCount val="1"/>
                <c:pt idx="0">
                  <c:v>0</c:v>
                </c:pt>
              </c:numCache>
            </c:numRef>
          </c:xVal>
          <c:yVal>
            <c:numRef>
              <c:f>'Sun-Earth-Moon Model'!$K$36</c:f>
              <c:numCache>
                <c:formatCode>0.00</c:formatCode>
                <c:ptCount val="1"/>
                <c:pt idx="0">
                  <c:v>0</c:v>
                </c:pt>
              </c:numCache>
            </c:numRef>
          </c:yVal>
          <c:smooth val="0"/>
          <c:extLst>
            <c:ext xmlns:c16="http://schemas.microsoft.com/office/drawing/2014/chart" uri="{C3380CC4-5D6E-409C-BE32-E72D297353CC}">
              <c16:uniqueId val="{00000004-3E64-8D4F-B7AB-C6414B3325CF}"/>
            </c:ext>
          </c:extLst>
        </c:ser>
        <c:ser>
          <c:idx val="6"/>
          <c:order val="3"/>
          <c:tx>
            <c:v>Earth</c:v>
          </c:tx>
          <c:spPr>
            <a:ln w="22225" cap="rnd">
              <a:noFill/>
            </a:ln>
            <a:effectLst>
              <a:glow rad="139700">
                <a:schemeClr val="accent1">
                  <a:lumMod val="60000"/>
                  <a:satMod val="175000"/>
                  <a:alpha val="14000"/>
                </a:schemeClr>
              </a:glow>
            </a:effectLst>
          </c:spPr>
          <c:marker>
            <c:symbol val="circle"/>
            <c:size val="5"/>
            <c:spPr>
              <a:solidFill>
                <a:srgbClr val="C00000"/>
              </a:solidFill>
              <a:ln w="95250" cap="rnd">
                <a:solidFill>
                  <a:srgbClr val="C00000"/>
                </a:solidFill>
                <a:miter lim="800000"/>
              </a:ln>
              <a:effectLst>
                <a:glow rad="63500">
                  <a:schemeClr val="accent1">
                    <a:lumMod val="60000"/>
                    <a:satMod val="175000"/>
                    <a:alpha val="25000"/>
                  </a:schemeClr>
                </a:glow>
              </a:effectLst>
            </c:spPr>
          </c:marker>
          <c:dPt>
            <c:idx val="0"/>
            <c:marker>
              <c:spPr>
                <a:solidFill>
                  <a:srgbClr val="C00000"/>
                </a:solidFill>
                <a:ln w="95250" cap="rnd">
                  <a:solidFill>
                    <a:srgbClr val="002060"/>
                  </a:solidFill>
                  <a:miter lim="800000"/>
                </a:ln>
                <a:effectLst>
                  <a:glow rad="63500">
                    <a:schemeClr val="accent1">
                      <a:lumMod val="60000"/>
                      <a:satMod val="175000"/>
                      <a:alpha val="25000"/>
                    </a:schemeClr>
                  </a:glow>
                </a:effectLst>
              </c:spPr>
            </c:marker>
            <c:bubble3D val="0"/>
            <c:extLst>
              <c:ext xmlns:c16="http://schemas.microsoft.com/office/drawing/2014/chart" uri="{C3380CC4-5D6E-409C-BE32-E72D297353CC}">
                <c16:uniqueId val="{00000005-3E64-8D4F-B7AB-C6414B3325CF}"/>
              </c:ext>
            </c:extLst>
          </c:dPt>
          <c:dLbls>
            <c:dLbl>
              <c:idx val="0"/>
              <c:layout>
                <c:manualLayout>
                  <c:x val="-3.7473867119836947E-2"/>
                  <c:y val="-2.7739251040221964E-2"/>
                </c:manualLayout>
              </c:layout>
              <c:tx>
                <c:rich>
                  <a:bodyPr/>
                  <a:lstStyle/>
                  <a:p>
                    <a:r>
                      <a:rPr lang="en-US"/>
                      <a:t>Earth</a:t>
                    </a:r>
                  </a:p>
                </c:rich>
              </c:tx>
              <c:showLegendKey val="0"/>
              <c:showVal val="1"/>
              <c:showCatName val="0"/>
              <c:showSerName val="0"/>
              <c:showPercent val="0"/>
              <c:showBubbleSize val="0"/>
              <c:extLst>
                <c:ext xmlns:c15="http://schemas.microsoft.com/office/drawing/2012/chart" uri="{CE6537A1-D6FC-4f65-9D91-7224C49458BB}">
                  <c15:layout>
                    <c:manualLayout>
                      <c:w val="5.1804247924942759E-2"/>
                      <c:h val="3.8585298196948684E-2"/>
                    </c:manualLayout>
                  </c15:layout>
                  <c15:showDataLabelsRange val="0"/>
                </c:ext>
                <c:ext xmlns:c16="http://schemas.microsoft.com/office/drawing/2014/chart" uri="{C3380CC4-5D6E-409C-BE32-E72D297353CC}">
                  <c16:uniqueId val="{00000005-3E64-8D4F-B7AB-C6414B3325CF}"/>
                </c:ext>
              </c:extLst>
            </c:dLbl>
            <c:spPr>
              <a:noFill/>
              <a:ln>
                <a:noFill/>
              </a:ln>
              <a:effectLst/>
            </c:spPr>
            <c:txPr>
              <a:bodyPr rot="0" vert="horz"/>
              <a:lstStyle/>
              <a:p>
                <a:pPr>
                  <a:defRPr/>
                </a:pPr>
                <a:endParaRPr lang="en-CH"/>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'Sun-Earth-Moon Model'!$C$67</c:f>
              <c:numCache>
                <c:formatCode>0.00</c:formatCode>
                <c:ptCount val="1"/>
                <c:pt idx="0">
                  <c:v>1.9569950427339833</c:v>
                </c:pt>
              </c:numCache>
            </c:numRef>
          </c:xVal>
          <c:yVal>
            <c:numRef>
              <c:f>'Sun-Earth-Moon Model'!$D$67</c:f>
              <c:numCache>
                <c:formatCode>0.00</c:formatCode>
                <c:ptCount val="1"/>
                <c:pt idx="0">
                  <c:v>2.2738008713857543</c:v>
                </c:pt>
              </c:numCache>
            </c:numRef>
          </c:yVal>
          <c:smooth val="0"/>
          <c:extLst>
            <c:ext xmlns:c16="http://schemas.microsoft.com/office/drawing/2014/chart" uri="{C3380CC4-5D6E-409C-BE32-E72D297353CC}">
              <c16:uniqueId val="{00000006-3E64-8D4F-B7AB-C6414B3325CF}"/>
            </c:ext>
          </c:extLst>
        </c:ser>
        <c:ser>
          <c:idx val="3"/>
          <c:order val="4"/>
          <c:tx>
            <c:v>AN</c:v>
          </c:tx>
          <c:spPr>
            <a:ln w="22225">
              <a:solidFill>
                <a:schemeClr val="tx1"/>
              </a:solidFill>
            </a:ln>
          </c:spPr>
          <c:marker>
            <c:symbol val="circle"/>
            <c:size val="7"/>
            <c:spPr>
              <a:solidFill>
                <a:schemeClr val="tx1"/>
              </a:solidFill>
              <a:ln w="12700" cap="rnd">
                <a:noFill/>
              </a:ln>
            </c:spPr>
          </c:marker>
          <c:dLbls>
            <c:dLbl>
              <c:idx val="0"/>
              <c:layout>
                <c:manualLayout>
                  <c:x val="-1.6655100624566273E-2"/>
                  <c:y val="-1.9417475728155366E-2"/>
                </c:manualLayout>
              </c:layout>
              <c:tx>
                <c:rich>
                  <a:bodyPr/>
                  <a:lstStyle/>
                  <a:p>
                    <a:r>
                      <a:rPr lang="en-US"/>
                      <a:t>AN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E64-8D4F-B7AB-C6414B3325C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'Sun-Earth-Moon Model'!$C$81</c:f>
              <c:numCache>
                <c:formatCode>0.00</c:formatCode>
                <c:ptCount val="1"/>
                <c:pt idx="0">
                  <c:v>0.47650279187487832</c:v>
                </c:pt>
              </c:numCache>
            </c:numRef>
          </c:xVal>
          <c:yVal>
            <c:numRef>
              <c:f>'Sun-Earth-Moon Model'!$D$81</c:f>
              <c:numCache>
                <c:formatCode>0.00</c:formatCode>
                <c:ptCount val="1"/>
                <c:pt idx="0">
                  <c:v>2.5149288356415433</c:v>
                </c:pt>
              </c:numCache>
            </c:numRef>
          </c:yVal>
          <c:smooth val="0"/>
          <c:extLst>
            <c:ext xmlns:c16="http://schemas.microsoft.com/office/drawing/2014/chart" uri="{C3380CC4-5D6E-409C-BE32-E72D297353CC}">
              <c16:uniqueId val="{00000008-3E64-8D4F-B7AB-C6414B3325CF}"/>
            </c:ext>
          </c:extLst>
        </c:ser>
        <c:ser>
          <c:idx val="4"/>
          <c:order val="5"/>
          <c:tx>
            <c:v>DN</c:v>
          </c:tx>
          <c:spPr>
            <a:ln w="22225">
              <a:solidFill>
                <a:schemeClr val="tx1"/>
              </a:solidFill>
            </a:ln>
          </c:spPr>
          <c:marker>
            <c:symbol val="circle"/>
            <c:size val="7"/>
            <c:spPr>
              <a:solidFill>
                <a:schemeClr val="tx1"/>
              </a:solidFill>
              <a:ln w="12700" cap="rnd">
                <a:noFill/>
              </a:ln>
            </c:spPr>
          </c:marker>
          <c:dLbls>
            <c:dLbl>
              <c:idx val="0"/>
              <c:tx>
                <c:rich>
                  <a:bodyPr/>
                  <a:lstStyle/>
                  <a:p>
                    <a:r>
                      <a:rPr lang="en-US"/>
                      <a:t>DN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E64-8D4F-B7AB-C6414B3325C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'Sun-Earth-Moon Model'!$C$80</c:f>
              <c:numCache>
                <c:formatCode>0.00</c:formatCode>
                <c:ptCount val="1"/>
                <c:pt idx="0">
                  <c:v>3.4374872935930885</c:v>
                </c:pt>
              </c:numCache>
            </c:numRef>
          </c:xVal>
          <c:yVal>
            <c:numRef>
              <c:f>'Sun-Earth-Moon Model'!$D$80</c:f>
              <c:numCache>
                <c:formatCode>0.00</c:formatCode>
                <c:ptCount val="1"/>
                <c:pt idx="0">
                  <c:v>2.0326729071299652</c:v>
                </c:pt>
              </c:numCache>
            </c:numRef>
          </c:yVal>
          <c:smooth val="0"/>
          <c:extLst>
            <c:ext xmlns:c16="http://schemas.microsoft.com/office/drawing/2014/chart" uri="{C3380CC4-5D6E-409C-BE32-E72D297353CC}">
              <c16:uniqueId val="{0000000A-3E64-8D4F-B7AB-C6414B3325CF}"/>
            </c:ext>
          </c:extLst>
        </c:ser>
        <c:ser>
          <c:idx val="8"/>
          <c:order val="6"/>
          <c:tx>
            <c:v>Moon</c:v>
          </c:tx>
          <c:spPr>
            <a:ln w="22225">
              <a:solidFill>
                <a:schemeClr val="tx1"/>
              </a:solidFill>
            </a:ln>
          </c:spPr>
          <c:marker>
            <c:symbol val="circle"/>
            <c:size val="7"/>
            <c:spPr>
              <a:solidFill>
                <a:srgbClr val="FFFF00"/>
              </a:solidFill>
              <a:ln>
                <a:solidFill>
                  <a:schemeClr val="tx1"/>
                </a:solidFill>
              </a:ln>
            </c:spPr>
          </c:marker>
          <c:dLbls>
            <c:dLbl>
              <c:idx val="0"/>
              <c:tx>
                <c:rich>
                  <a:bodyPr/>
                  <a:lstStyle/>
                  <a:p>
                    <a:r>
                      <a:rPr lang="en-US"/>
                      <a:t>Moon</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E64-8D4F-B7AB-C6414B3325C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'Sun-Earth-Moon Model'!$C$78</c:f>
              <c:numCache>
                <c:formatCode>0.00</c:formatCode>
                <c:ptCount val="1"/>
                <c:pt idx="0">
                  <c:v>2.6800364349071888</c:v>
                </c:pt>
              </c:numCache>
            </c:numRef>
          </c:xVal>
          <c:yVal>
            <c:numRef>
              <c:f>'Sun-Earth-Moon Model'!$D$78</c:f>
              <c:numCache>
                <c:formatCode>0.00</c:formatCode>
                <c:ptCount val="1"/>
                <c:pt idx="0">
                  <c:v>0.95956681871315919</c:v>
                </c:pt>
              </c:numCache>
            </c:numRef>
          </c:yVal>
          <c:smooth val="0"/>
          <c:extLst>
            <c:ext xmlns:c16="http://schemas.microsoft.com/office/drawing/2014/chart" uri="{C3380CC4-5D6E-409C-BE32-E72D297353CC}">
              <c16:uniqueId val="{0000000C-3E64-8D4F-B7AB-C6414B3325CF}"/>
            </c:ext>
          </c:extLst>
        </c:ser>
        <c:ser>
          <c:idx val="11"/>
          <c:order val="7"/>
          <c:tx>
            <c:v>Perigee</c:v>
          </c:tx>
          <c:marker>
            <c:symbol val="circle"/>
            <c:size val="7"/>
            <c:spPr>
              <a:ln>
                <a:noFill/>
              </a:ln>
            </c:spPr>
          </c:marker>
          <c:dPt>
            <c:idx val="0"/>
            <c:marker>
              <c:spPr>
                <a:solidFill>
                  <a:schemeClr val="tx1"/>
                </a:solidFill>
                <a:ln w="22225">
                  <a:noFill/>
                </a:ln>
              </c:spPr>
            </c:marker>
            <c:bubble3D val="0"/>
            <c:spPr>
              <a:ln>
                <a:solidFill>
                  <a:schemeClr val="tx1"/>
                </a:solidFill>
              </a:ln>
            </c:spPr>
            <c:extLst>
              <c:ext xmlns:c16="http://schemas.microsoft.com/office/drawing/2014/chart" uri="{C3380CC4-5D6E-409C-BE32-E72D297353CC}">
                <c16:uniqueId val="{0000000E-3E64-8D4F-B7AB-C6414B3325CF}"/>
              </c:ext>
            </c:extLst>
          </c:dPt>
          <c:dLbls>
            <c:dLbl>
              <c:idx val="0"/>
              <c:tx>
                <c:rich>
                  <a:bodyPr/>
                  <a:lstStyle/>
                  <a:p>
                    <a:r>
                      <a:rPr lang="en-US"/>
                      <a:t>Perigee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E64-8D4F-B7AB-C6414B3325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'Sun-Earth-Moon Model'!$C$83</c:f>
              <c:numCache>
                <c:formatCode>0.00</c:formatCode>
                <c:ptCount val="1"/>
                <c:pt idx="0">
                  <c:v>3.3878240380707418</c:v>
                </c:pt>
              </c:numCache>
            </c:numRef>
          </c:xVal>
          <c:yVal>
            <c:numRef>
              <c:f>'Sun-Earth-Moon Model'!$D$83</c:f>
              <c:numCache>
                <c:formatCode>0.00</c:formatCode>
                <c:ptCount val="1"/>
                <c:pt idx="0">
                  <c:v>1.8235471805584587</c:v>
                </c:pt>
              </c:numCache>
            </c:numRef>
          </c:yVal>
          <c:smooth val="0"/>
          <c:extLst>
            <c:ext xmlns:c16="http://schemas.microsoft.com/office/drawing/2014/chart" uri="{C3380CC4-5D6E-409C-BE32-E72D297353CC}">
              <c16:uniqueId val="{0000000F-3E64-8D4F-B7AB-C6414B3325CF}"/>
            </c:ext>
          </c:extLst>
        </c:ser>
        <c:ser>
          <c:idx val="12"/>
          <c:order val="8"/>
          <c:tx>
            <c:v>Apogee</c:v>
          </c:tx>
          <c:spPr>
            <a:ln w="22225">
              <a:solidFill>
                <a:schemeClr val="tx1"/>
              </a:solidFill>
            </a:ln>
          </c:spPr>
          <c:marker>
            <c:symbol val="circle"/>
            <c:size val="7"/>
            <c:spPr>
              <a:solidFill>
                <a:schemeClr val="tx1"/>
              </a:solidFill>
              <a:ln>
                <a:noFill/>
              </a:ln>
            </c:spPr>
          </c:marker>
          <c:dLbls>
            <c:dLbl>
              <c:idx val="0"/>
              <c:tx>
                <c:rich>
                  <a:bodyPr/>
                  <a:lstStyle/>
                  <a:p>
                    <a:r>
                      <a:rPr lang="en-US"/>
                      <a:t>Apogee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3E64-8D4F-B7AB-C6414B3325C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'Sun-Earth-Moon Model'!$C$84</c:f>
              <c:numCache>
                <c:formatCode>0.00</c:formatCode>
                <c:ptCount val="1"/>
                <c:pt idx="0">
                  <c:v>0.52616604739722472</c:v>
                </c:pt>
              </c:numCache>
            </c:numRef>
          </c:xVal>
          <c:yVal>
            <c:numRef>
              <c:f>'Sun-Earth-Moon Model'!$D$84</c:f>
              <c:numCache>
                <c:formatCode>0.00</c:formatCode>
                <c:ptCount val="1"/>
                <c:pt idx="0">
                  <c:v>2.7240545622130501</c:v>
                </c:pt>
              </c:numCache>
            </c:numRef>
          </c:yVal>
          <c:smooth val="0"/>
          <c:extLst>
            <c:ext xmlns:c16="http://schemas.microsoft.com/office/drawing/2014/chart" uri="{C3380CC4-5D6E-409C-BE32-E72D297353CC}">
              <c16:uniqueId val="{00000011-3E64-8D4F-B7AB-C6414B3325CF}"/>
            </c:ext>
          </c:extLst>
        </c:ser>
        <c:ser>
          <c:idx val="13"/>
          <c:order val="9"/>
          <c:tx>
            <c:v>Perigee-Apogee</c:v>
          </c:tx>
          <c:spPr>
            <a:ln>
              <a:prstDash val="sysDot"/>
            </a:ln>
          </c:spPr>
          <c:marker>
            <c:symbol val="none"/>
          </c:marker>
          <c:xVal>
            <c:numRef>
              <c:f>'Sun-Earth-Moon Model'!$C$83:$C$84</c:f>
              <c:numCache>
                <c:formatCode>0.00</c:formatCode>
                <c:ptCount val="2"/>
                <c:pt idx="0">
                  <c:v>3.3878240380707418</c:v>
                </c:pt>
                <c:pt idx="1">
                  <c:v>0.52616604739722472</c:v>
                </c:pt>
              </c:numCache>
            </c:numRef>
          </c:xVal>
          <c:yVal>
            <c:numRef>
              <c:f>'Sun-Earth-Moon Model'!$D$83:$D$84</c:f>
              <c:numCache>
                <c:formatCode>0.00</c:formatCode>
                <c:ptCount val="2"/>
                <c:pt idx="0">
                  <c:v>1.8235471805584587</c:v>
                </c:pt>
                <c:pt idx="1">
                  <c:v>2.7240545622130501</c:v>
                </c:pt>
              </c:numCache>
            </c:numRef>
          </c:yVal>
          <c:smooth val="0"/>
          <c:extLst>
            <c:ext xmlns:c16="http://schemas.microsoft.com/office/drawing/2014/chart" uri="{C3380CC4-5D6E-409C-BE32-E72D297353CC}">
              <c16:uniqueId val="{00000012-3E64-8D4F-B7AB-C6414B3325CF}"/>
            </c:ext>
          </c:extLst>
        </c:ser>
        <c:ser>
          <c:idx val="14"/>
          <c:order val="10"/>
          <c:tx>
            <c:v>DN-AN</c:v>
          </c:tx>
          <c:spPr>
            <a:ln>
              <a:prstDash val="sysDot"/>
            </a:ln>
          </c:spPr>
          <c:marker>
            <c:symbol val="none"/>
          </c:marker>
          <c:xVal>
            <c:numRef>
              <c:f>'Sun-Earth-Moon Model'!$C$80:$C$81</c:f>
              <c:numCache>
                <c:formatCode>0.00</c:formatCode>
                <c:ptCount val="2"/>
                <c:pt idx="0">
                  <c:v>3.4374872935930885</c:v>
                </c:pt>
                <c:pt idx="1">
                  <c:v>0.47650279187487832</c:v>
                </c:pt>
              </c:numCache>
            </c:numRef>
          </c:xVal>
          <c:yVal>
            <c:numRef>
              <c:f>'Sun-Earth-Moon Model'!$D$80:$D$81</c:f>
              <c:numCache>
                <c:formatCode>0.00</c:formatCode>
                <c:ptCount val="2"/>
                <c:pt idx="0">
                  <c:v>2.0326729071299652</c:v>
                </c:pt>
                <c:pt idx="1">
                  <c:v>2.5149288356415433</c:v>
                </c:pt>
              </c:numCache>
            </c:numRef>
          </c:yVal>
          <c:smooth val="0"/>
          <c:extLst>
            <c:ext xmlns:c16="http://schemas.microsoft.com/office/drawing/2014/chart" uri="{C3380CC4-5D6E-409C-BE32-E72D297353CC}">
              <c16:uniqueId val="{00000013-3E64-8D4F-B7AB-C6414B3325CF}"/>
            </c:ext>
          </c:extLst>
        </c:ser>
        <c:ser>
          <c:idx val="0"/>
          <c:order val="11"/>
          <c:tx>
            <c:v>Moon-pos</c:v>
          </c:tx>
          <c:spPr>
            <a:ln>
              <a:solidFill>
                <a:schemeClr val="bg1">
                  <a:lumMod val="50000"/>
                </a:schemeClr>
              </a:solidFill>
            </a:ln>
          </c:spPr>
          <c:marker>
            <c:symbol val="circle"/>
            <c:size val="10"/>
            <c:spPr>
              <a:solidFill>
                <a:srgbClr val="FFFF00"/>
              </a:solidFill>
              <a:ln w="25400">
                <a:solidFill>
                  <a:schemeClr val="tx1"/>
                </a:solidFill>
              </a:ln>
            </c:spPr>
          </c:marker>
          <c:dPt>
            <c:idx val="1"/>
            <c:marker>
              <c:spPr>
                <a:solidFill>
                  <a:schemeClr val="accent3"/>
                </a:solidFill>
                <a:ln w="25400">
                  <a:solidFill>
                    <a:schemeClr val="tx1"/>
                  </a:solidFill>
                </a:ln>
              </c:spPr>
            </c:marker>
            <c:bubble3D val="0"/>
            <c:extLst>
              <c:ext xmlns:c16="http://schemas.microsoft.com/office/drawing/2014/chart" uri="{C3380CC4-5D6E-409C-BE32-E72D297353CC}">
                <c16:uniqueId val="{00000014-3E64-8D4F-B7AB-C6414B3325CF}"/>
              </c:ext>
            </c:extLst>
          </c:dPt>
          <c:xVal>
            <c:numRef>
              <c:f>'Sun-Earth-Moon Model'!$C$77:$C$78</c:f>
              <c:numCache>
                <c:formatCode>0.00</c:formatCode>
                <c:ptCount val="2"/>
                <c:pt idx="0">
                  <c:v>0</c:v>
                </c:pt>
                <c:pt idx="1">
                  <c:v>2.6800364349071888</c:v>
                </c:pt>
              </c:numCache>
            </c:numRef>
          </c:xVal>
          <c:yVal>
            <c:numRef>
              <c:f>'Sun-Earth-Moon Model'!$D$77:$D$78</c:f>
              <c:numCache>
                <c:formatCode>0.00</c:formatCode>
                <c:ptCount val="2"/>
                <c:pt idx="0">
                  <c:v>0</c:v>
                </c:pt>
                <c:pt idx="1">
                  <c:v>0.95956681871315919</c:v>
                </c:pt>
              </c:numCache>
            </c:numRef>
          </c:yVal>
          <c:smooth val="0"/>
          <c:extLst>
            <c:ext xmlns:c16="http://schemas.microsoft.com/office/drawing/2014/chart" uri="{C3380CC4-5D6E-409C-BE32-E72D297353CC}">
              <c16:uniqueId val="{00000015-3E64-8D4F-B7AB-C6414B3325CF}"/>
            </c:ext>
          </c:extLst>
        </c:ser>
        <c:ser>
          <c:idx val="7"/>
          <c:order val="12"/>
          <c:tx>
            <c:v>Earth-pos</c:v>
          </c:tx>
          <c:spPr>
            <a:ln>
              <a:solidFill>
                <a:srgbClr val="002060"/>
              </a:solidFill>
            </a:ln>
          </c:spPr>
          <c:marker>
            <c:symbol val="none"/>
          </c:marker>
          <c:xVal>
            <c:numRef>
              <c:f>'Sun-Earth-Moon Model'!$C$75:$C$76</c:f>
              <c:numCache>
                <c:formatCode>0.00</c:formatCode>
                <c:ptCount val="2"/>
                <c:pt idx="0">
                  <c:v>0</c:v>
                </c:pt>
                <c:pt idx="1">
                  <c:v>1.9569950427339833</c:v>
                </c:pt>
              </c:numCache>
            </c:numRef>
          </c:xVal>
          <c:yVal>
            <c:numRef>
              <c:f>'Sun-Earth-Moon Model'!$D$75:$D$76</c:f>
              <c:numCache>
                <c:formatCode>0.00</c:formatCode>
                <c:ptCount val="2"/>
                <c:pt idx="0">
                  <c:v>0</c:v>
                </c:pt>
                <c:pt idx="1">
                  <c:v>2.2738008713857543</c:v>
                </c:pt>
              </c:numCache>
            </c:numRef>
          </c:yVal>
          <c:smooth val="0"/>
          <c:extLst>
            <c:ext xmlns:c16="http://schemas.microsoft.com/office/drawing/2014/chart" uri="{C3380CC4-5D6E-409C-BE32-E72D297353CC}">
              <c16:uniqueId val="{00000016-3E64-8D4F-B7AB-C6414B3325CF}"/>
            </c:ext>
          </c:extLst>
        </c:ser>
        <c:dLbls>
          <c:showLegendKey val="0"/>
          <c:showVal val="0"/>
          <c:showCatName val="0"/>
          <c:showSerName val="0"/>
          <c:showPercent val="0"/>
          <c:showBubbleSize val="0"/>
        </c:dLbls>
        <c:axId val="672599200"/>
        <c:axId val="672864240"/>
      </c:scatterChart>
      <c:valAx>
        <c:axId val="672599200"/>
        <c:scaling>
          <c:orientation val="minMax"/>
          <c:max val="5"/>
          <c:min val="-5"/>
        </c:scaling>
        <c:delete val="1"/>
        <c:axPos val="b"/>
        <c:numFmt formatCode="0" sourceLinked="0"/>
        <c:majorTickMark val="none"/>
        <c:minorTickMark val="none"/>
        <c:tickLblPos val="nextTo"/>
        <c:crossAx val="672864240"/>
        <c:crosses val="autoZero"/>
        <c:crossBetween val="midCat"/>
        <c:majorUnit val="5"/>
        <c:minorUnit val="5"/>
      </c:valAx>
      <c:valAx>
        <c:axId val="672864240"/>
        <c:scaling>
          <c:orientation val="minMax"/>
          <c:max val="5"/>
          <c:min val="-5"/>
        </c:scaling>
        <c:delete val="1"/>
        <c:axPos val="l"/>
        <c:numFmt formatCode="0" sourceLinked="0"/>
        <c:majorTickMark val="none"/>
        <c:minorTickMark val="none"/>
        <c:tickLblPos val="nextTo"/>
        <c:crossAx val="672599200"/>
        <c:crosses val="autoZero"/>
        <c:crossBetween val="midCat"/>
        <c:majorUnit val="5"/>
        <c:minorUnit val="5"/>
      </c:valAx>
      <c:spPr>
        <a:solidFill>
          <a:schemeClr val="bg1"/>
        </a:solidFill>
        <a:ln>
          <a:noFill/>
        </a:ln>
        <a:effectLst/>
      </c:spPr>
    </c:plotArea>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latin typeface="Calibri" panose="020F0502020204030204" pitchFamily="34" charset="0"/>
          <a:cs typeface="Calibri" panose="020F0502020204030204" pitchFamily="34" charset="0"/>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957908635653674E-2"/>
          <c:y val="8.8570188110700786E-3"/>
          <c:w val="0.97273465049997587"/>
          <c:h val="0.98626932728264161"/>
        </c:manualLayout>
      </c:layout>
      <c:pieChart>
        <c:varyColors val="1"/>
        <c:ser>
          <c:idx val="1"/>
          <c:order val="0"/>
          <c:tx>
            <c:v>k</c:v>
          </c:tx>
          <c:spPr>
            <a:noFill/>
            <a:ln>
              <a:noFill/>
            </a:ln>
          </c:spPr>
          <c:dPt>
            <c:idx val="0"/>
            <c:bubble3D val="0"/>
            <c:spPr>
              <a:noFill/>
              <a:ln>
                <a:noFill/>
              </a:ln>
              <a:effectLst/>
            </c:spPr>
            <c:extLst>
              <c:ext xmlns:c16="http://schemas.microsoft.com/office/drawing/2014/chart" uri="{C3380CC4-5D6E-409C-BE32-E72D297353CC}">
                <c16:uniqueId val="{00000001-E4BC-4F4C-A094-72AB5B0C85F8}"/>
              </c:ext>
            </c:extLst>
          </c:dPt>
          <c:val>
            <c:numLit>
              <c:formatCode>General</c:formatCode>
              <c:ptCount val="1"/>
              <c:pt idx="0">
                <c:v>1</c:v>
              </c:pt>
            </c:numLit>
          </c:val>
          <c:extLst>
            <c:ext xmlns:c16="http://schemas.microsoft.com/office/drawing/2014/chart" uri="{C3380CC4-5D6E-409C-BE32-E72D297353CC}">
              <c16:uniqueId val="{00000002-E4BC-4F4C-A094-72AB5B0C85F8}"/>
            </c:ext>
          </c:extLst>
        </c:ser>
        <c:dLbls>
          <c:showLegendKey val="0"/>
          <c:showVal val="0"/>
          <c:showCatName val="0"/>
          <c:showSerName val="0"/>
          <c:showPercent val="0"/>
          <c:showBubbleSize val="0"/>
          <c:showLeaderLines val="1"/>
        </c:dLbls>
        <c:firstSliceAng val="0"/>
      </c:pieChart>
      <c:areaChart>
        <c:grouping val="stacked"/>
        <c:varyColors val="0"/>
        <c:ser>
          <c:idx val="2"/>
          <c:order val="1"/>
          <c:tx>
            <c:strRef>
              <c:f>Calculations!$D$8</c:f>
              <c:strCache>
                <c:ptCount val="1"/>
                <c:pt idx="0">
                  <c:v>black bottom</c:v>
                </c:pt>
              </c:strCache>
            </c:strRef>
          </c:tx>
          <c:spPr>
            <a:solidFill>
              <a:schemeClr val="tx1"/>
            </a:solidFill>
            <a:ln w="9525">
              <a:solidFill>
                <a:schemeClr val="tx1"/>
              </a:solidFill>
            </a:ln>
            <a:effectLst/>
          </c:spPr>
          <c:val>
            <c:numRef>
              <c:f>Calculations!$D$9:$D$209</c:f>
              <c:numCache>
                <c:formatCode>General</c:formatCode>
                <c:ptCount val="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numCache>
            </c:numRef>
          </c:val>
          <c:extLst>
            <c:ext xmlns:c16="http://schemas.microsoft.com/office/drawing/2014/chart" uri="{C3380CC4-5D6E-409C-BE32-E72D297353CC}">
              <c16:uniqueId val="{00000003-E4BC-4F4C-A094-72AB5B0C85F8}"/>
            </c:ext>
          </c:extLst>
        </c:ser>
        <c:ser>
          <c:idx val="0"/>
          <c:order val="2"/>
          <c:tx>
            <c:strRef>
              <c:f>Calculations!$E$8</c:f>
              <c:strCache>
                <c:ptCount val="1"/>
                <c:pt idx="0">
                  <c:v>transparent</c:v>
                </c:pt>
              </c:strCache>
            </c:strRef>
          </c:tx>
          <c:spPr>
            <a:noFill/>
            <a:ln w="25400">
              <a:noFill/>
            </a:ln>
            <a:effectLst/>
          </c:spPr>
          <c:val>
            <c:numRef>
              <c:f>Calculations!$E$9:$E$209</c:f>
              <c:numCache>
                <c:formatCode>General</c:formatCode>
                <c:ptCount val="20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4.0912007906290793E-4</c:v>
                </c:pt>
                <c:pt idx="102">
                  <c:v>1.6374862383637945E-3</c:v>
                </c:pt>
                <c:pt idx="103">
                  <c:v>3.6881286514649503E-3</c:v>
                </c:pt>
                <c:pt idx="104">
                  <c:v>6.566139323903819E-3</c:v>
                </c:pt>
                <c:pt idx="105">
                  <c:v>1.0278735942369832E-2</c:v>
                </c:pt>
                <c:pt idx="106">
                  <c:v>1.4835353882367452E-2</c:v>
                </c:pt>
                <c:pt idx="107">
                  <c:v>2.0247769160716023E-2</c:v>
                </c:pt>
                <c:pt idx="108">
                  <c:v>2.6530256170612221E-2</c:v>
                </c:pt>
                <c:pt idx="109">
                  <c:v>3.3699785309875385E-2</c:v>
                </c:pt>
                <c:pt idx="110">
                  <c:v>4.1776267194693961E-2</c:v>
                </c:pt>
                <c:pt idx="111">
                  <c:v>5.0782852159362402E-2</c:v>
                </c:pt>
                <c:pt idx="112">
                  <c:v>6.0746296339310613E-2</c:v>
                </c:pt>
                <c:pt idx="113">
                  <c:v>7.1697409048021687E-2</c:v>
                </c:pt>
                <c:pt idx="114">
                  <c:v>8.3671600713905447E-2</c:v>
                </c:pt>
                <c:pt idx="115">
                  <c:v>9.6709556814363551E-2</c:v>
                </c:pt>
                <c:pt idx="116">
                  <c:v>0.11085807173150497</c:v>
                </c:pt>
                <c:pt idx="117">
                  <c:v>0.1261710883120436</c:v>
                </c:pt>
                <c:pt idx="118">
                  <c:v>0.14271100576251095</c:v>
                </c:pt>
                <c:pt idx="119">
                  <c:v>0.16055034289010539</c:v>
                </c:pt>
                <c:pt idx="120">
                  <c:v>0.17977387968600966</c:v>
                </c:pt>
                <c:pt idx="121">
                  <c:v>0.20048145455468769</c:v>
                </c:pt>
                <c:pt idx="122">
                  <c:v>0.22279167849355719</c:v>
                </c:pt>
                <c:pt idx="123">
                  <c:v>0.24684696112346272</c:v>
                </c:pt>
                <c:pt idx="124">
                  <c:v>0.27282046277326344</c:v>
                </c:pt>
                <c:pt idx="125">
                  <c:v>0.30092596014739248</c:v>
                </c:pt>
                <c:pt idx="126">
                  <c:v>0.33143227607621828</c:v>
                </c:pt>
                <c:pt idx="127">
                  <c:v>0.36468516136356943</c:v>
                </c:pt>
                <c:pt idx="128">
                  <c:v>0.40114196895017906</c:v>
                </c:pt>
                <c:pt idx="129">
                  <c:v>0.44142968843991592</c:v>
                </c:pt>
                <c:pt idx="130">
                  <c:v>0.4864491271529009</c:v>
                </c:pt>
                <c:pt idx="131">
                  <c:v>0.53758021291262614</c:v>
                </c:pt>
                <c:pt idx="132">
                  <c:v>0.59714335748299574</c:v>
                </c:pt>
                <c:pt idx="133">
                  <c:v>0.66966873627759438</c:v>
                </c:pt>
                <c:pt idx="134">
                  <c:v>0.76695951509011095</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numCache>
            </c:numRef>
          </c:val>
          <c:extLst>
            <c:ext xmlns:c16="http://schemas.microsoft.com/office/drawing/2014/chart" uri="{C3380CC4-5D6E-409C-BE32-E72D297353CC}">
              <c16:uniqueId val="{00000004-E4BC-4F4C-A094-72AB5B0C85F8}"/>
            </c:ext>
          </c:extLst>
        </c:ser>
        <c:ser>
          <c:idx val="3"/>
          <c:order val="3"/>
          <c:tx>
            <c:strRef>
              <c:f>Calculations!$F$8</c:f>
              <c:strCache>
                <c:ptCount val="1"/>
                <c:pt idx="0">
                  <c:v>black top</c:v>
                </c:pt>
              </c:strCache>
            </c:strRef>
          </c:tx>
          <c:spPr>
            <a:solidFill>
              <a:schemeClr val="tx1"/>
            </a:solidFill>
            <a:ln w="9525">
              <a:noFill/>
            </a:ln>
            <a:effectLst/>
          </c:spPr>
          <c:val>
            <c:numRef>
              <c:f>Calculations!$F$9:$F$209</c:f>
              <c:numCache>
                <c:formatCode>General</c:formatCode>
                <c:ptCount val="20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1.9991817598418742</c:v>
                </c:pt>
                <c:pt idx="102">
                  <c:v>1.9967250275232724</c:v>
                </c:pt>
                <c:pt idx="103">
                  <c:v>1.9926237426970701</c:v>
                </c:pt>
                <c:pt idx="104">
                  <c:v>1.9868677213521924</c:v>
                </c:pt>
                <c:pt idx="105">
                  <c:v>1.9794425281152603</c:v>
                </c:pt>
                <c:pt idx="106">
                  <c:v>1.9703292922352651</c:v>
                </c:pt>
                <c:pt idx="107">
                  <c:v>1.959504461678568</c:v>
                </c:pt>
                <c:pt idx="108">
                  <c:v>1.9469394876587756</c:v>
                </c:pt>
                <c:pt idx="109">
                  <c:v>1.9326004293802492</c:v>
                </c:pt>
                <c:pt idx="110">
                  <c:v>1.9164474656106121</c:v>
                </c:pt>
                <c:pt idx="111">
                  <c:v>1.8984342956812752</c:v>
                </c:pt>
                <c:pt idx="112">
                  <c:v>1.8785074073213788</c:v>
                </c:pt>
                <c:pt idx="113">
                  <c:v>1.8566051819039566</c:v>
                </c:pt>
                <c:pt idx="114">
                  <c:v>1.8326567985721891</c:v>
                </c:pt>
                <c:pt idx="115">
                  <c:v>1.8065808863712729</c:v>
                </c:pt>
                <c:pt idx="116">
                  <c:v>1.7782838565369901</c:v>
                </c:pt>
                <c:pt idx="117">
                  <c:v>1.7476578233759128</c:v>
                </c:pt>
                <c:pt idx="118">
                  <c:v>1.7145779884749781</c:v>
                </c:pt>
                <c:pt idx="119">
                  <c:v>1.6788993142197892</c:v>
                </c:pt>
                <c:pt idx="120">
                  <c:v>1.6404522406279807</c:v>
                </c:pt>
                <c:pt idx="121">
                  <c:v>1.5990370908906246</c:v>
                </c:pt>
                <c:pt idx="122">
                  <c:v>1.5544166430128856</c:v>
                </c:pt>
                <c:pt idx="123">
                  <c:v>1.5063060777530746</c:v>
                </c:pt>
                <c:pt idx="124">
                  <c:v>1.4543590744534731</c:v>
                </c:pt>
                <c:pt idx="125">
                  <c:v>1.398148079705215</c:v>
                </c:pt>
                <c:pt idx="126">
                  <c:v>1.3371354478475634</c:v>
                </c:pt>
                <c:pt idx="127">
                  <c:v>1.2706296772728611</c:v>
                </c:pt>
                <c:pt idx="128">
                  <c:v>1.1977160620996419</c:v>
                </c:pt>
                <c:pt idx="129">
                  <c:v>1.1171406231201682</c:v>
                </c:pt>
                <c:pt idx="130">
                  <c:v>1.0271017456941982</c:v>
                </c:pt>
                <c:pt idx="131">
                  <c:v>0.9248395741747476</c:v>
                </c:pt>
                <c:pt idx="132">
                  <c:v>0.80571328503400852</c:v>
                </c:pt>
                <c:pt idx="133">
                  <c:v>0.66066252744481113</c:v>
                </c:pt>
                <c:pt idx="134">
                  <c:v>0.46608096981977803</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numCache>
            </c:numRef>
          </c:val>
          <c:extLst>
            <c:ext xmlns:c16="http://schemas.microsoft.com/office/drawing/2014/chart" uri="{C3380CC4-5D6E-409C-BE32-E72D297353CC}">
              <c16:uniqueId val="{00000005-E4BC-4F4C-A094-72AB5B0C85F8}"/>
            </c:ext>
          </c:extLst>
        </c:ser>
        <c:dLbls>
          <c:showLegendKey val="0"/>
          <c:showVal val="0"/>
          <c:showCatName val="0"/>
          <c:showSerName val="0"/>
          <c:showPercent val="0"/>
          <c:showBubbleSize val="0"/>
        </c:dLbls>
        <c:axId val="239354064"/>
        <c:axId val="239352496"/>
      </c:areaChart>
      <c:catAx>
        <c:axId val="239354064"/>
        <c:scaling>
          <c:orientation val="minMax"/>
        </c:scaling>
        <c:delete val="1"/>
        <c:axPos val="b"/>
        <c:majorTickMark val="none"/>
        <c:minorTickMark val="none"/>
        <c:tickLblPos val="nextTo"/>
        <c:crossAx val="239352496"/>
        <c:crosses val="autoZero"/>
        <c:auto val="1"/>
        <c:lblAlgn val="ctr"/>
        <c:lblOffset val="100"/>
        <c:noMultiLvlLbl val="0"/>
      </c:catAx>
      <c:valAx>
        <c:axId val="239352496"/>
        <c:scaling>
          <c:orientation val="minMax"/>
          <c:max val="2"/>
          <c:min val="0"/>
        </c:scaling>
        <c:delete val="1"/>
        <c:axPos val="l"/>
        <c:numFmt formatCode="General" sourceLinked="1"/>
        <c:majorTickMark val="out"/>
        <c:minorTickMark val="none"/>
        <c:tickLblPos val="nextTo"/>
        <c:crossAx val="239354064"/>
        <c:crosses val="autoZero"/>
        <c:crossBetween val="midCat"/>
      </c:valAx>
      <c:spPr>
        <a:blipFill>
          <a:blip xmlns:r="http://schemas.openxmlformats.org/officeDocument/2006/relationships" r:embed="rId3"/>
          <a:stretch>
            <a:fillRect/>
          </a:stretch>
        </a:blipFill>
        <a:ln>
          <a:noFill/>
        </a:ln>
        <a:effectLst/>
      </c:spPr>
    </c:plotArea>
    <c:plotVisOnly val="0"/>
    <c:dispBlanksAs val="gap"/>
    <c:showDLblsOverMax val="0"/>
  </c:chart>
  <c:spPr>
    <a:solidFill>
      <a:schemeClr val="tx1"/>
    </a:solidFill>
    <a:ln w="9525" cap="flat" cmpd="sng" algn="ctr">
      <a:no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hyperlink" Target="https://en.wikipedia.org/wiki/Eclipse_cycle" TargetMode="Externa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571500</xdr:colOff>
      <xdr:row>41</xdr:row>
      <xdr:rowOff>25400</xdr:rowOff>
    </xdr:from>
    <xdr:to>
      <xdr:col>9</xdr:col>
      <xdr:colOff>190500</xdr:colOff>
      <xdr:row>50</xdr:row>
      <xdr:rowOff>139700</xdr:rowOff>
    </xdr:to>
    <xdr:pic>
      <xdr:nvPicPr>
        <xdr:cNvPr id="2" name="Picture 1">
          <a:hlinkClick xmlns:r="http://schemas.openxmlformats.org/officeDocument/2006/relationships" r:id="rId1"/>
          <a:extLst>
            <a:ext uri="{FF2B5EF4-FFF2-40B4-BE49-F238E27FC236}">
              <a16:creationId xmlns:a16="http://schemas.microsoft.com/office/drawing/2014/main" id="{B959CF2B-7BBC-75D2-8EE2-E5E4F9DC6ED1}"/>
            </a:ext>
          </a:extLst>
        </xdr:cNvPr>
        <xdr:cNvPicPr>
          <a:picLocks noChangeAspect="1"/>
        </xdr:cNvPicPr>
      </xdr:nvPicPr>
      <xdr:blipFill>
        <a:blip xmlns:r="http://schemas.openxmlformats.org/officeDocument/2006/relationships" r:embed="rId2"/>
        <a:stretch>
          <a:fillRect/>
        </a:stretch>
      </xdr:blipFill>
      <xdr:spPr>
        <a:xfrm>
          <a:off x="2222500" y="8458200"/>
          <a:ext cx="5397500" cy="1943100"/>
        </a:xfrm>
        <a:prstGeom prst="rect">
          <a:avLst/>
        </a:prstGeom>
      </xdr:spPr>
    </xdr:pic>
    <xdr:clientData/>
  </xdr:twoCellAnchor>
  <xdr:twoCellAnchor editAs="oneCell">
    <xdr:from>
      <xdr:col>1</xdr:col>
      <xdr:colOff>673100</xdr:colOff>
      <xdr:row>16</xdr:row>
      <xdr:rowOff>177800</xdr:rowOff>
    </xdr:from>
    <xdr:to>
      <xdr:col>10</xdr:col>
      <xdr:colOff>279400</xdr:colOff>
      <xdr:row>35</xdr:row>
      <xdr:rowOff>105007</xdr:rowOff>
    </xdr:to>
    <xdr:pic>
      <xdr:nvPicPr>
        <xdr:cNvPr id="4" name="Picture 3" descr="The Earth Moon System - Let's Talk Science">
          <a:extLst>
            <a:ext uri="{FF2B5EF4-FFF2-40B4-BE49-F238E27FC236}">
              <a16:creationId xmlns:a16="http://schemas.microsoft.com/office/drawing/2014/main" id="{D2CA3D4E-B8B4-2D31-0E0D-B2CF6A680C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98600" y="3530600"/>
          <a:ext cx="7035800" cy="3788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38100</xdr:colOff>
      <xdr:row>51</xdr:row>
      <xdr:rowOff>139700</xdr:rowOff>
    </xdr:to>
    <xdr:graphicFrame macro="">
      <xdr:nvGraphicFramePr>
        <xdr:cNvPr id="2" name="Chart 1">
          <a:extLst>
            <a:ext uri="{FF2B5EF4-FFF2-40B4-BE49-F238E27FC236}">
              <a16:creationId xmlns:a16="http://schemas.microsoft.com/office/drawing/2014/main" id="{056482F7-097C-954F-9DB7-7FC5D516D2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152400</xdr:colOff>
      <xdr:row>8</xdr:row>
      <xdr:rowOff>88900</xdr:rowOff>
    </xdr:from>
    <xdr:to>
      <xdr:col>2</xdr:col>
      <xdr:colOff>952500</xdr:colOff>
      <xdr:row>11</xdr:row>
      <xdr:rowOff>0</xdr:rowOff>
    </xdr:to>
    <xdr:sp macro="" textlink="">
      <xdr:nvSpPr>
        <xdr:cNvPr id="3" name="TextBox 2">
          <a:extLst>
            <a:ext uri="{FF2B5EF4-FFF2-40B4-BE49-F238E27FC236}">
              <a16:creationId xmlns:a16="http://schemas.microsoft.com/office/drawing/2014/main" id="{1500649F-8711-8E42-9CEC-61801E1FD512}"/>
            </a:ext>
          </a:extLst>
        </xdr:cNvPr>
        <xdr:cNvSpPr txBox="1"/>
      </xdr:nvSpPr>
      <xdr:spPr>
        <a:xfrm>
          <a:off x="596900" y="3505200"/>
          <a:ext cx="2362200" cy="5207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2800">
              <a:solidFill>
                <a:schemeClr val="bg1"/>
              </a:solidFill>
            </a:rPr>
            <a:t>Abacus</a:t>
          </a:r>
        </a:p>
      </xdr:txBody>
    </xdr:sp>
    <xdr:clientData/>
  </xdr:twoCellAnchor>
  <xdr:twoCellAnchor>
    <xdr:from>
      <xdr:col>1</xdr:col>
      <xdr:colOff>190500</xdr:colOff>
      <xdr:row>8</xdr:row>
      <xdr:rowOff>114300</xdr:rowOff>
    </xdr:from>
    <xdr:to>
      <xdr:col>7</xdr:col>
      <xdr:colOff>1257300</xdr:colOff>
      <xdr:row>11</xdr:row>
      <xdr:rowOff>25400</xdr:rowOff>
    </xdr:to>
    <xdr:sp macro="" textlink="">
      <xdr:nvSpPr>
        <xdr:cNvPr id="4" name="TextBox 3">
          <a:extLst>
            <a:ext uri="{FF2B5EF4-FFF2-40B4-BE49-F238E27FC236}">
              <a16:creationId xmlns:a16="http://schemas.microsoft.com/office/drawing/2014/main" id="{DBC199A6-518B-3C4E-8A65-D7957AEBD3F0}"/>
            </a:ext>
          </a:extLst>
        </xdr:cNvPr>
        <xdr:cNvSpPr txBox="1"/>
      </xdr:nvSpPr>
      <xdr:spPr>
        <a:xfrm>
          <a:off x="635000" y="1130300"/>
          <a:ext cx="8356600" cy="5207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2800">
              <a:solidFill>
                <a:schemeClr val="tx1"/>
              </a:solidFill>
              <a:latin typeface="Calibri" panose="020F0502020204030204" pitchFamily="34" charset="0"/>
              <a:cs typeface="Calibri" panose="020F0502020204030204" pitchFamily="34" charset="0"/>
            </a:rPr>
            <a:t>Eclipse Predictor (analysing sun-earth-moon and nodes)</a:t>
          </a:r>
        </a:p>
      </xdr:txBody>
    </xdr:sp>
    <xdr:clientData/>
  </xdr:twoCellAnchor>
  <xdr:twoCellAnchor>
    <xdr:from>
      <xdr:col>6</xdr:col>
      <xdr:colOff>1092200</xdr:colOff>
      <xdr:row>44</xdr:row>
      <xdr:rowOff>50800</xdr:rowOff>
    </xdr:from>
    <xdr:to>
      <xdr:col>8</xdr:col>
      <xdr:colOff>36606</xdr:colOff>
      <xdr:row>51</xdr:row>
      <xdr:rowOff>113553</xdr:rowOff>
    </xdr:to>
    <xdr:graphicFrame macro="">
      <xdr:nvGraphicFramePr>
        <xdr:cNvPr id="6" name="Chart 5">
          <a:extLst>
            <a:ext uri="{FF2B5EF4-FFF2-40B4-BE49-F238E27FC236}">
              <a16:creationId xmlns:a16="http://schemas.microsoft.com/office/drawing/2014/main" id="{8FFCFEDF-E6FD-C54F-ACAE-0B7FFEAAA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12699</xdr:colOff>
      <xdr:row>3</xdr:row>
      <xdr:rowOff>12700</xdr:rowOff>
    </xdr:from>
    <xdr:to>
      <xdr:col>14</xdr:col>
      <xdr:colOff>812950</xdr:colOff>
      <xdr:row>34</xdr:row>
      <xdr:rowOff>190500</xdr:rowOff>
    </xdr:to>
    <xdr:pic>
      <xdr:nvPicPr>
        <xdr:cNvPr id="2" name="Picture 1" descr="Illustration of lunar nodes with Sun, Earth, and Moon">
          <a:extLst>
            <a:ext uri="{FF2B5EF4-FFF2-40B4-BE49-F238E27FC236}">
              <a16:creationId xmlns:a16="http://schemas.microsoft.com/office/drawing/2014/main" id="{9D64C27C-1F5F-2EA3-FD12-C3FAF6AA6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199" y="622300"/>
          <a:ext cx="11531751" cy="647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304800</xdr:colOff>
      <xdr:row>36</xdr:row>
      <xdr:rowOff>50800</xdr:rowOff>
    </xdr:from>
    <xdr:to>
      <xdr:col>12</xdr:col>
      <xdr:colOff>495300</xdr:colOff>
      <xdr:row>74</xdr:row>
      <xdr:rowOff>88900</xdr:rowOff>
    </xdr:to>
    <xdr:pic>
      <xdr:nvPicPr>
        <xdr:cNvPr id="4" name="Picture 3">
          <a:hlinkClick xmlns:r="http://schemas.openxmlformats.org/officeDocument/2006/relationships" r:id="rId2"/>
          <a:extLst>
            <a:ext uri="{FF2B5EF4-FFF2-40B4-BE49-F238E27FC236}">
              <a16:creationId xmlns:a16="http://schemas.microsoft.com/office/drawing/2014/main" id="{EF1BC692-8514-2608-E2A7-9FA39B63E7B7}"/>
            </a:ext>
          </a:extLst>
        </xdr:cNvPr>
        <xdr:cNvPicPr>
          <a:picLocks noChangeAspect="1"/>
        </xdr:cNvPicPr>
      </xdr:nvPicPr>
      <xdr:blipFill>
        <a:blip xmlns:r="http://schemas.openxmlformats.org/officeDocument/2006/relationships" r:embed="rId3"/>
        <a:stretch>
          <a:fillRect/>
        </a:stretch>
      </xdr:blipFill>
      <xdr:spPr>
        <a:xfrm>
          <a:off x="2781300" y="7366000"/>
          <a:ext cx="7620000" cy="77597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E5D51-16A8-314B-BA10-7F2FF05710A7}">
  <dimension ref="B2:K40"/>
  <sheetViews>
    <sheetView showGridLines="0" tabSelected="1" workbookViewId="0">
      <selection activeCell="B3" sqref="A1:XFD1048576"/>
    </sheetView>
  </sheetViews>
  <sheetFormatPr baseColWidth="10" defaultRowHeight="16" x14ac:dyDescent="0.2"/>
  <cols>
    <col min="1" max="16384" width="10.83203125" style="208"/>
  </cols>
  <sheetData>
    <row r="2" spans="2:11" ht="15" customHeight="1" x14ac:dyDescent="0.2"/>
    <row r="3" spans="2:11" ht="16" customHeight="1" x14ac:dyDescent="0.2">
      <c r="B3" s="172" t="s">
        <v>119</v>
      </c>
      <c r="C3" s="172"/>
      <c r="D3" s="172"/>
      <c r="E3" s="172"/>
      <c r="F3" s="172"/>
      <c r="G3" s="172"/>
      <c r="H3" s="172"/>
      <c r="I3" s="172"/>
      <c r="J3" s="172"/>
      <c r="K3" s="172"/>
    </row>
    <row r="4" spans="2:11" ht="16" customHeight="1" x14ac:dyDescent="0.2">
      <c r="B4" s="172"/>
      <c r="C4" s="172"/>
      <c r="D4" s="172"/>
      <c r="E4" s="172"/>
      <c r="F4" s="172"/>
      <c r="G4" s="172"/>
      <c r="H4" s="172"/>
      <c r="I4" s="172"/>
      <c r="J4" s="172"/>
      <c r="K4" s="172"/>
    </row>
    <row r="5" spans="2:11" ht="16" customHeight="1" x14ac:dyDescent="0.2">
      <c r="B5" s="172"/>
      <c r="C5" s="172"/>
      <c r="D5" s="172"/>
      <c r="E5" s="172"/>
      <c r="F5" s="172"/>
      <c r="G5" s="172"/>
      <c r="H5" s="172"/>
      <c r="I5" s="172"/>
      <c r="J5" s="172"/>
      <c r="K5" s="172"/>
    </row>
    <row r="6" spans="2:11" ht="16" customHeight="1" x14ac:dyDescent="0.2">
      <c r="B6" s="172"/>
      <c r="C6" s="172"/>
      <c r="D6" s="172"/>
      <c r="E6" s="172"/>
      <c r="F6" s="172"/>
      <c r="G6" s="172"/>
      <c r="H6" s="172"/>
      <c r="I6" s="172"/>
      <c r="J6" s="172"/>
      <c r="K6" s="172"/>
    </row>
    <row r="7" spans="2:11" ht="16" customHeight="1" x14ac:dyDescent="0.2">
      <c r="B7" s="172"/>
      <c r="C7" s="172"/>
      <c r="D7" s="172"/>
      <c r="E7" s="172"/>
      <c r="F7" s="172"/>
      <c r="G7" s="172"/>
      <c r="H7" s="172"/>
      <c r="I7" s="172"/>
      <c r="J7" s="172"/>
      <c r="K7" s="172"/>
    </row>
    <row r="8" spans="2:11" ht="16" customHeight="1" x14ac:dyDescent="0.2">
      <c r="B8" s="172"/>
      <c r="C8" s="172"/>
      <c r="D8" s="172"/>
      <c r="E8" s="172"/>
      <c r="F8" s="172"/>
      <c r="G8" s="172"/>
      <c r="H8" s="172"/>
      <c r="I8" s="172"/>
      <c r="J8" s="172"/>
      <c r="K8" s="172"/>
    </row>
    <row r="9" spans="2:11" ht="16" customHeight="1" x14ac:dyDescent="0.2">
      <c r="B9" s="172"/>
      <c r="C9" s="172"/>
      <c r="D9" s="172"/>
      <c r="E9" s="172"/>
      <c r="F9" s="172"/>
      <c r="G9" s="172"/>
      <c r="H9" s="172"/>
      <c r="I9" s="172"/>
      <c r="J9" s="172"/>
      <c r="K9" s="172"/>
    </row>
    <row r="13" spans="2:11" ht="19" x14ac:dyDescent="0.25">
      <c r="D13" s="158" t="s">
        <v>116</v>
      </c>
      <c r="E13" s="159"/>
      <c r="F13" s="160"/>
      <c r="G13" s="160"/>
      <c r="H13" s="160"/>
      <c r="I13" s="161" t="s">
        <v>85</v>
      </c>
    </row>
    <row r="14" spans="2:11" ht="19" x14ac:dyDescent="0.25">
      <c r="D14" s="162"/>
      <c r="E14" s="163"/>
      <c r="F14" s="164"/>
      <c r="G14" s="164"/>
      <c r="H14" s="164"/>
      <c r="I14" s="165"/>
    </row>
    <row r="15" spans="2:11" ht="19" x14ac:dyDescent="0.25">
      <c r="D15" s="166" t="s">
        <v>117</v>
      </c>
      <c r="E15" s="167"/>
      <c r="F15" s="168"/>
      <c r="G15" s="168"/>
      <c r="H15" s="168"/>
      <c r="I15" s="169" t="s">
        <v>86</v>
      </c>
    </row>
    <row r="38" spans="2:11" x14ac:dyDescent="0.2">
      <c r="B38" s="173" t="s">
        <v>89</v>
      </c>
      <c r="C38" s="174"/>
      <c r="D38" s="174"/>
      <c r="E38" s="174"/>
      <c r="F38" s="174"/>
      <c r="G38" s="174"/>
      <c r="H38" s="174"/>
      <c r="I38" s="174"/>
      <c r="J38" s="174"/>
      <c r="K38" s="175"/>
    </row>
    <row r="39" spans="2:11" x14ac:dyDescent="0.2">
      <c r="B39" s="176" t="s">
        <v>90</v>
      </c>
      <c r="C39" s="177"/>
      <c r="D39" s="177"/>
      <c r="E39" s="177"/>
      <c r="F39" s="177"/>
      <c r="G39" s="177"/>
      <c r="H39" s="177"/>
      <c r="I39" s="177"/>
      <c r="J39" s="177"/>
      <c r="K39" s="178"/>
    </row>
    <row r="40" spans="2:11" x14ac:dyDescent="0.2">
      <c r="B40" s="179" t="s">
        <v>91</v>
      </c>
      <c r="C40" s="180"/>
      <c r="D40" s="180"/>
      <c r="E40" s="180"/>
      <c r="F40" s="180"/>
      <c r="G40" s="180"/>
      <c r="H40" s="180"/>
      <c r="I40" s="180"/>
      <c r="J40" s="180"/>
      <c r="K40" s="181"/>
    </row>
  </sheetData>
  <sheetProtection sheet="1" objects="1" scenarios="1"/>
  <mergeCells count="4">
    <mergeCell ref="B3:K9"/>
    <mergeCell ref="B38:K38"/>
    <mergeCell ref="B39:K39"/>
    <mergeCell ref="B40:K40"/>
  </mergeCells>
  <hyperlinks>
    <hyperlink ref="I13" r:id="rId1" xr:uid="{E8A2B39B-C58A-BB43-B0B6-871E44D8DACA}"/>
    <hyperlink ref="B38" r:id="rId2" display="http://www.astronomy-morsels.ch/" xr:uid="{8756813F-2B12-604C-9D32-05533F40B7C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865C-100C-DD41-B5BA-4BE1419325EC}">
  <sheetPr codeName="Sheet2"/>
  <dimension ref="A2:CK139"/>
  <sheetViews>
    <sheetView showGridLines="0" topLeftCell="A2" workbookViewId="0">
      <selection activeCell="D7" sqref="D7"/>
    </sheetView>
  </sheetViews>
  <sheetFormatPr baseColWidth="10" defaultColWidth="10.83203125" defaultRowHeight="16" x14ac:dyDescent="0.2"/>
  <cols>
    <col min="1" max="1" width="5.83203125" style="3" customWidth="1"/>
    <col min="2" max="2" width="20.5" style="4" customWidth="1"/>
    <col min="3" max="3" width="17" style="4" customWidth="1"/>
    <col min="4" max="4" width="10.83203125" style="4"/>
    <col min="5" max="5" width="15.6640625" style="4" customWidth="1"/>
    <col min="6" max="7" width="15.83203125" style="4" customWidth="1"/>
    <col min="8" max="8" width="17.6640625" style="4" customWidth="1"/>
    <col min="9" max="14" width="15.6640625" style="4" customWidth="1"/>
    <col min="15" max="15" width="3.5" style="4" customWidth="1"/>
    <col min="16" max="16" width="3.33203125" style="4" customWidth="1"/>
    <col min="17" max="18" width="15.83203125" style="4" customWidth="1"/>
    <col min="19" max="20" width="10.83203125" style="3"/>
    <col min="21" max="16384" width="10.83203125" style="1"/>
  </cols>
  <sheetData>
    <row r="2" spans="2:14" ht="19" x14ac:dyDescent="0.25">
      <c r="B2" s="157" t="s">
        <v>115</v>
      </c>
    </row>
    <row r="5" spans="2:14" x14ac:dyDescent="0.2">
      <c r="C5" s="54"/>
      <c r="D5" s="55" t="s">
        <v>87</v>
      </c>
    </row>
    <row r="6" spans="2:14" x14ac:dyDescent="0.2">
      <c r="C6" s="170" t="s">
        <v>118</v>
      </c>
      <c r="D6" s="171">
        <v>50</v>
      </c>
    </row>
    <row r="7" spans="2:14" x14ac:dyDescent="0.2">
      <c r="G7" s="133"/>
    </row>
    <row r="9" spans="2:14" x14ac:dyDescent="0.2">
      <c r="J9" s="7" t="s">
        <v>5</v>
      </c>
      <c r="K9" s="8" t="s">
        <v>2</v>
      </c>
      <c r="L9" s="8" t="s">
        <v>6</v>
      </c>
      <c r="M9" s="7" t="s">
        <v>7</v>
      </c>
      <c r="N9" s="9" t="s">
        <v>8</v>
      </c>
    </row>
    <row r="10" spans="2:14" x14ac:dyDescent="0.2">
      <c r="J10" s="10" t="s">
        <v>0</v>
      </c>
      <c r="K10" s="11">
        <f t="shared" ref="K10:K15" si="0">E67</f>
        <v>49.282367819330055</v>
      </c>
      <c r="L10" s="12" t="str">
        <f t="shared" ref="L10:L15" si="1">IF(K10&lt;90,"Q1",IF(K10&lt;180,"Q2",IF(K10&lt;270,"Q3","Q4")))</f>
        <v>Q1</v>
      </c>
      <c r="M10" s="199" t="s">
        <v>11</v>
      </c>
      <c r="N10" s="201">
        <f>MIN(MOD(K10-K11+360,180),MOD(K11-K10+360,180))</f>
        <v>69.535543544656093</v>
      </c>
    </row>
    <row r="11" spans="2:14" x14ac:dyDescent="0.2">
      <c r="J11" s="13" t="s">
        <v>1</v>
      </c>
      <c r="K11" s="14">
        <f t="shared" si="0"/>
        <v>298.81791136398618</v>
      </c>
      <c r="L11" s="15" t="str">
        <f t="shared" si="1"/>
        <v>Q4</v>
      </c>
      <c r="M11" s="200"/>
      <c r="N11" s="202"/>
    </row>
    <row r="12" spans="2:14" x14ac:dyDescent="0.2">
      <c r="J12" s="17" t="s">
        <v>14</v>
      </c>
      <c r="K12" s="18">
        <f t="shared" si="0"/>
        <v>350.74945371007266</v>
      </c>
      <c r="L12" s="19" t="str">
        <f t="shared" si="1"/>
        <v>Q4</v>
      </c>
      <c r="M12" s="203" t="s">
        <v>15</v>
      </c>
      <c r="N12" s="205">
        <f>MIN(MOD(K11-K12+360,180),MOD(K12-K11+360,180))</f>
        <v>51.931542346086474</v>
      </c>
    </row>
    <row r="13" spans="2:14" x14ac:dyDescent="0.2">
      <c r="J13" s="16" t="s">
        <v>16</v>
      </c>
      <c r="K13" s="14">
        <f t="shared" si="0"/>
        <v>170.74945371007266</v>
      </c>
      <c r="L13" s="15" t="str">
        <f t="shared" si="1"/>
        <v>Q2</v>
      </c>
      <c r="M13" s="204"/>
      <c r="N13" s="202"/>
    </row>
    <row r="14" spans="2:14" x14ac:dyDescent="0.2">
      <c r="J14" s="10" t="s">
        <v>22</v>
      </c>
      <c r="K14" s="11">
        <f t="shared" si="0"/>
        <v>342.53223842382988</v>
      </c>
      <c r="L14" s="12" t="str">
        <f t="shared" si="1"/>
        <v>Q4</v>
      </c>
      <c r="M14" s="203" t="s">
        <v>23</v>
      </c>
      <c r="N14" s="201">
        <f>MIN(MOD(K11-K14+360,180),MOD(K14-K11+360,180))</f>
        <v>43.714327059843697</v>
      </c>
    </row>
    <row r="15" spans="2:14" x14ac:dyDescent="0.2">
      <c r="J15" s="20" t="s">
        <v>24</v>
      </c>
      <c r="K15" s="21">
        <f t="shared" si="0"/>
        <v>162.53223842382985</v>
      </c>
      <c r="L15" s="22" t="str">
        <f t="shared" si="1"/>
        <v>Q2</v>
      </c>
      <c r="M15" s="206"/>
      <c r="N15" s="207"/>
    </row>
    <row r="17" spans="10:16" x14ac:dyDescent="0.2">
      <c r="M17" s="182">
        <v>1</v>
      </c>
      <c r="N17" s="183"/>
      <c r="O17" s="4" t="s">
        <v>110</v>
      </c>
    </row>
    <row r="18" spans="10:16" x14ac:dyDescent="0.2">
      <c r="M18" s="187" t="s">
        <v>25</v>
      </c>
      <c r="N18" s="188"/>
    </row>
    <row r="19" spans="10:16" x14ac:dyDescent="0.2">
      <c r="M19" s="24" t="s">
        <v>26</v>
      </c>
      <c r="N19" s="25" t="s">
        <v>27</v>
      </c>
    </row>
    <row r="20" spans="10:16" x14ac:dyDescent="0.2">
      <c r="J20" s="195" t="s">
        <v>112</v>
      </c>
      <c r="K20" s="195"/>
      <c r="L20" s="196"/>
      <c r="M20" s="27" t="str">
        <f>IF(N10&lt;M17,IF(POWER(C76,2)+POWER(D76,2)&lt;POWER(C78,2)+POWER(D78,2),"N","Y"),"N")</f>
        <v>N</v>
      </c>
      <c r="N20" s="28" t="str">
        <f>IF(N10&lt;M17,IF(POWER(C76,2)+POWER(D76,2)&lt;POWER(C78,2)+POWER(D78,2),"Y","N"),"N")</f>
        <v>N</v>
      </c>
      <c r="P20" s="189" t="s">
        <v>28</v>
      </c>
    </row>
    <row r="21" spans="10:16" x14ac:dyDescent="0.2">
      <c r="J21" s="29">
        <f>15+(23/60)</f>
        <v>15.383333333333333</v>
      </c>
      <c r="K21" s="30" t="s">
        <v>29</v>
      </c>
      <c r="L21" s="31" t="str">
        <f>IF(N12&lt;J21,"Y","N")</f>
        <v>N</v>
      </c>
      <c r="M21" s="32" t="str">
        <f>IF(AND(L21="Y",M20="Y"),"Solar eclipse","-")</f>
        <v>-</v>
      </c>
      <c r="N21" s="33" t="s">
        <v>17</v>
      </c>
      <c r="O21" s="192" t="str">
        <f>IF(AND(N20="Y",N25="Y"),"Y","N")</f>
        <v>N</v>
      </c>
      <c r="P21" s="190"/>
    </row>
    <row r="22" spans="10:16" x14ac:dyDescent="0.2">
      <c r="J22" s="34">
        <f>18 +(35/60)</f>
        <v>18.583333333333332</v>
      </c>
      <c r="K22" s="35" t="s">
        <v>30</v>
      </c>
      <c r="L22" s="36" t="str">
        <f>IF(N12&lt;J22,"Y","N")</f>
        <v>N</v>
      </c>
      <c r="M22" s="37" t="str">
        <f>IF(AND(M21="-",L22="Y",M20="Y"),"Solar eclipse?","-")</f>
        <v>-</v>
      </c>
      <c r="N22" s="38" t="s">
        <v>17</v>
      </c>
      <c r="O22" s="192"/>
      <c r="P22" s="190"/>
    </row>
    <row r="23" spans="10:16" x14ac:dyDescent="0.2">
      <c r="J23" s="39">
        <f>9 + (30/60)</f>
        <v>9.5</v>
      </c>
      <c r="K23" s="40" t="s">
        <v>29</v>
      </c>
      <c r="L23" s="41" t="str">
        <f>IF(N12&lt;J23,"Y","N")</f>
        <v>N</v>
      </c>
      <c r="M23" s="33" t="s">
        <v>17</v>
      </c>
      <c r="N23" s="32" t="str">
        <f>IF(AND(L23="Y",N20="Y"),"Lunar eclipse","-")</f>
        <v>-</v>
      </c>
      <c r="O23" s="192"/>
      <c r="P23" s="190"/>
    </row>
    <row r="24" spans="10:16" x14ac:dyDescent="0.2">
      <c r="J24" s="42">
        <f>12 +(15/60)</f>
        <v>12.25</v>
      </c>
      <c r="K24" s="43" t="s">
        <v>30</v>
      </c>
      <c r="L24" s="23" t="str">
        <f>IF(N12&lt;J24,"Y","N")</f>
        <v>N</v>
      </c>
      <c r="M24" s="38" t="s">
        <v>17</v>
      </c>
      <c r="N24" s="37" t="str">
        <f>IF(AND(N23="-",L24="Y",N20="Y"),"Lunar eclipse?","-")</f>
        <v>-</v>
      </c>
      <c r="O24" s="192"/>
      <c r="P24" s="190"/>
    </row>
    <row r="25" spans="10:16" x14ac:dyDescent="0.2">
      <c r="J25" s="197" t="s">
        <v>113</v>
      </c>
      <c r="K25" s="197"/>
      <c r="L25" s="198"/>
      <c r="M25" s="44" t="str">
        <f>IF(N14&lt;M28,IF(POWER(C76,2)+POWER(D76,2)&lt;POWER(C83,2)+POWER(D83,2),"N","Y"),"N")</f>
        <v>N</v>
      </c>
      <c r="N25" s="45" t="str">
        <f>IF(N14&lt;M28,IF(POWER(C76,2)+POWER(D76,2)&lt;POWER(C83,2)+POWER(D83,2),"Y","N"),"N")</f>
        <v>N</v>
      </c>
      <c r="P25" s="191"/>
    </row>
    <row r="26" spans="10:16" x14ac:dyDescent="0.2">
      <c r="M26" s="46" t="s">
        <v>31</v>
      </c>
      <c r="N26" s="47" t="s">
        <v>32</v>
      </c>
    </row>
    <row r="27" spans="10:16" x14ac:dyDescent="0.2">
      <c r="M27" s="193" t="s">
        <v>33</v>
      </c>
      <c r="N27" s="194"/>
    </row>
    <row r="28" spans="10:16" x14ac:dyDescent="0.2">
      <c r="M28" s="182">
        <v>5</v>
      </c>
      <c r="N28" s="183"/>
      <c r="O28" s="4" t="s">
        <v>111</v>
      </c>
    </row>
    <row r="31" spans="10:16" x14ac:dyDescent="0.2">
      <c r="K31" s="58" t="s">
        <v>88</v>
      </c>
      <c r="N31" s="58" t="s">
        <v>88</v>
      </c>
    </row>
    <row r="32" spans="10:16" x14ac:dyDescent="0.2">
      <c r="J32" s="7" t="s">
        <v>34</v>
      </c>
      <c r="K32" s="9"/>
      <c r="M32" s="7" t="s">
        <v>35</v>
      </c>
      <c r="N32" s="9"/>
    </row>
    <row r="33" spans="10:16" x14ac:dyDescent="0.2">
      <c r="J33" s="48" t="s">
        <v>36</v>
      </c>
      <c r="K33" s="56">
        <v>3</v>
      </c>
      <c r="M33" s="48" t="s">
        <v>37</v>
      </c>
      <c r="N33" s="56">
        <v>1.5</v>
      </c>
    </row>
    <row r="34" spans="10:16" x14ac:dyDescent="0.2">
      <c r="J34" s="48" t="s">
        <v>38</v>
      </c>
      <c r="K34" s="56">
        <v>0</v>
      </c>
      <c r="L34" s="49" t="s">
        <v>39</v>
      </c>
      <c r="M34" s="48" t="s">
        <v>38</v>
      </c>
      <c r="N34" s="56">
        <v>0</v>
      </c>
    </row>
    <row r="35" spans="10:16" x14ac:dyDescent="0.2">
      <c r="J35" s="50" t="s">
        <v>40</v>
      </c>
      <c r="K35" s="56">
        <v>0</v>
      </c>
      <c r="M35" s="50" t="s">
        <v>40</v>
      </c>
      <c r="N35" s="56">
        <v>0</v>
      </c>
    </row>
    <row r="36" spans="10:16" x14ac:dyDescent="0.2">
      <c r="J36" s="48" t="s">
        <v>41</v>
      </c>
      <c r="K36" s="56">
        <v>0</v>
      </c>
      <c r="M36" s="48" t="s">
        <v>41</v>
      </c>
      <c r="N36" s="56">
        <v>0</v>
      </c>
    </row>
    <row r="37" spans="10:16" x14ac:dyDescent="0.2">
      <c r="J37" s="50" t="s">
        <v>42</v>
      </c>
      <c r="K37" s="57">
        <v>365.24219099999999</v>
      </c>
      <c r="L37" s="49" t="s">
        <v>43</v>
      </c>
      <c r="M37" s="50" t="s">
        <v>44</v>
      </c>
      <c r="N37" s="57">
        <v>27.321661553999999</v>
      </c>
    </row>
    <row r="38" spans="10:16" x14ac:dyDescent="0.2">
      <c r="J38" s="6" t="s">
        <v>45</v>
      </c>
      <c r="K38" s="51">
        <f>1/K37</f>
        <v>2.737909323296114E-3</v>
      </c>
      <c r="M38" s="6" t="s">
        <v>46</v>
      </c>
      <c r="N38" s="51">
        <f>1/N37</f>
        <v>3.6600995075777007E-2</v>
      </c>
    </row>
    <row r="40" spans="10:16" x14ac:dyDescent="0.2">
      <c r="K40" s="58" t="s">
        <v>88</v>
      </c>
      <c r="N40" s="58" t="s">
        <v>88</v>
      </c>
    </row>
    <row r="41" spans="10:16" x14ac:dyDescent="0.2">
      <c r="J41" s="7" t="s">
        <v>47</v>
      </c>
      <c r="K41" s="9"/>
      <c r="M41" s="7" t="s">
        <v>22</v>
      </c>
      <c r="N41" s="9"/>
    </row>
    <row r="42" spans="10:16" x14ac:dyDescent="0.2">
      <c r="J42" s="48" t="s">
        <v>48</v>
      </c>
      <c r="K42" s="56">
        <v>1.5</v>
      </c>
      <c r="M42" s="48" t="s">
        <v>49</v>
      </c>
      <c r="N42" s="56">
        <v>1.5</v>
      </c>
    </row>
    <row r="43" spans="10:16" x14ac:dyDescent="0.2">
      <c r="J43" s="48" t="s">
        <v>38</v>
      </c>
      <c r="K43" s="56">
        <v>0</v>
      </c>
      <c r="M43" s="48" t="s">
        <v>38</v>
      </c>
      <c r="N43" s="56">
        <v>0</v>
      </c>
    </row>
    <row r="44" spans="10:16" x14ac:dyDescent="0.2">
      <c r="J44" s="50" t="s">
        <v>40</v>
      </c>
      <c r="K44" s="56">
        <v>0</v>
      </c>
      <c r="M44" s="50" t="s">
        <v>40</v>
      </c>
      <c r="N44" s="56">
        <v>0</v>
      </c>
      <c r="O44" s="49"/>
      <c r="P44" s="49"/>
    </row>
    <row r="45" spans="10:16" x14ac:dyDescent="0.2">
      <c r="J45" s="48" t="s">
        <v>41</v>
      </c>
      <c r="K45" s="56">
        <v>0</v>
      </c>
      <c r="M45" s="48" t="s">
        <v>41</v>
      </c>
      <c r="N45" s="56">
        <v>0</v>
      </c>
    </row>
    <row r="46" spans="10:16" x14ac:dyDescent="0.2">
      <c r="J46" s="50" t="s">
        <v>51</v>
      </c>
      <c r="K46" s="57">
        <v>25.325379999999999</v>
      </c>
      <c r="M46" s="50" t="s">
        <v>53</v>
      </c>
      <c r="N46" s="57">
        <v>25.621600000000001</v>
      </c>
    </row>
    <row r="47" spans="10:16" x14ac:dyDescent="0.2">
      <c r="J47" s="6" t="s">
        <v>55</v>
      </c>
      <c r="K47" s="51">
        <f>1/K46</f>
        <v>3.9486080761670705E-2</v>
      </c>
      <c r="M47" s="6" t="s">
        <v>56</v>
      </c>
      <c r="N47" s="51">
        <f>1/N46</f>
        <v>3.9029568801323883E-2</v>
      </c>
    </row>
    <row r="52" spans="1:89" ht="14" customHeight="1" x14ac:dyDescent="0.2"/>
    <row r="53" spans="1:89" x14ac:dyDescent="0.2">
      <c r="H53" s="134"/>
    </row>
    <row r="54" spans="1:89" x14ac:dyDescent="0.2">
      <c r="H54" s="134"/>
    </row>
    <row r="55" spans="1:89" x14ac:dyDescent="0.2">
      <c r="I55" s="135"/>
    </row>
    <row r="57" spans="1:89" x14ac:dyDescent="0.2">
      <c r="C57" s="138" t="s">
        <v>59</v>
      </c>
      <c r="D57" s="139">
        <f>N38-K38</f>
        <v>3.3863085752480891E-2</v>
      </c>
      <c r="F57" s="138" t="s">
        <v>60</v>
      </c>
      <c r="G57" s="139">
        <f>K47-K38</f>
        <v>3.674817143837459E-2</v>
      </c>
      <c r="I57" s="138" t="s">
        <v>61</v>
      </c>
      <c r="J57" s="139">
        <f>N47-K38</f>
        <v>3.6291659478027767E-2</v>
      </c>
      <c r="L57" s="138" t="s">
        <v>62</v>
      </c>
      <c r="M57" s="139">
        <f>K47-N38</f>
        <v>2.8850856858936985E-3</v>
      </c>
    </row>
    <row r="58" spans="1:89" x14ac:dyDescent="0.2">
      <c r="B58" s="49" t="s">
        <v>63</v>
      </c>
      <c r="C58" s="140" t="s">
        <v>64</v>
      </c>
      <c r="D58" s="141">
        <f>1/D57</f>
        <v>29.530681501071932</v>
      </c>
      <c r="E58" s="49" t="s">
        <v>65</v>
      </c>
      <c r="F58" s="140" t="s">
        <v>66</v>
      </c>
      <c r="G58" s="141">
        <f>1/G57</f>
        <v>27.212238347068926</v>
      </c>
      <c r="H58" s="49" t="s">
        <v>67</v>
      </c>
      <c r="I58" s="140" t="s">
        <v>68</v>
      </c>
      <c r="J58" s="141">
        <f>1/J57</f>
        <v>27.554540475214004</v>
      </c>
      <c r="K58" s="49" t="s">
        <v>69</v>
      </c>
      <c r="L58" s="140" t="s">
        <v>70</v>
      </c>
      <c r="M58" s="141">
        <f>1/M57</f>
        <v>346.61015611750713</v>
      </c>
    </row>
    <row r="59" spans="1:89" x14ac:dyDescent="0.2">
      <c r="C59" s="142" t="s">
        <v>71</v>
      </c>
      <c r="D59" s="143">
        <f>D58/2</f>
        <v>14.765340750535966</v>
      </c>
      <c r="F59" s="142" t="s">
        <v>72</v>
      </c>
      <c r="G59" s="143">
        <f>G58/2</f>
        <v>13.606119173534463</v>
      </c>
      <c r="I59" s="142" t="s">
        <v>73</v>
      </c>
      <c r="J59" s="143">
        <f>J58/2</f>
        <v>13.777270237607002</v>
      </c>
      <c r="L59" s="142" t="s">
        <v>74</v>
      </c>
      <c r="M59" s="143">
        <f>M58/2</f>
        <v>173.30507805875357</v>
      </c>
    </row>
    <row r="61" spans="1:89" s="2" customFormat="1" x14ac:dyDescent="0.2">
      <c r="A61" s="5"/>
      <c r="B61" s="52"/>
      <c r="C61" s="52"/>
      <c r="D61" s="52"/>
      <c r="E61" s="52"/>
      <c r="F61" s="52"/>
      <c r="G61" s="52"/>
      <c r="H61" s="52"/>
      <c r="I61" s="52"/>
      <c r="J61" s="52"/>
      <c r="K61" s="52"/>
      <c r="L61" s="52"/>
      <c r="M61" s="52"/>
      <c r="N61" s="52"/>
      <c r="O61" s="52"/>
      <c r="P61" s="52"/>
      <c r="Q61" s="52"/>
      <c r="R61" s="52"/>
      <c r="S61" s="3"/>
      <c r="T61" s="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row>
    <row r="63" spans="1:89" x14ac:dyDescent="0.2">
      <c r="B63" s="53" t="s">
        <v>75</v>
      </c>
    </row>
    <row r="65" spans="2:18" x14ac:dyDescent="0.2">
      <c r="B65" s="59"/>
      <c r="C65" s="184" t="s">
        <v>76</v>
      </c>
      <c r="D65" s="185"/>
      <c r="E65" s="185"/>
      <c r="F65" s="186"/>
      <c r="H65" s="102"/>
      <c r="I65" s="59"/>
      <c r="J65" s="103" t="s">
        <v>0</v>
      </c>
      <c r="K65" s="60"/>
      <c r="L65" s="103" t="s">
        <v>1</v>
      </c>
      <c r="M65" s="26"/>
      <c r="R65" s="150" t="s">
        <v>50</v>
      </c>
    </row>
    <row r="66" spans="2:18" x14ac:dyDescent="0.2">
      <c r="B66" s="61" t="s">
        <v>77</v>
      </c>
      <c r="C66" s="62" t="s">
        <v>17</v>
      </c>
      <c r="D66" s="63" t="s">
        <v>78</v>
      </c>
      <c r="E66" s="63" t="s">
        <v>79</v>
      </c>
      <c r="F66" s="64" t="s">
        <v>80</v>
      </c>
      <c r="H66" s="104" t="s">
        <v>79</v>
      </c>
      <c r="I66" s="62" t="s">
        <v>17</v>
      </c>
      <c r="J66" s="64" t="s">
        <v>78</v>
      </c>
      <c r="K66" s="62" t="s">
        <v>17</v>
      </c>
      <c r="L66" s="64" t="s">
        <v>78</v>
      </c>
      <c r="Q66" s="102"/>
      <c r="R66" s="136"/>
    </row>
    <row r="67" spans="2:18" x14ac:dyDescent="0.2">
      <c r="B67" s="65" t="s">
        <v>0</v>
      </c>
      <c r="C67" s="66">
        <f>K35+K33*COS(2*PI()*(D6+K34)/K37)</f>
        <v>1.9569950427339833</v>
      </c>
      <c r="D67" s="67">
        <f>K36+K33*SIN(2*PI()*(D6+K34)/K37)</f>
        <v>2.2738008713857543</v>
      </c>
      <c r="E67" s="68">
        <f>360*MOD(D6+K34,K37)/K37</f>
        <v>49.282367819330055</v>
      </c>
      <c r="F67" s="69">
        <f>(E67/360)*K37</f>
        <v>50.000000000000007</v>
      </c>
      <c r="H67" s="102">
        <v>0</v>
      </c>
      <c r="I67" s="105">
        <f t="shared" ref="I67:I130" si="2">$K$35+$K$33*COS(RADIANS(H67))</f>
        <v>3</v>
      </c>
      <c r="J67" s="106">
        <f t="shared" ref="J67:J130" si="3">$K$36+$K$33*SIN(RADIANS(H67))</f>
        <v>0</v>
      </c>
      <c r="K67" s="107">
        <f t="shared" ref="K67:K98" si="4">$C$67+$N$33*COS(RADIANS(H67))</f>
        <v>3.4569950427339835</v>
      </c>
      <c r="L67" s="99">
        <f t="shared" ref="L67:L98" si="5">$D$67+$N$33*SIN(RADIANS(H67))</f>
        <v>2.2738008713857543</v>
      </c>
      <c r="Q67" s="151" t="s">
        <v>51</v>
      </c>
      <c r="R67" s="137">
        <v>6793.33</v>
      </c>
    </row>
    <row r="68" spans="2:18" x14ac:dyDescent="0.2">
      <c r="B68" s="70" t="s">
        <v>1</v>
      </c>
      <c r="C68" s="71">
        <f>N35+N33*COS(2*PI()*(D6+N34)/N37)</f>
        <v>0.72304139217320529</v>
      </c>
      <c r="D68" s="72">
        <f>N36+N33*SIN(2*PI()*(D6+N34)/N37)</f>
        <v>-1.3142340526725951</v>
      </c>
      <c r="E68" s="73">
        <f>360*MOD(D6+N34,N37)/N37</f>
        <v>298.81791136398618</v>
      </c>
      <c r="F68" s="74">
        <f>(E68/360)*N37</f>
        <v>22.678338446000001</v>
      </c>
      <c r="H68" s="108">
        <f>H67+5</f>
        <v>5</v>
      </c>
      <c r="I68" s="98">
        <f t="shared" si="2"/>
        <v>2.9885840942752369</v>
      </c>
      <c r="J68" s="99">
        <f t="shared" si="3"/>
        <v>0.26146722824297453</v>
      </c>
      <c r="K68" s="107">
        <f t="shared" si="4"/>
        <v>3.4512870898716015</v>
      </c>
      <c r="L68" s="99">
        <f t="shared" si="5"/>
        <v>2.4045344855072415</v>
      </c>
      <c r="Q68" s="151" t="s">
        <v>52</v>
      </c>
      <c r="R68" s="137">
        <v>27.212221</v>
      </c>
    </row>
    <row r="69" spans="2:18" x14ac:dyDescent="0.2">
      <c r="B69" s="75" t="s">
        <v>81</v>
      </c>
      <c r="C69" s="76">
        <f>K44+$K$42*COS(2*PI()*(D6+K43)/K46)</f>
        <v>1.480492250859105</v>
      </c>
      <c r="D69" s="77">
        <f>K45+$K$42*SIN(2*PI()*(D6+K43)/K46)</f>
        <v>-0.2411279642557892</v>
      </c>
      <c r="E69" s="78">
        <f>360*MOD(D6+K43,K46)/K46</f>
        <v>350.74945371007266</v>
      </c>
      <c r="F69" s="79">
        <f>(E69/360)*K46</f>
        <v>24.674619999999997</v>
      </c>
      <c r="H69" s="108">
        <f t="shared" ref="H69:H132" si="6">H68+5</f>
        <v>10</v>
      </c>
      <c r="I69" s="98">
        <f t="shared" si="2"/>
        <v>2.9544232590366239</v>
      </c>
      <c r="J69" s="99">
        <f t="shared" si="3"/>
        <v>0.52094453300079102</v>
      </c>
      <c r="K69" s="107">
        <f t="shared" si="4"/>
        <v>3.4342066722522953</v>
      </c>
      <c r="L69" s="99">
        <f t="shared" si="5"/>
        <v>2.5342731378861498</v>
      </c>
      <c r="Q69" s="104" t="s">
        <v>54</v>
      </c>
      <c r="R69" s="86">
        <v>27.321660000000001</v>
      </c>
    </row>
    <row r="70" spans="2:18" x14ac:dyDescent="0.2">
      <c r="B70" s="80" t="s">
        <v>82</v>
      </c>
      <c r="C70" s="81"/>
      <c r="D70" s="82"/>
      <c r="E70" s="83">
        <f>360*MOD(D6+K43+K46/2,K46)/K46</f>
        <v>170.74945371007266</v>
      </c>
      <c r="F70" s="84">
        <f>(E70/360)*K46</f>
        <v>12.01193</v>
      </c>
      <c r="H70" s="108">
        <f t="shared" si="6"/>
        <v>15</v>
      </c>
      <c r="I70" s="98">
        <f t="shared" si="2"/>
        <v>2.897777478867205</v>
      </c>
      <c r="J70" s="99">
        <f t="shared" si="3"/>
        <v>0.77645713530756222</v>
      </c>
      <c r="K70" s="107">
        <f t="shared" si="4"/>
        <v>3.405883782167586</v>
      </c>
      <c r="L70" s="99">
        <f t="shared" si="5"/>
        <v>2.6620294390395354</v>
      </c>
      <c r="Q70" s="152"/>
      <c r="R70" s="136"/>
    </row>
    <row r="71" spans="2:18" x14ac:dyDescent="0.2">
      <c r="B71" s="61" t="s">
        <v>22</v>
      </c>
      <c r="C71" s="76">
        <f>N44+N42*COS(2*PI()*(D6+N43)/N46)</f>
        <v>1.4308289953367586</v>
      </c>
      <c r="D71" s="77">
        <f>N45+N42*SIN(2*PI()*(D6+N43)/N46)</f>
        <v>-0.45025369082729566</v>
      </c>
      <c r="E71" s="78">
        <f>360*MOD(D6+N43,N46)/N46</f>
        <v>342.53223842382988</v>
      </c>
      <c r="F71" s="79">
        <f>(E71/360)*N46</f>
        <v>24.378399999999999</v>
      </c>
      <c r="H71" s="108">
        <f t="shared" si="6"/>
        <v>20</v>
      </c>
      <c r="I71" s="98">
        <f t="shared" si="2"/>
        <v>2.8190778623577253</v>
      </c>
      <c r="J71" s="99">
        <f t="shared" si="3"/>
        <v>1.0260604299770062</v>
      </c>
      <c r="K71" s="107">
        <f t="shared" si="4"/>
        <v>3.3665339739128459</v>
      </c>
      <c r="L71" s="99">
        <f t="shared" si="5"/>
        <v>2.7868310863742574</v>
      </c>
      <c r="Q71" s="151" t="s">
        <v>42</v>
      </c>
      <c r="R71" s="137">
        <v>346.62034999999997</v>
      </c>
    </row>
    <row r="72" spans="2:18" x14ac:dyDescent="0.2">
      <c r="B72" s="62" t="s">
        <v>24</v>
      </c>
      <c r="C72" s="85"/>
      <c r="D72" s="86"/>
      <c r="E72" s="87">
        <f>360*MOD(D6+N43+N46/2,N46)/N46</f>
        <v>162.53223842382985</v>
      </c>
      <c r="F72" s="88">
        <f>(E72/360)*N46</f>
        <v>11.567599999999997</v>
      </c>
      <c r="H72" s="108">
        <f t="shared" si="6"/>
        <v>25</v>
      </c>
      <c r="I72" s="98">
        <f t="shared" si="2"/>
        <v>2.7189233611099497</v>
      </c>
      <c r="J72" s="99">
        <f t="shared" si="3"/>
        <v>1.2678547852220983</v>
      </c>
      <c r="K72" s="107">
        <f t="shared" si="4"/>
        <v>3.3164567232889581</v>
      </c>
      <c r="L72" s="99">
        <f t="shared" si="5"/>
        <v>2.9077282639968036</v>
      </c>
      <c r="Q72" s="151" t="s">
        <v>57</v>
      </c>
      <c r="R72" s="137">
        <v>365.25635999999997</v>
      </c>
    </row>
    <row r="73" spans="2:18" x14ac:dyDescent="0.2">
      <c r="H73" s="108">
        <f t="shared" si="6"/>
        <v>30</v>
      </c>
      <c r="I73" s="98">
        <f t="shared" si="2"/>
        <v>2.598076211353316</v>
      </c>
      <c r="J73" s="99">
        <f t="shared" si="3"/>
        <v>1.4999999999999998</v>
      </c>
      <c r="K73" s="107">
        <f t="shared" si="4"/>
        <v>3.2560331484106415</v>
      </c>
      <c r="L73" s="99">
        <f t="shared" si="5"/>
        <v>3.0238008713857543</v>
      </c>
      <c r="Q73" s="104" t="s">
        <v>51</v>
      </c>
      <c r="R73" s="86">
        <v>6793.33</v>
      </c>
    </row>
    <row r="74" spans="2:18" x14ac:dyDescent="0.2">
      <c r="B74" s="89"/>
      <c r="C74" s="90" t="s">
        <v>83</v>
      </c>
      <c r="D74" s="91"/>
      <c r="H74" s="108">
        <f t="shared" si="6"/>
        <v>35</v>
      </c>
      <c r="I74" s="98">
        <f t="shared" si="2"/>
        <v>2.4574561328669753</v>
      </c>
      <c r="J74" s="99">
        <f t="shared" si="3"/>
        <v>1.7207293090531381</v>
      </c>
      <c r="K74" s="107">
        <f t="shared" si="4"/>
        <v>3.1857231091674709</v>
      </c>
      <c r="L74" s="99">
        <f t="shared" si="5"/>
        <v>3.1341655259123233</v>
      </c>
      <c r="Q74" s="152"/>
      <c r="R74" s="136"/>
    </row>
    <row r="75" spans="2:18" x14ac:dyDescent="0.2">
      <c r="B75" s="92" t="s">
        <v>84</v>
      </c>
      <c r="C75" s="93">
        <f>K35</f>
        <v>0</v>
      </c>
      <c r="D75" s="94">
        <f>L35</f>
        <v>0</v>
      </c>
      <c r="H75" s="108">
        <f t="shared" si="6"/>
        <v>40</v>
      </c>
      <c r="I75" s="98">
        <f t="shared" si="2"/>
        <v>2.2981333293569342</v>
      </c>
      <c r="J75" s="99">
        <f t="shared" si="3"/>
        <v>1.9283628290596178</v>
      </c>
      <c r="K75" s="107">
        <f t="shared" si="4"/>
        <v>3.1060617074124504</v>
      </c>
      <c r="L75" s="99">
        <f t="shared" si="5"/>
        <v>3.2379822859155629</v>
      </c>
      <c r="Q75" s="151" t="s">
        <v>58</v>
      </c>
      <c r="R75" s="137">
        <v>29.530588999999999</v>
      </c>
    </row>
    <row r="76" spans="2:18" x14ac:dyDescent="0.2">
      <c r="B76" s="70" t="s">
        <v>0</v>
      </c>
      <c r="C76" s="71">
        <f>C67</f>
        <v>1.9569950427339833</v>
      </c>
      <c r="D76" s="95">
        <f>D67</f>
        <v>2.2738008713857543</v>
      </c>
      <c r="H76" s="108">
        <f t="shared" si="6"/>
        <v>45</v>
      </c>
      <c r="I76" s="98">
        <f t="shared" si="2"/>
        <v>2.1213203435596428</v>
      </c>
      <c r="J76" s="99">
        <f t="shared" si="3"/>
        <v>2.1213203435596424</v>
      </c>
      <c r="K76" s="107">
        <f t="shared" si="4"/>
        <v>3.0176552145138045</v>
      </c>
      <c r="L76" s="99">
        <f t="shared" si="5"/>
        <v>3.3344610431655752</v>
      </c>
      <c r="Q76" s="151" t="s">
        <v>54</v>
      </c>
      <c r="R76" s="137">
        <v>27.321660000000001</v>
      </c>
    </row>
    <row r="77" spans="2:18" x14ac:dyDescent="0.2">
      <c r="B77" s="70" t="str">
        <f>B75</f>
        <v>Sun</v>
      </c>
      <c r="C77" s="71">
        <f>C75</f>
        <v>0</v>
      </c>
      <c r="D77" s="95">
        <f>D75</f>
        <v>0</v>
      </c>
      <c r="H77" s="108">
        <f t="shared" si="6"/>
        <v>50</v>
      </c>
      <c r="I77" s="98">
        <f t="shared" si="2"/>
        <v>1.9283628290596182</v>
      </c>
      <c r="J77" s="99">
        <f t="shared" si="3"/>
        <v>2.2981333293569342</v>
      </c>
      <c r="K77" s="107">
        <f t="shared" si="4"/>
        <v>2.9211764572637922</v>
      </c>
      <c r="L77" s="99">
        <f t="shared" si="5"/>
        <v>3.4228675360642216</v>
      </c>
      <c r="Q77" s="104" t="s">
        <v>57</v>
      </c>
      <c r="R77" s="86">
        <v>365.25635999999997</v>
      </c>
    </row>
    <row r="78" spans="2:18" x14ac:dyDescent="0.2">
      <c r="B78" s="70" t="s">
        <v>1</v>
      </c>
      <c r="C78" s="71">
        <f>C67+C68</f>
        <v>2.6800364349071888</v>
      </c>
      <c r="D78" s="95">
        <f>D67+D68</f>
        <v>0.95956681871315919</v>
      </c>
      <c r="H78" s="108">
        <f t="shared" si="6"/>
        <v>55</v>
      </c>
      <c r="I78" s="98">
        <f t="shared" si="2"/>
        <v>1.7207293090531386</v>
      </c>
      <c r="J78" s="99">
        <f t="shared" si="3"/>
        <v>2.4574561328669753</v>
      </c>
      <c r="K78" s="107">
        <f t="shared" si="4"/>
        <v>2.8173596972605526</v>
      </c>
      <c r="L78" s="99">
        <f t="shared" si="5"/>
        <v>3.5025289378192417</v>
      </c>
    </row>
    <row r="79" spans="2:18" x14ac:dyDescent="0.2">
      <c r="B79" s="70" t="str">
        <f>B75</f>
        <v>Sun</v>
      </c>
      <c r="C79" s="71">
        <f>C75</f>
        <v>0</v>
      </c>
      <c r="D79" s="95">
        <f>D75</f>
        <v>0</v>
      </c>
      <c r="H79" s="108">
        <f t="shared" si="6"/>
        <v>60</v>
      </c>
      <c r="I79" s="98">
        <f t="shared" si="2"/>
        <v>1.5000000000000004</v>
      </c>
      <c r="J79" s="99">
        <f t="shared" si="3"/>
        <v>2.598076211353316</v>
      </c>
      <c r="K79" s="107">
        <f t="shared" si="4"/>
        <v>2.7069950427339835</v>
      </c>
      <c r="L79" s="99">
        <f t="shared" si="5"/>
        <v>3.5728389770624123</v>
      </c>
    </row>
    <row r="80" spans="2:18" x14ac:dyDescent="0.2">
      <c r="B80" s="96" t="s">
        <v>14</v>
      </c>
      <c r="C80" s="76">
        <f>C67+C69</f>
        <v>3.4374872935930885</v>
      </c>
      <c r="D80" s="97">
        <f>D67+D69</f>
        <v>2.0326729071299652</v>
      </c>
      <c r="H80" s="108">
        <f t="shared" si="6"/>
        <v>65</v>
      </c>
      <c r="I80" s="98">
        <f t="shared" si="2"/>
        <v>1.2678547852220983</v>
      </c>
      <c r="J80" s="99">
        <f t="shared" si="3"/>
        <v>2.7189233611099497</v>
      </c>
      <c r="K80" s="107">
        <f t="shared" si="4"/>
        <v>2.5909224353450324</v>
      </c>
      <c r="L80" s="99">
        <f t="shared" si="5"/>
        <v>3.6332625519407289</v>
      </c>
    </row>
    <row r="81" spans="2:12" x14ac:dyDescent="0.2">
      <c r="B81" s="92" t="s">
        <v>16</v>
      </c>
      <c r="C81" s="93">
        <f>C67-C69</f>
        <v>0.47650279187487832</v>
      </c>
      <c r="D81" s="94">
        <f>D67-D69</f>
        <v>2.5149288356415433</v>
      </c>
      <c r="H81" s="108">
        <f t="shared" si="6"/>
        <v>70</v>
      </c>
      <c r="I81" s="98">
        <f t="shared" si="2"/>
        <v>1.0260604299770064</v>
      </c>
      <c r="J81" s="99">
        <f t="shared" si="3"/>
        <v>2.8190778623577248</v>
      </c>
      <c r="K81" s="107">
        <f t="shared" si="4"/>
        <v>2.4700252577224866</v>
      </c>
      <c r="L81" s="99">
        <f t="shared" si="5"/>
        <v>3.6833398025646167</v>
      </c>
    </row>
    <row r="82" spans="2:12" x14ac:dyDescent="0.2">
      <c r="B82" s="70" t="str">
        <f>B75</f>
        <v>Sun</v>
      </c>
      <c r="C82" s="71">
        <f>C75</f>
        <v>0</v>
      </c>
      <c r="D82" s="95">
        <f>D75</f>
        <v>0</v>
      </c>
      <c r="H82" s="108">
        <f t="shared" si="6"/>
        <v>75</v>
      </c>
      <c r="I82" s="98">
        <f t="shared" si="2"/>
        <v>0.77645713530756222</v>
      </c>
      <c r="J82" s="99">
        <f t="shared" si="3"/>
        <v>2.897777478867205</v>
      </c>
      <c r="K82" s="107">
        <f t="shared" si="4"/>
        <v>2.3452236103877642</v>
      </c>
      <c r="L82" s="99">
        <f t="shared" si="5"/>
        <v>3.7226896108193568</v>
      </c>
    </row>
    <row r="83" spans="2:12" x14ac:dyDescent="0.2">
      <c r="B83" s="61" t="s">
        <v>22</v>
      </c>
      <c r="C83" s="98">
        <f>C67+C71</f>
        <v>3.3878240380707418</v>
      </c>
      <c r="D83" s="99">
        <f>D67+D71</f>
        <v>1.8235471805584587</v>
      </c>
      <c r="H83" s="108">
        <f t="shared" si="6"/>
        <v>80</v>
      </c>
      <c r="I83" s="98">
        <f t="shared" si="2"/>
        <v>0.52094453300079124</v>
      </c>
      <c r="J83" s="99">
        <f t="shared" si="3"/>
        <v>2.9544232590366239</v>
      </c>
      <c r="K83" s="107">
        <f t="shared" si="4"/>
        <v>2.2174673092343791</v>
      </c>
      <c r="L83" s="99">
        <f t="shared" si="5"/>
        <v>3.751012500904066</v>
      </c>
    </row>
    <row r="84" spans="2:12" x14ac:dyDescent="0.2">
      <c r="B84" s="62" t="s">
        <v>24</v>
      </c>
      <c r="C84" s="100">
        <f>C67-C71</f>
        <v>0.52616604739722472</v>
      </c>
      <c r="D84" s="101">
        <f>D67-D71</f>
        <v>2.7240545622130501</v>
      </c>
      <c r="H84" s="108">
        <f t="shared" si="6"/>
        <v>85</v>
      </c>
      <c r="I84" s="98">
        <f t="shared" si="2"/>
        <v>0.26146722824297441</v>
      </c>
      <c r="J84" s="99">
        <f t="shared" si="3"/>
        <v>2.9885840942752369</v>
      </c>
      <c r="K84" s="107">
        <f t="shared" si="4"/>
        <v>2.0877286568554707</v>
      </c>
      <c r="L84" s="99">
        <f t="shared" si="5"/>
        <v>3.7680929185233727</v>
      </c>
    </row>
    <row r="85" spans="2:12" x14ac:dyDescent="0.2">
      <c r="H85" s="108">
        <f t="shared" si="6"/>
        <v>90</v>
      </c>
      <c r="I85" s="98">
        <f t="shared" si="2"/>
        <v>1.83772268236293E-16</v>
      </c>
      <c r="J85" s="99">
        <f t="shared" si="3"/>
        <v>3</v>
      </c>
      <c r="K85" s="107">
        <f t="shared" si="4"/>
        <v>1.9569950427339833</v>
      </c>
      <c r="L85" s="99">
        <f t="shared" si="5"/>
        <v>3.7738008713857543</v>
      </c>
    </row>
    <row r="86" spans="2:12" x14ac:dyDescent="0.2">
      <c r="H86" s="108">
        <f t="shared" si="6"/>
        <v>95</v>
      </c>
      <c r="I86" s="98">
        <f t="shared" si="2"/>
        <v>-0.26146722824297469</v>
      </c>
      <c r="J86" s="99">
        <f t="shared" si="3"/>
        <v>2.9885840942752369</v>
      </c>
      <c r="K86" s="107">
        <f t="shared" si="4"/>
        <v>1.8262614286124959</v>
      </c>
      <c r="L86" s="99">
        <f t="shared" si="5"/>
        <v>3.7680929185233727</v>
      </c>
    </row>
    <row r="87" spans="2:12" x14ac:dyDescent="0.2">
      <c r="H87" s="108">
        <f t="shared" si="6"/>
        <v>100</v>
      </c>
      <c r="I87" s="98">
        <f t="shared" si="2"/>
        <v>-0.52094453300079091</v>
      </c>
      <c r="J87" s="99">
        <f t="shared" si="3"/>
        <v>2.9544232590366239</v>
      </c>
      <c r="K87" s="107">
        <f t="shared" si="4"/>
        <v>1.6965227762335879</v>
      </c>
      <c r="L87" s="99">
        <f t="shared" si="5"/>
        <v>3.751012500904066</v>
      </c>
    </row>
    <row r="88" spans="2:12" x14ac:dyDescent="0.2">
      <c r="H88" s="108">
        <f t="shared" si="6"/>
        <v>105</v>
      </c>
      <c r="I88" s="98">
        <f t="shared" si="2"/>
        <v>-0.77645713530756255</v>
      </c>
      <c r="J88" s="99">
        <f t="shared" si="3"/>
        <v>2.897777478867205</v>
      </c>
      <c r="K88" s="107">
        <f t="shared" si="4"/>
        <v>1.5687664750802019</v>
      </c>
      <c r="L88" s="99">
        <f t="shared" si="5"/>
        <v>3.7226896108193568</v>
      </c>
    </row>
    <row r="89" spans="2:12" x14ac:dyDescent="0.2">
      <c r="H89" s="108">
        <f t="shared" si="6"/>
        <v>110</v>
      </c>
      <c r="I89" s="98">
        <f t="shared" si="2"/>
        <v>-1.0260604299770062</v>
      </c>
      <c r="J89" s="99">
        <f t="shared" si="3"/>
        <v>2.8190778623577253</v>
      </c>
      <c r="K89" s="107">
        <f t="shared" si="4"/>
        <v>1.4439648277454802</v>
      </c>
      <c r="L89" s="99">
        <f t="shared" si="5"/>
        <v>3.6833398025646167</v>
      </c>
    </row>
    <row r="90" spans="2:12" x14ac:dyDescent="0.2">
      <c r="H90" s="108">
        <f t="shared" si="6"/>
        <v>115</v>
      </c>
      <c r="I90" s="98">
        <f t="shared" si="2"/>
        <v>-1.267854785222098</v>
      </c>
      <c r="J90" s="99">
        <f t="shared" si="3"/>
        <v>2.7189233611099501</v>
      </c>
      <c r="K90" s="107">
        <f t="shared" si="4"/>
        <v>1.3230676501229341</v>
      </c>
      <c r="L90" s="99">
        <f t="shared" si="5"/>
        <v>3.6332625519407293</v>
      </c>
    </row>
    <row r="91" spans="2:12" x14ac:dyDescent="0.2">
      <c r="H91" s="108">
        <f t="shared" si="6"/>
        <v>120</v>
      </c>
      <c r="I91" s="98">
        <f t="shared" si="2"/>
        <v>-1.4999999999999993</v>
      </c>
      <c r="J91" s="99">
        <f t="shared" si="3"/>
        <v>2.598076211353316</v>
      </c>
      <c r="K91" s="107">
        <f t="shared" si="4"/>
        <v>1.2069950427339835</v>
      </c>
      <c r="L91" s="99">
        <f t="shared" si="5"/>
        <v>3.5728389770624123</v>
      </c>
    </row>
    <row r="92" spans="2:12" x14ac:dyDescent="0.2">
      <c r="H92" s="108">
        <f t="shared" si="6"/>
        <v>125</v>
      </c>
      <c r="I92" s="98">
        <f t="shared" si="2"/>
        <v>-1.7207293090531386</v>
      </c>
      <c r="J92" s="99">
        <f t="shared" si="3"/>
        <v>2.4574561328669748</v>
      </c>
      <c r="K92" s="107">
        <f t="shared" si="4"/>
        <v>1.096630388207414</v>
      </c>
      <c r="L92" s="99">
        <f t="shared" si="5"/>
        <v>3.5025289378192417</v>
      </c>
    </row>
    <row r="93" spans="2:12" x14ac:dyDescent="0.2">
      <c r="H93" s="108">
        <f t="shared" si="6"/>
        <v>130</v>
      </c>
      <c r="I93" s="98">
        <f t="shared" si="2"/>
        <v>-1.9283628290596182</v>
      </c>
      <c r="J93" s="99">
        <f t="shared" si="3"/>
        <v>2.2981333293569342</v>
      </c>
      <c r="K93" s="107">
        <f t="shared" si="4"/>
        <v>0.99281362820417418</v>
      </c>
      <c r="L93" s="99">
        <f t="shared" si="5"/>
        <v>3.4228675360642216</v>
      </c>
    </row>
    <row r="94" spans="2:12" x14ac:dyDescent="0.2">
      <c r="H94" s="108">
        <f t="shared" si="6"/>
        <v>135</v>
      </c>
      <c r="I94" s="98">
        <f t="shared" si="2"/>
        <v>-2.1213203435596424</v>
      </c>
      <c r="J94" s="99">
        <f t="shared" si="3"/>
        <v>2.1213203435596428</v>
      </c>
      <c r="K94" s="107">
        <f t="shared" si="4"/>
        <v>0.89633487095416209</v>
      </c>
      <c r="L94" s="99">
        <f t="shared" si="5"/>
        <v>3.3344610431655757</v>
      </c>
    </row>
    <row r="95" spans="2:12" x14ac:dyDescent="0.2">
      <c r="H95" s="108">
        <f t="shared" si="6"/>
        <v>140</v>
      </c>
      <c r="I95" s="98">
        <f t="shared" si="2"/>
        <v>-2.2981333293569337</v>
      </c>
      <c r="J95" s="99">
        <f t="shared" si="3"/>
        <v>1.9283628290596184</v>
      </c>
      <c r="K95" s="107">
        <f t="shared" si="4"/>
        <v>0.80792837805551643</v>
      </c>
      <c r="L95" s="99">
        <f t="shared" si="5"/>
        <v>3.2379822859155634</v>
      </c>
    </row>
    <row r="96" spans="2:12" x14ac:dyDescent="0.2">
      <c r="H96" s="108">
        <f t="shared" si="6"/>
        <v>145</v>
      </c>
      <c r="I96" s="98">
        <f t="shared" si="2"/>
        <v>-2.4574561328669757</v>
      </c>
      <c r="J96" s="99">
        <f t="shared" si="3"/>
        <v>1.7207293090531377</v>
      </c>
      <c r="K96" s="107">
        <f t="shared" si="4"/>
        <v>0.72826697630049542</v>
      </c>
      <c r="L96" s="99">
        <f t="shared" si="5"/>
        <v>3.1341655259123229</v>
      </c>
    </row>
    <row r="97" spans="8:12" x14ac:dyDescent="0.2">
      <c r="H97" s="108">
        <f t="shared" si="6"/>
        <v>150</v>
      </c>
      <c r="I97" s="98">
        <f t="shared" si="2"/>
        <v>-2.598076211353316</v>
      </c>
      <c r="J97" s="99">
        <f t="shared" si="3"/>
        <v>1.4999999999999998</v>
      </c>
      <c r="K97" s="107">
        <f t="shared" si="4"/>
        <v>0.65795693705732528</v>
      </c>
      <c r="L97" s="99">
        <f t="shared" si="5"/>
        <v>3.0238008713857543</v>
      </c>
    </row>
    <row r="98" spans="8:12" x14ac:dyDescent="0.2">
      <c r="H98" s="108">
        <f t="shared" si="6"/>
        <v>155</v>
      </c>
      <c r="I98" s="98">
        <f t="shared" si="2"/>
        <v>-2.7189233611099497</v>
      </c>
      <c r="J98" s="99">
        <f t="shared" si="3"/>
        <v>1.2678547852220985</v>
      </c>
      <c r="K98" s="107">
        <f t="shared" si="4"/>
        <v>0.59753336217900843</v>
      </c>
      <c r="L98" s="99">
        <f t="shared" si="5"/>
        <v>2.9077282639968036</v>
      </c>
    </row>
    <row r="99" spans="8:12" x14ac:dyDescent="0.2">
      <c r="H99" s="108">
        <f t="shared" si="6"/>
        <v>160</v>
      </c>
      <c r="I99" s="98">
        <f t="shared" si="2"/>
        <v>-2.8190778623577248</v>
      </c>
      <c r="J99" s="99">
        <f t="shared" si="3"/>
        <v>1.0260604299770066</v>
      </c>
      <c r="K99" s="107">
        <f t="shared" ref="K99:K130" si="7">$C$67+$N$33*COS(RADIANS(H99))</f>
        <v>0.54745611155512086</v>
      </c>
      <c r="L99" s="99">
        <f t="shared" ref="L99:L130" si="8">$D$67+$N$33*SIN(RADIANS(H99))</f>
        <v>2.7868310863742574</v>
      </c>
    </row>
    <row r="100" spans="8:12" x14ac:dyDescent="0.2">
      <c r="H100" s="108">
        <f t="shared" si="6"/>
        <v>165</v>
      </c>
      <c r="I100" s="98">
        <f t="shared" si="2"/>
        <v>-2.8977774788672046</v>
      </c>
      <c r="J100" s="99">
        <f t="shared" si="3"/>
        <v>0.77645713530756311</v>
      </c>
      <c r="K100" s="107">
        <f t="shared" si="7"/>
        <v>0.50810630330038098</v>
      </c>
      <c r="L100" s="99">
        <f t="shared" si="8"/>
        <v>2.6620294390395358</v>
      </c>
    </row>
    <row r="101" spans="8:12" x14ac:dyDescent="0.2">
      <c r="H101" s="108">
        <f t="shared" si="6"/>
        <v>170</v>
      </c>
      <c r="I101" s="98">
        <f t="shared" si="2"/>
        <v>-2.9544232590366239</v>
      </c>
      <c r="J101" s="99">
        <f t="shared" si="3"/>
        <v>0.5209445330007908</v>
      </c>
      <c r="K101" s="107">
        <f t="shared" si="7"/>
        <v>0.47978341321567131</v>
      </c>
      <c r="L101" s="99">
        <f t="shared" si="8"/>
        <v>2.5342731378861498</v>
      </c>
    </row>
    <row r="102" spans="8:12" x14ac:dyDescent="0.2">
      <c r="H102" s="108">
        <f t="shared" si="6"/>
        <v>175</v>
      </c>
      <c r="I102" s="98">
        <f t="shared" si="2"/>
        <v>-2.9885840942752369</v>
      </c>
      <c r="J102" s="99">
        <f t="shared" si="3"/>
        <v>0.26146722824297458</v>
      </c>
      <c r="K102" s="107">
        <f t="shared" si="7"/>
        <v>0.46270299559636485</v>
      </c>
      <c r="L102" s="99">
        <f t="shared" si="8"/>
        <v>2.4045344855072415</v>
      </c>
    </row>
    <row r="103" spans="8:12" x14ac:dyDescent="0.2">
      <c r="H103" s="108">
        <f t="shared" si="6"/>
        <v>180</v>
      </c>
      <c r="I103" s="98">
        <f t="shared" si="2"/>
        <v>-3</v>
      </c>
      <c r="J103" s="99">
        <f t="shared" si="3"/>
        <v>3.67544536472586E-16</v>
      </c>
      <c r="K103" s="107">
        <f t="shared" si="7"/>
        <v>0.45699504273398328</v>
      </c>
      <c r="L103" s="99">
        <f t="shared" si="8"/>
        <v>2.2738008713857543</v>
      </c>
    </row>
    <row r="104" spans="8:12" x14ac:dyDescent="0.2">
      <c r="H104" s="108">
        <f t="shared" si="6"/>
        <v>185</v>
      </c>
      <c r="I104" s="98">
        <f t="shared" si="2"/>
        <v>-2.9885840942752369</v>
      </c>
      <c r="J104" s="99">
        <f t="shared" si="3"/>
        <v>-0.26146722824297386</v>
      </c>
      <c r="K104" s="107">
        <f t="shared" si="7"/>
        <v>0.46270299559636485</v>
      </c>
      <c r="L104" s="99">
        <f t="shared" si="8"/>
        <v>2.1430672572642675</v>
      </c>
    </row>
    <row r="105" spans="8:12" x14ac:dyDescent="0.2">
      <c r="H105" s="108">
        <f>H104+5</f>
        <v>190</v>
      </c>
      <c r="I105" s="98">
        <f t="shared" si="2"/>
        <v>-2.9544232590366239</v>
      </c>
      <c r="J105" s="99">
        <f t="shared" si="3"/>
        <v>-0.52094453300079135</v>
      </c>
      <c r="K105" s="107">
        <f t="shared" si="7"/>
        <v>0.47978341321567131</v>
      </c>
      <c r="L105" s="99">
        <f t="shared" si="8"/>
        <v>2.0133286048853587</v>
      </c>
    </row>
    <row r="106" spans="8:12" x14ac:dyDescent="0.2">
      <c r="H106" s="108">
        <f t="shared" si="6"/>
        <v>195</v>
      </c>
      <c r="I106" s="98">
        <f t="shared" si="2"/>
        <v>-2.897777478867205</v>
      </c>
      <c r="J106" s="99">
        <f t="shared" si="3"/>
        <v>-0.77645713530756244</v>
      </c>
      <c r="K106" s="107">
        <f t="shared" si="7"/>
        <v>0.50810630330038076</v>
      </c>
      <c r="L106" s="99">
        <f t="shared" si="8"/>
        <v>1.8855723037319732</v>
      </c>
    </row>
    <row r="107" spans="8:12" x14ac:dyDescent="0.2">
      <c r="H107" s="108">
        <f t="shared" si="6"/>
        <v>200</v>
      </c>
      <c r="I107" s="98">
        <f t="shared" si="2"/>
        <v>-2.8190778623577253</v>
      </c>
      <c r="J107" s="99">
        <f t="shared" si="3"/>
        <v>-1.026060429977006</v>
      </c>
      <c r="K107" s="107">
        <f t="shared" si="7"/>
        <v>0.54745611155512064</v>
      </c>
      <c r="L107" s="99">
        <f t="shared" si="8"/>
        <v>1.7607706563972512</v>
      </c>
    </row>
    <row r="108" spans="8:12" x14ac:dyDescent="0.2">
      <c r="H108" s="108">
        <f t="shared" si="6"/>
        <v>205</v>
      </c>
      <c r="I108" s="98">
        <f t="shared" si="2"/>
        <v>-2.7189233611099501</v>
      </c>
      <c r="J108" s="99">
        <f t="shared" si="3"/>
        <v>-1.2678547852220978</v>
      </c>
      <c r="K108" s="107">
        <f t="shared" si="7"/>
        <v>0.59753336217900821</v>
      </c>
      <c r="L108" s="99">
        <f t="shared" si="8"/>
        <v>1.6398734787747054</v>
      </c>
    </row>
    <row r="109" spans="8:12" x14ac:dyDescent="0.2">
      <c r="H109" s="108">
        <f t="shared" si="6"/>
        <v>210</v>
      </c>
      <c r="I109" s="98">
        <f t="shared" si="2"/>
        <v>-2.598076211353316</v>
      </c>
      <c r="J109" s="99">
        <f t="shared" si="3"/>
        <v>-1.5000000000000004</v>
      </c>
      <c r="K109" s="107">
        <f t="shared" si="7"/>
        <v>0.65795693705732528</v>
      </c>
      <c r="L109" s="99">
        <f t="shared" si="8"/>
        <v>1.523800871385754</v>
      </c>
    </row>
    <row r="110" spans="8:12" x14ac:dyDescent="0.2">
      <c r="H110" s="108">
        <f t="shared" si="6"/>
        <v>215</v>
      </c>
      <c r="I110" s="98">
        <f t="shared" si="2"/>
        <v>-2.4574561328669753</v>
      </c>
      <c r="J110" s="99">
        <f t="shared" si="3"/>
        <v>-1.7207293090531386</v>
      </c>
      <c r="K110" s="107">
        <f t="shared" si="7"/>
        <v>0.72826697630049564</v>
      </c>
      <c r="L110" s="99">
        <f t="shared" si="8"/>
        <v>1.413436216859185</v>
      </c>
    </row>
    <row r="111" spans="8:12" x14ac:dyDescent="0.2">
      <c r="H111" s="108">
        <f t="shared" si="6"/>
        <v>220</v>
      </c>
      <c r="I111" s="98">
        <f t="shared" si="2"/>
        <v>-2.2981333293569342</v>
      </c>
      <c r="J111" s="99">
        <f t="shared" si="3"/>
        <v>-1.9283628290596178</v>
      </c>
      <c r="K111" s="107">
        <f t="shared" si="7"/>
        <v>0.80792837805551621</v>
      </c>
      <c r="L111" s="99">
        <f t="shared" si="8"/>
        <v>1.3096194568559454</v>
      </c>
    </row>
    <row r="112" spans="8:12" x14ac:dyDescent="0.2">
      <c r="H112" s="108">
        <f t="shared" si="6"/>
        <v>225</v>
      </c>
      <c r="I112" s="98">
        <f t="shared" si="2"/>
        <v>-2.1213203435596428</v>
      </c>
      <c r="J112" s="99">
        <f t="shared" si="3"/>
        <v>-2.1213203435596424</v>
      </c>
      <c r="K112" s="107">
        <f t="shared" si="7"/>
        <v>0.89633487095416187</v>
      </c>
      <c r="L112" s="99">
        <f t="shared" si="8"/>
        <v>1.2131406996059331</v>
      </c>
    </row>
    <row r="113" spans="8:12" x14ac:dyDescent="0.2">
      <c r="H113" s="108">
        <f t="shared" si="6"/>
        <v>230</v>
      </c>
      <c r="I113" s="98">
        <f t="shared" si="2"/>
        <v>-1.9283628290596184</v>
      </c>
      <c r="J113" s="99">
        <f t="shared" si="3"/>
        <v>-2.2981333293569337</v>
      </c>
      <c r="K113" s="107">
        <f t="shared" si="7"/>
        <v>0.99281362820417407</v>
      </c>
      <c r="L113" s="99">
        <f t="shared" si="8"/>
        <v>1.1247342067072874</v>
      </c>
    </row>
    <row r="114" spans="8:12" x14ac:dyDescent="0.2">
      <c r="H114" s="108">
        <f t="shared" si="6"/>
        <v>235</v>
      </c>
      <c r="I114" s="98">
        <f t="shared" si="2"/>
        <v>-1.720729309053139</v>
      </c>
      <c r="J114" s="99">
        <f t="shared" si="3"/>
        <v>-2.4574561328669748</v>
      </c>
      <c r="K114" s="107">
        <f t="shared" si="7"/>
        <v>1.0966303882074138</v>
      </c>
      <c r="L114" s="99">
        <f t="shared" si="8"/>
        <v>1.0450728049522668</v>
      </c>
    </row>
    <row r="115" spans="8:12" x14ac:dyDescent="0.2">
      <c r="H115" s="108">
        <f t="shared" si="6"/>
        <v>240</v>
      </c>
      <c r="I115" s="98">
        <f t="shared" si="2"/>
        <v>-1.5000000000000013</v>
      </c>
      <c r="J115" s="99">
        <f t="shared" si="3"/>
        <v>-2.5980762113533151</v>
      </c>
      <c r="K115" s="107">
        <f t="shared" si="7"/>
        <v>1.2069950427339826</v>
      </c>
      <c r="L115" s="99">
        <f t="shared" si="8"/>
        <v>0.9747627657090967</v>
      </c>
    </row>
    <row r="116" spans="8:12" x14ac:dyDescent="0.2">
      <c r="H116" s="108">
        <f t="shared" si="6"/>
        <v>245</v>
      </c>
      <c r="I116" s="98">
        <f t="shared" si="2"/>
        <v>-1.2678547852220974</v>
      </c>
      <c r="J116" s="99">
        <f t="shared" si="3"/>
        <v>-2.7189233611099501</v>
      </c>
      <c r="K116" s="107">
        <f t="shared" si="7"/>
        <v>1.3230676501229346</v>
      </c>
      <c r="L116" s="99">
        <f t="shared" si="8"/>
        <v>0.91433919083077919</v>
      </c>
    </row>
    <row r="117" spans="8:12" x14ac:dyDescent="0.2">
      <c r="H117" s="108">
        <f t="shared" si="6"/>
        <v>250</v>
      </c>
      <c r="I117" s="98">
        <f t="shared" si="2"/>
        <v>-1.0260604299770058</v>
      </c>
      <c r="J117" s="99">
        <f t="shared" si="3"/>
        <v>-2.8190778623577253</v>
      </c>
      <c r="K117" s="107">
        <f t="shared" si="7"/>
        <v>1.4439648277454804</v>
      </c>
      <c r="L117" s="99">
        <f t="shared" si="8"/>
        <v>0.86426194020689162</v>
      </c>
    </row>
    <row r="118" spans="8:12" x14ac:dyDescent="0.2">
      <c r="H118" s="108">
        <f t="shared" si="6"/>
        <v>255</v>
      </c>
      <c r="I118" s="98">
        <f t="shared" si="2"/>
        <v>-0.77645713530756189</v>
      </c>
      <c r="J118" s="99">
        <f t="shared" si="3"/>
        <v>-2.897777478867205</v>
      </c>
      <c r="K118" s="107">
        <f t="shared" si="7"/>
        <v>1.5687664750802024</v>
      </c>
      <c r="L118" s="99">
        <f t="shared" si="8"/>
        <v>0.82491213195215174</v>
      </c>
    </row>
    <row r="119" spans="8:12" x14ac:dyDescent="0.2">
      <c r="H119" s="108">
        <f t="shared" si="6"/>
        <v>260</v>
      </c>
      <c r="I119" s="98">
        <f t="shared" si="2"/>
        <v>-0.52094453300079102</v>
      </c>
      <c r="J119" s="99">
        <f t="shared" si="3"/>
        <v>-2.9544232590366239</v>
      </c>
      <c r="K119" s="107">
        <f t="shared" si="7"/>
        <v>1.6965227762335877</v>
      </c>
      <c r="L119" s="99">
        <f t="shared" si="8"/>
        <v>0.79658924186744229</v>
      </c>
    </row>
    <row r="120" spans="8:12" x14ac:dyDescent="0.2">
      <c r="H120" s="108">
        <f t="shared" si="6"/>
        <v>265</v>
      </c>
      <c r="I120" s="98">
        <f t="shared" si="2"/>
        <v>-0.26146722824297475</v>
      </c>
      <c r="J120" s="99">
        <f t="shared" si="3"/>
        <v>-2.9885840942752369</v>
      </c>
      <c r="K120" s="107">
        <f t="shared" si="7"/>
        <v>1.8262614286124959</v>
      </c>
      <c r="L120" s="99">
        <f t="shared" si="8"/>
        <v>0.77950882424813583</v>
      </c>
    </row>
    <row r="121" spans="8:12" x14ac:dyDescent="0.2">
      <c r="H121" s="108">
        <f t="shared" si="6"/>
        <v>270</v>
      </c>
      <c r="I121" s="98">
        <f t="shared" si="2"/>
        <v>-5.51316804708879E-16</v>
      </c>
      <c r="J121" s="99">
        <f t="shared" si="3"/>
        <v>-3</v>
      </c>
      <c r="K121" s="107">
        <f t="shared" si="7"/>
        <v>1.9569950427339831</v>
      </c>
      <c r="L121" s="99">
        <f t="shared" si="8"/>
        <v>0.77380087138575426</v>
      </c>
    </row>
    <row r="122" spans="8:12" x14ac:dyDescent="0.2">
      <c r="H122" s="108">
        <f t="shared" si="6"/>
        <v>275</v>
      </c>
      <c r="I122" s="98">
        <f t="shared" si="2"/>
        <v>0.26146722824297364</v>
      </c>
      <c r="J122" s="99">
        <f t="shared" si="3"/>
        <v>-2.9885840942752369</v>
      </c>
      <c r="K122" s="107">
        <f t="shared" si="7"/>
        <v>2.0877286568554703</v>
      </c>
      <c r="L122" s="99">
        <f t="shared" si="8"/>
        <v>0.77950882424813583</v>
      </c>
    </row>
    <row r="123" spans="8:12" x14ac:dyDescent="0.2">
      <c r="H123" s="108">
        <f t="shared" si="6"/>
        <v>280</v>
      </c>
      <c r="I123" s="98">
        <f t="shared" si="2"/>
        <v>0.52094453300078991</v>
      </c>
      <c r="J123" s="99">
        <f t="shared" si="3"/>
        <v>-2.9544232590366244</v>
      </c>
      <c r="K123" s="107">
        <f t="shared" si="7"/>
        <v>2.2174673092343782</v>
      </c>
      <c r="L123" s="99">
        <f t="shared" si="8"/>
        <v>0.79658924186744207</v>
      </c>
    </row>
    <row r="124" spans="8:12" x14ac:dyDescent="0.2">
      <c r="H124" s="108">
        <f t="shared" si="6"/>
        <v>285</v>
      </c>
      <c r="I124" s="98">
        <f t="shared" si="2"/>
        <v>0.77645713530756089</v>
      </c>
      <c r="J124" s="99">
        <f t="shared" si="3"/>
        <v>-2.897777478867205</v>
      </c>
      <c r="K124" s="107">
        <f t="shared" si="7"/>
        <v>2.3452236103877637</v>
      </c>
      <c r="L124" s="99">
        <f t="shared" si="8"/>
        <v>0.82491213195215174</v>
      </c>
    </row>
    <row r="125" spans="8:12" x14ac:dyDescent="0.2">
      <c r="H125" s="108">
        <f t="shared" si="6"/>
        <v>290</v>
      </c>
      <c r="I125" s="98">
        <f t="shared" si="2"/>
        <v>1.0260604299770071</v>
      </c>
      <c r="J125" s="99">
        <f t="shared" si="3"/>
        <v>-2.8190778623577248</v>
      </c>
      <c r="K125" s="107">
        <f t="shared" si="7"/>
        <v>2.4700252577224866</v>
      </c>
      <c r="L125" s="99">
        <f t="shared" si="8"/>
        <v>0.86426194020689184</v>
      </c>
    </row>
    <row r="126" spans="8:12" x14ac:dyDescent="0.2">
      <c r="H126" s="108">
        <f t="shared" si="6"/>
        <v>295</v>
      </c>
      <c r="I126" s="98">
        <f t="shared" si="2"/>
        <v>1.2678547852220987</v>
      </c>
      <c r="J126" s="99">
        <f t="shared" si="3"/>
        <v>-2.7189233611099497</v>
      </c>
      <c r="K126" s="107">
        <f t="shared" si="7"/>
        <v>2.5909224353450329</v>
      </c>
      <c r="L126" s="99">
        <f t="shared" si="8"/>
        <v>0.91433919083077941</v>
      </c>
    </row>
    <row r="127" spans="8:12" x14ac:dyDescent="0.2">
      <c r="H127" s="108">
        <f t="shared" si="6"/>
        <v>300</v>
      </c>
      <c r="I127" s="98">
        <f t="shared" si="2"/>
        <v>1.5000000000000004</v>
      </c>
      <c r="J127" s="99">
        <f t="shared" si="3"/>
        <v>-2.598076211353316</v>
      </c>
      <c r="K127" s="107">
        <f t="shared" si="7"/>
        <v>2.7069950427339835</v>
      </c>
      <c r="L127" s="99">
        <f t="shared" si="8"/>
        <v>0.97476276570909626</v>
      </c>
    </row>
    <row r="128" spans="8:12" x14ac:dyDescent="0.2">
      <c r="H128" s="108">
        <f t="shared" si="6"/>
        <v>305</v>
      </c>
      <c r="I128" s="98">
        <f t="shared" si="2"/>
        <v>1.7207293090531381</v>
      </c>
      <c r="J128" s="99">
        <f t="shared" si="3"/>
        <v>-2.4574561328669753</v>
      </c>
      <c r="K128" s="107">
        <f t="shared" si="7"/>
        <v>2.8173596972605521</v>
      </c>
      <c r="L128" s="99">
        <f t="shared" si="8"/>
        <v>1.0450728049522666</v>
      </c>
    </row>
    <row r="129" spans="8:12" x14ac:dyDescent="0.2">
      <c r="H129" s="108">
        <f t="shared" si="6"/>
        <v>310</v>
      </c>
      <c r="I129" s="98">
        <f t="shared" si="2"/>
        <v>1.9283628290596178</v>
      </c>
      <c r="J129" s="99">
        <f t="shared" si="3"/>
        <v>-2.2981333293569346</v>
      </c>
      <c r="K129" s="107">
        <f t="shared" si="7"/>
        <v>2.9211764572637922</v>
      </c>
      <c r="L129" s="99">
        <f t="shared" si="8"/>
        <v>1.124734206707287</v>
      </c>
    </row>
    <row r="130" spans="8:12" x14ac:dyDescent="0.2">
      <c r="H130" s="108">
        <f t="shared" si="6"/>
        <v>315</v>
      </c>
      <c r="I130" s="98">
        <f t="shared" si="2"/>
        <v>2.1213203435596419</v>
      </c>
      <c r="J130" s="99">
        <f t="shared" si="3"/>
        <v>-2.1213203435596428</v>
      </c>
      <c r="K130" s="107">
        <f t="shared" si="7"/>
        <v>3.0176552145138045</v>
      </c>
      <c r="L130" s="99">
        <f t="shared" si="8"/>
        <v>1.2131406996059328</v>
      </c>
    </row>
    <row r="131" spans="8:12" x14ac:dyDescent="0.2">
      <c r="H131" s="108">
        <f t="shared" si="6"/>
        <v>320</v>
      </c>
      <c r="I131" s="98">
        <f t="shared" ref="I131:I139" si="9">$K$35+$K$33*COS(RADIANS(H131))</f>
        <v>2.2981333293569333</v>
      </c>
      <c r="J131" s="99">
        <f t="shared" ref="J131:J139" si="10">$K$36+$K$33*SIN(RADIANS(H131))</f>
        <v>-1.9283628290596186</v>
      </c>
      <c r="K131" s="107">
        <f t="shared" ref="K131:K139" si="11">$C$67+$N$33*COS(RADIANS(H131))</f>
        <v>3.1060617074124499</v>
      </c>
      <c r="L131" s="99">
        <f t="shared" ref="L131:L139" si="12">$D$67+$N$33*SIN(RADIANS(H131))</f>
        <v>1.3096194568559449</v>
      </c>
    </row>
    <row r="132" spans="8:12" x14ac:dyDescent="0.2">
      <c r="H132" s="108">
        <f t="shared" si="6"/>
        <v>325</v>
      </c>
      <c r="I132" s="98">
        <f t="shared" si="9"/>
        <v>2.4574561328669748</v>
      </c>
      <c r="J132" s="99">
        <f t="shared" si="10"/>
        <v>-1.7207293090531395</v>
      </c>
      <c r="K132" s="107">
        <f t="shared" si="11"/>
        <v>3.1857231091674709</v>
      </c>
      <c r="L132" s="99">
        <f t="shared" si="12"/>
        <v>1.4134362168591845</v>
      </c>
    </row>
    <row r="133" spans="8:12" x14ac:dyDescent="0.2">
      <c r="H133" s="108">
        <f t="shared" ref="H133:H139" si="13">H132+5</f>
        <v>330</v>
      </c>
      <c r="I133" s="98">
        <f t="shared" si="9"/>
        <v>2.5980762113533151</v>
      </c>
      <c r="J133" s="99">
        <f t="shared" si="10"/>
        <v>-1.5000000000000013</v>
      </c>
      <c r="K133" s="107">
        <f t="shared" si="11"/>
        <v>3.2560331484106406</v>
      </c>
      <c r="L133" s="99">
        <f t="shared" si="12"/>
        <v>1.5238008713857536</v>
      </c>
    </row>
    <row r="134" spans="8:12" x14ac:dyDescent="0.2">
      <c r="H134" s="108">
        <f t="shared" si="13"/>
        <v>335</v>
      </c>
      <c r="I134" s="98">
        <f t="shared" si="9"/>
        <v>2.7189233611099501</v>
      </c>
      <c r="J134" s="99">
        <f t="shared" si="10"/>
        <v>-1.2678547852220976</v>
      </c>
      <c r="K134" s="107">
        <f t="shared" si="11"/>
        <v>3.3164567232889581</v>
      </c>
      <c r="L134" s="99">
        <f t="shared" si="12"/>
        <v>1.6398734787747054</v>
      </c>
    </row>
    <row r="135" spans="8:12" x14ac:dyDescent="0.2">
      <c r="H135" s="108">
        <f t="shared" si="13"/>
        <v>340</v>
      </c>
      <c r="I135" s="98">
        <f t="shared" si="9"/>
        <v>2.8190778623577253</v>
      </c>
      <c r="J135" s="99">
        <f t="shared" si="10"/>
        <v>-1.0260604299770058</v>
      </c>
      <c r="K135" s="107">
        <f t="shared" si="11"/>
        <v>3.3665339739128459</v>
      </c>
      <c r="L135" s="99">
        <f t="shared" si="12"/>
        <v>1.7607706563972514</v>
      </c>
    </row>
    <row r="136" spans="8:12" x14ac:dyDescent="0.2">
      <c r="H136" s="108">
        <f t="shared" si="13"/>
        <v>345</v>
      </c>
      <c r="I136" s="98">
        <f t="shared" si="9"/>
        <v>2.897777478867205</v>
      </c>
      <c r="J136" s="99">
        <f t="shared" si="10"/>
        <v>-0.776457135307562</v>
      </c>
      <c r="K136" s="107">
        <f t="shared" si="11"/>
        <v>3.405883782167586</v>
      </c>
      <c r="L136" s="99">
        <f t="shared" si="12"/>
        <v>1.8855723037319732</v>
      </c>
    </row>
    <row r="137" spans="8:12" x14ac:dyDescent="0.2">
      <c r="H137" s="108">
        <f t="shared" si="13"/>
        <v>350</v>
      </c>
      <c r="I137" s="98">
        <f t="shared" si="9"/>
        <v>2.9544232590366239</v>
      </c>
      <c r="J137" s="99">
        <f t="shared" si="10"/>
        <v>-0.52094453300079113</v>
      </c>
      <c r="K137" s="107">
        <f t="shared" si="11"/>
        <v>3.4342066722522953</v>
      </c>
      <c r="L137" s="99">
        <f t="shared" si="12"/>
        <v>2.0133286048853587</v>
      </c>
    </row>
    <row r="138" spans="8:12" x14ac:dyDescent="0.2">
      <c r="H138" s="108">
        <f t="shared" si="13"/>
        <v>355</v>
      </c>
      <c r="I138" s="98">
        <f t="shared" si="9"/>
        <v>2.9885840942752369</v>
      </c>
      <c r="J138" s="99">
        <f t="shared" si="10"/>
        <v>-0.26146722824297497</v>
      </c>
      <c r="K138" s="107">
        <f t="shared" si="11"/>
        <v>3.4512870898716015</v>
      </c>
      <c r="L138" s="99">
        <f t="shared" si="12"/>
        <v>2.1430672572642666</v>
      </c>
    </row>
    <row r="139" spans="8:12" x14ac:dyDescent="0.2">
      <c r="H139" s="109">
        <f t="shared" si="13"/>
        <v>360</v>
      </c>
      <c r="I139" s="100">
        <f t="shared" si="9"/>
        <v>3</v>
      </c>
      <c r="J139" s="101">
        <f t="shared" si="10"/>
        <v>-7.3508907294517201E-16</v>
      </c>
      <c r="K139" s="110">
        <f t="shared" si="11"/>
        <v>3.4569950427339835</v>
      </c>
      <c r="L139" s="101">
        <f t="shared" si="12"/>
        <v>2.2738008713857538</v>
      </c>
    </row>
  </sheetData>
  <sheetProtection sheet="1" objects="1" scenarios="1"/>
  <mergeCells count="15">
    <mergeCell ref="M10:M11"/>
    <mergeCell ref="N10:N11"/>
    <mergeCell ref="M12:M13"/>
    <mergeCell ref="N12:N13"/>
    <mergeCell ref="M14:M15"/>
    <mergeCell ref="N14:N15"/>
    <mergeCell ref="M28:N28"/>
    <mergeCell ref="C65:F65"/>
    <mergeCell ref="M17:N17"/>
    <mergeCell ref="M18:N18"/>
    <mergeCell ref="P20:P25"/>
    <mergeCell ref="O21:O24"/>
    <mergeCell ref="M27:N27"/>
    <mergeCell ref="J20:L20"/>
    <mergeCell ref="J25:L25"/>
  </mergeCells>
  <conditionalFormatting sqref="M21:M22">
    <cfRule type="containsText" dxfId="5" priority="4" operator="containsText" text="eclipse">
      <formula>NOT(ISERROR(SEARCH("eclipse",M21)))</formula>
    </cfRule>
  </conditionalFormatting>
  <conditionalFormatting sqref="M20:N20 O21 N21:N22 L21:L23 L24:M24">
    <cfRule type="cellIs" dxfId="4" priority="9" operator="equal">
      <formula>"Y"</formula>
    </cfRule>
    <cfRule type="cellIs" dxfId="3" priority="10" operator="equal">
      <formula>"N"</formula>
    </cfRule>
  </conditionalFormatting>
  <conditionalFormatting sqref="M25:N25">
    <cfRule type="cellIs" dxfId="2" priority="5" operator="equal">
      <formula>"Y"</formula>
    </cfRule>
    <cfRule type="cellIs" dxfId="1" priority="6" operator="equal">
      <formula>"N"</formula>
    </cfRule>
  </conditionalFormatting>
  <conditionalFormatting sqref="N23:N24">
    <cfRule type="containsText" dxfId="0" priority="3" operator="containsText" text="eclipse">
      <formula>NOT(ISERROR(SEARCH("eclipse",N23)))</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D040-E3DC-1441-ABA1-E80700E4BB40}">
  <dimension ref="A3:O209"/>
  <sheetViews>
    <sheetView showGridLines="0" workbookViewId="0">
      <selection activeCell="E11" sqref="E11"/>
    </sheetView>
  </sheetViews>
  <sheetFormatPr baseColWidth="10" defaultColWidth="11.5" defaultRowHeight="15" x14ac:dyDescent="0.2"/>
  <cols>
    <col min="1" max="2" width="11.5" style="112"/>
    <col min="3" max="5" width="11.5" style="112" customWidth="1"/>
    <col min="6" max="6" width="11.5" style="112"/>
    <col min="7" max="7" width="14.33203125" style="112" customWidth="1"/>
    <col min="8" max="15" width="11.5" style="112"/>
    <col min="16" max="16384" width="11.5" style="111"/>
  </cols>
  <sheetData>
    <row r="3" spans="2:11" ht="16" x14ac:dyDescent="0.2">
      <c r="B3" s="153" t="s">
        <v>114</v>
      </c>
      <c r="C3" s="145"/>
      <c r="D3" s="145"/>
      <c r="E3" s="146"/>
      <c r="F3" s="154">
        <f>360-MOD('Sun-Earth-Moon Model'!K10+180-'Sun-Earth-Moon Model'!K11,360)</f>
        <v>69.535543544656093</v>
      </c>
      <c r="H3" s="120" t="s">
        <v>2</v>
      </c>
      <c r="I3" s="121" t="s">
        <v>109</v>
      </c>
      <c r="J3" s="122" t="s">
        <v>108</v>
      </c>
      <c r="K3" s="123"/>
    </row>
    <row r="4" spans="2:11" x14ac:dyDescent="0.2">
      <c r="B4" s="116" t="s">
        <v>3</v>
      </c>
      <c r="C4" s="117">
        <v>200</v>
      </c>
      <c r="D4" s="117"/>
      <c r="E4" s="117" t="s">
        <v>4</v>
      </c>
      <c r="F4" s="144">
        <f>MOD(360-Calculations!F3+180,360)</f>
        <v>110.46445645534391</v>
      </c>
      <c r="H4" s="124">
        <v>0</v>
      </c>
      <c r="I4" s="125" t="s">
        <v>93</v>
      </c>
      <c r="J4" s="126" t="s">
        <v>92</v>
      </c>
      <c r="K4" s="127"/>
    </row>
    <row r="5" spans="2:11" x14ac:dyDescent="0.2">
      <c r="B5" s="113" t="s">
        <v>9</v>
      </c>
      <c r="C5" s="114">
        <f>2/C4</f>
        <v>0.01</v>
      </c>
      <c r="D5" s="114"/>
      <c r="E5" s="114" t="s">
        <v>10</v>
      </c>
      <c r="F5" s="115">
        <f>COS(RADIANS(F4))</f>
        <v>-0.34962624755496396</v>
      </c>
      <c r="H5" s="124">
        <v>10</v>
      </c>
      <c r="I5" s="125" t="s">
        <v>107</v>
      </c>
      <c r="J5" s="126" t="s">
        <v>106</v>
      </c>
      <c r="K5" s="127"/>
    </row>
    <row r="6" spans="2:11" x14ac:dyDescent="0.2">
      <c r="B6" s="116"/>
      <c r="C6" s="117"/>
      <c r="D6" s="117"/>
      <c r="E6" s="117" t="s">
        <v>12</v>
      </c>
      <c r="F6" s="118">
        <f>ABS(F5)</f>
        <v>0.34962624755496396</v>
      </c>
      <c r="H6" s="124">
        <v>80</v>
      </c>
      <c r="I6" s="125" t="s">
        <v>105</v>
      </c>
      <c r="J6" s="126" t="s">
        <v>104</v>
      </c>
      <c r="K6" s="127"/>
    </row>
    <row r="7" spans="2:11" x14ac:dyDescent="0.2">
      <c r="B7" s="113"/>
      <c r="C7" s="114"/>
      <c r="D7" s="114"/>
      <c r="E7" s="114" t="s">
        <v>13</v>
      </c>
      <c r="F7" s="119">
        <v>1</v>
      </c>
      <c r="H7" s="124">
        <v>100</v>
      </c>
      <c r="I7" s="125" t="s">
        <v>103</v>
      </c>
      <c r="J7" s="126" t="s">
        <v>102</v>
      </c>
      <c r="K7" s="127"/>
    </row>
    <row r="8" spans="2:11" x14ac:dyDescent="0.2">
      <c r="B8" s="147" t="s">
        <v>17</v>
      </c>
      <c r="C8" s="148" t="s">
        <v>18</v>
      </c>
      <c r="D8" s="148" t="s">
        <v>19</v>
      </c>
      <c r="E8" s="148" t="s">
        <v>20</v>
      </c>
      <c r="F8" s="149" t="s">
        <v>21</v>
      </c>
      <c r="H8" s="124">
        <v>170</v>
      </c>
      <c r="I8" s="125" t="s">
        <v>101</v>
      </c>
      <c r="J8" s="126" t="s">
        <v>100</v>
      </c>
      <c r="K8" s="127"/>
    </row>
    <row r="9" spans="2:11" x14ac:dyDescent="0.2">
      <c r="B9" s="155">
        <v>-1</v>
      </c>
      <c r="C9" s="117">
        <f t="shared" ref="C9:C72" si="0">IFERROR(IF(SQRT(1-(B9*B9)/($F$6*$F$6))&lt;0.05,0,SQRT(1-(B9*B9)/($F$6*$F$6))),0)</f>
        <v>0</v>
      </c>
      <c r="D9" s="117">
        <f t="shared" ref="D9:D72" si="1">CHOOSE(MATCH($F$4,degrees),IF(B9&lt;0,IFERROR(1-C9,1),0),0,0,IF(B9&gt;0,IFERROR(1-C9,1),0))</f>
        <v>0</v>
      </c>
      <c r="E9" s="117">
        <f t="shared" ref="E9:E72" si="2">CHOOSE(MATCH($F$4,degrees),IF(B9&lt;0,2*C9,2),IF(B9&lt;0,0,1-C9),IF(B9&gt;0,0,1-C9),IF(B9&gt;0,2*C9,2))</f>
        <v>0</v>
      </c>
      <c r="F9" s="118">
        <f t="shared" ref="F9:F72" si="3">CHOOSE(MATCH($F$4,degrees),IF(B9&lt;0,C9+1,2),IF(B9&lt;0,2,2*C9),IF(B9&gt;0,2,2*C9),IF(B9&gt;0,C9+1,2))</f>
        <v>2</v>
      </c>
      <c r="H9" s="124">
        <v>190</v>
      </c>
      <c r="I9" s="125" t="s">
        <v>99</v>
      </c>
      <c r="J9" s="126" t="s">
        <v>98</v>
      </c>
      <c r="K9" s="127"/>
    </row>
    <row r="10" spans="2:11" x14ac:dyDescent="0.2">
      <c r="B10" s="155">
        <f t="shared" ref="B10:B41" si="4">B9+$C$5</f>
        <v>-0.99</v>
      </c>
      <c r="C10" s="117">
        <f t="shared" si="0"/>
        <v>0</v>
      </c>
      <c r="D10" s="117">
        <f t="shared" si="1"/>
        <v>0</v>
      </c>
      <c r="E10" s="117">
        <f t="shared" si="2"/>
        <v>0</v>
      </c>
      <c r="F10" s="118">
        <f t="shared" si="3"/>
        <v>2</v>
      </c>
      <c r="H10" s="124">
        <v>260</v>
      </c>
      <c r="I10" s="125" t="s">
        <v>97</v>
      </c>
      <c r="J10" s="128" t="s">
        <v>96</v>
      </c>
      <c r="K10" s="127"/>
    </row>
    <row r="11" spans="2:11" x14ac:dyDescent="0.2">
      <c r="B11" s="155">
        <f t="shared" si="4"/>
        <v>-0.98</v>
      </c>
      <c r="C11" s="117">
        <f t="shared" si="0"/>
        <v>0</v>
      </c>
      <c r="D11" s="117">
        <f t="shared" si="1"/>
        <v>0</v>
      </c>
      <c r="E11" s="117">
        <f t="shared" si="2"/>
        <v>0</v>
      </c>
      <c r="F11" s="118">
        <f t="shared" si="3"/>
        <v>2</v>
      </c>
      <c r="H11" s="124">
        <v>280</v>
      </c>
      <c r="I11" s="125" t="s">
        <v>95</v>
      </c>
      <c r="J11" s="128" t="s">
        <v>94</v>
      </c>
      <c r="K11" s="127"/>
    </row>
    <row r="12" spans="2:11" x14ac:dyDescent="0.2">
      <c r="B12" s="155">
        <f t="shared" si="4"/>
        <v>-0.97</v>
      </c>
      <c r="C12" s="117">
        <f t="shared" si="0"/>
        <v>0</v>
      </c>
      <c r="D12" s="117">
        <f t="shared" si="1"/>
        <v>0</v>
      </c>
      <c r="E12" s="117">
        <f t="shared" si="2"/>
        <v>0</v>
      </c>
      <c r="F12" s="118">
        <f t="shared" si="3"/>
        <v>2</v>
      </c>
      <c r="H12" s="129">
        <v>350</v>
      </c>
      <c r="I12" s="130" t="s">
        <v>93</v>
      </c>
      <c r="J12" s="131" t="s">
        <v>92</v>
      </c>
      <c r="K12" s="132"/>
    </row>
    <row r="13" spans="2:11" x14ac:dyDescent="0.2">
      <c r="B13" s="155">
        <f t="shared" si="4"/>
        <v>-0.96</v>
      </c>
      <c r="C13" s="117">
        <f t="shared" si="0"/>
        <v>0</v>
      </c>
      <c r="D13" s="117">
        <f t="shared" si="1"/>
        <v>0</v>
      </c>
      <c r="E13" s="117">
        <f t="shared" si="2"/>
        <v>0</v>
      </c>
      <c r="F13" s="118">
        <f t="shared" si="3"/>
        <v>2</v>
      </c>
    </row>
    <row r="14" spans="2:11" x14ac:dyDescent="0.2">
      <c r="B14" s="155">
        <f t="shared" si="4"/>
        <v>-0.95</v>
      </c>
      <c r="C14" s="117">
        <f t="shared" si="0"/>
        <v>0</v>
      </c>
      <c r="D14" s="117">
        <f t="shared" si="1"/>
        <v>0</v>
      </c>
      <c r="E14" s="117">
        <f t="shared" si="2"/>
        <v>0</v>
      </c>
      <c r="F14" s="118">
        <f t="shared" si="3"/>
        <v>2</v>
      </c>
    </row>
    <row r="15" spans="2:11" x14ac:dyDescent="0.2">
      <c r="B15" s="155">
        <f t="shared" si="4"/>
        <v>-0.94</v>
      </c>
      <c r="C15" s="117">
        <f t="shared" si="0"/>
        <v>0</v>
      </c>
      <c r="D15" s="117">
        <f t="shared" si="1"/>
        <v>0</v>
      </c>
      <c r="E15" s="117">
        <f t="shared" si="2"/>
        <v>0</v>
      </c>
      <c r="F15" s="118">
        <f t="shared" si="3"/>
        <v>2</v>
      </c>
    </row>
    <row r="16" spans="2:11" x14ac:dyDescent="0.2">
      <c r="B16" s="155">
        <f t="shared" si="4"/>
        <v>-0.92999999999999994</v>
      </c>
      <c r="C16" s="117">
        <f t="shared" si="0"/>
        <v>0</v>
      </c>
      <c r="D16" s="117">
        <f t="shared" si="1"/>
        <v>0</v>
      </c>
      <c r="E16" s="117">
        <f t="shared" si="2"/>
        <v>0</v>
      </c>
      <c r="F16" s="118">
        <f t="shared" si="3"/>
        <v>2</v>
      </c>
    </row>
    <row r="17" spans="2:6" x14ac:dyDescent="0.2">
      <c r="B17" s="155">
        <f t="shared" si="4"/>
        <v>-0.91999999999999993</v>
      </c>
      <c r="C17" s="117">
        <f t="shared" si="0"/>
        <v>0</v>
      </c>
      <c r="D17" s="117">
        <f t="shared" si="1"/>
        <v>0</v>
      </c>
      <c r="E17" s="117">
        <f t="shared" si="2"/>
        <v>0</v>
      </c>
      <c r="F17" s="118">
        <f t="shared" si="3"/>
        <v>2</v>
      </c>
    </row>
    <row r="18" spans="2:6" x14ac:dyDescent="0.2">
      <c r="B18" s="155">
        <f t="shared" si="4"/>
        <v>-0.90999999999999992</v>
      </c>
      <c r="C18" s="117">
        <f t="shared" si="0"/>
        <v>0</v>
      </c>
      <c r="D18" s="117">
        <f t="shared" si="1"/>
        <v>0</v>
      </c>
      <c r="E18" s="117">
        <f t="shared" si="2"/>
        <v>0</v>
      </c>
      <c r="F18" s="118">
        <f t="shared" si="3"/>
        <v>2</v>
      </c>
    </row>
    <row r="19" spans="2:6" x14ac:dyDescent="0.2">
      <c r="B19" s="155">
        <f t="shared" si="4"/>
        <v>-0.89999999999999991</v>
      </c>
      <c r="C19" s="117">
        <f t="shared" si="0"/>
        <v>0</v>
      </c>
      <c r="D19" s="117">
        <f t="shared" si="1"/>
        <v>0</v>
      </c>
      <c r="E19" s="117">
        <f t="shared" si="2"/>
        <v>0</v>
      </c>
      <c r="F19" s="118">
        <f t="shared" si="3"/>
        <v>2</v>
      </c>
    </row>
    <row r="20" spans="2:6" x14ac:dyDescent="0.2">
      <c r="B20" s="155">
        <f t="shared" si="4"/>
        <v>-0.8899999999999999</v>
      </c>
      <c r="C20" s="117">
        <f t="shared" si="0"/>
        <v>0</v>
      </c>
      <c r="D20" s="117">
        <f t="shared" si="1"/>
        <v>0</v>
      </c>
      <c r="E20" s="117">
        <f t="shared" si="2"/>
        <v>0</v>
      </c>
      <c r="F20" s="118">
        <f t="shared" si="3"/>
        <v>2</v>
      </c>
    </row>
    <row r="21" spans="2:6" x14ac:dyDescent="0.2">
      <c r="B21" s="155">
        <f t="shared" si="4"/>
        <v>-0.87999999999999989</v>
      </c>
      <c r="C21" s="117">
        <f t="shared" si="0"/>
        <v>0</v>
      </c>
      <c r="D21" s="117">
        <f t="shared" si="1"/>
        <v>0</v>
      </c>
      <c r="E21" s="117">
        <f t="shared" si="2"/>
        <v>0</v>
      </c>
      <c r="F21" s="118">
        <f t="shared" si="3"/>
        <v>2</v>
      </c>
    </row>
    <row r="22" spans="2:6" x14ac:dyDescent="0.2">
      <c r="B22" s="155">
        <f t="shared" si="4"/>
        <v>-0.86999999999999988</v>
      </c>
      <c r="C22" s="117">
        <f t="shared" si="0"/>
        <v>0</v>
      </c>
      <c r="D22" s="117">
        <f t="shared" si="1"/>
        <v>0</v>
      </c>
      <c r="E22" s="117">
        <f t="shared" si="2"/>
        <v>0</v>
      </c>
      <c r="F22" s="118">
        <f t="shared" si="3"/>
        <v>2</v>
      </c>
    </row>
    <row r="23" spans="2:6" x14ac:dyDescent="0.2">
      <c r="B23" s="155">
        <f t="shared" si="4"/>
        <v>-0.85999999999999988</v>
      </c>
      <c r="C23" s="117">
        <f t="shared" si="0"/>
        <v>0</v>
      </c>
      <c r="D23" s="117">
        <f t="shared" si="1"/>
        <v>0</v>
      </c>
      <c r="E23" s="117">
        <f t="shared" si="2"/>
        <v>0</v>
      </c>
      <c r="F23" s="118">
        <f t="shared" si="3"/>
        <v>2</v>
      </c>
    </row>
    <row r="24" spans="2:6" x14ac:dyDescent="0.2">
      <c r="B24" s="155">
        <f t="shared" si="4"/>
        <v>-0.84999999999999987</v>
      </c>
      <c r="C24" s="117">
        <f t="shared" si="0"/>
        <v>0</v>
      </c>
      <c r="D24" s="117">
        <f t="shared" si="1"/>
        <v>0</v>
      </c>
      <c r="E24" s="117">
        <f t="shared" si="2"/>
        <v>0</v>
      </c>
      <c r="F24" s="118">
        <f t="shared" si="3"/>
        <v>2</v>
      </c>
    </row>
    <row r="25" spans="2:6" x14ac:dyDescent="0.2">
      <c r="B25" s="155">
        <f t="shared" si="4"/>
        <v>-0.83999999999999986</v>
      </c>
      <c r="C25" s="117">
        <f t="shared" si="0"/>
        <v>0</v>
      </c>
      <c r="D25" s="117">
        <f t="shared" si="1"/>
        <v>0</v>
      </c>
      <c r="E25" s="117">
        <f t="shared" si="2"/>
        <v>0</v>
      </c>
      <c r="F25" s="118">
        <f t="shared" si="3"/>
        <v>2</v>
      </c>
    </row>
    <row r="26" spans="2:6" x14ac:dyDescent="0.2">
      <c r="B26" s="155">
        <f t="shared" si="4"/>
        <v>-0.82999999999999985</v>
      </c>
      <c r="C26" s="117">
        <f t="shared" si="0"/>
        <v>0</v>
      </c>
      <c r="D26" s="117">
        <f t="shared" si="1"/>
        <v>0</v>
      </c>
      <c r="E26" s="117">
        <f t="shared" si="2"/>
        <v>0</v>
      </c>
      <c r="F26" s="118">
        <f t="shared" si="3"/>
        <v>2</v>
      </c>
    </row>
    <row r="27" spans="2:6" x14ac:dyDescent="0.2">
      <c r="B27" s="155">
        <f t="shared" si="4"/>
        <v>-0.81999999999999984</v>
      </c>
      <c r="C27" s="117">
        <f t="shared" si="0"/>
        <v>0</v>
      </c>
      <c r="D27" s="117">
        <f t="shared" si="1"/>
        <v>0</v>
      </c>
      <c r="E27" s="117">
        <f t="shared" si="2"/>
        <v>0</v>
      </c>
      <c r="F27" s="118">
        <f t="shared" si="3"/>
        <v>2</v>
      </c>
    </row>
    <row r="28" spans="2:6" x14ac:dyDescent="0.2">
      <c r="B28" s="155">
        <f t="shared" si="4"/>
        <v>-0.80999999999999983</v>
      </c>
      <c r="C28" s="117">
        <f t="shared" si="0"/>
        <v>0</v>
      </c>
      <c r="D28" s="117">
        <f t="shared" si="1"/>
        <v>0</v>
      </c>
      <c r="E28" s="117">
        <f t="shared" si="2"/>
        <v>0</v>
      </c>
      <c r="F28" s="118">
        <f t="shared" si="3"/>
        <v>2</v>
      </c>
    </row>
    <row r="29" spans="2:6" x14ac:dyDescent="0.2">
      <c r="B29" s="155">
        <f t="shared" si="4"/>
        <v>-0.79999999999999982</v>
      </c>
      <c r="C29" s="117">
        <f t="shared" si="0"/>
        <v>0</v>
      </c>
      <c r="D29" s="117">
        <f t="shared" si="1"/>
        <v>0</v>
      </c>
      <c r="E29" s="117">
        <f t="shared" si="2"/>
        <v>0</v>
      </c>
      <c r="F29" s="118">
        <f t="shared" si="3"/>
        <v>2</v>
      </c>
    </row>
    <row r="30" spans="2:6" x14ac:dyDescent="0.2">
      <c r="B30" s="155">
        <f t="shared" si="4"/>
        <v>-0.78999999999999981</v>
      </c>
      <c r="C30" s="117">
        <f t="shared" si="0"/>
        <v>0</v>
      </c>
      <c r="D30" s="117">
        <f t="shared" si="1"/>
        <v>0</v>
      </c>
      <c r="E30" s="117">
        <f t="shared" si="2"/>
        <v>0</v>
      </c>
      <c r="F30" s="118">
        <f t="shared" si="3"/>
        <v>2</v>
      </c>
    </row>
    <row r="31" spans="2:6" x14ac:dyDescent="0.2">
      <c r="B31" s="155">
        <f t="shared" si="4"/>
        <v>-0.7799999999999998</v>
      </c>
      <c r="C31" s="117">
        <f t="shared" si="0"/>
        <v>0</v>
      </c>
      <c r="D31" s="117">
        <f t="shared" si="1"/>
        <v>0</v>
      </c>
      <c r="E31" s="117">
        <f t="shared" si="2"/>
        <v>0</v>
      </c>
      <c r="F31" s="118">
        <f t="shared" si="3"/>
        <v>2</v>
      </c>
    </row>
    <row r="32" spans="2:6" x14ac:dyDescent="0.2">
      <c r="B32" s="155">
        <f t="shared" si="4"/>
        <v>-0.7699999999999998</v>
      </c>
      <c r="C32" s="117">
        <f t="shared" si="0"/>
        <v>0</v>
      </c>
      <c r="D32" s="117">
        <f t="shared" si="1"/>
        <v>0</v>
      </c>
      <c r="E32" s="117">
        <f t="shared" si="2"/>
        <v>0</v>
      </c>
      <c r="F32" s="118">
        <f t="shared" si="3"/>
        <v>2</v>
      </c>
    </row>
    <row r="33" spans="2:6" x14ac:dyDescent="0.2">
      <c r="B33" s="155">
        <f t="shared" si="4"/>
        <v>-0.75999999999999979</v>
      </c>
      <c r="C33" s="117">
        <f t="shared" si="0"/>
        <v>0</v>
      </c>
      <c r="D33" s="117">
        <f t="shared" si="1"/>
        <v>0</v>
      </c>
      <c r="E33" s="117">
        <f t="shared" si="2"/>
        <v>0</v>
      </c>
      <c r="F33" s="118">
        <f t="shared" si="3"/>
        <v>2</v>
      </c>
    </row>
    <row r="34" spans="2:6" x14ac:dyDescent="0.2">
      <c r="B34" s="155">
        <f t="shared" si="4"/>
        <v>-0.74999999999999978</v>
      </c>
      <c r="C34" s="117">
        <f t="shared" si="0"/>
        <v>0</v>
      </c>
      <c r="D34" s="117">
        <f t="shared" si="1"/>
        <v>0</v>
      </c>
      <c r="E34" s="117">
        <f t="shared" si="2"/>
        <v>0</v>
      </c>
      <c r="F34" s="118">
        <f t="shared" si="3"/>
        <v>2</v>
      </c>
    </row>
    <row r="35" spans="2:6" x14ac:dyDescent="0.2">
      <c r="B35" s="155">
        <f t="shared" si="4"/>
        <v>-0.73999999999999977</v>
      </c>
      <c r="C35" s="117">
        <f t="shared" si="0"/>
        <v>0</v>
      </c>
      <c r="D35" s="117">
        <f t="shared" si="1"/>
        <v>0</v>
      </c>
      <c r="E35" s="117">
        <f t="shared" si="2"/>
        <v>0</v>
      </c>
      <c r="F35" s="118">
        <f t="shared" si="3"/>
        <v>2</v>
      </c>
    </row>
    <row r="36" spans="2:6" x14ac:dyDescent="0.2">
      <c r="B36" s="155">
        <f t="shared" si="4"/>
        <v>-0.72999999999999976</v>
      </c>
      <c r="C36" s="117">
        <f t="shared" si="0"/>
        <v>0</v>
      </c>
      <c r="D36" s="117">
        <f t="shared" si="1"/>
        <v>0</v>
      </c>
      <c r="E36" s="117">
        <f t="shared" si="2"/>
        <v>0</v>
      </c>
      <c r="F36" s="118">
        <f t="shared" si="3"/>
        <v>2</v>
      </c>
    </row>
    <row r="37" spans="2:6" x14ac:dyDescent="0.2">
      <c r="B37" s="155">
        <f t="shared" si="4"/>
        <v>-0.71999999999999975</v>
      </c>
      <c r="C37" s="117">
        <f t="shared" si="0"/>
        <v>0</v>
      </c>
      <c r="D37" s="117">
        <f t="shared" si="1"/>
        <v>0</v>
      </c>
      <c r="E37" s="117">
        <f t="shared" si="2"/>
        <v>0</v>
      </c>
      <c r="F37" s="118">
        <f t="shared" si="3"/>
        <v>2</v>
      </c>
    </row>
    <row r="38" spans="2:6" x14ac:dyDescent="0.2">
      <c r="B38" s="155">
        <f t="shared" si="4"/>
        <v>-0.70999999999999974</v>
      </c>
      <c r="C38" s="117">
        <f t="shared" si="0"/>
        <v>0</v>
      </c>
      <c r="D38" s="117">
        <f t="shared" si="1"/>
        <v>0</v>
      </c>
      <c r="E38" s="117">
        <f t="shared" si="2"/>
        <v>0</v>
      </c>
      <c r="F38" s="118">
        <f t="shared" si="3"/>
        <v>2</v>
      </c>
    </row>
    <row r="39" spans="2:6" x14ac:dyDescent="0.2">
      <c r="B39" s="155">
        <f t="shared" si="4"/>
        <v>-0.69999999999999973</v>
      </c>
      <c r="C39" s="117">
        <f t="shared" si="0"/>
        <v>0</v>
      </c>
      <c r="D39" s="117">
        <f t="shared" si="1"/>
        <v>0</v>
      </c>
      <c r="E39" s="117">
        <f t="shared" si="2"/>
        <v>0</v>
      </c>
      <c r="F39" s="118">
        <f t="shared" si="3"/>
        <v>2</v>
      </c>
    </row>
    <row r="40" spans="2:6" x14ac:dyDescent="0.2">
      <c r="B40" s="155">
        <f t="shared" si="4"/>
        <v>-0.68999999999999972</v>
      </c>
      <c r="C40" s="117">
        <f t="shared" si="0"/>
        <v>0</v>
      </c>
      <c r="D40" s="117">
        <f t="shared" si="1"/>
        <v>0</v>
      </c>
      <c r="E40" s="117">
        <f t="shared" si="2"/>
        <v>0</v>
      </c>
      <c r="F40" s="118">
        <f t="shared" si="3"/>
        <v>2</v>
      </c>
    </row>
    <row r="41" spans="2:6" x14ac:dyDescent="0.2">
      <c r="B41" s="155">
        <f t="shared" si="4"/>
        <v>-0.67999999999999972</v>
      </c>
      <c r="C41" s="117">
        <f t="shared" si="0"/>
        <v>0</v>
      </c>
      <c r="D41" s="117">
        <f t="shared" si="1"/>
        <v>0</v>
      </c>
      <c r="E41" s="117">
        <f t="shared" si="2"/>
        <v>0</v>
      </c>
      <c r="F41" s="118">
        <f t="shared" si="3"/>
        <v>2</v>
      </c>
    </row>
    <row r="42" spans="2:6" x14ac:dyDescent="0.2">
      <c r="B42" s="155">
        <f t="shared" ref="B42:B73" si="5">B41+$C$5</f>
        <v>-0.66999999999999971</v>
      </c>
      <c r="C42" s="117">
        <f t="shared" si="0"/>
        <v>0</v>
      </c>
      <c r="D42" s="117">
        <f t="shared" si="1"/>
        <v>0</v>
      </c>
      <c r="E42" s="117">
        <f t="shared" si="2"/>
        <v>0</v>
      </c>
      <c r="F42" s="118">
        <f t="shared" si="3"/>
        <v>2</v>
      </c>
    </row>
    <row r="43" spans="2:6" x14ac:dyDescent="0.2">
      <c r="B43" s="155">
        <f t="shared" si="5"/>
        <v>-0.6599999999999997</v>
      </c>
      <c r="C43" s="117">
        <f t="shared" si="0"/>
        <v>0</v>
      </c>
      <c r="D43" s="117">
        <f t="shared" si="1"/>
        <v>0</v>
      </c>
      <c r="E43" s="117">
        <f t="shared" si="2"/>
        <v>0</v>
      </c>
      <c r="F43" s="118">
        <f t="shared" si="3"/>
        <v>2</v>
      </c>
    </row>
    <row r="44" spans="2:6" x14ac:dyDescent="0.2">
      <c r="B44" s="155">
        <f t="shared" si="5"/>
        <v>-0.64999999999999969</v>
      </c>
      <c r="C44" s="117">
        <f t="shared" si="0"/>
        <v>0</v>
      </c>
      <c r="D44" s="117">
        <f t="shared" si="1"/>
        <v>0</v>
      </c>
      <c r="E44" s="117">
        <f t="shared" si="2"/>
        <v>0</v>
      </c>
      <c r="F44" s="118">
        <f t="shared" si="3"/>
        <v>2</v>
      </c>
    </row>
    <row r="45" spans="2:6" x14ac:dyDescent="0.2">
      <c r="B45" s="155">
        <f t="shared" si="5"/>
        <v>-0.63999999999999968</v>
      </c>
      <c r="C45" s="117">
        <f t="shared" si="0"/>
        <v>0</v>
      </c>
      <c r="D45" s="117">
        <f t="shared" si="1"/>
        <v>0</v>
      </c>
      <c r="E45" s="117">
        <f t="shared" si="2"/>
        <v>0</v>
      </c>
      <c r="F45" s="118">
        <f t="shared" si="3"/>
        <v>2</v>
      </c>
    </row>
    <row r="46" spans="2:6" x14ac:dyDescent="0.2">
      <c r="B46" s="155">
        <f t="shared" si="5"/>
        <v>-0.62999999999999967</v>
      </c>
      <c r="C46" s="117">
        <f t="shared" si="0"/>
        <v>0</v>
      </c>
      <c r="D46" s="117">
        <f t="shared" si="1"/>
        <v>0</v>
      </c>
      <c r="E46" s="117">
        <f t="shared" si="2"/>
        <v>0</v>
      </c>
      <c r="F46" s="118">
        <f t="shared" si="3"/>
        <v>2</v>
      </c>
    </row>
    <row r="47" spans="2:6" x14ac:dyDescent="0.2">
      <c r="B47" s="155">
        <f t="shared" si="5"/>
        <v>-0.61999999999999966</v>
      </c>
      <c r="C47" s="117">
        <f t="shared" si="0"/>
        <v>0</v>
      </c>
      <c r="D47" s="117">
        <f t="shared" si="1"/>
        <v>0</v>
      </c>
      <c r="E47" s="117">
        <f t="shared" si="2"/>
        <v>0</v>
      </c>
      <c r="F47" s="118">
        <f t="shared" si="3"/>
        <v>2</v>
      </c>
    </row>
    <row r="48" spans="2:6" x14ac:dyDescent="0.2">
      <c r="B48" s="155">
        <f t="shared" si="5"/>
        <v>-0.60999999999999965</v>
      </c>
      <c r="C48" s="117">
        <f t="shared" si="0"/>
        <v>0</v>
      </c>
      <c r="D48" s="117">
        <f t="shared" si="1"/>
        <v>0</v>
      </c>
      <c r="E48" s="117">
        <f t="shared" si="2"/>
        <v>0</v>
      </c>
      <c r="F48" s="118">
        <f t="shared" si="3"/>
        <v>2</v>
      </c>
    </row>
    <row r="49" spans="2:6" x14ac:dyDescent="0.2">
      <c r="B49" s="155">
        <f t="shared" si="5"/>
        <v>-0.59999999999999964</v>
      </c>
      <c r="C49" s="117">
        <f t="shared" si="0"/>
        <v>0</v>
      </c>
      <c r="D49" s="117">
        <f t="shared" si="1"/>
        <v>0</v>
      </c>
      <c r="E49" s="117">
        <f t="shared" si="2"/>
        <v>0</v>
      </c>
      <c r="F49" s="118">
        <f t="shared" si="3"/>
        <v>2</v>
      </c>
    </row>
    <row r="50" spans="2:6" x14ac:dyDescent="0.2">
      <c r="B50" s="155">
        <f t="shared" si="5"/>
        <v>-0.58999999999999964</v>
      </c>
      <c r="C50" s="117">
        <f t="shared" si="0"/>
        <v>0</v>
      </c>
      <c r="D50" s="117">
        <f t="shared" si="1"/>
        <v>0</v>
      </c>
      <c r="E50" s="117">
        <f t="shared" si="2"/>
        <v>0</v>
      </c>
      <c r="F50" s="118">
        <f t="shared" si="3"/>
        <v>2</v>
      </c>
    </row>
    <row r="51" spans="2:6" x14ac:dyDescent="0.2">
      <c r="B51" s="155">
        <f t="shared" si="5"/>
        <v>-0.57999999999999963</v>
      </c>
      <c r="C51" s="117">
        <f t="shared" si="0"/>
        <v>0</v>
      </c>
      <c r="D51" s="117">
        <f t="shared" si="1"/>
        <v>0</v>
      </c>
      <c r="E51" s="117">
        <f t="shared" si="2"/>
        <v>0</v>
      </c>
      <c r="F51" s="118">
        <f t="shared" si="3"/>
        <v>2</v>
      </c>
    </row>
    <row r="52" spans="2:6" x14ac:dyDescent="0.2">
      <c r="B52" s="155">
        <f t="shared" si="5"/>
        <v>-0.56999999999999962</v>
      </c>
      <c r="C52" s="117">
        <f t="shared" si="0"/>
        <v>0</v>
      </c>
      <c r="D52" s="117">
        <f t="shared" si="1"/>
        <v>0</v>
      </c>
      <c r="E52" s="117">
        <f t="shared" si="2"/>
        <v>0</v>
      </c>
      <c r="F52" s="118">
        <f t="shared" si="3"/>
        <v>2</v>
      </c>
    </row>
    <row r="53" spans="2:6" x14ac:dyDescent="0.2">
      <c r="B53" s="155">
        <f t="shared" si="5"/>
        <v>-0.55999999999999961</v>
      </c>
      <c r="C53" s="117">
        <f t="shared" si="0"/>
        <v>0</v>
      </c>
      <c r="D53" s="117">
        <f t="shared" si="1"/>
        <v>0</v>
      </c>
      <c r="E53" s="117">
        <f t="shared" si="2"/>
        <v>0</v>
      </c>
      <c r="F53" s="118">
        <f t="shared" si="3"/>
        <v>2</v>
      </c>
    </row>
    <row r="54" spans="2:6" x14ac:dyDescent="0.2">
      <c r="B54" s="155">
        <f t="shared" si="5"/>
        <v>-0.5499999999999996</v>
      </c>
      <c r="C54" s="117">
        <f t="shared" si="0"/>
        <v>0</v>
      </c>
      <c r="D54" s="117">
        <f t="shared" si="1"/>
        <v>0</v>
      </c>
      <c r="E54" s="117">
        <f t="shared" si="2"/>
        <v>0</v>
      </c>
      <c r="F54" s="118">
        <f t="shared" si="3"/>
        <v>2</v>
      </c>
    </row>
    <row r="55" spans="2:6" x14ac:dyDescent="0.2">
      <c r="B55" s="155">
        <f t="shared" si="5"/>
        <v>-0.53999999999999959</v>
      </c>
      <c r="C55" s="117">
        <f t="shared" si="0"/>
        <v>0</v>
      </c>
      <c r="D55" s="117">
        <f t="shared" si="1"/>
        <v>0</v>
      </c>
      <c r="E55" s="117">
        <f t="shared" si="2"/>
        <v>0</v>
      </c>
      <c r="F55" s="118">
        <f t="shared" si="3"/>
        <v>2</v>
      </c>
    </row>
    <row r="56" spans="2:6" x14ac:dyDescent="0.2">
      <c r="B56" s="155">
        <f t="shared" si="5"/>
        <v>-0.52999999999999958</v>
      </c>
      <c r="C56" s="117">
        <f t="shared" si="0"/>
        <v>0</v>
      </c>
      <c r="D56" s="117">
        <f t="shared" si="1"/>
        <v>0</v>
      </c>
      <c r="E56" s="117">
        <f t="shared" si="2"/>
        <v>0</v>
      </c>
      <c r="F56" s="118">
        <f t="shared" si="3"/>
        <v>2</v>
      </c>
    </row>
    <row r="57" spans="2:6" x14ac:dyDescent="0.2">
      <c r="B57" s="155">
        <f t="shared" si="5"/>
        <v>-0.51999999999999957</v>
      </c>
      <c r="C57" s="117">
        <f t="shared" si="0"/>
        <v>0</v>
      </c>
      <c r="D57" s="117">
        <f t="shared" si="1"/>
        <v>0</v>
      </c>
      <c r="E57" s="117">
        <f t="shared" si="2"/>
        <v>0</v>
      </c>
      <c r="F57" s="118">
        <f t="shared" si="3"/>
        <v>2</v>
      </c>
    </row>
    <row r="58" spans="2:6" x14ac:dyDescent="0.2">
      <c r="B58" s="155">
        <f t="shared" si="5"/>
        <v>-0.50999999999999956</v>
      </c>
      <c r="C58" s="117">
        <f t="shared" si="0"/>
        <v>0</v>
      </c>
      <c r="D58" s="117">
        <f t="shared" si="1"/>
        <v>0</v>
      </c>
      <c r="E58" s="117">
        <f t="shared" si="2"/>
        <v>0</v>
      </c>
      <c r="F58" s="118">
        <f t="shared" si="3"/>
        <v>2</v>
      </c>
    </row>
    <row r="59" spans="2:6" x14ac:dyDescent="0.2">
      <c r="B59" s="155">
        <f t="shared" si="5"/>
        <v>-0.49999999999999956</v>
      </c>
      <c r="C59" s="117">
        <f t="shared" si="0"/>
        <v>0</v>
      </c>
      <c r="D59" s="117">
        <f t="shared" si="1"/>
        <v>0</v>
      </c>
      <c r="E59" s="117">
        <f t="shared" si="2"/>
        <v>0</v>
      </c>
      <c r="F59" s="118">
        <f t="shared" si="3"/>
        <v>2</v>
      </c>
    </row>
    <row r="60" spans="2:6" x14ac:dyDescent="0.2">
      <c r="B60" s="155">
        <f t="shared" si="5"/>
        <v>-0.48999999999999955</v>
      </c>
      <c r="C60" s="117">
        <f t="shared" si="0"/>
        <v>0</v>
      </c>
      <c r="D60" s="117">
        <f t="shared" si="1"/>
        <v>0</v>
      </c>
      <c r="E60" s="117">
        <f t="shared" si="2"/>
        <v>0</v>
      </c>
      <c r="F60" s="118">
        <f t="shared" si="3"/>
        <v>2</v>
      </c>
    </row>
    <row r="61" spans="2:6" x14ac:dyDescent="0.2">
      <c r="B61" s="155">
        <f t="shared" si="5"/>
        <v>-0.47999999999999954</v>
      </c>
      <c r="C61" s="117">
        <f t="shared" si="0"/>
        <v>0</v>
      </c>
      <c r="D61" s="117">
        <f t="shared" si="1"/>
        <v>0</v>
      </c>
      <c r="E61" s="117">
        <f t="shared" si="2"/>
        <v>0</v>
      </c>
      <c r="F61" s="118">
        <f t="shared" si="3"/>
        <v>2</v>
      </c>
    </row>
    <row r="62" spans="2:6" x14ac:dyDescent="0.2">
      <c r="B62" s="155">
        <f t="shared" si="5"/>
        <v>-0.46999999999999953</v>
      </c>
      <c r="C62" s="117">
        <f t="shared" si="0"/>
        <v>0</v>
      </c>
      <c r="D62" s="117">
        <f t="shared" si="1"/>
        <v>0</v>
      </c>
      <c r="E62" s="117">
        <f t="shared" si="2"/>
        <v>0</v>
      </c>
      <c r="F62" s="118">
        <f t="shared" si="3"/>
        <v>2</v>
      </c>
    </row>
    <row r="63" spans="2:6" x14ac:dyDescent="0.2">
      <c r="B63" s="155">
        <f t="shared" si="5"/>
        <v>-0.45999999999999952</v>
      </c>
      <c r="C63" s="117">
        <f t="shared" si="0"/>
        <v>0</v>
      </c>
      <c r="D63" s="117">
        <f t="shared" si="1"/>
        <v>0</v>
      </c>
      <c r="E63" s="117">
        <f t="shared" si="2"/>
        <v>0</v>
      </c>
      <c r="F63" s="118">
        <f t="shared" si="3"/>
        <v>2</v>
      </c>
    </row>
    <row r="64" spans="2:6" x14ac:dyDescent="0.2">
      <c r="B64" s="155">
        <f t="shared" si="5"/>
        <v>-0.44999999999999951</v>
      </c>
      <c r="C64" s="117">
        <f t="shared" si="0"/>
        <v>0</v>
      </c>
      <c r="D64" s="117">
        <f t="shared" si="1"/>
        <v>0</v>
      </c>
      <c r="E64" s="117">
        <f t="shared" si="2"/>
        <v>0</v>
      </c>
      <c r="F64" s="118">
        <f t="shared" si="3"/>
        <v>2</v>
      </c>
    </row>
    <row r="65" spans="2:6" x14ac:dyDescent="0.2">
      <c r="B65" s="155">
        <f t="shared" si="5"/>
        <v>-0.4399999999999995</v>
      </c>
      <c r="C65" s="117">
        <f t="shared" si="0"/>
        <v>0</v>
      </c>
      <c r="D65" s="117">
        <f t="shared" si="1"/>
        <v>0</v>
      </c>
      <c r="E65" s="117">
        <f t="shared" si="2"/>
        <v>0</v>
      </c>
      <c r="F65" s="118">
        <f t="shared" si="3"/>
        <v>2</v>
      </c>
    </row>
    <row r="66" spans="2:6" x14ac:dyDescent="0.2">
      <c r="B66" s="155">
        <f t="shared" si="5"/>
        <v>-0.42999999999999949</v>
      </c>
      <c r="C66" s="117">
        <f t="shared" si="0"/>
        <v>0</v>
      </c>
      <c r="D66" s="117">
        <f t="shared" si="1"/>
        <v>0</v>
      </c>
      <c r="E66" s="117">
        <f t="shared" si="2"/>
        <v>0</v>
      </c>
      <c r="F66" s="118">
        <f t="shared" si="3"/>
        <v>2</v>
      </c>
    </row>
    <row r="67" spans="2:6" x14ac:dyDescent="0.2">
      <c r="B67" s="155">
        <f t="shared" si="5"/>
        <v>-0.41999999999999948</v>
      </c>
      <c r="C67" s="117">
        <f t="shared" si="0"/>
        <v>0</v>
      </c>
      <c r="D67" s="117">
        <f t="shared" si="1"/>
        <v>0</v>
      </c>
      <c r="E67" s="117">
        <f t="shared" si="2"/>
        <v>0</v>
      </c>
      <c r="F67" s="118">
        <f t="shared" si="3"/>
        <v>2</v>
      </c>
    </row>
    <row r="68" spans="2:6" x14ac:dyDescent="0.2">
      <c r="B68" s="155">
        <f t="shared" si="5"/>
        <v>-0.40999999999999948</v>
      </c>
      <c r="C68" s="117">
        <f t="shared" si="0"/>
        <v>0</v>
      </c>
      <c r="D68" s="117">
        <f t="shared" si="1"/>
        <v>0</v>
      </c>
      <c r="E68" s="117">
        <f t="shared" si="2"/>
        <v>0</v>
      </c>
      <c r="F68" s="118">
        <f t="shared" si="3"/>
        <v>2</v>
      </c>
    </row>
    <row r="69" spans="2:6" x14ac:dyDescent="0.2">
      <c r="B69" s="155">
        <f t="shared" si="5"/>
        <v>-0.39999999999999947</v>
      </c>
      <c r="C69" s="117">
        <f t="shared" si="0"/>
        <v>0</v>
      </c>
      <c r="D69" s="117">
        <f t="shared" si="1"/>
        <v>0</v>
      </c>
      <c r="E69" s="117">
        <f t="shared" si="2"/>
        <v>0</v>
      </c>
      <c r="F69" s="118">
        <f t="shared" si="3"/>
        <v>2</v>
      </c>
    </row>
    <row r="70" spans="2:6" x14ac:dyDescent="0.2">
      <c r="B70" s="155">
        <f t="shared" si="5"/>
        <v>-0.38999999999999946</v>
      </c>
      <c r="C70" s="117">
        <f t="shared" si="0"/>
        <v>0</v>
      </c>
      <c r="D70" s="117">
        <f t="shared" si="1"/>
        <v>0</v>
      </c>
      <c r="E70" s="117">
        <f t="shared" si="2"/>
        <v>0</v>
      </c>
      <c r="F70" s="118">
        <f t="shared" si="3"/>
        <v>2</v>
      </c>
    </row>
    <row r="71" spans="2:6" x14ac:dyDescent="0.2">
      <c r="B71" s="155">
        <f t="shared" si="5"/>
        <v>-0.37999999999999945</v>
      </c>
      <c r="C71" s="117">
        <f t="shared" si="0"/>
        <v>0</v>
      </c>
      <c r="D71" s="117">
        <f t="shared" si="1"/>
        <v>0</v>
      </c>
      <c r="E71" s="117">
        <f t="shared" si="2"/>
        <v>0</v>
      </c>
      <c r="F71" s="118">
        <f t="shared" si="3"/>
        <v>2</v>
      </c>
    </row>
    <row r="72" spans="2:6" x14ac:dyDescent="0.2">
      <c r="B72" s="155">
        <f t="shared" si="5"/>
        <v>-0.36999999999999944</v>
      </c>
      <c r="C72" s="117">
        <f t="shared" si="0"/>
        <v>0</v>
      </c>
      <c r="D72" s="117">
        <f t="shared" si="1"/>
        <v>0</v>
      </c>
      <c r="E72" s="117">
        <f t="shared" si="2"/>
        <v>0</v>
      </c>
      <c r="F72" s="118">
        <f t="shared" si="3"/>
        <v>2</v>
      </c>
    </row>
    <row r="73" spans="2:6" x14ac:dyDescent="0.2">
      <c r="B73" s="155">
        <f t="shared" si="5"/>
        <v>-0.35999999999999943</v>
      </c>
      <c r="C73" s="117">
        <f t="shared" ref="C73:C136" si="6">IFERROR(IF(SQRT(1-(B73*B73)/($F$6*$F$6))&lt;0.05,0,SQRT(1-(B73*B73)/($F$6*$F$6))),0)</f>
        <v>0</v>
      </c>
      <c r="D73" s="117">
        <f t="shared" ref="D73:D136" si="7">CHOOSE(MATCH($F$4,degrees),IF(B73&lt;0,IFERROR(1-C73,1),0),0,0,IF(B73&gt;0,IFERROR(1-C73,1),0))</f>
        <v>0</v>
      </c>
      <c r="E73" s="117">
        <f t="shared" ref="E73:E136" si="8">CHOOSE(MATCH($F$4,degrees),IF(B73&lt;0,2*C73,2),IF(B73&lt;0,0,1-C73),IF(B73&gt;0,0,1-C73),IF(B73&gt;0,2*C73,2))</f>
        <v>0</v>
      </c>
      <c r="F73" s="118">
        <f t="shared" ref="F73:F136" si="9">CHOOSE(MATCH($F$4,degrees),IF(B73&lt;0,C73+1,2),IF(B73&lt;0,2,2*C73),IF(B73&gt;0,2,2*C73),IF(B73&gt;0,C73+1,2))</f>
        <v>2</v>
      </c>
    </row>
    <row r="74" spans="2:6" x14ac:dyDescent="0.2">
      <c r="B74" s="155">
        <f t="shared" ref="B74:B105" si="10">B73+$C$5</f>
        <v>-0.34999999999999942</v>
      </c>
      <c r="C74" s="117">
        <f t="shared" si="6"/>
        <v>0</v>
      </c>
      <c r="D74" s="117">
        <f t="shared" si="7"/>
        <v>0</v>
      </c>
      <c r="E74" s="117">
        <f t="shared" si="8"/>
        <v>0</v>
      </c>
      <c r="F74" s="118">
        <f t="shared" si="9"/>
        <v>2</v>
      </c>
    </row>
    <row r="75" spans="2:6" x14ac:dyDescent="0.2">
      <c r="B75" s="155">
        <f t="shared" si="10"/>
        <v>-0.33999999999999941</v>
      </c>
      <c r="C75" s="117">
        <f t="shared" si="6"/>
        <v>0.23304048490990664</v>
      </c>
      <c r="D75" s="117">
        <f t="shared" si="7"/>
        <v>0</v>
      </c>
      <c r="E75" s="117">
        <f t="shared" si="8"/>
        <v>0</v>
      </c>
      <c r="F75" s="118">
        <f t="shared" si="9"/>
        <v>2</v>
      </c>
    </row>
    <row r="76" spans="2:6" x14ac:dyDescent="0.2">
      <c r="B76" s="155">
        <f t="shared" si="10"/>
        <v>-0.3299999999999994</v>
      </c>
      <c r="C76" s="117">
        <f t="shared" si="6"/>
        <v>0.33033126372241767</v>
      </c>
      <c r="D76" s="117">
        <f t="shared" si="7"/>
        <v>0</v>
      </c>
      <c r="E76" s="117">
        <f t="shared" si="8"/>
        <v>0</v>
      </c>
      <c r="F76" s="118">
        <f t="shared" si="9"/>
        <v>2</v>
      </c>
    </row>
    <row r="77" spans="2:6" x14ac:dyDescent="0.2">
      <c r="B77" s="155">
        <f t="shared" si="10"/>
        <v>-0.3199999999999994</v>
      </c>
      <c r="C77" s="117">
        <f t="shared" si="6"/>
        <v>0.40285664251701403</v>
      </c>
      <c r="D77" s="117">
        <f t="shared" si="7"/>
        <v>0</v>
      </c>
      <c r="E77" s="117">
        <f t="shared" si="8"/>
        <v>0</v>
      </c>
      <c r="F77" s="118">
        <f t="shared" si="9"/>
        <v>2</v>
      </c>
    </row>
    <row r="78" spans="2:6" x14ac:dyDescent="0.2">
      <c r="B78" s="155">
        <f t="shared" si="10"/>
        <v>-0.30999999999999939</v>
      </c>
      <c r="C78" s="117">
        <f t="shared" si="6"/>
        <v>0.46241978708738196</v>
      </c>
      <c r="D78" s="117">
        <f t="shared" si="7"/>
        <v>0</v>
      </c>
      <c r="E78" s="117">
        <f t="shared" si="8"/>
        <v>0</v>
      </c>
      <c r="F78" s="118">
        <f t="shared" si="9"/>
        <v>2</v>
      </c>
    </row>
    <row r="79" spans="2:6" x14ac:dyDescent="0.2">
      <c r="B79" s="155">
        <f t="shared" si="10"/>
        <v>-0.29999999999999938</v>
      </c>
      <c r="C79" s="117">
        <f t="shared" si="6"/>
        <v>0.51355087284710643</v>
      </c>
      <c r="D79" s="117">
        <f t="shared" si="7"/>
        <v>0</v>
      </c>
      <c r="E79" s="117">
        <f t="shared" si="8"/>
        <v>0</v>
      </c>
      <c r="F79" s="118">
        <f t="shared" si="9"/>
        <v>2</v>
      </c>
    </row>
    <row r="80" spans="2:6" x14ac:dyDescent="0.2">
      <c r="B80" s="155">
        <f t="shared" si="10"/>
        <v>-0.28999999999999937</v>
      </c>
      <c r="C80" s="117">
        <f t="shared" si="6"/>
        <v>0.55857031156009052</v>
      </c>
      <c r="D80" s="117">
        <f t="shared" si="7"/>
        <v>0</v>
      </c>
      <c r="E80" s="117">
        <f t="shared" si="8"/>
        <v>0</v>
      </c>
      <c r="F80" s="118">
        <f t="shared" si="9"/>
        <v>2</v>
      </c>
    </row>
    <row r="81" spans="2:6" x14ac:dyDescent="0.2">
      <c r="B81" s="155">
        <f t="shared" si="10"/>
        <v>-0.27999999999999936</v>
      </c>
      <c r="C81" s="117">
        <f t="shared" si="6"/>
        <v>0.59885803104982671</v>
      </c>
      <c r="D81" s="117">
        <f t="shared" si="7"/>
        <v>0</v>
      </c>
      <c r="E81" s="117">
        <f t="shared" si="8"/>
        <v>0</v>
      </c>
      <c r="F81" s="118">
        <f t="shared" si="9"/>
        <v>2</v>
      </c>
    </row>
    <row r="82" spans="2:6" x14ac:dyDescent="0.2">
      <c r="B82" s="155">
        <f t="shared" si="10"/>
        <v>-0.26999999999999935</v>
      </c>
      <c r="C82" s="117">
        <f t="shared" si="6"/>
        <v>0.6353148386364359</v>
      </c>
      <c r="D82" s="117">
        <f t="shared" si="7"/>
        <v>0</v>
      </c>
      <c r="E82" s="117">
        <f t="shared" si="8"/>
        <v>0</v>
      </c>
      <c r="F82" s="118">
        <f t="shared" si="9"/>
        <v>2</v>
      </c>
    </row>
    <row r="83" spans="2:6" x14ac:dyDescent="0.2">
      <c r="B83" s="155">
        <f t="shared" si="10"/>
        <v>-0.25999999999999934</v>
      </c>
      <c r="C83" s="117">
        <f t="shared" si="6"/>
        <v>0.66856772392378661</v>
      </c>
      <c r="D83" s="117">
        <f t="shared" si="7"/>
        <v>0</v>
      </c>
      <c r="E83" s="117">
        <f t="shared" si="8"/>
        <v>0</v>
      </c>
      <c r="F83" s="118">
        <f t="shared" si="9"/>
        <v>2</v>
      </c>
    </row>
    <row r="84" spans="2:6" x14ac:dyDescent="0.2">
      <c r="B84" s="155">
        <f t="shared" si="10"/>
        <v>-0.24999999999999933</v>
      </c>
      <c r="C84" s="117">
        <f t="shared" si="6"/>
        <v>0.69907403985261185</v>
      </c>
      <c r="D84" s="117">
        <f t="shared" si="7"/>
        <v>0</v>
      </c>
      <c r="E84" s="117">
        <f t="shared" si="8"/>
        <v>0</v>
      </c>
      <c r="F84" s="118">
        <f t="shared" si="9"/>
        <v>2</v>
      </c>
    </row>
    <row r="85" spans="2:6" x14ac:dyDescent="0.2">
      <c r="B85" s="155">
        <f t="shared" si="10"/>
        <v>-0.23999999999999932</v>
      </c>
      <c r="C85" s="117">
        <f t="shared" si="6"/>
        <v>0.72717953722674056</v>
      </c>
      <c r="D85" s="117">
        <f t="shared" si="7"/>
        <v>0</v>
      </c>
      <c r="E85" s="117">
        <f t="shared" si="8"/>
        <v>0</v>
      </c>
      <c r="F85" s="118">
        <f t="shared" si="9"/>
        <v>2</v>
      </c>
    </row>
    <row r="86" spans="2:6" x14ac:dyDescent="0.2">
      <c r="B86" s="155">
        <f t="shared" si="10"/>
        <v>-0.22999999999999932</v>
      </c>
      <c r="C86" s="117">
        <f t="shared" si="6"/>
        <v>0.75315303887654117</v>
      </c>
      <c r="D86" s="117">
        <f t="shared" si="7"/>
        <v>0</v>
      </c>
      <c r="E86" s="117">
        <f t="shared" si="8"/>
        <v>0</v>
      </c>
      <c r="F86" s="118">
        <f t="shared" si="9"/>
        <v>2</v>
      </c>
    </row>
    <row r="87" spans="2:6" x14ac:dyDescent="0.2">
      <c r="B87" s="155">
        <f t="shared" si="10"/>
        <v>-0.21999999999999931</v>
      </c>
      <c r="C87" s="117">
        <f t="shared" si="6"/>
        <v>0.77720832150644625</v>
      </c>
      <c r="D87" s="117">
        <f t="shared" si="7"/>
        <v>0</v>
      </c>
      <c r="E87" s="117">
        <f t="shared" si="8"/>
        <v>0</v>
      </c>
      <c r="F87" s="118">
        <f t="shared" si="9"/>
        <v>2</v>
      </c>
    </row>
    <row r="88" spans="2:6" x14ac:dyDescent="0.2">
      <c r="B88" s="155">
        <f t="shared" si="10"/>
        <v>-0.2099999999999993</v>
      </c>
      <c r="C88" s="117">
        <f t="shared" si="6"/>
        <v>0.79951854544531553</v>
      </c>
      <c r="D88" s="117">
        <f t="shared" si="7"/>
        <v>0</v>
      </c>
      <c r="E88" s="117">
        <f t="shared" si="8"/>
        <v>0</v>
      </c>
      <c r="F88" s="118">
        <f t="shared" si="9"/>
        <v>2</v>
      </c>
    </row>
    <row r="89" spans="2:6" x14ac:dyDescent="0.2">
      <c r="B89" s="155">
        <f t="shared" si="10"/>
        <v>-0.19999999999999929</v>
      </c>
      <c r="C89" s="117">
        <f t="shared" si="6"/>
        <v>0.82022612031399333</v>
      </c>
      <c r="D89" s="117">
        <f t="shared" si="7"/>
        <v>0</v>
      </c>
      <c r="E89" s="117">
        <f t="shared" si="8"/>
        <v>0</v>
      </c>
      <c r="F89" s="118">
        <f t="shared" si="9"/>
        <v>2</v>
      </c>
    </row>
    <row r="90" spans="2:6" x14ac:dyDescent="0.2">
      <c r="B90" s="155">
        <f t="shared" si="10"/>
        <v>-0.18999999999999928</v>
      </c>
      <c r="C90" s="117">
        <f t="shared" si="6"/>
        <v>0.83944965710989738</v>
      </c>
      <c r="D90" s="117">
        <f t="shared" si="7"/>
        <v>0</v>
      </c>
      <c r="E90" s="117">
        <f t="shared" si="8"/>
        <v>0</v>
      </c>
      <c r="F90" s="118">
        <f t="shared" si="9"/>
        <v>2</v>
      </c>
    </row>
    <row r="91" spans="2:6" x14ac:dyDescent="0.2">
      <c r="B91" s="155">
        <f t="shared" si="10"/>
        <v>-0.17999999999999927</v>
      </c>
      <c r="C91" s="117">
        <f t="shared" si="6"/>
        <v>0.85728899423749161</v>
      </c>
      <c r="D91" s="117">
        <f t="shared" si="7"/>
        <v>0</v>
      </c>
      <c r="E91" s="117">
        <f t="shared" si="8"/>
        <v>0</v>
      </c>
      <c r="F91" s="118">
        <f t="shared" si="9"/>
        <v>2</v>
      </c>
    </row>
    <row r="92" spans="2:6" x14ac:dyDescent="0.2">
      <c r="B92" s="155">
        <f t="shared" si="10"/>
        <v>-0.16999999999999926</v>
      </c>
      <c r="C92" s="117">
        <f t="shared" si="6"/>
        <v>0.87382891168795873</v>
      </c>
      <c r="D92" s="117">
        <f t="shared" si="7"/>
        <v>0</v>
      </c>
      <c r="E92" s="117">
        <f t="shared" si="8"/>
        <v>0</v>
      </c>
      <c r="F92" s="118">
        <f t="shared" si="9"/>
        <v>2</v>
      </c>
    </row>
    <row r="93" spans="2:6" x14ac:dyDescent="0.2">
      <c r="B93" s="155">
        <f t="shared" si="10"/>
        <v>-0.15999999999999925</v>
      </c>
      <c r="C93" s="117">
        <f t="shared" si="6"/>
        <v>0.88914192826849725</v>
      </c>
      <c r="D93" s="117">
        <f t="shared" si="7"/>
        <v>0</v>
      </c>
      <c r="E93" s="117">
        <f t="shared" si="8"/>
        <v>0</v>
      </c>
      <c r="F93" s="118">
        <f t="shared" si="9"/>
        <v>2</v>
      </c>
    </row>
    <row r="94" spans="2:6" x14ac:dyDescent="0.2">
      <c r="B94" s="155">
        <f t="shared" si="10"/>
        <v>-0.14999999999999925</v>
      </c>
      <c r="C94" s="117">
        <f t="shared" si="6"/>
        <v>0.90329044318563856</v>
      </c>
      <c r="D94" s="117">
        <f t="shared" si="7"/>
        <v>0</v>
      </c>
      <c r="E94" s="117">
        <f t="shared" si="8"/>
        <v>0</v>
      </c>
      <c r="F94" s="118">
        <f t="shared" si="9"/>
        <v>2</v>
      </c>
    </row>
    <row r="95" spans="2:6" x14ac:dyDescent="0.2">
      <c r="B95" s="155">
        <f t="shared" si="10"/>
        <v>-0.13999999999999924</v>
      </c>
      <c r="C95" s="117">
        <f t="shared" si="6"/>
        <v>0.91632839928609644</v>
      </c>
      <c r="D95" s="117">
        <f t="shared" si="7"/>
        <v>0</v>
      </c>
      <c r="E95" s="117">
        <f t="shared" si="8"/>
        <v>0</v>
      </c>
      <c r="F95" s="118">
        <f t="shared" si="9"/>
        <v>2</v>
      </c>
    </row>
    <row r="96" spans="2:6" x14ac:dyDescent="0.2">
      <c r="B96" s="155">
        <f t="shared" si="10"/>
        <v>-0.12999999999999923</v>
      </c>
      <c r="C96" s="117">
        <f t="shared" si="6"/>
        <v>0.92830259095197998</v>
      </c>
      <c r="D96" s="117">
        <f t="shared" si="7"/>
        <v>0</v>
      </c>
      <c r="E96" s="117">
        <f t="shared" si="8"/>
        <v>0</v>
      </c>
      <c r="F96" s="118">
        <f t="shared" si="9"/>
        <v>2</v>
      </c>
    </row>
    <row r="97" spans="2:6" x14ac:dyDescent="0.2">
      <c r="B97" s="155">
        <f t="shared" si="10"/>
        <v>-0.11999999999999923</v>
      </c>
      <c r="C97" s="117">
        <f t="shared" si="6"/>
        <v>0.93925370366069094</v>
      </c>
      <c r="D97" s="117">
        <f t="shared" si="7"/>
        <v>0</v>
      </c>
      <c r="E97" s="117">
        <f t="shared" si="8"/>
        <v>0</v>
      </c>
      <c r="F97" s="118">
        <f t="shared" si="9"/>
        <v>2</v>
      </c>
    </row>
    <row r="98" spans="2:6" x14ac:dyDescent="0.2">
      <c r="B98" s="155">
        <f t="shared" si="10"/>
        <v>-0.10999999999999924</v>
      </c>
      <c r="C98" s="117">
        <f t="shared" si="6"/>
        <v>0.94921714784063904</v>
      </c>
      <c r="D98" s="117">
        <f t="shared" si="7"/>
        <v>0</v>
      </c>
      <c r="E98" s="117">
        <f t="shared" si="8"/>
        <v>0</v>
      </c>
      <c r="F98" s="118">
        <f t="shared" si="9"/>
        <v>2</v>
      </c>
    </row>
    <row r="99" spans="2:6" x14ac:dyDescent="0.2">
      <c r="B99" s="155">
        <f t="shared" si="10"/>
        <v>-9.9999999999999242E-2</v>
      </c>
      <c r="C99" s="117">
        <f t="shared" si="6"/>
        <v>0.95822373280530726</v>
      </c>
      <c r="D99" s="117">
        <f t="shared" si="7"/>
        <v>0</v>
      </c>
      <c r="E99" s="117">
        <f t="shared" si="8"/>
        <v>0</v>
      </c>
      <c r="F99" s="118">
        <f t="shared" si="9"/>
        <v>2</v>
      </c>
    </row>
    <row r="100" spans="2:6" x14ac:dyDescent="0.2">
      <c r="B100" s="155">
        <f t="shared" si="10"/>
        <v>-8.9999999999999247E-2</v>
      </c>
      <c r="C100" s="117">
        <f t="shared" si="6"/>
        <v>0.96630021469012572</v>
      </c>
      <c r="D100" s="117">
        <f t="shared" si="7"/>
        <v>0</v>
      </c>
      <c r="E100" s="117">
        <f t="shared" si="8"/>
        <v>0</v>
      </c>
      <c r="F100" s="118">
        <f t="shared" si="9"/>
        <v>2</v>
      </c>
    </row>
    <row r="101" spans="2:6" x14ac:dyDescent="0.2">
      <c r="B101" s="155">
        <f t="shared" si="10"/>
        <v>-7.9999999999999252E-2</v>
      </c>
      <c r="C101" s="117">
        <f t="shared" si="6"/>
        <v>0.97346974382938878</v>
      </c>
      <c r="D101" s="117">
        <f t="shared" si="7"/>
        <v>0</v>
      </c>
      <c r="E101" s="117">
        <f t="shared" si="8"/>
        <v>0</v>
      </c>
      <c r="F101" s="118">
        <f t="shared" si="9"/>
        <v>2</v>
      </c>
    </row>
    <row r="102" spans="2:6" x14ac:dyDescent="0.2">
      <c r="B102" s="155">
        <f t="shared" si="10"/>
        <v>-6.9999999999999257E-2</v>
      </c>
      <c r="C102" s="117">
        <f t="shared" si="6"/>
        <v>0.97975223083928487</v>
      </c>
      <c r="D102" s="117">
        <f t="shared" si="7"/>
        <v>0</v>
      </c>
      <c r="E102" s="117">
        <f t="shared" si="8"/>
        <v>0</v>
      </c>
      <c r="F102" s="118">
        <f t="shared" si="9"/>
        <v>2</v>
      </c>
    </row>
    <row r="103" spans="2:6" x14ac:dyDescent="0.2">
      <c r="B103" s="155">
        <f t="shared" si="10"/>
        <v>-5.9999999999999255E-2</v>
      </c>
      <c r="C103" s="117">
        <f t="shared" si="6"/>
        <v>0.98516464611763332</v>
      </c>
      <c r="D103" s="117">
        <f t="shared" si="7"/>
        <v>0</v>
      </c>
      <c r="E103" s="117">
        <f t="shared" si="8"/>
        <v>0</v>
      </c>
      <c r="F103" s="118">
        <f t="shared" si="9"/>
        <v>2</v>
      </c>
    </row>
    <row r="104" spans="2:6" x14ac:dyDescent="0.2">
      <c r="B104" s="155">
        <f t="shared" si="10"/>
        <v>-4.9999999999999253E-2</v>
      </c>
      <c r="C104" s="117">
        <f t="shared" si="6"/>
        <v>0.98972126405763083</v>
      </c>
      <c r="D104" s="117">
        <f t="shared" si="7"/>
        <v>0</v>
      </c>
      <c r="E104" s="117">
        <f t="shared" si="8"/>
        <v>0</v>
      </c>
      <c r="F104" s="118">
        <f t="shared" si="9"/>
        <v>2</v>
      </c>
    </row>
    <row r="105" spans="2:6" x14ac:dyDescent="0.2">
      <c r="B105" s="155">
        <f t="shared" si="10"/>
        <v>-3.9999999999999251E-2</v>
      </c>
      <c r="C105" s="117">
        <f t="shared" si="6"/>
        <v>0.99343386067609663</v>
      </c>
      <c r="D105" s="117">
        <f t="shared" si="7"/>
        <v>0</v>
      </c>
      <c r="E105" s="117">
        <f t="shared" si="8"/>
        <v>0</v>
      </c>
      <c r="F105" s="118">
        <f t="shared" si="9"/>
        <v>2</v>
      </c>
    </row>
    <row r="106" spans="2:6" x14ac:dyDescent="0.2">
      <c r="B106" s="155">
        <f t="shared" ref="B106:B137" si="11">B105+$C$5</f>
        <v>-2.9999999999999249E-2</v>
      </c>
      <c r="C106" s="117">
        <f t="shared" si="6"/>
        <v>0.99631187134853538</v>
      </c>
      <c r="D106" s="117">
        <f t="shared" si="7"/>
        <v>0</v>
      </c>
      <c r="E106" s="117">
        <f t="shared" si="8"/>
        <v>0</v>
      </c>
      <c r="F106" s="118">
        <f t="shared" si="9"/>
        <v>2</v>
      </c>
    </row>
    <row r="107" spans="2:6" x14ac:dyDescent="0.2">
      <c r="B107" s="155">
        <f t="shared" si="11"/>
        <v>-1.9999999999999248E-2</v>
      </c>
      <c r="C107" s="117">
        <f t="shared" si="6"/>
        <v>0.99836251376163643</v>
      </c>
      <c r="D107" s="117">
        <f t="shared" si="7"/>
        <v>0</v>
      </c>
      <c r="E107" s="117">
        <f t="shared" si="8"/>
        <v>0</v>
      </c>
      <c r="F107" s="118">
        <f t="shared" si="9"/>
        <v>2</v>
      </c>
    </row>
    <row r="108" spans="2:6" x14ac:dyDescent="0.2">
      <c r="B108" s="155">
        <f t="shared" si="11"/>
        <v>-9.9999999999992473E-3</v>
      </c>
      <c r="C108" s="117">
        <f t="shared" si="6"/>
        <v>0.9995908799209372</v>
      </c>
      <c r="D108" s="117">
        <f t="shared" si="7"/>
        <v>0</v>
      </c>
      <c r="E108" s="117">
        <f t="shared" si="8"/>
        <v>0</v>
      </c>
      <c r="F108" s="118">
        <f t="shared" si="9"/>
        <v>2</v>
      </c>
    </row>
    <row r="109" spans="2:6" x14ac:dyDescent="0.2">
      <c r="B109" s="155">
        <f t="shared" si="11"/>
        <v>7.5286998857393428E-16</v>
      </c>
      <c r="C109" s="117">
        <f t="shared" si="6"/>
        <v>1</v>
      </c>
      <c r="D109" s="117">
        <f t="shared" si="7"/>
        <v>0</v>
      </c>
      <c r="E109" s="117">
        <f t="shared" si="8"/>
        <v>0</v>
      </c>
      <c r="F109" s="118">
        <f t="shared" si="9"/>
        <v>2</v>
      </c>
    </row>
    <row r="110" spans="2:6" x14ac:dyDescent="0.2">
      <c r="B110" s="155">
        <f t="shared" si="11"/>
        <v>1.0000000000000753E-2</v>
      </c>
      <c r="C110" s="117">
        <f t="shared" si="6"/>
        <v>0.99959087992093709</v>
      </c>
      <c r="D110" s="117">
        <f t="shared" si="7"/>
        <v>0</v>
      </c>
      <c r="E110" s="117">
        <f t="shared" si="8"/>
        <v>4.0912007906290793E-4</v>
      </c>
      <c r="F110" s="118">
        <f t="shared" si="9"/>
        <v>1.9991817598418742</v>
      </c>
    </row>
    <row r="111" spans="2:6" x14ac:dyDescent="0.2">
      <c r="B111" s="155">
        <f t="shared" si="11"/>
        <v>2.0000000000000753E-2</v>
      </c>
      <c r="C111" s="117">
        <f t="shared" si="6"/>
        <v>0.99836251376163621</v>
      </c>
      <c r="D111" s="117">
        <f t="shared" si="7"/>
        <v>0</v>
      </c>
      <c r="E111" s="117">
        <f t="shared" si="8"/>
        <v>1.6374862383637945E-3</v>
      </c>
      <c r="F111" s="118">
        <f t="shared" si="9"/>
        <v>1.9967250275232724</v>
      </c>
    </row>
    <row r="112" spans="2:6" x14ac:dyDescent="0.2">
      <c r="B112" s="155">
        <f t="shared" si="11"/>
        <v>3.0000000000000755E-2</v>
      </c>
      <c r="C112" s="117">
        <f t="shared" si="6"/>
        <v>0.99631187134853505</v>
      </c>
      <c r="D112" s="117">
        <f t="shared" si="7"/>
        <v>0</v>
      </c>
      <c r="E112" s="117">
        <f t="shared" si="8"/>
        <v>3.6881286514649503E-3</v>
      </c>
      <c r="F112" s="118">
        <f t="shared" si="9"/>
        <v>1.9926237426970701</v>
      </c>
    </row>
    <row r="113" spans="2:6" x14ac:dyDescent="0.2">
      <c r="B113" s="155">
        <f t="shared" si="11"/>
        <v>4.0000000000000757E-2</v>
      </c>
      <c r="C113" s="117">
        <f t="shared" si="6"/>
        <v>0.99343386067609618</v>
      </c>
      <c r="D113" s="117">
        <f t="shared" si="7"/>
        <v>0</v>
      </c>
      <c r="E113" s="117">
        <f t="shared" si="8"/>
        <v>6.566139323903819E-3</v>
      </c>
      <c r="F113" s="118">
        <f t="shared" si="9"/>
        <v>1.9868677213521924</v>
      </c>
    </row>
    <row r="114" spans="2:6" x14ac:dyDescent="0.2">
      <c r="B114" s="155">
        <f t="shared" si="11"/>
        <v>5.0000000000000759E-2</v>
      </c>
      <c r="C114" s="117">
        <f t="shared" si="6"/>
        <v>0.98972126405763017</v>
      </c>
      <c r="D114" s="117">
        <f t="shared" si="7"/>
        <v>0</v>
      </c>
      <c r="E114" s="117">
        <f t="shared" si="8"/>
        <v>1.0278735942369832E-2</v>
      </c>
      <c r="F114" s="118">
        <f t="shared" si="9"/>
        <v>1.9794425281152603</v>
      </c>
    </row>
    <row r="115" spans="2:6" x14ac:dyDescent="0.2">
      <c r="B115" s="155">
        <f t="shared" si="11"/>
        <v>6.0000000000000761E-2</v>
      </c>
      <c r="C115" s="117">
        <f t="shared" si="6"/>
        <v>0.98516464611763255</v>
      </c>
      <c r="D115" s="117">
        <f t="shared" si="7"/>
        <v>0</v>
      </c>
      <c r="E115" s="117">
        <f t="shared" si="8"/>
        <v>1.4835353882367452E-2</v>
      </c>
      <c r="F115" s="118">
        <f t="shared" si="9"/>
        <v>1.9703292922352651</v>
      </c>
    </row>
    <row r="116" spans="2:6" x14ac:dyDescent="0.2">
      <c r="B116" s="155">
        <f t="shared" si="11"/>
        <v>7.0000000000000756E-2</v>
      </c>
      <c r="C116" s="117">
        <f t="shared" si="6"/>
        <v>0.97975223083928398</v>
      </c>
      <c r="D116" s="117">
        <f t="shared" si="7"/>
        <v>0</v>
      </c>
      <c r="E116" s="117">
        <f t="shared" si="8"/>
        <v>2.0247769160716023E-2</v>
      </c>
      <c r="F116" s="118">
        <f t="shared" si="9"/>
        <v>1.959504461678568</v>
      </c>
    </row>
    <row r="117" spans="2:6" x14ac:dyDescent="0.2">
      <c r="B117" s="155">
        <f t="shared" si="11"/>
        <v>8.0000000000000751E-2</v>
      </c>
      <c r="C117" s="117">
        <f t="shared" si="6"/>
        <v>0.97346974382938778</v>
      </c>
      <c r="D117" s="117">
        <f t="shared" si="7"/>
        <v>0</v>
      </c>
      <c r="E117" s="117">
        <f t="shared" si="8"/>
        <v>2.6530256170612221E-2</v>
      </c>
      <c r="F117" s="118">
        <f t="shared" si="9"/>
        <v>1.9469394876587756</v>
      </c>
    </row>
    <row r="118" spans="2:6" x14ac:dyDescent="0.2">
      <c r="B118" s="155">
        <f t="shared" si="11"/>
        <v>9.0000000000000746E-2</v>
      </c>
      <c r="C118" s="117">
        <f t="shared" si="6"/>
        <v>0.96630021469012461</v>
      </c>
      <c r="D118" s="117">
        <f t="shared" si="7"/>
        <v>0</v>
      </c>
      <c r="E118" s="117">
        <f t="shared" si="8"/>
        <v>3.3699785309875385E-2</v>
      </c>
      <c r="F118" s="118">
        <f t="shared" si="9"/>
        <v>1.9326004293802492</v>
      </c>
    </row>
    <row r="119" spans="2:6" x14ac:dyDescent="0.2">
      <c r="B119" s="155">
        <f t="shared" si="11"/>
        <v>0.10000000000000074</v>
      </c>
      <c r="C119" s="117">
        <f t="shared" si="6"/>
        <v>0.95822373280530604</v>
      </c>
      <c r="D119" s="117">
        <f t="shared" si="7"/>
        <v>0</v>
      </c>
      <c r="E119" s="117">
        <f t="shared" si="8"/>
        <v>4.1776267194693961E-2</v>
      </c>
      <c r="F119" s="118">
        <f t="shared" si="9"/>
        <v>1.9164474656106121</v>
      </c>
    </row>
    <row r="120" spans="2:6" x14ac:dyDescent="0.2">
      <c r="B120" s="155">
        <f t="shared" si="11"/>
        <v>0.11000000000000074</v>
      </c>
      <c r="C120" s="117">
        <f t="shared" si="6"/>
        <v>0.9492171478406376</v>
      </c>
      <c r="D120" s="117">
        <f t="shared" si="7"/>
        <v>0</v>
      </c>
      <c r="E120" s="117">
        <f t="shared" si="8"/>
        <v>5.0782852159362402E-2</v>
      </c>
      <c r="F120" s="118">
        <f t="shared" si="9"/>
        <v>1.8984342956812752</v>
      </c>
    </row>
    <row r="121" spans="2:6" x14ac:dyDescent="0.2">
      <c r="B121" s="155">
        <f t="shared" si="11"/>
        <v>0.12000000000000073</v>
      </c>
      <c r="C121" s="117">
        <f t="shared" si="6"/>
        <v>0.93925370366068939</v>
      </c>
      <c r="D121" s="117">
        <f t="shared" si="7"/>
        <v>0</v>
      </c>
      <c r="E121" s="117">
        <f t="shared" si="8"/>
        <v>6.0746296339310613E-2</v>
      </c>
      <c r="F121" s="118">
        <f t="shared" si="9"/>
        <v>1.8785074073213788</v>
      </c>
    </row>
    <row r="122" spans="2:6" x14ac:dyDescent="0.2">
      <c r="B122" s="155">
        <f t="shared" si="11"/>
        <v>0.13000000000000073</v>
      </c>
      <c r="C122" s="117">
        <f t="shared" si="6"/>
        <v>0.92830259095197831</v>
      </c>
      <c r="D122" s="117">
        <f t="shared" si="7"/>
        <v>0</v>
      </c>
      <c r="E122" s="117">
        <f t="shared" si="8"/>
        <v>7.1697409048021687E-2</v>
      </c>
      <c r="F122" s="118">
        <f t="shared" si="9"/>
        <v>1.8566051819039566</v>
      </c>
    </row>
    <row r="123" spans="2:6" x14ac:dyDescent="0.2">
      <c r="B123" s="155">
        <f t="shared" si="11"/>
        <v>0.14000000000000073</v>
      </c>
      <c r="C123" s="117">
        <f t="shared" si="6"/>
        <v>0.91632839928609455</v>
      </c>
      <c r="D123" s="117">
        <f t="shared" si="7"/>
        <v>0</v>
      </c>
      <c r="E123" s="117">
        <f t="shared" si="8"/>
        <v>8.3671600713905447E-2</v>
      </c>
      <c r="F123" s="118">
        <f t="shared" si="9"/>
        <v>1.8326567985721891</v>
      </c>
    </row>
    <row r="124" spans="2:6" x14ac:dyDescent="0.2">
      <c r="B124" s="155">
        <f t="shared" si="11"/>
        <v>0.15000000000000074</v>
      </c>
      <c r="C124" s="117">
        <f t="shared" si="6"/>
        <v>0.90329044318563645</v>
      </c>
      <c r="D124" s="117">
        <f t="shared" si="7"/>
        <v>0</v>
      </c>
      <c r="E124" s="117">
        <f t="shared" si="8"/>
        <v>9.6709556814363551E-2</v>
      </c>
      <c r="F124" s="118">
        <f t="shared" si="9"/>
        <v>1.8065808863712729</v>
      </c>
    </row>
    <row r="125" spans="2:6" x14ac:dyDescent="0.2">
      <c r="B125" s="155">
        <f t="shared" si="11"/>
        <v>0.16000000000000075</v>
      </c>
      <c r="C125" s="117">
        <f t="shared" si="6"/>
        <v>0.88914192826849503</v>
      </c>
      <c r="D125" s="117">
        <f t="shared" si="7"/>
        <v>0</v>
      </c>
      <c r="E125" s="117">
        <f t="shared" si="8"/>
        <v>0.11085807173150497</v>
      </c>
      <c r="F125" s="118">
        <f t="shared" si="9"/>
        <v>1.7782838565369901</v>
      </c>
    </row>
    <row r="126" spans="2:6" x14ac:dyDescent="0.2">
      <c r="B126" s="155">
        <f t="shared" si="11"/>
        <v>0.17000000000000076</v>
      </c>
      <c r="C126" s="117">
        <f t="shared" si="6"/>
        <v>0.8738289116879564</v>
      </c>
      <c r="D126" s="117">
        <f t="shared" si="7"/>
        <v>0</v>
      </c>
      <c r="E126" s="117">
        <f t="shared" si="8"/>
        <v>0.1261710883120436</v>
      </c>
      <c r="F126" s="118">
        <f t="shared" si="9"/>
        <v>1.7476578233759128</v>
      </c>
    </row>
    <row r="127" spans="2:6" x14ac:dyDescent="0.2">
      <c r="B127" s="155">
        <f t="shared" si="11"/>
        <v>0.18000000000000077</v>
      </c>
      <c r="C127" s="117">
        <f t="shared" si="6"/>
        <v>0.85728899423748905</v>
      </c>
      <c r="D127" s="117">
        <f t="shared" si="7"/>
        <v>0</v>
      </c>
      <c r="E127" s="117">
        <f t="shared" si="8"/>
        <v>0.14271100576251095</v>
      </c>
      <c r="F127" s="118">
        <f t="shared" si="9"/>
        <v>1.7145779884749781</v>
      </c>
    </row>
    <row r="128" spans="2:6" x14ac:dyDescent="0.2">
      <c r="B128" s="155">
        <f t="shared" si="11"/>
        <v>0.19000000000000078</v>
      </c>
      <c r="C128" s="117">
        <f t="shared" si="6"/>
        <v>0.83944965710989461</v>
      </c>
      <c r="D128" s="117">
        <f t="shared" si="7"/>
        <v>0</v>
      </c>
      <c r="E128" s="117">
        <f t="shared" si="8"/>
        <v>0.16055034289010539</v>
      </c>
      <c r="F128" s="118">
        <f t="shared" si="9"/>
        <v>1.6788993142197892</v>
      </c>
    </row>
    <row r="129" spans="2:6" x14ac:dyDescent="0.2">
      <c r="B129" s="155">
        <f t="shared" si="11"/>
        <v>0.20000000000000079</v>
      </c>
      <c r="C129" s="117">
        <f t="shared" si="6"/>
        <v>0.82022612031399034</v>
      </c>
      <c r="D129" s="117">
        <f t="shared" si="7"/>
        <v>0</v>
      </c>
      <c r="E129" s="117">
        <f t="shared" si="8"/>
        <v>0.17977387968600966</v>
      </c>
      <c r="F129" s="118">
        <f t="shared" si="9"/>
        <v>1.6404522406279807</v>
      </c>
    </row>
    <row r="130" spans="2:6" x14ac:dyDescent="0.2">
      <c r="B130" s="155">
        <f t="shared" si="11"/>
        <v>0.2100000000000008</v>
      </c>
      <c r="C130" s="117">
        <f t="shared" si="6"/>
        <v>0.79951854544531231</v>
      </c>
      <c r="D130" s="117">
        <f t="shared" si="7"/>
        <v>0</v>
      </c>
      <c r="E130" s="117">
        <f t="shared" si="8"/>
        <v>0.20048145455468769</v>
      </c>
      <c r="F130" s="118">
        <f t="shared" si="9"/>
        <v>1.5990370908906246</v>
      </c>
    </row>
    <row r="131" spans="2:6" x14ac:dyDescent="0.2">
      <c r="B131" s="155">
        <f t="shared" si="11"/>
        <v>0.22000000000000081</v>
      </c>
      <c r="C131" s="117">
        <f t="shared" si="6"/>
        <v>0.77720832150644281</v>
      </c>
      <c r="D131" s="117">
        <f t="shared" si="7"/>
        <v>0</v>
      </c>
      <c r="E131" s="117">
        <f t="shared" si="8"/>
        <v>0.22279167849355719</v>
      </c>
      <c r="F131" s="118">
        <f t="shared" si="9"/>
        <v>1.5544166430128856</v>
      </c>
    </row>
    <row r="132" spans="2:6" x14ac:dyDescent="0.2">
      <c r="B132" s="155">
        <f t="shared" si="11"/>
        <v>0.23000000000000081</v>
      </c>
      <c r="C132" s="117">
        <f t="shared" si="6"/>
        <v>0.75315303887653728</v>
      </c>
      <c r="D132" s="117">
        <f t="shared" si="7"/>
        <v>0</v>
      </c>
      <c r="E132" s="117">
        <f t="shared" si="8"/>
        <v>0.24684696112346272</v>
      </c>
      <c r="F132" s="118">
        <f t="shared" si="9"/>
        <v>1.5063060777530746</v>
      </c>
    </row>
    <row r="133" spans="2:6" x14ac:dyDescent="0.2">
      <c r="B133" s="155">
        <f t="shared" si="11"/>
        <v>0.24000000000000082</v>
      </c>
      <c r="C133" s="117">
        <f t="shared" si="6"/>
        <v>0.72717953722673656</v>
      </c>
      <c r="D133" s="117">
        <f t="shared" si="7"/>
        <v>0</v>
      </c>
      <c r="E133" s="117">
        <f t="shared" si="8"/>
        <v>0.27282046277326344</v>
      </c>
      <c r="F133" s="118">
        <f t="shared" si="9"/>
        <v>1.4543590744534731</v>
      </c>
    </row>
    <row r="134" spans="2:6" x14ac:dyDescent="0.2">
      <c r="B134" s="155">
        <f t="shared" si="11"/>
        <v>0.25000000000000083</v>
      </c>
      <c r="C134" s="117">
        <f t="shared" si="6"/>
        <v>0.69907403985260752</v>
      </c>
      <c r="D134" s="117">
        <f t="shared" si="7"/>
        <v>0</v>
      </c>
      <c r="E134" s="117">
        <f t="shared" si="8"/>
        <v>0.30092596014739248</v>
      </c>
      <c r="F134" s="118">
        <f t="shared" si="9"/>
        <v>1.398148079705215</v>
      </c>
    </row>
    <row r="135" spans="2:6" x14ac:dyDescent="0.2">
      <c r="B135" s="155">
        <f t="shared" si="11"/>
        <v>0.26000000000000084</v>
      </c>
      <c r="C135" s="117">
        <f t="shared" si="6"/>
        <v>0.66856772392378172</v>
      </c>
      <c r="D135" s="117">
        <f t="shared" si="7"/>
        <v>0</v>
      </c>
      <c r="E135" s="117">
        <f t="shared" si="8"/>
        <v>0.33143227607621828</v>
      </c>
      <c r="F135" s="118">
        <f t="shared" si="9"/>
        <v>1.3371354478475634</v>
      </c>
    </row>
    <row r="136" spans="2:6" x14ac:dyDescent="0.2">
      <c r="B136" s="155">
        <f t="shared" si="11"/>
        <v>0.27000000000000085</v>
      </c>
      <c r="C136" s="117">
        <f t="shared" si="6"/>
        <v>0.63531483863643057</v>
      </c>
      <c r="D136" s="117">
        <f t="shared" si="7"/>
        <v>0</v>
      </c>
      <c r="E136" s="117">
        <f t="shared" si="8"/>
        <v>0.36468516136356943</v>
      </c>
      <c r="F136" s="118">
        <f t="shared" si="9"/>
        <v>1.2706296772728611</v>
      </c>
    </row>
    <row r="137" spans="2:6" x14ac:dyDescent="0.2">
      <c r="B137" s="155">
        <f t="shared" si="11"/>
        <v>0.28000000000000086</v>
      </c>
      <c r="C137" s="117">
        <f t="shared" ref="C137:C200" si="12">IFERROR(IF(SQRT(1-(B137*B137)/($F$6*$F$6))&lt;0.05,0,SQRT(1-(B137*B137)/($F$6*$F$6))),0)</f>
        <v>0.59885803104982094</v>
      </c>
      <c r="D137" s="117">
        <f t="shared" ref="D137:D200" si="13">CHOOSE(MATCH($F$4,degrees),IF(B137&lt;0,IFERROR(1-C137,1),0),0,0,IF(B137&gt;0,IFERROR(1-C137,1),0))</f>
        <v>0</v>
      </c>
      <c r="E137" s="117">
        <f t="shared" ref="E137:E200" si="14">CHOOSE(MATCH($F$4,degrees),IF(B137&lt;0,2*C137,2),IF(B137&lt;0,0,1-C137),IF(B137&gt;0,0,1-C137),IF(B137&gt;0,2*C137,2))</f>
        <v>0.40114196895017906</v>
      </c>
      <c r="F137" s="118">
        <f t="shared" ref="F137:F200" si="15">CHOOSE(MATCH($F$4,degrees),IF(B137&lt;0,C137+1,2),IF(B137&lt;0,2,2*C137),IF(B137&gt;0,2,2*C137),IF(B137&gt;0,C137+1,2))</f>
        <v>1.1977160620996419</v>
      </c>
    </row>
    <row r="138" spans="2:6" x14ac:dyDescent="0.2">
      <c r="B138" s="155">
        <f t="shared" ref="B138:B169" si="16">B137+$C$5</f>
        <v>0.29000000000000087</v>
      </c>
      <c r="C138" s="117">
        <f t="shared" si="12"/>
        <v>0.55857031156008408</v>
      </c>
      <c r="D138" s="117">
        <f t="shared" si="13"/>
        <v>0</v>
      </c>
      <c r="E138" s="117">
        <f t="shared" si="14"/>
        <v>0.44142968843991592</v>
      </c>
      <c r="F138" s="118">
        <f t="shared" si="15"/>
        <v>1.1171406231201682</v>
      </c>
    </row>
    <row r="139" spans="2:6" x14ac:dyDescent="0.2">
      <c r="B139" s="155">
        <f t="shared" si="16"/>
        <v>0.30000000000000088</v>
      </c>
      <c r="C139" s="117">
        <f t="shared" si="12"/>
        <v>0.5135508728470991</v>
      </c>
      <c r="D139" s="117">
        <f t="shared" si="13"/>
        <v>0</v>
      </c>
      <c r="E139" s="117">
        <f t="shared" si="14"/>
        <v>0.4864491271529009</v>
      </c>
      <c r="F139" s="118">
        <f t="shared" si="15"/>
        <v>1.0271017456941982</v>
      </c>
    </row>
    <row r="140" spans="2:6" x14ac:dyDescent="0.2">
      <c r="B140" s="155">
        <f t="shared" si="16"/>
        <v>0.31000000000000089</v>
      </c>
      <c r="C140" s="117">
        <f t="shared" si="12"/>
        <v>0.4624197870873738</v>
      </c>
      <c r="D140" s="117">
        <f t="shared" si="13"/>
        <v>0</v>
      </c>
      <c r="E140" s="117">
        <f t="shared" si="14"/>
        <v>0.53758021291262614</v>
      </c>
      <c r="F140" s="118">
        <f t="shared" si="15"/>
        <v>0.9248395741747476</v>
      </c>
    </row>
    <row r="141" spans="2:6" x14ac:dyDescent="0.2">
      <c r="B141" s="155">
        <f t="shared" si="16"/>
        <v>0.32000000000000089</v>
      </c>
      <c r="C141" s="117">
        <f t="shared" si="12"/>
        <v>0.40285664251700426</v>
      </c>
      <c r="D141" s="117">
        <f t="shared" si="13"/>
        <v>0</v>
      </c>
      <c r="E141" s="117">
        <f t="shared" si="14"/>
        <v>0.59714335748299574</v>
      </c>
      <c r="F141" s="118">
        <f t="shared" si="15"/>
        <v>0.80571328503400852</v>
      </c>
    </row>
    <row r="142" spans="2:6" x14ac:dyDescent="0.2">
      <c r="B142" s="155">
        <f t="shared" si="16"/>
        <v>0.3300000000000009</v>
      </c>
      <c r="C142" s="117">
        <f t="shared" si="12"/>
        <v>0.33033126372240557</v>
      </c>
      <c r="D142" s="117">
        <f t="shared" si="13"/>
        <v>0</v>
      </c>
      <c r="E142" s="117">
        <f t="shared" si="14"/>
        <v>0.66966873627759438</v>
      </c>
      <c r="F142" s="118">
        <f t="shared" si="15"/>
        <v>0.66066252744481113</v>
      </c>
    </row>
    <row r="143" spans="2:6" x14ac:dyDescent="0.2">
      <c r="B143" s="155">
        <f t="shared" si="16"/>
        <v>0.34000000000000091</v>
      </c>
      <c r="C143" s="117">
        <f t="shared" si="12"/>
        <v>0.23304048490988902</v>
      </c>
      <c r="D143" s="117">
        <f t="shared" si="13"/>
        <v>0</v>
      </c>
      <c r="E143" s="117">
        <f t="shared" si="14"/>
        <v>0.76695951509011095</v>
      </c>
      <c r="F143" s="118">
        <f t="shared" si="15"/>
        <v>0.46608096981977803</v>
      </c>
    </row>
    <row r="144" spans="2:6" x14ac:dyDescent="0.2">
      <c r="B144" s="155">
        <f t="shared" si="16"/>
        <v>0.35000000000000092</v>
      </c>
      <c r="C144" s="117">
        <f t="shared" si="12"/>
        <v>0</v>
      </c>
      <c r="D144" s="117">
        <f t="shared" si="13"/>
        <v>0</v>
      </c>
      <c r="E144" s="117">
        <f t="shared" si="14"/>
        <v>1</v>
      </c>
      <c r="F144" s="118">
        <f t="shared" si="15"/>
        <v>0</v>
      </c>
    </row>
    <row r="145" spans="2:6" x14ac:dyDescent="0.2">
      <c r="B145" s="155">
        <f t="shared" si="16"/>
        <v>0.36000000000000093</v>
      </c>
      <c r="C145" s="117">
        <f t="shared" si="12"/>
        <v>0</v>
      </c>
      <c r="D145" s="117">
        <f t="shared" si="13"/>
        <v>0</v>
      </c>
      <c r="E145" s="117">
        <f t="shared" si="14"/>
        <v>1</v>
      </c>
      <c r="F145" s="118">
        <f t="shared" si="15"/>
        <v>0</v>
      </c>
    </row>
    <row r="146" spans="2:6" x14ac:dyDescent="0.2">
      <c r="B146" s="155">
        <f t="shared" si="16"/>
        <v>0.37000000000000094</v>
      </c>
      <c r="C146" s="117">
        <f t="shared" si="12"/>
        <v>0</v>
      </c>
      <c r="D146" s="117">
        <f t="shared" si="13"/>
        <v>0</v>
      </c>
      <c r="E146" s="117">
        <f t="shared" si="14"/>
        <v>1</v>
      </c>
      <c r="F146" s="118">
        <f t="shared" si="15"/>
        <v>0</v>
      </c>
    </row>
    <row r="147" spans="2:6" x14ac:dyDescent="0.2">
      <c r="B147" s="155">
        <f t="shared" si="16"/>
        <v>0.38000000000000095</v>
      </c>
      <c r="C147" s="117">
        <f t="shared" si="12"/>
        <v>0</v>
      </c>
      <c r="D147" s="117">
        <f t="shared" si="13"/>
        <v>0</v>
      </c>
      <c r="E147" s="117">
        <f t="shared" si="14"/>
        <v>1</v>
      </c>
      <c r="F147" s="118">
        <f t="shared" si="15"/>
        <v>0</v>
      </c>
    </row>
    <row r="148" spans="2:6" x14ac:dyDescent="0.2">
      <c r="B148" s="155">
        <f t="shared" si="16"/>
        <v>0.39000000000000096</v>
      </c>
      <c r="C148" s="117">
        <f t="shared" si="12"/>
        <v>0</v>
      </c>
      <c r="D148" s="117">
        <f t="shared" si="13"/>
        <v>0</v>
      </c>
      <c r="E148" s="117">
        <f t="shared" si="14"/>
        <v>1</v>
      </c>
      <c r="F148" s="118">
        <f t="shared" si="15"/>
        <v>0</v>
      </c>
    </row>
    <row r="149" spans="2:6" x14ac:dyDescent="0.2">
      <c r="B149" s="155">
        <f t="shared" si="16"/>
        <v>0.40000000000000097</v>
      </c>
      <c r="C149" s="117">
        <f t="shared" si="12"/>
        <v>0</v>
      </c>
      <c r="D149" s="117">
        <f t="shared" si="13"/>
        <v>0</v>
      </c>
      <c r="E149" s="117">
        <f t="shared" si="14"/>
        <v>1</v>
      </c>
      <c r="F149" s="118">
        <f t="shared" si="15"/>
        <v>0</v>
      </c>
    </row>
    <row r="150" spans="2:6" x14ac:dyDescent="0.2">
      <c r="B150" s="155">
        <f t="shared" si="16"/>
        <v>0.41000000000000097</v>
      </c>
      <c r="C150" s="117">
        <f t="shared" si="12"/>
        <v>0</v>
      </c>
      <c r="D150" s="117">
        <f t="shared" si="13"/>
        <v>0</v>
      </c>
      <c r="E150" s="117">
        <f t="shared" si="14"/>
        <v>1</v>
      </c>
      <c r="F150" s="118">
        <f t="shared" si="15"/>
        <v>0</v>
      </c>
    </row>
    <row r="151" spans="2:6" x14ac:dyDescent="0.2">
      <c r="B151" s="155">
        <f t="shared" si="16"/>
        <v>0.42000000000000098</v>
      </c>
      <c r="C151" s="117">
        <f t="shared" si="12"/>
        <v>0</v>
      </c>
      <c r="D151" s="117">
        <f t="shared" si="13"/>
        <v>0</v>
      </c>
      <c r="E151" s="117">
        <f t="shared" si="14"/>
        <v>1</v>
      </c>
      <c r="F151" s="118">
        <f t="shared" si="15"/>
        <v>0</v>
      </c>
    </row>
    <row r="152" spans="2:6" x14ac:dyDescent="0.2">
      <c r="B152" s="155">
        <f t="shared" si="16"/>
        <v>0.43000000000000099</v>
      </c>
      <c r="C152" s="117">
        <f t="shared" si="12"/>
        <v>0</v>
      </c>
      <c r="D152" s="117">
        <f t="shared" si="13"/>
        <v>0</v>
      </c>
      <c r="E152" s="117">
        <f t="shared" si="14"/>
        <v>1</v>
      </c>
      <c r="F152" s="118">
        <f t="shared" si="15"/>
        <v>0</v>
      </c>
    </row>
    <row r="153" spans="2:6" x14ac:dyDescent="0.2">
      <c r="B153" s="155">
        <f t="shared" si="16"/>
        <v>0.440000000000001</v>
      </c>
      <c r="C153" s="117">
        <f t="shared" si="12"/>
        <v>0</v>
      </c>
      <c r="D153" s="117">
        <f t="shared" si="13"/>
        <v>0</v>
      </c>
      <c r="E153" s="117">
        <f t="shared" si="14"/>
        <v>1</v>
      </c>
      <c r="F153" s="118">
        <f t="shared" si="15"/>
        <v>0</v>
      </c>
    </row>
    <row r="154" spans="2:6" x14ac:dyDescent="0.2">
      <c r="B154" s="155">
        <f t="shared" si="16"/>
        <v>0.45000000000000101</v>
      </c>
      <c r="C154" s="117">
        <f t="shared" si="12"/>
        <v>0</v>
      </c>
      <c r="D154" s="117">
        <f t="shared" si="13"/>
        <v>0</v>
      </c>
      <c r="E154" s="117">
        <f t="shared" si="14"/>
        <v>1</v>
      </c>
      <c r="F154" s="118">
        <f t="shared" si="15"/>
        <v>0</v>
      </c>
    </row>
    <row r="155" spans="2:6" x14ac:dyDescent="0.2">
      <c r="B155" s="155">
        <f t="shared" si="16"/>
        <v>0.46000000000000102</v>
      </c>
      <c r="C155" s="117">
        <f t="shared" si="12"/>
        <v>0</v>
      </c>
      <c r="D155" s="117">
        <f t="shared" si="13"/>
        <v>0</v>
      </c>
      <c r="E155" s="117">
        <f t="shared" si="14"/>
        <v>1</v>
      </c>
      <c r="F155" s="118">
        <f t="shared" si="15"/>
        <v>0</v>
      </c>
    </row>
    <row r="156" spans="2:6" x14ac:dyDescent="0.2">
      <c r="B156" s="155">
        <f t="shared" si="16"/>
        <v>0.47000000000000103</v>
      </c>
      <c r="C156" s="117">
        <f t="shared" si="12"/>
        <v>0</v>
      </c>
      <c r="D156" s="117">
        <f t="shared" si="13"/>
        <v>0</v>
      </c>
      <c r="E156" s="117">
        <f t="shared" si="14"/>
        <v>1</v>
      </c>
      <c r="F156" s="118">
        <f t="shared" si="15"/>
        <v>0</v>
      </c>
    </row>
    <row r="157" spans="2:6" x14ac:dyDescent="0.2">
      <c r="B157" s="155">
        <f t="shared" si="16"/>
        <v>0.48000000000000104</v>
      </c>
      <c r="C157" s="117">
        <f t="shared" si="12"/>
        <v>0</v>
      </c>
      <c r="D157" s="117">
        <f t="shared" si="13"/>
        <v>0</v>
      </c>
      <c r="E157" s="117">
        <f t="shared" si="14"/>
        <v>1</v>
      </c>
      <c r="F157" s="118">
        <f t="shared" si="15"/>
        <v>0</v>
      </c>
    </row>
    <row r="158" spans="2:6" x14ac:dyDescent="0.2">
      <c r="B158" s="155">
        <f t="shared" si="16"/>
        <v>0.49000000000000105</v>
      </c>
      <c r="C158" s="117">
        <f t="shared" si="12"/>
        <v>0</v>
      </c>
      <c r="D158" s="117">
        <f t="shared" si="13"/>
        <v>0</v>
      </c>
      <c r="E158" s="117">
        <f t="shared" si="14"/>
        <v>1</v>
      </c>
      <c r="F158" s="118">
        <f t="shared" si="15"/>
        <v>0</v>
      </c>
    </row>
    <row r="159" spans="2:6" x14ac:dyDescent="0.2">
      <c r="B159" s="155">
        <f t="shared" si="16"/>
        <v>0.500000000000001</v>
      </c>
      <c r="C159" s="117">
        <f t="shared" si="12"/>
        <v>0</v>
      </c>
      <c r="D159" s="117">
        <f t="shared" si="13"/>
        <v>0</v>
      </c>
      <c r="E159" s="117">
        <f t="shared" si="14"/>
        <v>1</v>
      </c>
      <c r="F159" s="118">
        <f t="shared" si="15"/>
        <v>0</v>
      </c>
    </row>
    <row r="160" spans="2:6" x14ac:dyDescent="0.2">
      <c r="B160" s="155">
        <f t="shared" si="16"/>
        <v>0.51000000000000101</v>
      </c>
      <c r="C160" s="117">
        <f t="shared" si="12"/>
        <v>0</v>
      </c>
      <c r="D160" s="117">
        <f t="shared" si="13"/>
        <v>0</v>
      </c>
      <c r="E160" s="117">
        <f t="shared" si="14"/>
        <v>1</v>
      </c>
      <c r="F160" s="118">
        <f t="shared" si="15"/>
        <v>0</v>
      </c>
    </row>
    <row r="161" spans="2:6" x14ac:dyDescent="0.2">
      <c r="B161" s="155">
        <f t="shared" si="16"/>
        <v>0.52000000000000102</v>
      </c>
      <c r="C161" s="117">
        <f t="shared" si="12"/>
        <v>0</v>
      </c>
      <c r="D161" s="117">
        <f t="shared" si="13"/>
        <v>0</v>
      </c>
      <c r="E161" s="117">
        <f t="shared" si="14"/>
        <v>1</v>
      </c>
      <c r="F161" s="118">
        <f t="shared" si="15"/>
        <v>0</v>
      </c>
    </row>
    <row r="162" spans="2:6" x14ac:dyDescent="0.2">
      <c r="B162" s="155">
        <f t="shared" si="16"/>
        <v>0.53000000000000103</v>
      </c>
      <c r="C162" s="117">
        <f t="shared" si="12"/>
        <v>0</v>
      </c>
      <c r="D162" s="117">
        <f t="shared" si="13"/>
        <v>0</v>
      </c>
      <c r="E162" s="117">
        <f t="shared" si="14"/>
        <v>1</v>
      </c>
      <c r="F162" s="118">
        <f t="shared" si="15"/>
        <v>0</v>
      </c>
    </row>
    <row r="163" spans="2:6" x14ac:dyDescent="0.2">
      <c r="B163" s="155">
        <f t="shared" si="16"/>
        <v>0.54000000000000103</v>
      </c>
      <c r="C163" s="117">
        <f t="shared" si="12"/>
        <v>0</v>
      </c>
      <c r="D163" s="117">
        <f t="shared" si="13"/>
        <v>0</v>
      </c>
      <c r="E163" s="117">
        <f t="shared" si="14"/>
        <v>1</v>
      </c>
      <c r="F163" s="118">
        <f t="shared" si="15"/>
        <v>0</v>
      </c>
    </row>
    <row r="164" spans="2:6" x14ac:dyDescent="0.2">
      <c r="B164" s="155">
        <f t="shared" si="16"/>
        <v>0.55000000000000104</v>
      </c>
      <c r="C164" s="117">
        <f t="shared" si="12"/>
        <v>0</v>
      </c>
      <c r="D164" s="117">
        <f t="shared" si="13"/>
        <v>0</v>
      </c>
      <c r="E164" s="117">
        <f t="shared" si="14"/>
        <v>1</v>
      </c>
      <c r="F164" s="118">
        <f t="shared" si="15"/>
        <v>0</v>
      </c>
    </row>
    <row r="165" spans="2:6" x14ac:dyDescent="0.2">
      <c r="B165" s="155">
        <f t="shared" si="16"/>
        <v>0.56000000000000105</v>
      </c>
      <c r="C165" s="117">
        <f t="shared" si="12"/>
        <v>0</v>
      </c>
      <c r="D165" s="117">
        <f t="shared" si="13"/>
        <v>0</v>
      </c>
      <c r="E165" s="117">
        <f t="shared" si="14"/>
        <v>1</v>
      </c>
      <c r="F165" s="118">
        <f t="shared" si="15"/>
        <v>0</v>
      </c>
    </row>
    <row r="166" spans="2:6" x14ac:dyDescent="0.2">
      <c r="B166" s="155">
        <f t="shared" si="16"/>
        <v>0.57000000000000106</v>
      </c>
      <c r="C166" s="117">
        <f t="shared" si="12"/>
        <v>0</v>
      </c>
      <c r="D166" s="117">
        <f t="shared" si="13"/>
        <v>0</v>
      </c>
      <c r="E166" s="117">
        <f t="shared" si="14"/>
        <v>1</v>
      </c>
      <c r="F166" s="118">
        <f t="shared" si="15"/>
        <v>0</v>
      </c>
    </row>
    <row r="167" spans="2:6" x14ac:dyDescent="0.2">
      <c r="B167" s="155">
        <f t="shared" si="16"/>
        <v>0.58000000000000107</v>
      </c>
      <c r="C167" s="117">
        <f t="shared" si="12"/>
        <v>0</v>
      </c>
      <c r="D167" s="117">
        <f t="shared" si="13"/>
        <v>0</v>
      </c>
      <c r="E167" s="117">
        <f t="shared" si="14"/>
        <v>1</v>
      </c>
      <c r="F167" s="118">
        <f t="shared" si="15"/>
        <v>0</v>
      </c>
    </row>
    <row r="168" spans="2:6" x14ac:dyDescent="0.2">
      <c r="B168" s="155">
        <f t="shared" si="16"/>
        <v>0.59000000000000108</v>
      </c>
      <c r="C168" s="117">
        <f t="shared" si="12"/>
        <v>0</v>
      </c>
      <c r="D168" s="117">
        <f t="shared" si="13"/>
        <v>0</v>
      </c>
      <c r="E168" s="117">
        <f t="shared" si="14"/>
        <v>1</v>
      </c>
      <c r="F168" s="118">
        <f t="shared" si="15"/>
        <v>0</v>
      </c>
    </row>
    <row r="169" spans="2:6" x14ac:dyDescent="0.2">
      <c r="B169" s="155">
        <f t="shared" si="16"/>
        <v>0.60000000000000109</v>
      </c>
      <c r="C169" s="117">
        <f t="shared" si="12"/>
        <v>0</v>
      </c>
      <c r="D169" s="117">
        <f t="shared" si="13"/>
        <v>0</v>
      </c>
      <c r="E169" s="117">
        <f t="shared" si="14"/>
        <v>1</v>
      </c>
      <c r="F169" s="118">
        <f t="shared" si="15"/>
        <v>0</v>
      </c>
    </row>
    <row r="170" spans="2:6" x14ac:dyDescent="0.2">
      <c r="B170" s="155">
        <f t="shared" ref="B170:B201" si="17">B169+$C$5</f>
        <v>0.6100000000000011</v>
      </c>
      <c r="C170" s="117">
        <f t="shared" si="12"/>
        <v>0</v>
      </c>
      <c r="D170" s="117">
        <f t="shared" si="13"/>
        <v>0</v>
      </c>
      <c r="E170" s="117">
        <f t="shared" si="14"/>
        <v>1</v>
      </c>
      <c r="F170" s="118">
        <f t="shared" si="15"/>
        <v>0</v>
      </c>
    </row>
    <row r="171" spans="2:6" x14ac:dyDescent="0.2">
      <c r="B171" s="155">
        <f t="shared" si="17"/>
        <v>0.62000000000000111</v>
      </c>
      <c r="C171" s="117">
        <f t="shared" si="12"/>
        <v>0</v>
      </c>
      <c r="D171" s="117">
        <f t="shared" si="13"/>
        <v>0</v>
      </c>
      <c r="E171" s="117">
        <f t="shared" si="14"/>
        <v>1</v>
      </c>
      <c r="F171" s="118">
        <f t="shared" si="15"/>
        <v>0</v>
      </c>
    </row>
    <row r="172" spans="2:6" x14ac:dyDescent="0.2">
      <c r="B172" s="155">
        <f t="shared" si="17"/>
        <v>0.63000000000000111</v>
      </c>
      <c r="C172" s="117">
        <f t="shared" si="12"/>
        <v>0</v>
      </c>
      <c r="D172" s="117">
        <f t="shared" si="13"/>
        <v>0</v>
      </c>
      <c r="E172" s="117">
        <f t="shared" si="14"/>
        <v>1</v>
      </c>
      <c r="F172" s="118">
        <f t="shared" si="15"/>
        <v>0</v>
      </c>
    </row>
    <row r="173" spans="2:6" x14ac:dyDescent="0.2">
      <c r="B173" s="155">
        <f t="shared" si="17"/>
        <v>0.64000000000000112</v>
      </c>
      <c r="C173" s="117">
        <f t="shared" si="12"/>
        <v>0</v>
      </c>
      <c r="D173" s="117">
        <f t="shared" si="13"/>
        <v>0</v>
      </c>
      <c r="E173" s="117">
        <f t="shared" si="14"/>
        <v>1</v>
      </c>
      <c r="F173" s="118">
        <f t="shared" si="15"/>
        <v>0</v>
      </c>
    </row>
    <row r="174" spans="2:6" x14ac:dyDescent="0.2">
      <c r="B174" s="155">
        <f t="shared" si="17"/>
        <v>0.65000000000000113</v>
      </c>
      <c r="C174" s="117">
        <f t="shared" si="12"/>
        <v>0</v>
      </c>
      <c r="D174" s="117">
        <f t="shared" si="13"/>
        <v>0</v>
      </c>
      <c r="E174" s="117">
        <f t="shared" si="14"/>
        <v>1</v>
      </c>
      <c r="F174" s="118">
        <f t="shared" si="15"/>
        <v>0</v>
      </c>
    </row>
    <row r="175" spans="2:6" x14ac:dyDescent="0.2">
      <c r="B175" s="155">
        <f t="shared" si="17"/>
        <v>0.66000000000000114</v>
      </c>
      <c r="C175" s="117">
        <f t="shared" si="12"/>
        <v>0</v>
      </c>
      <c r="D175" s="117">
        <f t="shared" si="13"/>
        <v>0</v>
      </c>
      <c r="E175" s="117">
        <f t="shared" si="14"/>
        <v>1</v>
      </c>
      <c r="F175" s="118">
        <f t="shared" si="15"/>
        <v>0</v>
      </c>
    </row>
    <row r="176" spans="2:6" x14ac:dyDescent="0.2">
      <c r="B176" s="155">
        <f t="shared" si="17"/>
        <v>0.67000000000000115</v>
      </c>
      <c r="C176" s="117">
        <f t="shared" si="12"/>
        <v>0</v>
      </c>
      <c r="D176" s="117">
        <f t="shared" si="13"/>
        <v>0</v>
      </c>
      <c r="E176" s="117">
        <f t="shared" si="14"/>
        <v>1</v>
      </c>
      <c r="F176" s="118">
        <f t="shared" si="15"/>
        <v>0</v>
      </c>
    </row>
    <row r="177" spans="2:6" x14ac:dyDescent="0.2">
      <c r="B177" s="155">
        <f t="shared" si="17"/>
        <v>0.68000000000000116</v>
      </c>
      <c r="C177" s="117">
        <f t="shared" si="12"/>
        <v>0</v>
      </c>
      <c r="D177" s="117">
        <f t="shared" si="13"/>
        <v>0</v>
      </c>
      <c r="E177" s="117">
        <f t="shared" si="14"/>
        <v>1</v>
      </c>
      <c r="F177" s="118">
        <f t="shared" si="15"/>
        <v>0</v>
      </c>
    </row>
    <row r="178" spans="2:6" x14ac:dyDescent="0.2">
      <c r="B178" s="155">
        <f t="shared" si="17"/>
        <v>0.69000000000000117</v>
      </c>
      <c r="C178" s="117">
        <f t="shared" si="12"/>
        <v>0</v>
      </c>
      <c r="D178" s="117">
        <f t="shared" si="13"/>
        <v>0</v>
      </c>
      <c r="E178" s="117">
        <f t="shared" si="14"/>
        <v>1</v>
      </c>
      <c r="F178" s="118">
        <f t="shared" si="15"/>
        <v>0</v>
      </c>
    </row>
    <row r="179" spans="2:6" x14ac:dyDescent="0.2">
      <c r="B179" s="155">
        <f t="shared" si="17"/>
        <v>0.70000000000000118</v>
      </c>
      <c r="C179" s="117">
        <f t="shared" si="12"/>
        <v>0</v>
      </c>
      <c r="D179" s="117">
        <f t="shared" si="13"/>
        <v>0</v>
      </c>
      <c r="E179" s="117">
        <f t="shared" si="14"/>
        <v>1</v>
      </c>
      <c r="F179" s="118">
        <f t="shared" si="15"/>
        <v>0</v>
      </c>
    </row>
    <row r="180" spans="2:6" x14ac:dyDescent="0.2">
      <c r="B180" s="155">
        <f t="shared" si="17"/>
        <v>0.71000000000000119</v>
      </c>
      <c r="C180" s="117">
        <f t="shared" si="12"/>
        <v>0</v>
      </c>
      <c r="D180" s="117">
        <f t="shared" si="13"/>
        <v>0</v>
      </c>
      <c r="E180" s="117">
        <f t="shared" si="14"/>
        <v>1</v>
      </c>
      <c r="F180" s="118">
        <f t="shared" si="15"/>
        <v>0</v>
      </c>
    </row>
    <row r="181" spans="2:6" x14ac:dyDescent="0.2">
      <c r="B181" s="155">
        <f t="shared" si="17"/>
        <v>0.72000000000000119</v>
      </c>
      <c r="C181" s="117">
        <f t="shared" si="12"/>
        <v>0</v>
      </c>
      <c r="D181" s="117">
        <f t="shared" si="13"/>
        <v>0</v>
      </c>
      <c r="E181" s="117">
        <f t="shared" si="14"/>
        <v>1</v>
      </c>
      <c r="F181" s="118">
        <f t="shared" si="15"/>
        <v>0</v>
      </c>
    </row>
    <row r="182" spans="2:6" x14ac:dyDescent="0.2">
      <c r="B182" s="155">
        <f t="shared" si="17"/>
        <v>0.7300000000000012</v>
      </c>
      <c r="C182" s="117">
        <f t="shared" si="12"/>
        <v>0</v>
      </c>
      <c r="D182" s="117">
        <f t="shared" si="13"/>
        <v>0</v>
      </c>
      <c r="E182" s="117">
        <f t="shared" si="14"/>
        <v>1</v>
      </c>
      <c r="F182" s="118">
        <f t="shared" si="15"/>
        <v>0</v>
      </c>
    </row>
    <row r="183" spans="2:6" x14ac:dyDescent="0.2">
      <c r="B183" s="155">
        <f t="shared" si="17"/>
        <v>0.74000000000000121</v>
      </c>
      <c r="C183" s="117">
        <f t="shared" si="12"/>
        <v>0</v>
      </c>
      <c r="D183" s="117">
        <f t="shared" si="13"/>
        <v>0</v>
      </c>
      <c r="E183" s="117">
        <f t="shared" si="14"/>
        <v>1</v>
      </c>
      <c r="F183" s="118">
        <f t="shared" si="15"/>
        <v>0</v>
      </c>
    </row>
    <row r="184" spans="2:6" x14ac:dyDescent="0.2">
      <c r="B184" s="155">
        <f t="shared" si="17"/>
        <v>0.75000000000000122</v>
      </c>
      <c r="C184" s="117">
        <f t="shared" si="12"/>
        <v>0</v>
      </c>
      <c r="D184" s="117">
        <f t="shared" si="13"/>
        <v>0</v>
      </c>
      <c r="E184" s="117">
        <f t="shared" si="14"/>
        <v>1</v>
      </c>
      <c r="F184" s="118">
        <f t="shared" si="15"/>
        <v>0</v>
      </c>
    </row>
    <row r="185" spans="2:6" x14ac:dyDescent="0.2">
      <c r="B185" s="155">
        <f t="shared" si="17"/>
        <v>0.76000000000000123</v>
      </c>
      <c r="C185" s="117">
        <f t="shared" si="12"/>
        <v>0</v>
      </c>
      <c r="D185" s="117">
        <f t="shared" si="13"/>
        <v>0</v>
      </c>
      <c r="E185" s="117">
        <f t="shared" si="14"/>
        <v>1</v>
      </c>
      <c r="F185" s="118">
        <f t="shared" si="15"/>
        <v>0</v>
      </c>
    </row>
    <row r="186" spans="2:6" x14ac:dyDescent="0.2">
      <c r="B186" s="155">
        <f t="shared" si="17"/>
        <v>0.77000000000000124</v>
      </c>
      <c r="C186" s="117">
        <f t="shared" si="12"/>
        <v>0</v>
      </c>
      <c r="D186" s="117">
        <f t="shared" si="13"/>
        <v>0</v>
      </c>
      <c r="E186" s="117">
        <f t="shared" si="14"/>
        <v>1</v>
      </c>
      <c r="F186" s="118">
        <f t="shared" si="15"/>
        <v>0</v>
      </c>
    </row>
    <row r="187" spans="2:6" x14ac:dyDescent="0.2">
      <c r="B187" s="155">
        <f t="shared" si="17"/>
        <v>0.78000000000000125</v>
      </c>
      <c r="C187" s="117">
        <f t="shared" si="12"/>
        <v>0</v>
      </c>
      <c r="D187" s="117">
        <f t="shared" si="13"/>
        <v>0</v>
      </c>
      <c r="E187" s="117">
        <f t="shared" si="14"/>
        <v>1</v>
      </c>
      <c r="F187" s="118">
        <f t="shared" si="15"/>
        <v>0</v>
      </c>
    </row>
    <row r="188" spans="2:6" x14ac:dyDescent="0.2">
      <c r="B188" s="155">
        <f t="shared" si="17"/>
        <v>0.79000000000000126</v>
      </c>
      <c r="C188" s="117">
        <f t="shared" si="12"/>
        <v>0</v>
      </c>
      <c r="D188" s="117">
        <f t="shared" si="13"/>
        <v>0</v>
      </c>
      <c r="E188" s="117">
        <f t="shared" si="14"/>
        <v>1</v>
      </c>
      <c r="F188" s="118">
        <f t="shared" si="15"/>
        <v>0</v>
      </c>
    </row>
    <row r="189" spans="2:6" x14ac:dyDescent="0.2">
      <c r="B189" s="155">
        <f t="shared" si="17"/>
        <v>0.80000000000000127</v>
      </c>
      <c r="C189" s="117">
        <f t="shared" si="12"/>
        <v>0</v>
      </c>
      <c r="D189" s="117">
        <f t="shared" si="13"/>
        <v>0</v>
      </c>
      <c r="E189" s="117">
        <f t="shared" si="14"/>
        <v>1</v>
      </c>
      <c r="F189" s="118">
        <f t="shared" si="15"/>
        <v>0</v>
      </c>
    </row>
    <row r="190" spans="2:6" x14ac:dyDescent="0.2">
      <c r="B190" s="155">
        <f t="shared" si="17"/>
        <v>0.81000000000000127</v>
      </c>
      <c r="C190" s="117">
        <f t="shared" si="12"/>
        <v>0</v>
      </c>
      <c r="D190" s="117">
        <f t="shared" si="13"/>
        <v>0</v>
      </c>
      <c r="E190" s="117">
        <f t="shared" si="14"/>
        <v>1</v>
      </c>
      <c r="F190" s="118">
        <f t="shared" si="15"/>
        <v>0</v>
      </c>
    </row>
    <row r="191" spans="2:6" x14ac:dyDescent="0.2">
      <c r="B191" s="155">
        <f t="shared" si="17"/>
        <v>0.82000000000000128</v>
      </c>
      <c r="C191" s="117">
        <f t="shared" si="12"/>
        <v>0</v>
      </c>
      <c r="D191" s="117">
        <f t="shared" si="13"/>
        <v>0</v>
      </c>
      <c r="E191" s="117">
        <f t="shared" si="14"/>
        <v>1</v>
      </c>
      <c r="F191" s="118">
        <f t="shared" si="15"/>
        <v>0</v>
      </c>
    </row>
    <row r="192" spans="2:6" x14ac:dyDescent="0.2">
      <c r="B192" s="155">
        <f t="shared" si="17"/>
        <v>0.83000000000000129</v>
      </c>
      <c r="C192" s="117">
        <f t="shared" si="12"/>
        <v>0</v>
      </c>
      <c r="D192" s="117">
        <f t="shared" si="13"/>
        <v>0</v>
      </c>
      <c r="E192" s="117">
        <f t="shared" si="14"/>
        <v>1</v>
      </c>
      <c r="F192" s="118">
        <f t="shared" si="15"/>
        <v>0</v>
      </c>
    </row>
    <row r="193" spans="2:6" x14ac:dyDescent="0.2">
      <c r="B193" s="155">
        <f t="shared" si="17"/>
        <v>0.8400000000000013</v>
      </c>
      <c r="C193" s="117">
        <f t="shared" si="12"/>
        <v>0</v>
      </c>
      <c r="D193" s="117">
        <f t="shared" si="13"/>
        <v>0</v>
      </c>
      <c r="E193" s="117">
        <f t="shared" si="14"/>
        <v>1</v>
      </c>
      <c r="F193" s="118">
        <f t="shared" si="15"/>
        <v>0</v>
      </c>
    </row>
    <row r="194" spans="2:6" x14ac:dyDescent="0.2">
      <c r="B194" s="155">
        <f t="shared" si="17"/>
        <v>0.85000000000000131</v>
      </c>
      <c r="C194" s="117">
        <f t="shared" si="12"/>
        <v>0</v>
      </c>
      <c r="D194" s="117">
        <f t="shared" si="13"/>
        <v>0</v>
      </c>
      <c r="E194" s="117">
        <f t="shared" si="14"/>
        <v>1</v>
      </c>
      <c r="F194" s="118">
        <f t="shared" si="15"/>
        <v>0</v>
      </c>
    </row>
    <row r="195" spans="2:6" x14ac:dyDescent="0.2">
      <c r="B195" s="155">
        <f t="shared" si="17"/>
        <v>0.86000000000000132</v>
      </c>
      <c r="C195" s="117">
        <f t="shared" si="12"/>
        <v>0</v>
      </c>
      <c r="D195" s="117">
        <f t="shared" si="13"/>
        <v>0</v>
      </c>
      <c r="E195" s="117">
        <f t="shared" si="14"/>
        <v>1</v>
      </c>
      <c r="F195" s="118">
        <f t="shared" si="15"/>
        <v>0</v>
      </c>
    </row>
    <row r="196" spans="2:6" x14ac:dyDescent="0.2">
      <c r="B196" s="155">
        <f t="shared" si="17"/>
        <v>0.87000000000000133</v>
      </c>
      <c r="C196" s="117">
        <f t="shared" si="12"/>
        <v>0</v>
      </c>
      <c r="D196" s="117">
        <f t="shared" si="13"/>
        <v>0</v>
      </c>
      <c r="E196" s="117">
        <f t="shared" si="14"/>
        <v>1</v>
      </c>
      <c r="F196" s="118">
        <f t="shared" si="15"/>
        <v>0</v>
      </c>
    </row>
    <row r="197" spans="2:6" x14ac:dyDescent="0.2">
      <c r="B197" s="155">
        <f t="shared" si="17"/>
        <v>0.88000000000000134</v>
      </c>
      <c r="C197" s="117">
        <f t="shared" si="12"/>
        <v>0</v>
      </c>
      <c r="D197" s="117">
        <f t="shared" si="13"/>
        <v>0</v>
      </c>
      <c r="E197" s="117">
        <f t="shared" si="14"/>
        <v>1</v>
      </c>
      <c r="F197" s="118">
        <f t="shared" si="15"/>
        <v>0</v>
      </c>
    </row>
    <row r="198" spans="2:6" x14ac:dyDescent="0.2">
      <c r="B198" s="155">
        <f t="shared" si="17"/>
        <v>0.89000000000000135</v>
      </c>
      <c r="C198" s="117">
        <f t="shared" si="12"/>
        <v>0</v>
      </c>
      <c r="D198" s="117">
        <f t="shared" si="13"/>
        <v>0</v>
      </c>
      <c r="E198" s="117">
        <f t="shared" si="14"/>
        <v>1</v>
      </c>
      <c r="F198" s="118">
        <f t="shared" si="15"/>
        <v>0</v>
      </c>
    </row>
    <row r="199" spans="2:6" x14ac:dyDescent="0.2">
      <c r="B199" s="155">
        <f t="shared" si="17"/>
        <v>0.90000000000000135</v>
      </c>
      <c r="C199" s="117">
        <f t="shared" si="12"/>
        <v>0</v>
      </c>
      <c r="D199" s="117">
        <f t="shared" si="13"/>
        <v>0</v>
      </c>
      <c r="E199" s="117">
        <f t="shared" si="14"/>
        <v>1</v>
      </c>
      <c r="F199" s="118">
        <f t="shared" si="15"/>
        <v>0</v>
      </c>
    </row>
    <row r="200" spans="2:6" x14ac:dyDescent="0.2">
      <c r="B200" s="155">
        <f t="shared" si="17"/>
        <v>0.91000000000000136</v>
      </c>
      <c r="C200" s="117">
        <f t="shared" si="12"/>
        <v>0</v>
      </c>
      <c r="D200" s="117">
        <f t="shared" si="13"/>
        <v>0</v>
      </c>
      <c r="E200" s="117">
        <f t="shared" si="14"/>
        <v>1</v>
      </c>
      <c r="F200" s="118">
        <f t="shared" si="15"/>
        <v>0</v>
      </c>
    </row>
    <row r="201" spans="2:6" x14ac:dyDescent="0.2">
      <c r="B201" s="155">
        <f t="shared" si="17"/>
        <v>0.92000000000000137</v>
      </c>
      <c r="C201" s="117">
        <f t="shared" ref="C201:C209" si="18">IFERROR(IF(SQRT(1-(B201*B201)/($F$6*$F$6))&lt;0.05,0,SQRT(1-(B201*B201)/($F$6*$F$6))),0)</f>
        <v>0</v>
      </c>
      <c r="D201" s="117">
        <f t="shared" ref="D201:D209" si="19">CHOOSE(MATCH($F$4,degrees),IF(B201&lt;0,IFERROR(1-C201,1),0),0,0,IF(B201&gt;0,IFERROR(1-C201,1),0))</f>
        <v>0</v>
      </c>
      <c r="E201" s="117">
        <f t="shared" ref="E201:E209" si="20">CHOOSE(MATCH($F$4,degrees),IF(B201&lt;0,2*C201,2),IF(B201&lt;0,0,1-C201),IF(B201&gt;0,0,1-C201),IF(B201&gt;0,2*C201,2))</f>
        <v>1</v>
      </c>
      <c r="F201" s="118">
        <f t="shared" ref="F201:F209" si="21">CHOOSE(MATCH($F$4,degrees),IF(B201&lt;0,C201+1,2),IF(B201&lt;0,2,2*C201),IF(B201&gt;0,2,2*C201),IF(B201&gt;0,C201+1,2))</f>
        <v>0</v>
      </c>
    </row>
    <row r="202" spans="2:6" x14ac:dyDescent="0.2">
      <c r="B202" s="155">
        <f t="shared" ref="B202:B209" si="22">B201+$C$5</f>
        <v>0.93000000000000138</v>
      </c>
      <c r="C202" s="117">
        <f t="shared" si="18"/>
        <v>0</v>
      </c>
      <c r="D202" s="117">
        <f t="shared" si="19"/>
        <v>0</v>
      </c>
      <c r="E202" s="117">
        <f t="shared" si="20"/>
        <v>1</v>
      </c>
      <c r="F202" s="118">
        <f t="shared" si="21"/>
        <v>0</v>
      </c>
    </row>
    <row r="203" spans="2:6" x14ac:dyDescent="0.2">
      <c r="B203" s="155">
        <f t="shared" si="22"/>
        <v>0.94000000000000139</v>
      </c>
      <c r="C203" s="117">
        <f t="shared" si="18"/>
        <v>0</v>
      </c>
      <c r="D203" s="117">
        <f t="shared" si="19"/>
        <v>0</v>
      </c>
      <c r="E203" s="117">
        <f t="shared" si="20"/>
        <v>1</v>
      </c>
      <c r="F203" s="118">
        <f t="shared" si="21"/>
        <v>0</v>
      </c>
    </row>
    <row r="204" spans="2:6" x14ac:dyDescent="0.2">
      <c r="B204" s="155">
        <f t="shared" si="22"/>
        <v>0.9500000000000014</v>
      </c>
      <c r="C204" s="117">
        <f t="shared" si="18"/>
        <v>0</v>
      </c>
      <c r="D204" s="117">
        <f t="shared" si="19"/>
        <v>0</v>
      </c>
      <c r="E204" s="117">
        <f t="shared" si="20"/>
        <v>1</v>
      </c>
      <c r="F204" s="118">
        <f t="shared" si="21"/>
        <v>0</v>
      </c>
    </row>
    <row r="205" spans="2:6" x14ac:dyDescent="0.2">
      <c r="B205" s="155">
        <f t="shared" si="22"/>
        <v>0.96000000000000141</v>
      </c>
      <c r="C205" s="117">
        <f t="shared" si="18"/>
        <v>0</v>
      </c>
      <c r="D205" s="117">
        <f t="shared" si="19"/>
        <v>0</v>
      </c>
      <c r="E205" s="117">
        <f t="shared" si="20"/>
        <v>1</v>
      </c>
      <c r="F205" s="118">
        <f t="shared" si="21"/>
        <v>0</v>
      </c>
    </row>
    <row r="206" spans="2:6" x14ac:dyDescent="0.2">
      <c r="B206" s="155">
        <f t="shared" si="22"/>
        <v>0.97000000000000142</v>
      </c>
      <c r="C206" s="117">
        <f t="shared" si="18"/>
        <v>0</v>
      </c>
      <c r="D206" s="117">
        <f t="shared" si="19"/>
        <v>0</v>
      </c>
      <c r="E206" s="117">
        <f t="shared" si="20"/>
        <v>1</v>
      </c>
      <c r="F206" s="118">
        <f t="shared" si="21"/>
        <v>0</v>
      </c>
    </row>
    <row r="207" spans="2:6" x14ac:dyDescent="0.2">
      <c r="B207" s="155">
        <f t="shared" si="22"/>
        <v>0.98000000000000143</v>
      </c>
      <c r="C207" s="117">
        <f t="shared" si="18"/>
        <v>0</v>
      </c>
      <c r="D207" s="117">
        <f t="shared" si="19"/>
        <v>0</v>
      </c>
      <c r="E207" s="117">
        <f t="shared" si="20"/>
        <v>1</v>
      </c>
      <c r="F207" s="118">
        <f t="shared" si="21"/>
        <v>0</v>
      </c>
    </row>
    <row r="208" spans="2:6" x14ac:dyDescent="0.2">
      <c r="B208" s="155">
        <f t="shared" si="22"/>
        <v>0.99000000000000143</v>
      </c>
      <c r="C208" s="117">
        <f t="shared" si="18"/>
        <v>0</v>
      </c>
      <c r="D208" s="117">
        <f t="shared" si="19"/>
        <v>0</v>
      </c>
      <c r="E208" s="117">
        <f t="shared" si="20"/>
        <v>1</v>
      </c>
      <c r="F208" s="118">
        <f t="shared" si="21"/>
        <v>0</v>
      </c>
    </row>
    <row r="209" spans="2:6" x14ac:dyDescent="0.2">
      <c r="B209" s="156">
        <f t="shared" si="22"/>
        <v>1.0000000000000013</v>
      </c>
      <c r="C209" s="114">
        <f t="shared" si="18"/>
        <v>0</v>
      </c>
      <c r="D209" s="114">
        <f t="shared" si="19"/>
        <v>0</v>
      </c>
      <c r="E209" s="114">
        <f t="shared" si="20"/>
        <v>1</v>
      </c>
      <c r="F209" s="119">
        <f t="shared" si="21"/>
        <v>0</v>
      </c>
    </row>
  </sheetData>
  <sheetProtection sheet="1" objects="1" scenarios="1"/>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2D13-45BC-0842-BFF8-B939C9CDCFA3}">
  <dimension ref="A1"/>
  <sheetViews>
    <sheetView showGridLines="0" topLeftCell="A17" workbookViewId="0">
      <selection activeCell="R49" sqref="R49"/>
    </sheetView>
  </sheetViews>
  <sheetFormatPr baseColWidth="10" defaultRowHeight="16"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Sun-Earth-Moon Model</vt:lpstr>
      <vt:lpstr>Calculations</vt:lpstr>
      <vt:lpstr>Background</vt:lpstr>
      <vt:lpstr>MoonPhaseTable</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Sun-Earth-Moon Model</dc:title>
  <dc:subject/>
  <dc:creator>Anton Viola</dc:creator>
  <cp:keywords/>
  <dc:description/>
  <cp:lastModifiedBy>Anton Viola</cp:lastModifiedBy>
  <dcterms:created xsi:type="dcterms:W3CDTF">2024-04-18T18:24:33Z</dcterms:created>
  <dcterms:modified xsi:type="dcterms:W3CDTF">2024-05-15T16:00:35Z</dcterms:modified>
  <cp:category/>
</cp:coreProperties>
</file>