
<file path=[Content_Types].xml><?xml version="1.0" encoding="utf-8"?>
<Types xmlns="http://schemas.openxmlformats.org/package/2006/content-types"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20018D52-124F-D24E-9C24-827C5A5DAAD8}" xr6:coauthVersionLast="47" xr6:coauthVersionMax="47" xr10:uidLastSave="{00000000-0000-0000-0000-000000000000}"/>
  <bookViews>
    <workbookView xWindow="12700" yWindow="4360" windowWidth="32240" windowHeight="20940" xr2:uid="{5604B167-511D-8C41-BB01-DEB117AC2E44}"/>
  </bookViews>
  <sheets>
    <sheet name="Introduction" sheetId="46" r:id="rId1"/>
    <sheet name="Solar System" sheetId="47" r:id="rId2"/>
    <sheet name="Planet Fact Sheet" sheetId="50" r:id="rId3"/>
    <sheet name="Calculations" sheetId="48" r:id="rId4"/>
    <sheet name="Conversion" sheetId="49" r:id="rId5"/>
  </sheets>
  <externalReferences>
    <externalReference r:id="rId6"/>
  </externalReferences>
  <definedNames>
    <definedName name="A_B1" localSheetId="3">#REF!</definedName>
    <definedName name="A_B1" localSheetId="4">#REF!</definedName>
    <definedName name="A_B1" localSheetId="0">#REF!</definedName>
    <definedName name="A_B1" localSheetId="1">#REF!</definedName>
    <definedName name="A_B1">#REF!</definedName>
    <definedName name="A_B2" localSheetId="3">#REF!</definedName>
    <definedName name="A_B2" localSheetId="4">#REF!</definedName>
    <definedName name="A_B2" localSheetId="0">#REF!</definedName>
    <definedName name="A_B2" localSheetId="1">#REF!</definedName>
    <definedName name="A_B2">#REF!</definedName>
    <definedName name="A_B3" localSheetId="3">#REF!</definedName>
    <definedName name="A_B3" localSheetId="4">#REF!</definedName>
    <definedName name="A_B3" localSheetId="0">#REF!</definedName>
    <definedName name="A_B3" localSheetId="1">#REF!</definedName>
    <definedName name="A_B3">#REF!</definedName>
    <definedName name="A_C1" localSheetId="3">#REF!</definedName>
    <definedName name="A_C1" localSheetId="4">#REF!</definedName>
    <definedName name="A_C1" localSheetId="0">#REF!</definedName>
    <definedName name="A_C1" localSheetId="1">#REF!</definedName>
    <definedName name="A_C1">#REF!</definedName>
    <definedName name="A_C2" localSheetId="3">#REF!</definedName>
    <definedName name="A_C2" localSheetId="4">#REF!</definedName>
    <definedName name="A_C2" localSheetId="0">#REF!</definedName>
    <definedName name="A_C2" localSheetId="1">#REF!</definedName>
    <definedName name="A_C2">#REF!</definedName>
    <definedName name="A_CF" localSheetId="3">#REF!</definedName>
    <definedName name="A_CF" localSheetId="4">#REF!</definedName>
    <definedName name="A_CF" localSheetId="0">#REF!</definedName>
    <definedName name="A_CF" localSheetId="1">#REF!</definedName>
    <definedName name="A_CF">#REF!</definedName>
    <definedName name="A_D1" localSheetId="3">#REF!</definedName>
    <definedName name="A_D1" localSheetId="4">#REF!</definedName>
    <definedName name="A_D1" localSheetId="0">#REF!</definedName>
    <definedName name="A_D1" localSheetId="1">#REF!</definedName>
    <definedName name="A_D1">#REF!</definedName>
    <definedName name="A_D2" localSheetId="3">#REF!</definedName>
    <definedName name="A_D2" localSheetId="4">#REF!</definedName>
    <definedName name="A_D2" localSheetId="0">#REF!</definedName>
    <definedName name="A_D2" localSheetId="1">#REF!</definedName>
    <definedName name="A_D2">#REF!</definedName>
    <definedName name="A_E1" localSheetId="3">#REF!</definedName>
    <definedName name="A_E1" localSheetId="4">#REF!</definedName>
    <definedName name="A_E1" localSheetId="0">#REF!</definedName>
    <definedName name="A_E1" localSheetId="1">#REF!</definedName>
    <definedName name="A_E1">#REF!</definedName>
    <definedName name="A_E2" localSheetId="3">#REF!</definedName>
    <definedName name="A_E2" localSheetId="4">#REF!</definedName>
    <definedName name="A_E2" localSheetId="0">#REF!</definedName>
    <definedName name="A_E2" localSheetId="1">#REF!</definedName>
    <definedName name="A_E2">#REF!</definedName>
    <definedName name="A_E3" localSheetId="3">#REF!</definedName>
    <definedName name="A_E3" localSheetId="4">#REF!</definedName>
    <definedName name="A_E3" localSheetId="0">#REF!</definedName>
    <definedName name="A_E3" localSheetId="1">#REF!</definedName>
    <definedName name="A_E3">#REF!</definedName>
    <definedName name="A_E4" localSheetId="3">#REF!</definedName>
    <definedName name="A_E4" localSheetId="4">#REF!</definedName>
    <definedName name="A_E4" localSheetId="0">#REF!</definedName>
    <definedName name="A_E4" localSheetId="1">#REF!</definedName>
    <definedName name="A_E4">#REF!</definedName>
    <definedName name="A_E5" localSheetId="3">#REF!</definedName>
    <definedName name="A_E5" localSheetId="4">#REF!</definedName>
    <definedName name="A_E5" localSheetId="0">#REF!</definedName>
    <definedName name="A_E5" localSheetId="1">#REF!</definedName>
    <definedName name="A_E5">#REF!</definedName>
    <definedName name="A_E6" localSheetId="3">#REF!</definedName>
    <definedName name="A_E6" localSheetId="4">#REF!</definedName>
    <definedName name="A_E6" localSheetId="0">#REF!</definedName>
    <definedName name="A_E6" localSheetId="1">#REF!</definedName>
    <definedName name="A_E6">#REF!</definedName>
    <definedName name="A_F1" localSheetId="3">#REF!</definedName>
    <definedName name="A_F1" localSheetId="4">#REF!</definedName>
    <definedName name="A_F1" localSheetId="0">#REF!</definedName>
    <definedName name="A_F1" localSheetId="1">#REF!</definedName>
    <definedName name="A_F1">#REF!</definedName>
    <definedName name="A_F2" localSheetId="3">#REF!</definedName>
    <definedName name="A_F2" localSheetId="4">#REF!</definedName>
    <definedName name="A_F2" localSheetId="0">#REF!</definedName>
    <definedName name="A_F2" localSheetId="1">#REF!</definedName>
    <definedName name="A_F2">#REF!</definedName>
    <definedName name="A_G1" localSheetId="3">#REF!</definedName>
    <definedName name="A_G1" localSheetId="4">#REF!</definedName>
    <definedName name="A_G1" localSheetId="0">#REF!</definedName>
    <definedName name="A_G1" localSheetId="1">#REF!</definedName>
    <definedName name="A_G1">#REF!</definedName>
    <definedName name="A_G2" localSheetId="3">#REF!</definedName>
    <definedName name="A_G2" localSheetId="4">#REF!</definedName>
    <definedName name="A_G2" localSheetId="0">#REF!</definedName>
    <definedName name="A_G2" localSheetId="1">#REF!</definedName>
    <definedName name="A_G2">#REF!</definedName>
    <definedName name="A_H1" localSheetId="3">#REF!</definedName>
    <definedName name="A_H1" localSheetId="4">#REF!</definedName>
    <definedName name="A_H1" localSheetId="0">#REF!</definedName>
    <definedName name="A_H1" localSheetId="1">#REF!</definedName>
    <definedName name="A_H1">#REF!</definedName>
    <definedName name="A_H2" localSheetId="3">#REF!</definedName>
    <definedName name="A_H2" localSheetId="4">#REF!</definedName>
    <definedName name="A_H2" localSheetId="0">#REF!</definedName>
    <definedName name="A_H2" localSheetId="1">#REF!</definedName>
    <definedName name="A_H2">#REF!</definedName>
    <definedName name="A_I1" localSheetId="3">#REF!</definedName>
    <definedName name="A_I1" localSheetId="4">#REF!</definedName>
    <definedName name="A_I1" localSheetId="0">#REF!</definedName>
    <definedName name="A_I1" localSheetId="1">#REF!</definedName>
    <definedName name="A_I1">#REF!</definedName>
    <definedName name="A_jup1" localSheetId="3">#REF!</definedName>
    <definedName name="A_jup1" localSheetId="4">#REF!</definedName>
    <definedName name="A_jup1" localSheetId="0">#REF!</definedName>
    <definedName name="A_jup1" localSheetId="1">#REF!</definedName>
    <definedName name="A_jup1">#REF!</definedName>
    <definedName name="A_jup2" localSheetId="3">#REF!</definedName>
    <definedName name="A_jup2" localSheetId="4">#REF!</definedName>
    <definedName name="A_jup2" localSheetId="0">#REF!</definedName>
    <definedName name="A_jup2" localSheetId="1">#REF!</definedName>
    <definedName name="A_jup2">#REF!</definedName>
    <definedName name="A_jup3" localSheetId="3">#REF!</definedName>
    <definedName name="A_jup3" localSheetId="4">#REF!</definedName>
    <definedName name="A_jup3" localSheetId="0">#REF!</definedName>
    <definedName name="A_jup3" localSheetId="1">#REF!</definedName>
    <definedName name="A_jup3">#REF!</definedName>
    <definedName name="A_jup4" localSheetId="3">#REF!</definedName>
    <definedName name="A_jup4" localSheetId="4">#REF!</definedName>
    <definedName name="A_jup4" localSheetId="0">#REF!</definedName>
    <definedName name="A_jup4" localSheetId="1">#REF!</definedName>
    <definedName name="A_jup4">#REF!</definedName>
    <definedName name="A_K1" localSheetId="3">#REF!</definedName>
    <definedName name="A_K1" localSheetId="4">#REF!</definedName>
    <definedName name="A_K1" localSheetId="0">#REF!</definedName>
    <definedName name="A_K1" localSheetId="1">#REF!</definedName>
    <definedName name="A_K1">#REF!</definedName>
    <definedName name="A_K2" localSheetId="3">#REF!</definedName>
    <definedName name="A_K2" localSheetId="4">#REF!</definedName>
    <definedName name="A_K2" localSheetId="0">#REF!</definedName>
    <definedName name="A_K2" localSheetId="1">#REF!</definedName>
    <definedName name="A_K2">#REF!</definedName>
    <definedName name="A_L1" localSheetId="3">#REF!</definedName>
    <definedName name="A_L1" localSheetId="4">#REF!</definedName>
    <definedName name="A_L1" localSheetId="0">#REF!</definedName>
    <definedName name="A_L1" localSheetId="1">#REF!</definedName>
    <definedName name="A_L1">#REF!</definedName>
    <definedName name="A_L2" localSheetId="3">#REF!</definedName>
    <definedName name="A_L2" localSheetId="4">#REF!</definedName>
    <definedName name="A_L2" localSheetId="0">#REF!</definedName>
    <definedName name="A_L2" localSheetId="1">#REF!</definedName>
    <definedName name="A_L2">#REF!</definedName>
    <definedName name="A_lun1" localSheetId="3">#REF!</definedName>
    <definedName name="A_lun1" localSheetId="4">#REF!</definedName>
    <definedName name="A_lun1" localSheetId="0">#REF!</definedName>
    <definedName name="A_lun1" localSheetId="1">#REF!</definedName>
    <definedName name="A_lun1">#REF!</definedName>
    <definedName name="A_lun2" localSheetId="3">#REF!</definedName>
    <definedName name="A_lun2" localSheetId="4">#REF!</definedName>
    <definedName name="A_lun2" localSheetId="0">#REF!</definedName>
    <definedName name="A_lun2" localSheetId="1">#REF!</definedName>
    <definedName name="A_lun2">#REF!</definedName>
    <definedName name="A_lun3" localSheetId="3">#REF!</definedName>
    <definedName name="A_lun3" localSheetId="4">#REF!</definedName>
    <definedName name="A_lun3" localSheetId="0">#REF!</definedName>
    <definedName name="A_lun3" localSheetId="1">#REF!</definedName>
    <definedName name="A_lun3">#REF!</definedName>
    <definedName name="A_lun4" localSheetId="3">#REF!</definedName>
    <definedName name="A_lun4" localSheetId="4">#REF!</definedName>
    <definedName name="A_lun4" localSheetId="0">#REF!</definedName>
    <definedName name="A_lun4" localSheetId="1">#REF!</definedName>
    <definedName name="A_lun4">#REF!</definedName>
    <definedName name="A_M1" localSheetId="3">#REF!</definedName>
    <definedName name="A_M1" localSheetId="4">#REF!</definedName>
    <definedName name="A_M1" localSheetId="0">#REF!</definedName>
    <definedName name="A_M1" localSheetId="1">#REF!</definedName>
    <definedName name="A_M1">#REF!</definedName>
    <definedName name="A_M2" localSheetId="3">#REF!</definedName>
    <definedName name="A_M2" localSheetId="4">#REF!</definedName>
    <definedName name="A_M2" localSheetId="0">#REF!</definedName>
    <definedName name="A_M2" localSheetId="1">#REF!</definedName>
    <definedName name="A_M2">#REF!</definedName>
    <definedName name="A_M3" localSheetId="3">#REF!</definedName>
    <definedName name="A_M3" localSheetId="4">#REF!</definedName>
    <definedName name="A_M3" localSheetId="0">#REF!</definedName>
    <definedName name="A_M3" localSheetId="1">#REF!</definedName>
    <definedName name="A_M3">#REF!</definedName>
    <definedName name="A_mars1" localSheetId="3">#REF!</definedName>
    <definedName name="A_mars1" localSheetId="4">#REF!</definedName>
    <definedName name="A_mars1" localSheetId="0">#REF!</definedName>
    <definedName name="A_mars1" localSheetId="1">#REF!</definedName>
    <definedName name="A_mars1">#REF!</definedName>
    <definedName name="A_mars2" localSheetId="3">#REF!</definedName>
    <definedName name="A_mars2" localSheetId="4">#REF!</definedName>
    <definedName name="A_mars2" localSheetId="0">#REF!</definedName>
    <definedName name="A_mars2" localSheetId="1">#REF!</definedName>
    <definedName name="A_mars2">#REF!</definedName>
    <definedName name="A_mars3" localSheetId="3">#REF!</definedName>
    <definedName name="A_mars3" localSheetId="4">#REF!</definedName>
    <definedName name="A_mars3" localSheetId="0">#REF!</definedName>
    <definedName name="A_mars3" localSheetId="1">#REF!</definedName>
    <definedName name="A_mars3">#REF!</definedName>
    <definedName name="A_mars4" localSheetId="3">#REF!</definedName>
    <definedName name="A_mars4" localSheetId="4">#REF!</definedName>
    <definedName name="A_mars4" localSheetId="0">#REF!</definedName>
    <definedName name="A_mars4" localSheetId="1">#REF!</definedName>
    <definedName name="A_mars4">#REF!</definedName>
    <definedName name="A_mer1" localSheetId="3">#REF!</definedName>
    <definedName name="A_mer1" localSheetId="4">#REF!</definedName>
    <definedName name="A_mer1" localSheetId="0">#REF!</definedName>
    <definedName name="A_mer1" localSheetId="1">#REF!</definedName>
    <definedName name="A_mer1">#REF!</definedName>
    <definedName name="A_mer2" localSheetId="3">#REF!</definedName>
    <definedName name="A_mer2" localSheetId="4">#REF!</definedName>
    <definedName name="A_mer2" localSheetId="0">#REF!</definedName>
    <definedName name="A_mer2" localSheetId="1">#REF!</definedName>
    <definedName name="A_mer2">#REF!</definedName>
    <definedName name="A_N1" localSheetId="3">#REF!</definedName>
    <definedName name="A_N1" localSheetId="4">#REF!</definedName>
    <definedName name="A_N1" localSheetId="0">#REF!</definedName>
    <definedName name="A_N1" localSheetId="1">#REF!</definedName>
    <definedName name="A_N1">#REF!</definedName>
    <definedName name="A_N2" localSheetId="3">#REF!</definedName>
    <definedName name="A_N2" localSheetId="4">#REF!</definedName>
    <definedName name="A_N2" localSheetId="0">#REF!</definedName>
    <definedName name="A_N2" localSheetId="1">#REF!</definedName>
    <definedName name="A_N2">#REF!</definedName>
    <definedName name="A_N3" localSheetId="3">#REF!</definedName>
    <definedName name="A_N3" localSheetId="4">#REF!</definedName>
    <definedName name="A_N3" localSheetId="0">#REF!</definedName>
    <definedName name="A_N3" localSheetId="1">#REF!</definedName>
    <definedName name="A_N3">#REF!</definedName>
    <definedName name="A_O1" localSheetId="3">#REF!</definedName>
    <definedName name="A_O1" localSheetId="4">#REF!</definedName>
    <definedName name="A_O1" localSheetId="0">#REF!</definedName>
    <definedName name="A_O1" localSheetId="1">#REF!</definedName>
    <definedName name="A_O1">#REF!</definedName>
    <definedName name="A_P1" localSheetId="3">#REF!</definedName>
    <definedName name="A_P1" localSheetId="4">#REF!</definedName>
    <definedName name="A_P1" localSheetId="0">#REF!</definedName>
    <definedName name="A_P1" localSheetId="1">#REF!</definedName>
    <definedName name="A_P1">#REF!</definedName>
    <definedName name="A_P2" localSheetId="3">#REF!</definedName>
    <definedName name="A_P2" localSheetId="4">#REF!</definedName>
    <definedName name="A_P2" localSheetId="0">#REF!</definedName>
    <definedName name="A_P2" localSheetId="1">#REF!</definedName>
    <definedName name="A_P2">#REF!</definedName>
    <definedName name="A_Q1" localSheetId="3">#REF!</definedName>
    <definedName name="A_Q1" localSheetId="4">#REF!</definedName>
    <definedName name="A_Q1" localSheetId="0">#REF!</definedName>
    <definedName name="A_Q1" localSheetId="1">#REF!</definedName>
    <definedName name="A_Q1">#REF!</definedName>
    <definedName name="A_sat1" localSheetId="3">#REF!</definedName>
    <definedName name="A_sat1" localSheetId="4">#REF!</definedName>
    <definedName name="A_sat1" localSheetId="0">#REF!</definedName>
    <definedName name="A_sat1" localSheetId="1">#REF!</definedName>
    <definedName name="A_sat1">#REF!</definedName>
    <definedName name="A_sat2" localSheetId="3">#REF!</definedName>
    <definedName name="A_sat2" localSheetId="4">#REF!</definedName>
    <definedName name="A_sat2" localSheetId="0">#REF!</definedName>
    <definedName name="A_sat2" localSheetId="1">#REF!</definedName>
    <definedName name="A_sat2">#REF!</definedName>
    <definedName name="A_sat3" localSheetId="3">#REF!</definedName>
    <definedName name="A_sat3" localSheetId="4">#REF!</definedName>
    <definedName name="A_sat3" localSheetId="0">#REF!</definedName>
    <definedName name="A_sat3" localSheetId="1">#REF!</definedName>
    <definedName name="A_sat3">#REF!</definedName>
    <definedName name="A_sat4" localSheetId="3">#REF!</definedName>
    <definedName name="A_sat4" localSheetId="4">#REF!</definedName>
    <definedName name="A_sat4" localSheetId="0">#REF!</definedName>
    <definedName name="A_sat4" localSheetId="1">#REF!</definedName>
    <definedName name="A_sat4">#REF!</definedName>
    <definedName name="A_sun1" localSheetId="3">#REF!</definedName>
    <definedName name="A_sun1" localSheetId="4">#REF!</definedName>
    <definedName name="A_sun1" localSheetId="0">#REF!</definedName>
    <definedName name="A_sun1" localSheetId="1">#REF!</definedName>
    <definedName name="A_sun1">#REF!</definedName>
    <definedName name="A_sun2" localSheetId="3">#REF!</definedName>
    <definedName name="A_sun2" localSheetId="4">#REF!</definedName>
    <definedName name="A_sun2" localSheetId="0">#REF!</definedName>
    <definedName name="A_sun2" localSheetId="1">#REF!</definedName>
    <definedName name="A_sun2">#REF!</definedName>
    <definedName name="A_sun3" localSheetId="3">#REF!</definedName>
    <definedName name="A_sun3" localSheetId="4">#REF!</definedName>
    <definedName name="A_sun3" localSheetId="0">#REF!</definedName>
    <definedName name="A_sun3" localSheetId="1">#REF!</definedName>
    <definedName name="A_sun3">#REF!</definedName>
    <definedName name="A_ven1" localSheetId="3">#REF!</definedName>
    <definedName name="A_ven1" localSheetId="4">#REF!</definedName>
    <definedName name="A_ven1" localSheetId="0">#REF!</definedName>
    <definedName name="A_ven1" localSheetId="1">#REF!</definedName>
    <definedName name="A_ven1">#REF!</definedName>
    <definedName name="A_X" localSheetId="3">#REF!</definedName>
    <definedName name="A_X" localSheetId="4">#REF!</definedName>
    <definedName name="A_X" localSheetId="0">#REF!</definedName>
    <definedName name="A_X" localSheetId="1">#REF!</definedName>
    <definedName name="A_X">#REF!</definedName>
    <definedName name="AU">Conversion!$C$93</definedName>
    <definedName name="date">#REF!</definedName>
    <definedName name="Day" localSheetId="3">#REF!</definedName>
    <definedName name="Day" localSheetId="4">#REF!</definedName>
    <definedName name="Day" localSheetId="0">#REF!</definedName>
    <definedName name="Day" localSheetId="1">#REF!</definedName>
    <definedName name="Day">#REF!</definedName>
    <definedName name="Days">#REF!</definedName>
    <definedName name="degrees">{0;90;180;270}</definedName>
    <definedName name="dgrs">{0;90;180;270}</definedName>
    <definedName name="DR">Conversion!$C$92</definedName>
    <definedName name="ER">Conversion!$C$94</definedName>
    <definedName name="KeyDates" localSheetId="3">#REF!</definedName>
    <definedName name="KeyDates" localSheetId="4">#REF!</definedName>
    <definedName name="KeyDates" localSheetId="0">#REF!</definedName>
    <definedName name="KeyDates" localSheetId="1">#REF!</definedName>
    <definedName name="KeyDates">#REF!</definedName>
    <definedName name="Month" localSheetId="3">#REF!</definedName>
    <definedName name="Month" localSheetId="4">#REF!</definedName>
    <definedName name="Month" localSheetId="0">#REF!</definedName>
    <definedName name="Month" localSheetId="1">#REF!</definedName>
    <definedName name="Month">#REF!</definedName>
    <definedName name="Months" localSheetId="3">#REF!</definedName>
    <definedName name="Months" localSheetId="4">#REF!</definedName>
    <definedName name="Months" localSheetId="0">#REF!</definedName>
    <definedName name="Months" localSheetId="1">#REF!</definedName>
    <definedName name="Months">#REF!</definedName>
    <definedName name="MonthSelected" localSheetId="3">#REF!</definedName>
    <definedName name="MonthSelected" localSheetId="4">#REF!</definedName>
    <definedName name="MonthSelected" localSheetId="0">#REF!</definedName>
    <definedName name="MonthSelected" localSheetId="1">#REF!</definedName>
    <definedName name="MonthSelected">#REF!</definedName>
    <definedName name="Monthselected10" localSheetId="3">#REF!</definedName>
    <definedName name="Monthselected10" localSheetId="4">#REF!</definedName>
    <definedName name="Monthselected10" localSheetId="0">#REF!</definedName>
    <definedName name="Monthselected10" localSheetId="1">#REF!</definedName>
    <definedName name="Monthselected10">#REF!</definedName>
    <definedName name="MonthSelected11" localSheetId="3">#REF!</definedName>
    <definedName name="MonthSelected11" localSheetId="4">#REF!</definedName>
    <definedName name="MonthSelected11" localSheetId="0">#REF!</definedName>
    <definedName name="MonthSelected11" localSheetId="1">#REF!</definedName>
    <definedName name="MonthSelected11">#REF!</definedName>
    <definedName name="MonthSelected12" localSheetId="3">#REF!</definedName>
    <definedName name="MonthSelected12" localSheetId="4">#REF!</definedName>
    <definedName name="MonthSelected12" localSheetId="0">#REF!</definedName>
    <definedName name="MonthSelected12" localSheetId="1">#REF!</definedName>
    <definedName name="MonthSelected12">#REF!</definedName>
    <definedName name="MonthSelected2" localSheetId="3">#REF!</definedName>
    <definedName name="MonthSelected2" localSheetId="4">#REF!</definedName>
    <definedName name="MonthSelected2" localSheetId="0">#REF!</definedName>
    <definedName name="MonthSelected2" localSheetId="1">#REF!</definedName>
    <definedName name="MonthSelected2">#REF!</definedName>
    <definedName name="MonthSelected3" localSheetId="3">#REF!</definedName>
    <definedName name="MonthSelected3" localSheetId="4">#REF!</definedName>
    <definedName name="MonthSelected3" localSheetId="0">#REF!</definedName>
    <definedName name="MonthSelected3" localSheetId="1">#REF!</definedName>
    <definedName name="MonthSelected3">#REF!</definedName>
    <definedName name="MonthSelected4" localSheetId="3">#REF!</definedName>
    <definedName name="MonthSelected4" localSheetId="4">#REF!</definedName>
    <definedName name="MonthSelected4" localSheetId="0">#REF!</definedName>
    <definedName name="MonthSelected4" localSheetId="1">#REF!</definedName>
    <definedName name="MonthSelected4">#REF!</definedName>
    <definedName name="MonthSelected5" localSheetId="3">#REF!</definedName>
    <definedName name="MonthSelected5" localSheetId="4">#REF!</definedName>
    <definedName name="MonthSelected5" localSheetId="0">#REF!</definedName>
    <definedName name="MonthSelected5" localSheetId="1">#REF!</definedName>
    <definedName name="MonthSelected5">#REF!</definedName>
    <definedName name="MonthSelected6" localSheetId="3">#REF!</definedName>
    <definedName name="MonthSelected6" localSheetId="4">#REF!</definedName>
    <definedName name="MonthSelected6" localSheetId="0">#REF!</definedName>
    <definedName name="MonthSelected6" localSheetId="1">#REF!</definedName>
    <definedName name="MonthSelected6">#REF!</definedName>
    <definedName name="MonthSelected7" localSheetId="3">#REF!</definedName>
    <definedName name="MonthSelected7" localSheetId="4">#REF!</definedName>
    <definedName name="MonthSelected7" localSheetId="0">#REF!</definedName>
    <definedName name="MonthSelected7" localSheetId="1">#REF!</definedName>
    <definedName name="MonthSelected7">#REF!</definedName>
    <definedName name="MonthSelected8" localSheetId="3">#REF!</definedName>
    <definedName name="MonthSelected8" localSheetId="4">#REF!</definedName>
    <definedName name="MonthSelected8" localSheetId="0">#REF!</definedName>
    <definedName name="MonthSelected8" localSheetId="1">#REF!</definedName>
    <definedName name="MonthSelected8">#REF!</definedName>
    <definedName name="MonthSelected9" localSheetId="3">#REF!</definedName>
    <definedName name="MonthSelected9" localSheetId="4">#REF!</definedName>
    <definedName name="MonthSelected9" localSheetId="0">#REF!</definedName>
    <definedName name="MonthSelected9" localSheetId="1">#REF!</definedName>
    <definedName name="MonthSelected9">#REF!</definedName>
    <definedName name="MoonPhaseTable">Conversion!$B$101:$C$109</definedName>
    <definedName name="RD">Conversion!$C$91</definedName>
    <definedName name="RSA">Conversion!$C$96</definedName>
    <definedName name="SD" localSheetId="3">Conversion!$C$95</definedName>
    <definedName name="SD" localSheetId="4">Conversion!$C$95</definedName>
    <definedName name="SD" localSheetId="0">Conversion!$C$95</definedName>
    <definedName name="SD" localSheetId="1">Conversion!$C$95</definedName>
    <definedName name="SD">[1]Definitions!$C$8</definedName>
    <definedName name="Year" localSheetId="3">#REF!</definedName>
    <definedName name="Year" localSheetId="4">#REF!</definedName>
    <definedName name="Year" localSheetId="0">#REF!</definedName>
    <definedName name="Year" localSheetId="1">#REF!</definedName>
    <definedName name="Year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99" i="48" l="1"/>
  <c r="B205" i="48"/>
  <c r="C4" i="49"/>
  <c r="C5" i="49" s="1"/>
  <c r="C6" i="49"/>
  <c r="C7" i="49"/>
  <c r="C10" i="49"/>
  <c r="C11" i="49"/>
  <c r="C12" i="49" s="1"/>
  <c r="C22" i="49"/>
  <c r="C24" i="49" s="1"/>
  <c r="C23" i="49"/>
  <c r="C28" i="49"/>
  <c r="C29" i="49" s="1"/>
  <c r="C39" i="49"/>
  <c r="C41" i="49"/>
  <c r="C50" i="49" s="1"/>
  <c r="C56" i="49" s="1"/>
  <c r="C42" i="49"/>
  <c r="C54" i="49" s="1"/>
  <c r="C43" i="49"/>
  <c r="C44" i="49"/>
  <c r="C45" i="49"/>
  <c r="C67" i="49"/>
  <c r="C68" i="49" s="1"/>
  <c r="D67" i="49"/>
  <c r="D68" i="49" s="1"/>
  <c r="D69" i="49" s="1"/>
  <c r="D70" i="49" s="1"/>
  <c r="D71" i="49" s="1"/>
  <c r="C69" i="49"/>
  <c r="C70" i="49"/>
  <c r="C83" i="49"/>
  <c r="C91" i="49"/>
  <c r="C92" i="49"/>
  <c r="C95" i="49"/>
  <c r="D93" i="48"/>
  <c r="C95" i="48"/>
  <c r="C96" i="48"/>
  <c r="C122" i="48"/>
  <c r="C123" i="48"/>
  <c r="C124" i="48"/>
  <c r="C125" i="48"/>
  <c r="E125" i="48"/>
  <c r="E9" i="47"/>
  <c r="G10" i="47" s="1"/>
  <c r="F39" i="49" s="1"/>
  <c r="F40" i="49" s="1"/>
  <c r="F47" i="49" s="1"/>
  <c r="F48" i="49" s="1"/>
  <c r="G12" i="47" l="1"/>
  <c r="J39" i="49" s="1"/>
  <c r="J63" i="49" s="1"/>
  <c r="C8" i="49"/>
  <c r="C14" i="49" s="1"/>
  <c r="G11" i="47"/>
  <c r="H39" i="49" s="1"/>
  <c r="H40" i="49" s="1"/>
  <c r="H47" i="49" s="1"/>
  <c r="H48" i="49" s="1"/>
  <c r="H49" i="49" s="1"/>
  <c r="H50" i="49" s="1"/>
  <c r="C49" i="49"/>
  <c r="C51" i="49" s="1"/>
  <c r="C52" i="49" s="1"/>
  <c r="C53" i="49" s="1"/>
  <c r="B206" i="48"/>
  <c r="C47" i="49"/>
  <c r="F49" i="49"/>
  <c r="F50" i="49" s="1"/>
  <c r="J46" i="49"/>
  <c r="J44" i="49"/>
  <c r="J45" i="49" s="1"/>
  <c r="D72" i="49"/>
  <c r="D73" i="49" s="1"/>
  <c r="D74" i="49" s="1"/>
  <c r="D75" i="49" s="1"/>
  <c r="D76" i="49" s="1"/>
  <c r="D77" i="49" s="1"/>
  <c r="C71" i="49"/>
  <c r="E77" i="49"/>
  <c r="C72" i="49" s="1"/>
  <c r="E73" i="49"/>
  <c r="E68" i="49"/>
  <c r="E74" i="49"/>
  <c r="E75" i="49"/>
  <c r="E76" i="49"/>
  <c r="E69" i="49"/>
  <c r="E70" i="49"/>
  <c r="E71" i="49"/>
  <c r="E72" i="49"/>
  <c r="C15" i="49"/>
  <c r="C16" i="49"/>
  <c r="C17" i="49" s="1"/>
  <c r="D18" i="49"/>
  <c r="F63" i="49"/>
  <c r="C55" i="49"/>
  <c r="J40" i="49"/>
  <c r="J47" i="49" s="1"/>
  <c r="J48" i="49" s="1"/>
  <c r="C25" i="49"/>
  <c r="C26" i="49" s="1"/>
  <c r="C31" i="49" s="1"/>
  <c r="G13" i="47"/>
  <c r="L39" i="49" s="1"/>
  <c r="L40" i="49" s="1"/>
  <c r="L47" i="49" s="1"/>
  <c r="L48" i="49" s="1"/>
  <c r="L49" i="49" s="1"/>
  <c r="L50" i="49" s="1"/>
  <c r="C146" i="48" l="1"/>
  <c r="L63" i="49"/>
  <c r="H63" i="49"/>
  <c r="B207" i="48"/>
  <c r="C57" i="49"/>
  <c r="C32" i="49"/>
  <c r="C33" i="49"/>
  <c r="D35" i="49"/>
  <c r="C171" i="48"/>
  <c r="F149" i="48"/>
  <c r="F156" i="48" s="1"/>
  <c r="H149" i="48"/>
  <c r="H156" i="48" s="1"/>
  <c r="H157" i="48" s="1"/>
  <c r="H159" i="48" s="1"/>
  <c r="I149" i="48"/>
  <c r="I156" i="48" s="1"/>
  <c r="J149" i="48"/>
  <c r="J156" i="48" s="1"/>
  <c r="K149" i="48"/>
  <c r="K156" i="48" s="1"/>
  <c r="E171" i="48"/>
  <c r="E178" i="48" s="1"/>
  <c r="L149" i="48"/>
  <c r="L156" i="48" s="1"/>
  <c r="L157" i="48" s="1"/>
  <c r="L159" i="48" s="1"/>
  <c r="L160" i="48" s="1"/>
  <c r="L161" i="48" s="1"/>
  <c r="I171" i="48"/>
  <c r="I178" i="48" s="1"/>
  <c r="I179" i="48" s="1"/>
  <c r="J171" i="48"/>
  <c r="J178" i="48" s="1"/>
  <c r="K171" i="48"/>
  <c r="K178" i="48" s="1"/>
  <c r="L171" i="48"/>
  <c r="L178" i="48" s="1"/>
  <c r="E149" i="48"/>
  <c r="E156" i="48" s="1"/>
  <c r="E157" i="48" s="1"/>
  <c r="E158" i="48" s="1"/>
  <c r="F171" i="48"/>
  <c r="F178" i="48" s="1"/>
  <c r="F179" i="48" s="1"/>
  <c r="F180" i="48" s="1"/>
  <c r="C149" i="48"/>
  <c r="C151" i="48" s="1"/>
  <c r="H171" i="48"/>
  <c r="H178" i="48" s="1"/>
  <c r="H179" i="48" s="1"/>
  <c r="H43" i="49"/>
  <c r="H42" i="49"/>
  <c r="H41" i="49" s="1"/>
  <c r="H46" i="49"/>
  <c r="H44" i="49"/>
  <c r="H45" i="49"/>
  <c r="F44" i="49"/>
  <c r="F45" i="49" s="1"/>
  <c r="F46" i="49"/>
  <c r="L43" i="49"/>
  <c r="L42" i="49"/>
  <c r="L41" i="49" s="1"/>
  <c r="C18" i="49"/>
  <c r="J49" i="49"/>
  <c r="J50" i="49" s="1"/>
  <c r="F43" i="49"/>
  <c r="F42" i="49"/>
  <c r="F41" i="49" s="1"/>
  <c r="C153" i="48" l="1"/>
  <c r="C152" i="48"/>
  <c r="C150" i="48"/>
  <c r="C154" i="48"/>
  <c r="L46" i="49"/>
  <c r="L44" i="49"/>
  <c r="L45" i="49" s="1"/>
  <c r="B208" i="48"/>
  <c r="I181" i="48"/>
  <c r="I182" i="48" s="1"/>
  <c r="I183" i="48" s="1"/>
  <c r="J43" i="49"/>
  <c r="J42" i="49"/>
  <c r="J41" i="49" s="1"/>
  <c r="L179" i="48"/>
  <c r="L180" i="48"/>
  <c r="K179" i="48"/>
  <c r="K180" i="48"/>
  <c r="C155" i="48"/>
  <c r="C156" i="48" s="1"/>
  <c r="C157" i="48" s="1"/>
  <c r="J179" i="48"/>
  <c r="J180" i="48" s="1"/>
  <c r="E179" i="48"/>
  <c r="E180" i="48"/>
  <c r="K157" i="48"/>
  <c r="K158" i="48" s="1"/>
  <c r="J157" i="48"/>
  <c r="I157" i="48"/>
  <c r="I158" i="48"/>
  <c r="F157" i="48"/>
  <c r="F159" i="48" s="1"/>
  <c r="F160" i="48" s="1"/>
  <c r="F161" i="48" s="1"/>
  <c r="C173" i="48"/>
  <c r="C174" i="48"/>
  <c r="C176" i="48"/>
  <c r="C175" i="48"/>
  <c r="C172" i="48"/>
  <c r="C177" i="48" s="1"/>
  <c r="C178" i="48" s="1"/>
  <c r="C179" i="48" s="1"/>
  <c r="I180" i="48"/>
  <c r="H160" i="48"/>
  <c r="H161" i="48" s="1"/>
  <c r="H162" i="48" s="1"/>
  <c r="H163" i="48" s="1"/>
  <c r="L158" i="48"/>
  <c r="H158" i="48"/>
  <c r="C34" i="49"/>
  <c r="C35" i="49" s="1"/>
  <c r="L162" i="48"/>
  <c r="L163" i="48" s="1"/>
  <c r="L164" i="48" s="1"/>
  <c r="L167" i="48" s="1"/>
  <c r="L168" i="48" s="1"/>
  <c r="F181" i="48"/>
  <c r="F182" i="48" s="1"/>
  <c r="F183" i="48" s="1"/>
  <c r="H181" i="48"/>
  <c r="H182" i="48" s="1"/>
  <c r="H183" i="48" s="1"/>
  <c r="H180" i="48"/>
  <c r="E159" i="48"/>
  <c r="E160" i="48" s="1"/>
  <c r="E161" i="48" s="1"/>
  <c r="D7" i="47"/>
  <c r="F158" i="48" l="1"/>
  <c r="B209" i="48"/>
  <c r="I184" i="48"/>
  <c r="I185" i="48" s="1"/>
  <c r="I186" i="48" s="1"/>
  <c r="J159" i="48"/>
  <c r="J160" i="48" s="1"/>
  <c r="J161" i="48" s="1"/>
  <c r="J162" i="48" s="1"/>
  <c r="J163" i="48" s="1"/>
  <c r="E181" i="48"/>
  <c r="E182" i="48" s="1"/>
  <c r="E183" i="48" s="1"/>
  <c r="L181" i="48"/>
  <c r="L182" i="48"/>
  <c r="L183" i="48" s="1"/>
  <c r="K181" i="48"/>
  <c r="K182" i="48" s="1"/>
  <c r="K183" i="48" s="1"/>
  <c r="H164" i="48"/>
  <c r="H167" i="48" s="1"/>
  <c r="H168" i="48" s="1"/>
  <c r="J181" i="48"/>
  <c r="J182" i="48"/>
  <c r="J183" i="48" s="1"/>
  <c r="I159" i="48"/>
  <c r="I160" i="48" s="1"/>
  <c r="I161" i="48" s="1"/>
  <c r="K159" i="48"/>
  <c r="K160" i="48" s="1"/>
  <c r="K161" i="48" s="1"/>
  <c r="K162" i="48" s="1"/>
  <c r="K163" i="48" s="1"/>
  <c r="K164" i="48" s="1"/>
  <c r="K167" i="48" s="1"/>
  <c r="K168" i="48" s="1"/>
  <c r="F162" i="48"/>
  <c r="F163" i="48" s="1"/>
  <c r="F164" i="48" s="1"/>
  <c r="F167" i="48" s="1"/>
  <c r="F168" i="48" s="1"/>
  <c r="J158" i="48"/>
  <c r="F184" i="48"/>
  <c r="F185" i="48" s="1"/>
  <c r="F186" i="48" s="1"/>
  <c r="E162" i="48"/>
  <c r="E163" i="48" s="1"/>
  <c r="E164" i="48" s="1"/>
  <c r="E167" i="48" s="1"/>
  <c r="E168" i="48" s="1"/>
  <c r="H184" i="48"/>
  <c r="H185" i="48" s="1"/>
  <c r="H186" i="48"/>
  <c r="H189" i="48" s="1"/>
  <c r="H190" i="48" s="1"/>
  <c r="L165" i="48"/>
  <c r="L166" i="48" s="1"/>
  <c r="L169" i="48" s="1"/>
  <c r="C159" i="48"/>
  <c r="C160" i="48" s="1"/>
  <c r="C161" i="48" s="1"/>
  <c r="C181" i="48"/>
  <c r="C182" i="48" s="1"/>
  <c r="C183" i="48" s="1"/>
  <c r="C158" i="48"/>
  <c r="C180" i="48"/>
  <c r="K165" i="48" l="1"/>
  <c r="K166" i="48" s="1"/>
  <c r="K169" i="48" s="1"/>
  <c r="F189" i="48"/>
  <c r="F190" i="48" s="1"/>
  <c r="F187" i="48"/>
  <c r="F188" i="48" s="1"/>
  <c r="F191" i="48" s="1"/>
  <c r="I189" i="48"/>
  <c r="I190" i="48" s="1"/>
  <c r="I187" i="48"/>
  <c r="I188" i="48" s="1"/>
  <c r="I191" i="48" s="1"/>
  <c r="J164" i="48"/>
  <c r="J167" i="48" s="1"/>
  <c r="J168" i="48" s="1"/>
  <c r="F165" i="48"/>
  <c r="F166" i="48" s="1"/>
  <c r="F169" i="48" s="1"/>
  <c r="B210" i="48"/>
  <c r="J184" i="48"/>
  <c r="J185" i="48" s="1"/>
  <c r="I162" i="48"/>
  <c r="I163" i="48" s="1"/>
  <c r="I164" i="48" s="1"/>
  <c r="I167" i="48" s="1"/>
  <c r="I168" i="48" s="1"/>
  <c r="H187" i="48"/>
  <c r="H188" i="48" s="1"/>
  <c r="H191" i="48" s="1"/>
  <c r="K184" i="48"/>
  <c r="K185" i="48" s="1"/>
  <c r="L184" i="48"/>
  <c r="L185" i="48" s="1"/>
  <c r="E184" i="48"/>
  <c r="E185" i="48" s="1"/>
  <c r="E186" i="48" s="1"/>
  <c r="H165" i="48"/>
  <c r="H166" i="48" s="1"/>
  <c r="H169" i="48" s="1"/>
  <c r="C162" i="48"/>
  <c r="C163" i="48" s="1"/>
  <c r="C164" i="48" s="1"/>
  <c r="C167" i="48" s="1"/>
  <c r="C168" i="48" s="1"/>
  <c r="C184" i="48"/>
  <c r="C185" i="48" s="1"/>
  <c r="C186" i="48" s="1"/>
  <c r="E165" i="48"/>
  <c r="E166" i="48" s="1"/>
  <c r="E169" i="48" s="1"/>
  <c r="C7" i="47"/>
  <c r="C92" i="48" s="1"/>
  <c r="C93" i="48" s="1"/>
  <c r="C94" i="48" s="1"/>
  <c r="C11" i="47"/>
  <c r="J165" i="48" l="1"/>
  <c r="J166" i="48" s="1"/>
  <c r="J169" i="48" s="1"/>
  <c r="L186" i="48"/>
  <c r="L189" i="48" s="1"/>
  <c r="L190" i="48" s="1"/>
  <c r="K186" i="48"/>
  <c r="K189" i="48" s="1"/>
  <c r="K190" i="48" s="1"/>
  <c r="B211" i="48"/>
  <c r="C165" i="48"/>
  <c r="C166" i="48" s="1"/>
  <c r="C169" i="48" s="1"/>
  <c r="E189" i="48"/>
  <c r="E190" i="48" s="1"/>
  <c r="E187" i="48"/>
  <c r="E188" i="48" s="1"/>
  <c r="E191" i="48" s="1"/>
  <c r="I165" i="48"/>
  <c r="I166" i="48" s="1"/>
  <c r="I169" i="48" s="1"/>
  <c r="D5" i="47"/>
  <c r="C5" i="47" s="1"/>
  <c r="C82" i="49"/>
  <c r="C84" i="49" s="1"/>
  <c r="J186" i="48"/>
  <c r="J189" i="48" s="1"/>
  <c r="J190" i="48" s="1"/>
  <c r="C189" i="48"/>
  <c r="C190" i="48" s="1"/>
  <c r="C187" i="48"/>
  <c r="C188" i="48" s="1"/>
  <c r="C191" i="48" s="1"/>
  <c r="K187" i="48" l="1"/>
  <c r="K188" i="48" s="1"/>
  <c r="K191" i="48" s="1"/>
  <c r="L187" i="48"/>
  <c r="L188" i="48" s="1"/>
  <c r="L191" i="48" s="1"/>
  <c r="B212" i="48"/>
  <c r="J187" i="48"/>
  <c r="J188" i="48" s="1"/>
  <c r="J191" i="48" s="1"/>
  <c r="C12" i="47"/>
  <c r="C6" i="48" s="1"/>
  <c r="C7" i="48" s="1"/>
  <c r="B213" i="48" l="1"/>
  <c r="K11" i="48"/>
  <c r="L11" i="48"/>
  <c r="F14" i="48"/>
  <c r="M17" i="48"/>
  <c r="C12" i="48"/>
  <c r="H14" i="48"/>
  <c r="M18" i="48"/>
  <c r="M36" i="48" s="1"/>
  <c r="M59" i="48" s="1"/>
  <c r="C14" i="48"/>
  <c r="C91" i="48"/>
  <c r="D7" i="48"/>
  <c r="I14" i="48"/>
  <c r="H11" i="48"/>
  <c r="J15" i="48"/>
  <c r="I11" i="48"/>
  <c r="E10" i="48"/>
  <c r="E12" i="48"/>
  <c r="J14" i="48"/>
  <c r="F12" i="48"/>
  <c r="K14" i="48"/>
  <c r="C42" i="48"/>
  <c r="L15" i="48"/>
  <c r="F10" i="48"/>
  <c r="E15" i="48"/>
  <c r="G10" i="48"/>
  <c r="G12" i="48"/>
  <c r="L14" i="48"/>
  <c r="H12" i="48"/>
  <c r="C15" i="48"/>
  <c r="E14" i="48"/>
  <c r="H10" i="48"/>
  <c r="I10" i="48"/>
  <c r="J12" i="48"/>
  <c r="K12" i="48"/>
  <c r="I12" i="48"/>
  <c r="J10" i="48"/>
  <c r="F15" i="48"/>
  <c r="F23" i="48" s="1"/>
  <c r="F24" i="48" s="1"/>
  <c r="F25" i="48" s="1"/>
  <c r="F26" i="48" s="1"/>
  <c r="F27" i="48" s="1"/>
  <c r="F28" i="48" s="1"/>
  <c r="F33" i="48" s="1"/>
  <c r="I15" i="48"/>
  <c r="K10" i="48"/>
  <c r="J11" i="48"/>
  <c r="L10" i="48"/>
  <c r="L12" i="48"/>
  <c r="L16" i="48" s="1"/>
  <c r="G15" i="48"/>
  <c r="L13" i="48"/>
  <c r="E11" i="48"/>
  <c r="K13" i="48"/>
  <c r="H15" i="48"/>
  <c r="H23" i="48" s="1"/>
  <c r="H24" i="48" s="1"/>
  <c r="H25" i="48" s="1"/>
  <c r="H26" i="48" s="1"/>
  <c r="H27" i="48" s="1"/>
  <c r="H28" i="48" s="1"/>
  <c r="F11" i="48"/>
  <c r="K15" i="48"/>
  <c r="J16" i="48" l="1"/>
  <c r="B214" i="48"/>
  <c r="H34" i="48"/>
  <c r="H33" i="48"/>
  <c r="D12" i="48"/>
  <c r="D42" i="48"/>
  <c r="D15" i="48"/>
  <c r="D14" i="48"/>
  <c r="C99" i="48"/>
  <c r="D99" i="48"/>
  <c r="C100" i="48"/>
  <c r="D100" i="48"/>
  <c r="C47" i="48"/>
  <c r="G47" i="48"/>
  <c r="C23" i="48"/>
  <c r="C24" i="48" s="1"/>
  <c r="C25" i="48" s="1"/>
  <c r="C26" i="48" s="1"/>
  <c r="C27" i="48" s="1"/>
  <c r="C28" i="48" s="1"/>
  <c r="C33" i="48" s="1"/>
  <c r="C16" i="48"/>
  <c r="G49" i="48" s="1"/>
  <c r="C49" i="48"/>
  <c r="J48" i="48"/>
  <c r="J23" i="48"/>
  <c r="J24" i="48" s="1"/>
  <c r="J25" i="48" s="1"/>
  <c r="J26" i="48" s="1"/>
  <c r="J27" i="48" s="1"/>
  <c r="J28" i="48" s="1"/>
  <c r="J33" i="48" s="1"/>
  <c r="G23" i="48"/>
  <c r="G24" i="48" s="1"/>
  <c r="G25" i="48" s="1"/>
  <c r="G26" i="48" s="1"/>
  <c r="G27" i="48" s="1"/>
  <c r="G28" i="48" s="1"/>
  <c r="G48" i="48"/>
  <c r="F34" i="48"/>
  <c r="F36" i="48" s="1"/>
  <c r="K23" i="48"/>
  <c r="K24" i="48" s="1"/>
  <c r="K25" i="48" s="1"/>
  <c r="K26" i="48" s="1"/>
  <c r="K27" i="48" s="1"/>
  <c r="K28" i="48" s="1"/>
  <c r="K34" i="48" s="1"/>
  <c r="K48" i="48"/>
  <c r="M65" i="48"/>
  <c r="M66" i="48"/>
  <c r="M75" i="48" s="1"/>
  <c r="M64" i="48"/>
  <c r="I23" i="48"/>
  <c r="I24" i="48" s="1"/>
  <c r="I25" i="48" s="1"/>
  <c r="I26" i="48" s="1"/>
  <c r="I27" i="48" s="1"/>
  <c r="I28" i="48" s="1"/>
  <c r="I48" i="48"/>
  <c r="I16" i="48"/>
  <c r="F16" i="48"/>
  <c r="H16" i="48"/>
  <c r="G16" i="48"/>
  <c r="G50" i="48"/>
  <c r="E16" i="48"/>
  <c r="E23" i="48"/>
  <c r="E24" i="48" s="1"/>
  <c r="E25" i="48" s="1"/>
  <c r="E26" i="48" s="1"/>
  <c r="E27" i="48" s="1"/>
  <c r="E28" i="48" s="1"/>
  <c r="E33" i="48" s="1"/>
  <c r="L23" i="48"/>
  <c r="L24" i="48" s="1"/>
  <c r="L25" i="48" s="1"/>
  <c r="L26" i="48" s="1"/>
  <c r="L27" i="48" s="1"/>
  <c r="L28" i="48" s="1"/>
  <c r="L34" i="48" s="1"/>
  <c r="K16" i="48"/>
  <c r="B215" i="48" l="1"/>
  <c r="F59" i="48"/>
  <c r="I34" i="48"/>
  <c r="I33" i="48"/>
  <c r="C101" i="48"/>
  <c r="C102" i="48" s="1"/>
  <c r="D101" i="48"/>
  <c r="D102" i="48" s="1"/>
  <c r="J34" i="48"/>
  <c r="J35" i="48" s="1"/>
  <c r="C34" i="48"/>
  <c r="C35" i="48" s="1"/>
  <c r="D16" i="48"/>
  <c r="D49" i="48"/>
  <c r="D47" i="48"/>
  <c r="D23" i="48"/>
  <c r="D24" i="48" s="1"/>
  <c r="D25" i="48" s="1"/>
  <c r="D26" i="48" s="1"/>
  <c r="D27" i="48" s="1"/>
  <c r="D28" i="48" s="1"/>
  <c r="D33" i="48" s="1"/>
  <c r="E34" i="48"/>
  <c r="E36" i="48" s="1"/>
  <c r="F35" i="48"/>
  <c r="F39" i="48" s="1"/>
  <c r="L33" i="48"/>
  <c r="K54" i="48"/>
  <c r="H35" i="48"/>
  <c r="H36" i="48"/>
  <c r="G33" i="48"/>
  <c r="G34" i="48"/>
  <c r="G51" i="48"/>
  <c r="G56" i="48" s="1"/>
  <c r="G52" i="48"/>
  <c r="G55" i="48" s="1"/>
  <c r="J54" i="48"/>
  <c r="J55" i="48"/>
  <c r="I54" i="48"/>
  <c r="K33" i="48"/>
  <c r="E35" i="48" l="1"/>
  <c r="B216" i="48"/>
  <c r="D34" i="48"/>
  <c r="D36" i="48" s="1"/>
  <c r="I35" i="48"/>
  <c r="I36" i="48"/>
  <c r="D35" i="48"/>
  <c r="D37" i="48" s="1"/>
  <c r="L36" i="48"/>
  <c r="L35" i="48"/>
  <c r="H37" i="48"/>
  <c r="H59" i="48"/>
  <c r="H39" i="48"/>
  <c r="H38" i="48"/>
  <c r="M119" i="48"/>
  <c r="L119" i="48"/>
  <c r="F119" i="48"/>
  <c r="F102" i="48"/>
  <c r="C119" i="48"/>
  <c r="C104" i="48"/>
  <c r="C105" i="48" s="1"/>
  <c r="C106" i="48" s="1"/>
  <c r="E102" i="48"/>
  <c r="E119" i="48"/>
  <c r="H119" i="48"/>
  <c r="J119" i="48"/>
  <c r="G119" i="48"/>
  <c r="M102" i="48"/>
  <c r="K119" i="48"/>
  <c r="C103" i="48"/>
  <c r="I119" i="48"/>
  <c r="E38" i="48"/>
  <c r="E37" i="48"/>
  <c r="E39" i="48"/>
  <c r="E59" i="48"/>
  <c r="J36" i="48"/>
  <c r="F37" i="48"/>
  <c r="C36" i="48"/>
  <c r="K36" i="48"/>
  <c r="K35" i="48"/>
  <c r="G54" i="48"/>
  <c r="F38" i="48"/>
  <c r="G35" i="48"/>
  <c r="G36" i="48"/>
  <c r="D103" i="48"/>
  <c r="D104" i="48"/>
  <c r="D105" i="48" s="1"/>
  <c r="G102" i="48"/>
  <c r="B217" i="48" l="1"/>
  <c r="I102" i="48"/>
  <c r="F104" i="48"/>
  <c r="F105" i="48" s="1"/>
  <c r="F103" i="48"/>
  <c r="G103" i="48"/>
  <c r="G104" i="48"/>
  <c r="G105" i="48" s="1"/>
  <c r="J102" i="48"/>
  <c r="J37" i="48"/>
  <c r="J59" i="48"/>
  <c r="J39" i="48"/>
  <c r="J38" i="48"/>
  <c r="H66" i="48"/>
  <c r="H75" i="48" s="1"/>
  <c r="H65" i="48"/>
  <c r="H74" i="48" s="1"/>
  <c r="H64" i="48"/>
  <c r="H73" i="48" s="1"/>
  <c r="H80" i="48" s="1"/>
  <c r="M103" i="48"/>
  <c r="M104" i="48"/>
  <c r="M105" i="48" s="1"/>
  <c r="D106" i="48"/>
  <c r="H40" i="48"/>
  <c r="H57" i="48" s="1"/>
  <c r="H41" i="48"/>
  <c r="H58" i="48" s="1"/>
  <c r="L37" i="48"/>
  <c r="L59" i="48"/>
  <c r="L39" i="48"/>
  <c r="L38" i="48"/>
  <c r="G39" i="48"/>
  <c r="G38" i="48"/>
  <c r="G59" i="48"/>
  <c r="G37" i="48"/>
  <c r="K38" i="48"/>
  <c r="K37" i="48"/>
  <c r="K59" i="48"/>
  <c r="K39" i="48"/>
  <c r="I59" i="48"/>
  <c r="I38" i="48"/>
  <c r="I37" i="48"/>
  <c r="I39" i="48"/>
  <c r="E40" i="48"/>
  <c r="E57" i="48" s="1"/>
  <c r="E41" i="48"/>
  <c r="E58" i="48" s="1"/>
  <c r="E66" i="48" s="1"/>
  <c r="E75" i="48" s="1"/>
  <c r="C37" i="48"/>
  <c r="C38" i="48"/>
  <c r="C72" i="48"/>
  <c r="C71" i="48"/>
  <c r="C39" i="48"/>
  <c r="F41" i="48"/>
  <c r="F58" i="48" s="1"/>
  <c r="F66" i="48" s="1"/>
  <c r="F75" i="48" s="1"/>
  <c r="F40" i="48"/>
  <c r="F57" i="48" s="1"/>
  <c r="E104" i="48"/>
  <c r="E105" i="48" s="1"/>
  <c r="H102" i="48"/>
  <c r="E103" i="48"/>
  <c r="D72" i="48"/>
  <c r="D71" i="48"/>
  <c r="D39" i="48"/>
  <c r="D38" i="48"/>
  <c r="E64" i="48" l="1"/>
  <c r="E73" i="48" s="1"/>
  <c r="E80" i="48" s="1"/>
  <c r="B218" i="48"/>
  <c r="K40" i="48"/>
  <c r="K57" i="48" s="1"/>
  <c r="K41" i="48"/>
  <c r="K58" i="48" s="1"/>
  <c r="K66" i="48" s="1"/>
  <c r="K75" i="48" s="1"/>
  <c r="H81" i="48"/>
  <c r="H82" i="48"/>
  <c r="K65" i="48"/>
  <c r="K74" i="48" s="1"/>
  <c r="G40" i="48"/>
  <c r="G57" i="48" s="1"/>
  <c r="G41" i="48"/>
  <c r="G58" i="48" s="1"/>
  <c r="G66" i="48" s="1"/>
  <c r="G75" i="48" s="1"/>
  <c r="J41" i="48"/>
  <c r="J58" i="48" s="1"/>
  <c r="J66" i="48" s="1"/>
  <c r="J75" i="48" s="1"/>
  <c r="J40" i="48"/>
  <c r="J57" i="48" s="1"/>
  <c r="J64" i="48" s="1"/>
  <c r="J73" i="48" s="1"/>
  <c r="J80" i="48" s="1"/>
  <c r="F65" i="48"/>
  <c r="F74" i="48" s="1"/>
  <c r="F64" i="48"/>
  <c r="F73" i="48" s="1"/>
  <c r="F80" i="48" s="1"/>
  <c r="J104" i="48"/>
  <c r="J105" i="48" s="1"/>
  <c r="J103" i="48"/>
  <c r="K102" i="48"/>
  <c r="H104" i="48"/>
  <c r="H105" i="48" s="1"/>
  <c r="H103" i="48"/>
  <c r="C75" i="48"/>
  <c r="C82" i="48"/>
  <c r="C74" i="48"/>
  <c r="C81" i="48"/>
  <c r="M74" i="48"/>
  <c r="L40" i="48"/>
  <c r="L57" i="48" s="1"/>
  <c r="L41" i="48"/>
  <c r="L58" i="48" s="1"/>
  <c r="L66" i="48" s="1"/>
  <c r="L75" i="48" s="1"/>
  <c r="G106" i="48"/>
  <c r="H83" i="48"/>
  <c r="H88" i="48"/>
  <c r="M106" i="48"/>
  <c r="E106" i="48"/>
  <c r="C73" i="48"/>
  <c r="C80" i="48"/>
  <c r="M73" i="48"/>
  <c r="M80" i="48" s="1"/>
  <c r="I40" i="48"/>
  <c r="I57" i="48" s="1"/>
  <c r="I41" i="48"/>
  <c r="I58" i="48" s="1"/>
  <c r="I66" i="48" s="1"/>
  <c r="I75" i="48" s="1"/>
  <c r="D73" i="48"/>
  <c r="D80" i="48"/>
  <c r="F106" i="48"/>
  <c r="E65" i="48"/>
  <c r="E74" i="48" s="1"/>
  <c r="D81" i="48"/>
  <c r="D82" i="48"/>
  <c r="D74" i="48"/>
  <c r="D75" i="48"/>
  <c r="I104" i="48"/>
  <c r="I105" i="48" s="1"/>
  <c r="I103" i="48"/>
  <c r="L102" i="48"/>
  <c r="I65" i="48" l="1"/>
  <c r="I74" i="48" s="1"/>
  <c r="B219" i="48"/>
  <c r="L65" i="48"/>
  <c r="L74" i="48" s="1"/>
  <c r="L81" i="48" s="1"/>
  <c r="I81" i="48"/>
  <c r="I82" i="48"/>
  <c r="L64" i="48"/>
  <c r="L73" i="48" s="1"/>
  <c r="L80" i="48" s="1"/>
  <c r="J106" i="48"/>
  <c r="H84" i="48"/>
  <c r="H85" i="48"/>
  <c r="H120" i="48" s="1"/>
  <c r="H128" i="48" s="1"/>
  <c r="H129" i="48" s="1"/>
  <c r="G64" i="48"/>
  <c r="G65" i="48"/>
  <c r="I106" i="48"/>
  <c r="I64" i="48"/>
  <c r="I73" i="48" s="1"/>
  <c r="I80" i="48" s="1"/>
  <c r="H86" i="48"/>
  <c r="E82" i="48"/>
  <c r="E81" i="48"/>
  <c r="D83" i="48"/>
  <c r="D86" i="48"/>
  <c r="D88" i="48"/>
  <c r="L104" i="48"/>
  <c r="L105" i="48" s="1"/>
  <c r="L103" i="48"/>
  <c r="M82" i="48"/>
  <c r="M81" i="48"/>
  <c r="M83" i="48" s="1"/>
  <c r="C88" i="48"/>
  <c r="C83" i="48"/>
  <c r="C86" i="48"/>
  <c r="H106" i="48"/>
  <c r="F82" i="48"/>
  <c r="F81" i="48"/>
  <c r="K82" i="48"/>
  <c r="K81" i="48"/>
  <c r="J65" i="48"/>
  <c r="J74" i="48" s="1"/>
  <c r="K103" i="48"/>
  <c r="K104" i="48"/>
  <c r="K105" i="48" s="1"/>
  <c r="K64" i="48"/>
  <c r="K73" i="48" s="1"/>
  <c r="K80" i="48" s="1"/>
  <c r="H107" i="48" l="1"/>
  <c r="L82" i="48"/>
  <c r="L86" i="48" s="1"/>
  <c r="F88" i="48"/>
  <c r="B220" i="48"/>
  <c r="M86" i="48"/>
  <c r="I88" i="48"/>
  <c r="M111" i="48"/>
  <c r="M87" i="48"/>
  <c r="M121" i="48" s="1"/>
  <c r="M133" i="48" s="1"/>
  <c r="M134" i="48" s="1"/>
  <c r="D85" i="48"/>
  <c r="D84" i="48"/>
  <c r="K88" i="48"/>
  <c r="K86" i="48"/>
  <c r="K83" i="48"/>
  <c r="M85" i="48"/>
  <c r="M84" i="48"/>
  <c r="L83" i="48"/>
  <c r="H111" i="48"/>
  <c r="H87" i="48"/>
  <c r="H121" i="48" s="1"/>
  <c r="H133" i="48" s="1"/>
  <c r="H134" i="48" s="1"/>
  <c r="H135" i="48" s="1"/>
  <c r="K106" i="48"/>
  <c r="M88" i="48"/>
  <c r="F83" i="48"/>
  <c r="C85" i="48"/>
  <c r="C107" i="48" s="1"/>
  <c r="C84" i="48"/>
  <c r="J81" i="48"/>
  <c r="J82" i="48"/>
  <c r="I83" i="48"/>
  <c r="I86" i="48"/>
  <c r="F86" i="48"/>
  <c r="C87" i="48"/>
  <c r="C111" i="48"/>
  <c r="H130" i="48"/>
  <c r="H131" i="48" s="1"/>
  <c r="H132" i="48" s="1"/>
  <c r="L106" i="48"/>
  <c r="D111" i="48"/>
  <c r="D87" i="48"/>
  <c r="C121" i="48" s="1"/>
  <c r="C133" i="48" s="1"/>
  <c r="C134" i="48" s="1"/>
  <c r="E88" i="48"/>
  <c r="E83" i="48"/>
  <c r="E86" i="48"/>
  <c r="H109" i="48"/>
  <c r="H110" i="48"/>
  <c r="H113" i="48" s="1"/>
  <c r="H108" i="48"/>
  <c r="G82" i="48"/>
  <c r="G74" i="48"/>
  <c r="G81" i="48"/>
  <c r="G80" i="48"/>
  <c r="G73" i="48"/>
  <c r="L88" i="48" l="1"/>
  <c r="B221" i="48"/>
  <c r="H136" i="48"/>
  <c r="H137" i="48"/>
  <c r="H138" i="48" s="1"/>
  <c r="L87" i="48"/>
  <c r="L121" i="48" s="1"/>
  <c r="L133" i="48" s="1"/>
  <c r="L134" i="48" s="1"/>
  <c r="L111" i="48"/>
  <c r="E111" i="48"/>
  <c r="E87" i="48"/>
  <c r="E121" i="48" s="1"/>
  <c r="E133" i="48" s="1"/>
  <c r="E134" i="48" s="1"/>
  <c r="M120" i="48"/>
  <c r="M128" i="48" s="1"/>
  <c r="M129" i="48" s="1"/>
  <c r="M107" i="48"/>
  <c r="I84" i="48"/>
  <c r="I85" i="48"/>
  <c r="K87" i="48"/>
  <c r="K121" i="48" s="1"/>
  <c r="K133" i="48" s="1"/>
  <c r="K134" i="48" s="1"/>
  <c r="K111" i="48"/>
  <c r="L85" i="48"/>
  <c r="L84" i="48"/>
  <c r="E85" i="48"/>
  <c r="E84" i="48"/>
  <c r="C120" i="48"/>
  <c r="C128" i="48" s="1"/>
  <c r="C129" i="48" s="1"/>
  <c r="D107" i="48"/>
  <c r="G83" i="48"/>
  <c r="G86" i="48"/>
  <c r="G88" i="48"/>
  <c r="H112" i="48"/>
  <c r="H115" i="48" s="1"/>
  <c r="H114" i="48"/>
  <c r="H116" i="48" s="1"/>
  <c r="J86" i="48"/>
  <c r="J88" i="48"/>
  <c r="J83" i="48"/>
  <c r="H139" i="48"/>
  <c r="F87" i="48"/>
  <c r="F121" i="48" s="1"/>
  <c r="F133" i="48" s="1"/>
  <c r="F134" i="48" s="1"/>
  <c r="F111" i="48"/>
  <c r="I111" i="48"/>
  <c r="I87" i="48"/>
  <c r="I121" i="48" s="1"/>
  <c r="I133" i="48" s="1"/>
  <c r="I134" i="48" s="1"/>
  <c r="K84" i="48"/>
  <c r="K85" i="48"/>
  <c r="C109" i="48"/>
  <c r="C110" i="48"/>
  <c r="C113" i="48" s="1"/>
  <c r="C108" i="48"/>
  <c r="F84" i="48"/>
  <c r="F85" i="48"/>
  <c r="B222" i="48" l="1"/>
  <c r="E120" i="48"/>
  <c r="E128" i="48" s="1"/>
  <c r="E129" i="48" s="1"/>
  <c r="E107" i="48"/>
  <c r="H140" i="48"/>
  <c r="H141" i="48" s="1"/>
  <c r="J85" i="48"/>
  <c r="J84" i="48"/>
  <c r="J111" i="48"/>
  <c r="J87" i="48"/>
  <c r="J121" i="48" s="1"/>
  <c r="J133" i="48" s="1"/>
  <c r="J134" i="48" s="1"/>
  <c r="F120" i="48"/>
  <c r="F128" i="48" s="1"/>
  <c r="F129" i="48" s="1"/>
  <c r="F107" i="48"/>
  <c r="L120" i="48"/>
  <c r="L128" i="48" s="1"/>
  <c r="L129" i="48" s="1"/>
  <c r="L107" i="48"/>
  <c r="I120" i="48"/>
  <c r="I128" i="48" s="1"/>
  <c r="I129" i="48" s="1"/>
  <c r="I107" i="48"/>
  <c r="M108" i="48"/>
  <c r="M109" i="48"/>
  <c r="M110" i="48"/>
  <c r="M113" i="48" s="1"/>
  <c r="M130" i="48"/>
  <c r="M135" i="48"/>
  <c r="M139" i="48"/>
  <c r="M131" i="48"/>
  <c r="M132" i="48" s="1"/>
  <c r="G87" i="48"/>
  <c r="G121" i="48" s="1"/>
  <c r="G133" i="48" s="1"/>
  <c r="G134" i="48" s="1"/>
  <c r="G111" i="48"/>
  <c r="G85" i="48"/>
  <c r="G84" i="48"/>
  <c r="C112" i="48"/>
  <c r="C115" i="48" s="1"/>
  <c r="C114" i="48"/>
  <c r="C116" i="48" s="1"/>
  <c r="D109" i="48"/>
  <c r="D110" i="48"/>
  <c r="D113" i="48" s="1"/>
  <c r="D108" i="48"/>
  <c r="K120" i="48"/>
  <c r="K128" i="48" s="1"/>
  <c r="K129" i="48" s="1"/>
  <c r="K107" i="48"/>
  <c r="C139" i="48"/>
  <c r="C135" i="48"/>
  <c r="C136" i="48" s="1"/>
  <c r="C137" i="48" s="1"/>
  <c r="C138" i="48" s="1"/>
  <c r="C130" i="48"/>
  <c r="C131" i="48" s="1"/>
  <c r="C132" i="48" s="1"/>
  <c r="B223" i="48" l="1"/>
  <c r="I135" i="48"/>
  <c r="I139" i="48"/>
  <c r="I130" i="48"/>
  <c r="I131" i="48" s="1"/>
  <c r="I132" i="48" s="1"/>
  <c r="K130" i="48"/>
  <c r="K135" i="48"/>
  <c r="K139" i="48"/>
  <c r="K131" i="48"/>
  <c r="K132" i="48" s="1"/>
  <c r="L130" i="48"/>
  <c r="L131" i="48" s="1"/>
  <c r="L132" i="48" s="1"/>
  <c r="L135" i="48"/>
  <c r="L139" i="48"/>
  <c r="D114" i="48"/>
  <c r="D116" i="48" s="1"/>
  <c r="D112" i="48"/>
  <c r="D115" i="48" s="1"/>
  <c r="L108" i="48"/>
  <c r="L109" i="48"/>
  <c r="L110" i="48"/>
  <c r="L113" i="48" s="1"/>
  <c r="F108" i="48"/>
  <c r="F110" i="48"/>
  <c r="F113" i="48" s="1"/>
  <c r="F109" i="48"/>
  <c r="G120" i="48"/>
  <c r="G128" i="48" s="1"/>
  <c r="G129" i="48" s="1"/>
  <c r="G107" i="48"/>
  <c r="H142" i="48"/>
  <c r="M140" i="48"/>
  <c r="M141" i="48" s="1"/>
  <c r="M142" i="48"/>
  <c r="M143" i="48" s="1"/>
  <c r="H143" i="48"/>
  <c r="M136" i="48"/>
  <c r="M137" i="48" s="1"/>
  <c r="M138" i="48" s="1"/>
  <c r="E109" i="48"/>
  <c r="E110" i="48"/>
  <c r="E113" i="48" s="1"/>
  <c r="E108" i="48"/>
  <c r="I109" i="48"/>
  <c r="I110" i="48"/>
  <c r="I113" i="48" s="1"/>
  <c r="I108" i="48"/>
  <c r="F135" i="48"/>
  <c r="F139" i="48"/>
  <c r="F130" i="48"/>
  <c r="F131" i="48" s="1"/>
  <c r="F132" i="48" s="1"/>
  <c r="J120" i="48"/>
  <c r="J128" i="48" s="1"/>
  <c r="J129" i="48" s="1"/>
  <c r="J107" i="48"/>
  <c r="C140" i="48"/>
  <c r="C142" i="48"/>
  <c r="C143" i="48" s="1"/>
  <c r="K109" i="48"/>
  <c r="K108" i="48"/>
  <c r="K110" i="48"/>
  <c r="K113" i="48" s="1"/>
  <c r="M112" i="48"/>
  <c r="M115" i="48" s="1"/>
  <c r="M114" i="48"/>
  <c r="M116" i="48" s="1"/>
  <c r="E139" i="48"/>
  <c r="E135" i="48"/>
  <c r="E136" i="48" s="1"/>
  <c r="E137" i="48" s="1"/>
  <c r="E138" i="48" s="1"/>
  <c r="E130" i="48"/>
  <c r="E131" i="48" s="1"/>
  <c r="E132" i="48" l="1"/>
  <c r="B224" i="48"/>
  <c r="L114" i="48"/>
  <c r="L116" i="48" s="1"/>
  <c r="L112" i="48"/>
  <c r="L115" i="48" s="1"/>
  <c r="L140" i="48"/>
  <c r="L141" i="48" s="1"/>
  <c r="L136" i="48"/>
  <c r="L137" i="48" s="1"/>
  <c r="L138" i="48" s="1"/>
  <c r="J110" i="48"/>
  <c r="J113" i="48" s="1"/>
  <c r="J109" i="48"/>
  <c r="J108" i="48"/>
  <c r="E140" i="48"/>
  <c r="E141" i="48" s="1"/>
  <c r="G110" i="48"/>
  <c r="G113" i="48" s="1"/>
  <c r="G109" i="48"/>
  <c r="G108" i="48"/>
  <c r="F140" i="48"/>
  <c r="F141" i="48" s="1"/>
  <c r="K112" i="48"/>
  <c r="K115" i="48" s="1"/>
  <c r="K114" i="48"/>
  <c r="K116" i="48" s="1"/>
  <c r="K136" i="48"/>
  <c r="K137" i="48"/>
  <c r="K138" i="48" s="1"/>
  <c r="F112" i="48"/>
  <c r="F115" i="48" s="1"/>
  <c r="F114" i="48"/>
  <c r="F116" i="48" s="1"/>
  <c r="I140" i="48"/>
  <c r="I141" i="48" s="1"/>
  <c r="I142" i="48"/>
  <c r="I143" i="48" s="1"/>
  <c r="E114" i="48"/>
  <c r="E116" i="48" s="1"/>
  <c r="E112" i="48"/>
  <c r="E115" i="48" s="1"/>
  <c r="J135" i="48"/>
  <c r="J139" i="48"/>
  <c r="J130" i="48"/>
  <c r="J131" i="48" s="1"/>
  <c r="J132" i="48" s="1"/>
  <c r="K140" i="48"/>
  <c r="K141" i="48" s="1"/>
  <c r="G130" i="48"/>
  <c r="G131" i="48" s="1"/>
  <c r="G132" i="48" s="1"/>
  <c r="G135" i="48"/>
  <c r="G139" i="48"/>
  <c r="F136" i="48"/>
  <c r="F137" i="48" s="1"/>
  <c r="I112" i="48"/>
  <c r="I115" i="48" s="1"/>
  <c r="I114" i="48"/>
  <c r="I116" i="48" s="1"/>
  <c r="I136" i="48"/>
  <c r="I137" i="48" s="1"/>
  <c r="I138" i="48" s="1"/>
  <c r="H13" i="47"/>
  <c r="H10" i="47"/>
  <c r="H11" i="47"/>
  <c r="C13" i="47"/>
  <c r="F138" i="48" l="1"/>
  <c r="E142" i="48"/>
  <c r="E143" i="48" s="1"/>
  <c r="L142" i="48"/>
  <c r="L143" i="48" s="1"/>
  <c r="B225" i="48"/>
  <c r="F142" i="48"/>
  <c r="F143" i="48" s="1"/>
  <c r="K142" i="48"/>
  <c r="K143" i="48" s="1"/>
  <c r="J136" i="48"/>
  <c r="J137" i="48" s="1"/>
  <c r="J138" i="48" s="1"/>
  <c r="J112" i="48"/>
  <c r="J115" i="48" s="1"/>
  <c r="J114" i="48"/>
  <c r="J116" i="48" s="1"/>
  <c r="J140" i="48"/>
  <c r="J141" i="48" s="1"/>
  <c r="G140" i="48"/>
  <c r="G141" i="48" s="1"/>
  <c r="G136" i="48"/>
  <c r="G137" i="48" s="1"/>
  <c r="G138" i="48" s="1"/>
  <c r="G112" i="48"/>
  <c r="G115" i="48" s="1"/>
  <c r="G114" i="48"/>
  <c r="G116" i="48" s="1"/>
  <c r="H12" i="47"/>
  <c r="I12" i="47"/>
  <c r="I10" i="47"/>
  <c r="I13" i="47"/>
  <c r="G142" i="48" l="1"/>
  <c r="G143" i="48" s="1"/>
  <c r="B226" i="48"/>
  <c r="J142" i="48"/>
  <c r="J143" i="48" s="1"/>
  <c r="I11" i="47"/>
  <c r="B227" i="48" l="1"/>
  <c r="I28" i="47"/>
  <c r="E27" i="47"/>
  <c r="E28" i="47"/>
  <c r="D28" i="47"/>
  <c r="K28" i="47"/>
  <c r="D27" i="47"/>
  <c r="K27" i="47"/>
  <c r="I27" i="47"/>
  <c r="G27" i="47"/>
  <c r="J27" i="47"/>
  <c r="H27" i="47"/>
  <c r="H28" i="47"/>
  <c r="J28" i="47"/>
  <c r="G28" i="47"/>
  <c r="B228" i="48" l="1"/>
  <c r="C27" i="47"/>
  <c r="C28" i="47"/>
  <c r="B229" i="48" l="1"/>
  <c r="C23" i="47"/>
  <c r="O35" i="47"/>
  <c r="B230" i="48" l="1"/>
  <c r="L24" i="47"/>
  <c r="K24" i="47"/>
  <c r="P38" i="47"/>
  <c r="G22" i="47"/>
  <c r="L22" i="47"/>
  <c r="P43" i="47"/>
  <c r="F25" i="47"/>
  <c r="K25" i="47"/>
  <c r="P35" i="47"/>
  <c r="C22" i="47"/>
  <c r="G23" i="47"/>
  <c r="O38" i="47"/>
  <c r="D23" i="47"/>
  <c r="O36" i="47"/>
  <c r="D22" i="47"/>
  <c r="P36" i="47"/>
  <c r="L23" i="47"/>
  <c r="O43" i="47"/>
  <c r="J22" i="47"/>
  <c r="P41" i="47"/>
  <c r="G24" i="47"/>
  <c r="O41" i="47"/>
  <c r="J23" i="47"/>
  <c r="H25" i="47"/>
  <c r="E22" i="47"/>
  <c r="P37" i="47"/>
  <c r="E23" i="47"/>
  <c r="O37" i="47"/>
  <c r="E25" i="47"/>
  <c r="G26" i="47"/>
  <c r="L26" i="47"/>
  <c r="K26" i="47"/>
  <c r="B231" i="48" l="1"/>
  <c r="F26" i="47"/>
  <c r="F24" i="47"/>
  <c r="P42" i="47"/>
  <c r="K22" i="47"/>
  <c r="I25" i="47"/>
  <c r="D24" i="47"/>
  <c r="L25" i="47"/>
  <c r="O42" i="47"/>
  <c r="K23" i="47"/>
  <c r="D26" i="47"/>
  <c r="P39" i="47"/>
  <c r="H22" i="47"/>
  <c r="H26" i="47"/>
  <c r="J25" i="47"/>
  <c r="D25" i="47"/>
  <c r="F22" i="47"/>
  <c r="P44" i="47"/>
  <c r="G25" i="47"/>
  <c r="O39" i="47"/>
  <c r="H23" i="47"/>
  <c r="F23" i="47"/>
  <c r="I4" i="47" s="1"/>
  <c r="C197" i="48" s="1"/>
  <c r="O44" i="47"/>
  <c r="I26" i="47"/>
  <c r="E26" i="47"/>
  <c r="F198" i="48" l="1"/>
  <c r="B232" i="48"/>
  <c r="C26" i="47"/>
  <c r="P40" i="47"/>
  <c r="I22" i="47"/>
  <c r="J24" i="47"/>
  <c r="E24" i="47"/>
  <c r="I7" i="47"/>
  <c r="I5" i="47"/>
  <c r="J26" i="47"/>
  <c r="O40" i="47"/>
  <c r="I23" i="47"/>
  <c r="C25" i="47"/>
  <c r="H24" i="47"/>
  <c r="F199" i="48" l="1"/>
  <c r="F200" i="48" s="1"/>
  <c r="C232" i="48"/>
  <c r="F232" i="48" s="1"/>
  <c r="B233" i="48"/>
  <c r="I24" i="47"/>
  <c r="C24" i="47"/>
  <c r="D232" i="48" l="1"/>
  <c r="E232" i="48"/>
  <c r="C204" i="48"/>
  <c r="C205" i="48"/>
  <c r="C206" i="48"/>
  <c r="C207" i="48"/>
  <c r="C208" i="48"/>
  <c r="C209" i="48"/>
  <c r="C210" i="48"/>
  <c r="C211" i="48"/>
  <c r="C212" i="48"/>
  <c r="C213" i="48"/>
  <c r="C214" i="48"/>
  <c r="C215" i="48"/>
  <c r="C216" i="48"/>
  <c r="C217" i="48"/>
  <c r="C218" i="48"/>
  <c r="C219" i="48"/>
  <c r="C220" i="48"/>
  <c r="C221" i="48"/>
  <c r="C222" i="48"/>
  <c r="C223" i="48"/>
  <c r="C224" i="48"/>
  <c r="C225" i="48"/>
  <c r="C226" i="48"/>
  <c r="C227" i="48"/>
  <c r="C228" i="48"/>
  <c r="C229" i="48"/>
  <c r="C230" i="48"/>
  <c r="C231" i="48"/>
  <c r="C233" i="48"/>
  <c r="B234" i="48"/>
  <c r="D230" i="48" l="1"/>
  <c r="F230" i="48"/>
  <c r="E230" i="48"/>
  <c r="D227" i="48"/>
  <c r="F227" i="48"/>
  <c r="E227" i="48"/>
  <c r="D224" i="48"/>
  <c r="F224" i="48"/>
  <c r="E224" i="48"/>
  <c r="D217" i="48"/>
  <c r="F217" i="48"/>
  <c r="E217" i="48"/>
  <c r="D215" i="48"/>
  <c r="F215" i="48"/>
  <c r="E215" i="48"/>
  <c r="F228" i="48"/>
  <c r="E228" i="48"/>
  <c r="D228" i="48"/>
  <c r="F226" i="48"/>
  <c r="E226" i="48"/>
  <c r="D226" i="48"/>
  <c r="D223" i="48"/>
  <c r="F223" i="48"/>
  <c r="E223" i="48"/>
  <c r="F205" i="48"/>
  <c r="E205" i="48"/>
  <c r="D205" i="48"/>
  <c r="D233" i="48"/>
  <c r="E233" i="48"/>
  <c r="F233" i="48"/>
  <c r="E213" i="48"/>
  <c r="F213" i="48"/>
  <c r="D213" i="48"/>
  <c r="E211" i="48"/>
  <c r="D211" i="48"/>
  <c r="F211" i="48"/>
  <c r="F209" i="48"/>
  <c r="D209" i="48"/>
  <c r="E209" i="48"/>
  <c r="F222" i="48"/>
  <c r="E222" i="48"/>
  <c r="D222" i="48"/>
  <c r="D204" i="48"/>
  <c r="F204" i="48"/>
  <c r="E204" i="48"/>
  <c r="D231" i="48"/>
  <c r="F231" i="48"/>
  <c r="E231" i="48"/>
  <c r="E229" i="48"/>
  <c r="D229" i="48"/>
  <c r="F229" i="48"/>
  <c r="D210" i="48"/>
  <c r="E210" i="48"/>
  <c r="F210" i="48"/>
  <c r="D208" i="48"/>
  <c r="E208" i="48"/>
  <c r="F208" i="48"/>
  <c r="D206" i="48"/>
  <c r="E206" i="48"/>
  <c r="F206" i="48"/>
  <c r="E219" i="48"/>
  <c r="F219" i="48"/>
  <c r="D219" i="48"/>
  <c r="E216" i="48"/>
  <c r="D216" i="48"/>
  <c r="F216" i="48"/>
  <c r="E214" i="48"/>
  <c r="D214" i="48"/>
  <c r="F214" i="48"/>
  <c r="F212" i="48"/>
  <c r="E212" i="48"/>
  <c r="D212" i="48"/>
  <c r="E225" i="48"/>
  <c r="D225" i="48"/>
  <c r="F225" i="48"/>
  <c r="F207" i="48"/>
  <c r="D207" i="48"/>
  <c r="E207" i="48"/>
  <c r="D221" i="48"/>
  <c r="F221" i="48"/>
  <c r="E221" i="48"/>
  <c r="D220" i="48"/>
  <c r="E220" i="48"/>
  <c r="F220" i="48"/>
  <c r="D218" i="48"/>
  <c r="F218" i="48"/>
  <c r="E218" i="48"/>
  <c r="C234" i="48"/>
  <c r="B235" i="48"/>
  <c r="D234" i="48" l="1"/>
  <c r="F234" i="48"/>
  <c r="E234" i="48"/>
  <c r="C235" i="48"/>
  <c r="B236" i="48"/>
  <c r="F235" i="48" l="1"/>
  <c r="E235" i="48"/>
  <c r="D235" i="48"/>
  <c r="C236" i="48"/>
  <c r="B237" i="48"/>
  <c r="E236" i="48" l="1"/>
  <c r="F236" i="48"/>
  <c r="D236" i="48"/>
  <c r="C237" i="48"/>
  <c r="B238" i="48"/>
  <c r="E237" i="48" l="1"/>
  <c r="F237" i="48"/>
  <c r="D237" i="48"/>
  <c r="B239" i="48"/>
  <c r="C238" i="48"/>
  <c r="D238" i="48" l="1"/>
  <c r="F238" i="48"/>
  <c r="E238" i="48"/>
  <c r="C239" i="48"/>
  <c r="B240" i="48"/>
  <c r="F239" i="48" l="1"/>
  <c r="E239" i="48"/>
  <c r="D239" i="48"/>
  <c r="C240" i="48"/>
  <c r="B241" i="48"/>
  <c r="D240" i="48" l="1"/>
  <c r="E240" i="48"/>
  <c r="F240" i="48"/>
  <c r="B242" i="48"/>
  <c r="C241" i="48"/>
  <c r="E241" i="48" l="1"/>
  <c r="F241" i="48"/>
  <c r="D241" i="48"/>
  <c r="C242" i="48"/>
  <c r="B243" i="48"/>
  <c r="F242" i="48" l="1"/>
  <c r="E242" i="48"/>
  <c r="D242" i="48"/>
  <c r="C243" i="48"/>
  <c r="B244" i="48"/>
  <c r="E243" i="48" l="1"/>
  <c r="D243" i="48"/>
  <c r="F243" i="48"/>
  <c r="B245" i="48"/>
  <c r="C244" i="48"/>
  <c r="F244" i="48" l="1"/>
  <c r="D244" i="48"/>
  <c r="E244" i="48"/>
  <c r="C245" i="48"/>
  <c r="B246" i="48"/>
  <c r="F245" i="48" l="1"/>
  <c r="D245" i="48"/>
  <c r="E245" i="48"/>
  <c r="C246" i="48"/>
  <c r="B247" i="48"/>
  <c r="D246" i="48" l="1"/>
  <c r="F246" i="48"/>
  <c r="E246" i="48"/>
  <c r="B248" i="48"/>
  <c r="C247" i="48"/>
  <c r="F247" i="48" l="1"/>
  <c r="D247" i="48"/>
  <c r="E247" i="48"/>
  <c r="C248" i="48"/>
  <c r="B249" i="48"/>
  <c r="E248" i="48" l="1"/>
  <c r="D248" i="48"/>
  <c r="F248" i="48"/>
  <c r="C249" i="48"/>
  <c r="B250" i="48"/>
  <c r="E249" i="48" l="1"/>
  <c r="D249" i="48"/>
  <c r="F249" i="48"/>
  <c r="C250" i="48"/>
  <c r="B251" i="48"/>
  <c r="D250" i="48" l="1"/>
  <c r="E250" i="48"/>
  <c r="F250" i="48"/>
  <c r="C251" i="48"/>
  <c r="B252" i="48"/>
  <c r="E251" i="48" l="1"/>
  <c r="D251" i="48"/>
  <c r="F251" i="48"/>
  <c r="C252" i="48"/>
  <c r="B253" i="48"/>
  <c r="F252" i="48" l="1"/>
  <c r="D252" i="48"/>
  <c r="E252" i="48"/>
  <c r="C253" i="48"/>
  <c r="B254" i="48"/>
  <c r="F253" i="48" l="1"/>
  <c r="E253" i="48"/>
  <c r="D253" i="48"/>
  <c r="B255" i="48"/>
  <c r="C254" i="48"/>
  <c r="D254" i="48" l="1"/>
  <c r="F254" i="48"/>
  <c r="E254" i="48"/>
  <c r="C255" i="48"/>
  <c r="B256" i="48"/>
  <c r="D255" i="48" l="1"/>
  <c r="E255" i="48"/>
  <c r="F255" i="48"/>
  <c r="C256" i="48"/>
  <c r="B257" i="48"/>
  <c r="D256" i="48" l="1"/>
  <c r="F256" i="48"/>
  <c r="E256" i="48"/>
  <c r="B258" i="48"/>
  <c r="C257" i="48"/>
  <c r="D257" i="48" l="1"/>
  <c r="E257" i="48"/>
  <c r="F257" i="48"/>
  <c r="C258" i="48"/>
  <c r="B259" i="48"/>
  <c r="F258" i="48" l="1"/>
  <c r="E258" i="48"/>
  <c r="D258" i="48"/>
  <c r="C259" i="48"/>
  <c r="B260" i="48"/>
  <c r="E259" i="48" l="1"/>
  <c r="F259" i="48"/>
  <c r="D259" i="48"/>
  <c r="B261" i="48"/>
  <c r="C260" i="48"/>
  <c r="D260" i="48" l="1"/>
  <c r="F260" i="48"/>
  <c r="E260" i="48"/>
  <c r="C261" i="48"/>
  <c r="B262" i="48"/>
  <c r="F261" i="48" l="1"/>
  <c r="E261" i="48"/>
  <c r="D261" i="48"/>
  <c r="C262" i="48"/>
  <c r="B263" i="48"/>
  <c r="E262" i="48" l="1"/>
  <c r="D262" i="48"/>
  <c r="F262" i="48"/>
  <c r="B264" i="48"/>
  <c r="C263" i="48"/>
  <c r="F263" i="48" l="1"/>
  <c r="E263" i="48"/>
  <c r="D263" i="48"/>
  <c r="C264" i="48"/>
  <c r="B265" i="48"/>
  <c r="F264" i="48" l="1"/>
  <c r="D264" i="48"/>
  <c r="E264" i="48"/>
  <c r="C265" i="48"/>
  <c r="B266" i="48"/>
  <c r="D265" i="48" l="1"/>
  <c r="F265" i="48"/>
  <c r="E265" i="48"/>
  <c r="C266" i="48"/>
  <c r="B267" i="48"/>
  <c r="D266" i="48" l="1"/>
  <c r="E266" i="48"/>
  <c r="F266" i="48"/>
  <c r="C267" i="48"/>
  <c r="B268" i="48"/>
  <c r="F267" i="48" l="1"/>
  <c r="E267" i="48"/>
  <c r="D267" i="48"/>
  <c r="C268" i="48"/>
  <c r="B269" i="48"/>
  <c r="F268" i="48" l="1"/>
  <c r="D268" i="48"/>
  <c r="E268" i="48"/>
  <c r="C269" i="48"/>
  <c r="B270" i="48"/>
  <c r="F269" i="48" l="1"/>
  <c r="E269" i="48"/>
  <c r="D269" i="48"/>
  <c r="B271" i="48"/>
  <c r="C270" i="48"/>
  <c r="E270" i="48" l="1"/>
  <c r="D270" i="48"/>
  <c r="F270" i="48"/>
  <c r="C271" i="48"/>
  <c r="B272" i="48"/>
  <c r="D271" i="48" l="1"/>
  <c r="F271" i="48"/>
  <c r="E271" i="48"/>
  <c r="C272" i="48"/>
  <c r="B273" i="48"/>
  <c r="D272" i="48" l="1"/>
  <c r="E272" i="48"/>
  <c r="F272" i="48"/>
  <c r="B274" i="48"/>
  <c r="C273" i="48"/>
  <c r="E273" i="48" l="1"/>
  <c r="D273" i="48"/>
  <c r="F273" i="48"/>
  <c r="B275" i="48"/>
  <c r="C274" i="48"/>
  <c r="F274" i="48" l="1"/>
  <c r="E274" i="48"/>
  <c r="D274" i="48"/>
  <c r="C275" i="48"/>
  <c r="B276" i="48"/>
  <c r="E275" i="48" l="1"/>
  <c r="D275" i="48"/>
  <c r="F275" i="48"/>
  <c r="B277" i="48"/>
  <c r="C276" i="48"/>
  <c r="F276" i="48" l="1"/>
  <c r="E276" i="48"/>
  <c r="D276" i="48"/>
  <c r="C277" i="48"/>
  <c r="B278" i="48"/>
  <c r="E277" i="48" l="1"/>
  <c r="D277" i="48"/>
  <c r="F277" i="48"/>
  <c r="C278" i="48"/>
  <c r="B279" i="48"/>
  <c r="D278" i="48" l="1"/>
  <c r="E278" i="48"/>
  <c r="F278" i="48"/>
  <c r="B280" i="48"/>
  <c r="C279" i="48"/>
  <c r="D279" i="48" l="1"/>
  <c r="E279" i="48"/>
  <c r="F279" i="48"/>
  <c r="C280" i="48"/>
  <c r="B281" i="48"/>
  <c r="D280" i="48" l="1"/>
  <c r="F280" i="48"/>
  <c r="E280" i="48"/>
  <c r="C281" i="48"/>
  <c r="B282" i="48"/>
  <c r="D281" i="48" l="1"/>
  <c r="F281" i="48"/>
  <c r="E281" i="48"/>
  <c r="C282" i="48"/>
  <c r="B283" i="48"/>
  <c r="F282" i="48" l="1"/>
  <c r="D282" i="48"/>
  <c r="E282" i="48"/>
  <c r="C283" i="48"/>
  <c r="B284" i="48"/>
  <c r="E283" i="48" l="1"/>
  <c r="D283" i="48"/>
  <c r="F283" i="48"/>
  <c r="C284" i="48"/>
  <c r="B285" i="48"/>
  <c r="F284" i="48" l="1"/>
  <c r="E284" i="48"/>
  <c r="D284" i="48"/>
  <c r="C285" i="48"/>
  <c r="B286" i="48"/>
  <c r="E285" i="48" l="1"/>
  <c r="D285" i="48"/>
  <c r="F285" i="48"/>
  <c r="B287" i="48"/>
  <c r="C286" i="48"/>
  <c r="F286" i="48" l="1"/>
  <c r="E286" i="48"/>
  <c r="D286" i="48"/>
  <c r="B288" i="48"/>
  <c r="C287" i="48"/>
  <c r="F287" i="48" l="1"/>
  <c r="E287" i="48"/>
  <c r="D287" i="48"/>
  <c r="C288" i="48"/>
  <c r="B289" i="48"/>
  <c r="D288" i="48" l="1"/>
  <c r="E288" i="48"/>
  <c r="F288" i="48"/>
  <c r="B290" i="48"/>
  <c r="C289" i="48"/>
  <c r="E289" i="48" l="1"/>
  <c r="F289" i="48"/>
  <c r="D289" i="48"/>
  <c r="B291" i="48"/>
  <c r="C290" i="48"/>
  <c r="E290" i="48" l="1"/>
  <c r="D290" i="48"/>
  <c r="F290" i="48"/>
  <c r="C291" i="48"/>
  <c r="B292" i="48"/>
  <c r="E291" i="48" l="1"/>
  <c r="D291" i="48"/>
  <c r="F291" i="48"/>
  <c r="B293" i="48"/>
  <c r="C292" i="48"/>
  <c r="F292" i="48" l="1"/>
  <c r="D292" i="48"/>
  <c r="E292" i="48"/>
  <c r="C293" i="48"/>
  <c r="B294" i="48"/>
  <c r="E293" i="48" l="1"/>
  <c r="D293" i="48"/>
  <c r="F293" i="48"/>
  <c r="C294" i="48"/>
  <c r="B295" i="48"/>
  <c r="E294" i="48" l="1"/>
  <c r="D294" i="48"/>
  <c r="F294" i="48"/>
  <c r="B296" i="48"/>
  <c r="C295" i="48"/>
  <c r="D295" i="48" l="1"/>
  <c r="E295" i="48"/>
  <c r="F295" i="48"/>
  <c r="C296" i="48"/>
  <c r="B297" i="48"/>
  <c r="F296" i="48" l="1"/>
  <c r="E296" i="48"/>
  <c r="D296" i="48"/>
  <c r="C297" i="48"/>
  <c r="B298" i="48"/>
  <c r="E297" i="48" l="1"/>
  <c r="F297" i="48"/>
  <c r="D297" i="48"/>
  <c r="C298" i="48"/>
  <c r="B299" i="48"/>
  <c r="D298" i="48" l="1"/>
  <c r="E298" i="48"/>
  <c r="F298" i="48"/>
  <c r="C299" i="48"/>
  <c r="B300" i="48"/>
  <c r="E299" i="48" l="1"/>
  <c r="F299" i="48"/>
  <c r="D299" i="48"/>
  <c r="C300" i="48"/>
  <c r="B301" i="48"/>
  <c r="E300" i="48" l="1"/>
  <c r="D300" i="48"/>
  <c r="F300" i="48"/>
  <c r="C301" i="48"/>
  <c r="B302" i="48"/>
  <c r="E301" i="48" l="1"/>
  <c r="D301" i="48"/>
  <c r="F301" i="48"/>
  <c r="B303" i="48"/>
  <c r="C302" i="48"/>
  <c r="D302" i="48" l="1"/>
  <c r="F302" i="48"/>
  <c r="E302" i="48"/>
  <c r="C303" i="48"/>
  <c r="B304" i="48"/>
  <c r="D303" i="48" l="1"/>
  <c r="E303" i="48"/>
  <c r="F303" i="48"/>
  <c r="C304" i="48"/>
  <c r="B305" i="48"/>
  <c r="E304" i="48" l="1"/>
  <c r="D304" i="48"/>
  <c r="F304" i="48"/>
  <c r="B306" i="48"/>
  <c r="C305" i="48"/>
  <c r="D305" i="48" l="1"/>
  <c r="F305" i="48"/>
  <c r="E305" i="48"/>
  <c r="C306" i="48"/>
  <c r="B307" i="48"/>
  <c r="E306" i="48" l="1"/>
  <c r="D306" i="48"/>
  <c r="F306" i="48"/>
  <c r="C307" i="48"/>
  <c r="B308" i="48"/>
  <c r="E307" i="48" l="1"/>
  <c r="F307" i="48"/>
  <c r="D307" i="48"/>
  <c r="B309" i="48"/>
  <c r="C308" i="48"/>
  <c r="D308" i="48" l="1"/>
  <c r="E308" i="48"/>
  <c r="F308" i="48"/>
  <c r="C309" i="48"/>
  <c r="B310" i="48"/>
  <c r="E309" i="48" l="1"/>
  <c r="D309" i="48"/>
  <c r="F309" i="48"/>
  <c r="C310" i="48"/>
  <c r="B311" i="48"/>
  <c r="D310" i="48" l="1"/>
  <c r="E310" i="48"/>
  <c r="F310" i="48"/>
  <c r="B312" i="48"/>
  <c r="C311" i="48"/>
  <c r="F311" i="48" l="1"/>
  <c r="D311" i="48"/>
  <c r="E311" i="48"/>
  <c r="C312" i="48"/>
  <c r="B313" i="48"/>
  <c r="D312" i="48" l="1"/>
  <c r="E312" i="48"/>
  <c r="F312" i="48"/>
  <c r="C313" i="48"/>
  <c r="B314" i="48"/>
  <c r="D313" i="48" l="1"/>
  <c r="E313" i="48"/>
  <c r="F313" i="48"/>
  <c r="C314" i="48"/>
  <c r="B315" i="48"/>
  <c r="F314" i="48" l="1"/>
  <c r="D314" i="48"/>
  <c r="E314" i="48"/>
  <c r="C315" i="48"/>
  <c r="B316" i="48"/>
  <c r="D315" i="48" l="1"/>
  <c r="E315" i="48"/>
  <c r="F315" i="48"/>
  <c r="C316" i="48"/>
  <c r="B317" i="48"/>
  <c r="E316" i="48" l="1"/>
  <c r="F316" i="48"/>
  <c r="D316" i="48"/>
  <c r="C317" i="48"/>
  <c r="B318" i="48"/>
  <c r="E317" i="48" l="1"/>
  <c r="D317" i="48"/>
  <c r="F317" i="48"/>
  <c r="B319" i="48"/>
  <c r="C318" i="48"/>
  <c r="E318" i="48" l="1"/>
  <c r="F318" i="48"/>
  <c r="D318" i="48"/>
  <c r="B320" i="48"/>
  <c r="C319" i="48"/>
  <c r="E319" i="48" l="1"/>
  <c r="D319" i="48"/>
  <c r="F319" i="48"/>
  <c r="C320" i="48"/>
  <c r="B321" i="48"/>
  <c r="E320" i="48" l="1"/>
  <c r="D320" i="48"/>
  <c r="F320" i="48"/>
  <c r="B322" i="48"/>
  <c r="C321" i="48"/>
  <c r="F321" i="48" l="1"/>
  <c r="D321" i="48"/>
  <c r="E321" i="48"/>
  <c r="C322" i="48"/>
  <c r="B323" i="48"/>
  <c r="E322" i="48" l="1"/>
  <c r="F322" i="48"/>
  <c r="D322" i="48"/>
  <c r="C323" i="48"/>
  <c r="B324" i="48"/>
  <c r="D323" i="48" l="1"/>
  <c r="E323" i="48"/>
  <c r="F323" i="48"/>
  <c r="B325" i="48"/>
  <c r="C324" i="48"/>
  <c r="D324" i="48" l="1"/>
  <c r="E324" i="48"/>
  <c r="F324" i="48"/>
  <c r="C325" i="48"/>
  <c r="B326" i="48"/>
  <c r="D325" i="48" l="1"/>
  <c r="E325" i="48"/>
  <c r="F325" i="48"/>
  <c r="C326" i="48"/>
  <c r="B327" i="48"/>
  <c r="D326" i="48" l="1"/>
  <c r="F326" i="48"/>
  <c r="E326" i="48"/>
  <c r="B328" i="48"/>
  <c r="C327" i="48"/>
  <c r="F327" i="48" l="1"/>
  <c r="D327" i="48"/>
  <c r="E327" i="48"/>
  <c r="C328" i="48"/>
  <c r="B329" i="48"/>
  <c r="D328" i="48" l="1"/>
  <c r="F328" i="48"/>
  <c r="E328" i="48"/>
  <c r="C329" i="48"/>
  <c r="B330" i="48"/>
  <c r="F329" i="48" l="1"/>
  <c r="D329" i="48"/>
  <c r="E329" i="48"/>
  <c r="C330" i="48"/>
  <c r="B331" i="48"/>
  <c r="F330" i="48" l="1"/>
  <c r="D330" i="48"/>
  <c r="E330" i="48"/>
  <c r="C331" i="48"/>
  <c r="B332" i="48"/>
  <c r="D331" i="48" l="1"/>
  <c r="E331" i="48"/>
  <c r="F331" i="48"/>
  <c r="C332" i="48"/>
  <c r="B333" i="48"/>
  <c r="E332" i="48" l="1"/>
  <c r="D332" i="48"/>
  <c r="F332" i="48"/>
  <c r="C333" i="48"/>
  <c r="B334" i="48"/>
  <c r="D333" i="48" l="1"/>
  <c r="F333" i="48"/>
  <c r="E333" i="48"/>
  <c r="B335" i="48"/>
  <c r="C334" i="48"/>
  <c r="D334" i="48" l="1"/>
  <c r="E334" i="48"/>
  <c r="F334" i="48"/>
  <c r="C335" i="48"/>
  <c r="B336" i="48"/>
  <c r="D335" i="48" l="1"/>
  <c r="E335" i="48"/>
  <c r="F335" i="48"/>
  <c r="C336" i="48"/>
  <c r="B337" i="48"/>
  <c r="E336" i="48" l="1"/>
  <c r="D336" i="48"/>
  <c r="F336" i="48"/>
  <c r="B338" i="48"/>
  <c r="C337" i="48"/>
  <c r="D337" i="48" l="1"/>
  <c r="F337" i="48"/>
  <c r="E337" i="48"/>
  <c r="C338" i="48"/>
  <c r="B339" i="48"/>
  <c r="E338" i="48" l="1"/>
  <c r="F338" i="48"/>
  <c r="D338" i="48"/>
  <c r="C339" i="48"/>
  <c r="B340" i="48"/>
  <c r="E339" i="48" l="1"/>
  <c r="D339" i="48"/>
  <c r="F339" i="48"/>
  <c r="B341" i="48"/>
  <c r="C340" i="48"/>
  <c r="D340" i="48" l="1"/>
  <c r="E340" i="48"/>
  <c r="F340" i="48"/>
  <c r="C341" i="48"/>
  <c r="B342" i="48"/>
  <c r="D341" i="48" l="1"/>
  <c r="F341" i="48"/>
  <c r="E341" i="48"/>
  <c r="C342" i="48"/>
  <c r="B343" i="48"/>
  <c r="D342" i="48" l="1"/>
  <c r="F342" i="48"/>
  <c r="E342" i="48"/>
  <c r="B344" i="48"/>
  <c r="C343" i="48"/>
  <c r="F343" i="48" l="1"/>
  <c r="D343" i="48"/>
  <c r="E343" i="48"/>
  <c r="C344" i="48"/>
  <c r="B345" i="48"/>
  <c r="D344" i="48" l="1"/>
  <c r="F344" i="48"/>
  <c r="E344" i="48"/>
  <c r="C345" i="48"/>
  <c r="B346" i="48"/>
  <c r="E345" i="48" l="1"/>
  <c r="D345" i="48"/>
  <c r="F345" i="48"/>
  <c r="C346" i="48"/>
  <c r="B347" i="48"/>
  <c r="F346" i="48" l="1"/>
  <c r="D346" i="48"/>
  <c r="E346" i="48"/>
  <c r="C347" i="48"/>
  <c r="B348" i="48"/>
  <c r="D347" i="48" l="1"/>
  <c r="E347" i="48"/>
  <c r="F347" i="48"/>
  <c r="C348" i="48"/>
  <c r="B349" i="48"/>
  <c r="D348" i="48" l="1"/>
  <c r="E348" i="48"/>
  <c r="F348" i="48"/>
  <c r="C349" i="48"/>
  <c r="B350" i="48"/>
  <c r="D349" i="48" l="1"/>
  <c r="E349" i="48"/>
  <c r="F349" i="48"/>
  <c r="B351" i="48"/>
  <c r="C350" i="48"/>
  <c r="D350" i="48" l="1"/>
  <c r="E350" i="48"/>
  <c r="F350" i="48"/>
  <c r="C351" i="48"/>
  <c r="B352" i="48"/>
  <c r="F351" i="48" l="1"/>
  <c r="D351" i="48"/>
  <c r="E351" i="48"/>
  <c r="C352" i="48"/>
  <c r="B353" i="48"/>
  <c r="F352" i="48" l="1"/>
  <c r="E352" i="48"/>
  <c r="D352" i="48"/>
  <c r="B354" i="48"/>
  <c r="C353" i="48"/>
  <c r="F353" i="48" l="1"/>
  <c r="D353" i="48"/>
  <c r="E353" i="48"/>
  <c r="C354" i="48"/>
  <c r="B355" i="48"/>
  <c r="E354" i="48" l="1"/>
  <c r="F354" i="48"/>
  <c r="D354" i="48"/>
  <c r="C355" i="48"/>
  <c r="B356" i="48"/>
  <c r="D355" i="48" l="1"/>
  <c r="E355" i="48"/>
  <c r="F355" i="48"/>
  <c r="B357" i="48"/>
  <c r="C356" i="48"/>
  <c r="D356" i="48" l="1"/>
  <c r="E356" i="48"/>
  <c r="F356" i="48"/>
  <c r="C357" i="48"/>
  <c r="B358" i="48"/>
  <c r="E357" i="48" l="1"/>
  <c r="F357" i="48"/>
  <c r="D357" i="48"/>
  <c r="C358" i="48"/>
  <c r="B359" i="48"/>
  <c r="D358" i="48" l="1"/>
  <c r="F358" i="48"/>
  <c r="E358" i="48"/>
  <c r="B360" i="48"/>
  <c r="C359" i="48"/>
  <c r="F359" i="48" l="1"/>
  <c r="D359" i="48"/>
  <c r="E359" i="48"/>
  <c r="C360" i="48"/>
  <c r="B361" i="48"/>
  <c r="F360" i="48" l="1"/>
  <c r="D360" i="48"/>
  <c r="E360" i="48"/>
  <c r="B362" i="48"/>
  <c r="C361" i="48"/>
  <c r="D361" i="48" l="1"/>
  <c r="F361" i="48"/>
  <c r="E361" i="48"/>
  <c r="C362" i="48"/>
  <c r="B363" i="48"/>
  <c r="E362" i="48" l="1"/>
  <c r="F362" i="48"/>
  <c r="D362" i="48"/>
  <c r="C363" i="48"/>
  <c r="B364" i="48"/>
  <c r="F363" i="48" l="1"/>
  <c r="D363" i="48"/>
  <c r="E363" i="48"/>
  <c r="C364" i="48"/>
  <c r="B365" i="48"/>
  <c r="D364" i="48" l="1"/>
  <c r="E364" i="48"/>
  <c r="F364" i="48"/>
  <c r="C365" i="48"/>
  <c r="B366" i="48"/>
  <c r="D365" i="48" l="1"/>
  <c r="E365" i="48"/>
  <c r="F365" i="48"/>
  <c r="B367" i="48"/>
  <c r="C366" i="48"/>
  <c r="D366" i="48" l="1"/>
  <c r="F366" i="48"/>
  <c r="E366" i="48"/>
  <c r="B368" i="48"/>
  <c r="C367" i="48"/>
  <c r="E367" i="48" l="1"/>
  <c r="D367" i="48"/>
  <c r="F367" i="48"/>
  <c r="C368" i="48"/>
  <c r="B369" i="48"/>
  <c r="E368" i="48" l="1"/>
  <c r="D368" i="48"/>
  <c r="F368" i="48"/>
  <c r="B370" i="48"/>
  <c r="C369" i="48"/>
  <c r="E369" i="48" l="1"/>
  <c r="F369" i="48"/>
  <c r="D369" i="48"/>
  <c r="C370" i="48"/>
  <c r="B371" i="48"/>
  <c r="E370" i="48" l="1"/>
  <c r="F370" i="48"/>
  <c r="D370" i="48"/>
  <c r="C371" i="48"/>
  <c r="B372" i="48"/>
  <c r="D371" i="48" l="1"/>
  <c r="E371" i="48"/>
  <c r="F371" i="48"/>
  <c r="B373" i="48"/>
  <c r="C372" i="48"/>
  <c r="D372" i="48" l="1"/>
  <c r="E372" i="48"/>
  <c r="F372" i="48"/>
  <c r="C373" i="48"/>
  <c r="B374" i="48"/>
  <c r="E373" i="48" l="1"/>
  <c r="D373" i="48"/>
  <c r="F373" i="48"/>
  <c r="C374" i="48"/>
  <c r="B375" i="48"/>
  <c r="D374" i="48" l="1"/>
  <c r="F374" i="48"/>
  <c r="E374" i="48"/>
  <c r="B376" i="48"/>
  <c r="C375" i="48"/>
  <c r="F375" i="48" l="1"/>
  <c r="D375" i="48"/>
  <c r="E375" i="48"/>
  <c r="C376" i="48"/>
  <c r="B377" i="48"/>
  <c r="D376" i="48" l="1"/>
  <c r="F376" i="48"/>
  <c r="E376" i="48"/>
  <c r="C377" i="48"/>
  <c r="B378" i="48"/>
  <c r="E377" i="48" l="1"/>
  <c r="D377" i="48"/>
  <c r="F377" i="48"/>
  <c r="C378" i="48"/>
  <c r="B379" i="48"/>
  <c r="D378" i="48" l="1"/>
  <c r="E378" i="48"/>
  <c r="F378" i="48"/>
  <c r="C379" i="48"/>
  <c r="B380" i="48"/>
  <c r="F379" i="48" l="1"/>
  <c r="D379" i="48"/>
  <c r="E379" i="48"/>
  <c r="C380" i="48"/>
  <c r="B381" i="48"/>
  <c r="D380" i="48" l="1"/>
  <c r="E380" i="48"/>
  <c r="F380" i="48"/>
  <c r="C381" i="48"/>
  <c r="B382" i="48"/>
  <c r="D381" i="48" l="1"/>
  <c r="E381" i="48"/>
  <c r="F381" i="48"/>
  <c r="B383" i="48"/>
  <c r="C382" i="48"/>
  <c r="D382" i="48" l="1"/>
  <c r="E382" i="48"/>
  <c r="F382" i="48"/>
  <c r="C383" i="48"/>
  <c r="B384" i="48"/>
  <c r="F383" i="48" l="1"/>
  <c r="D383" i="48"/>
  <c r="E383" i="48"/>
  <c r="B385" i="48"/>
  <c r="C384" i="48"/>
  <c r="D384" i="48" l="1"/>
  <c r="F384" i="48"/>
  <c r="E384" i="48"/>
  <c r="B386" i="48"/>
  <c r="C385" i="48"/>
  <c r="D385" i="48" l="1"/>
  <c r="F385" i="48"/>
  <c r="E385" i="48"/>
  <c r="B387" i="48"/>
  <c r="C386" i="48"/>
  <c r="E386" i="48" l="1"/>
  <c r="F386" i="48"/>
  <c r="D386" i="48"/>
  <c r="C387" i="48"/>
  <c r="B388" i="48"/>
  <c r="D387" i="48" l="1"/>
  <c r="E387" i="48"/>
  <c r="F387" i="48"/>
  <c r="B389" i="48"/>
  <c r="C388" i="48"/>
  <c r="F388" i="48" l="1"/>
  <c r="D388" i="48"/>
  <c r="E388" i="48"/>
  <c r="C389" i="48"/>
  <c r="B390" i="48"/>
  <c r="E389" i="48" l="1"/>
  <c r="F389" i="48"/>
  <c r="D389" i="48"/>
  <c r="B391" i="48"/>
  <c r="C390" i="48"/>
  <c r="D390" i="48" l="1"/>
  <c r="E390" i="48"/>
  <c r="F390" i="48"/>
  <c r="B392" i="48"/>
  <c r="C391" i="48"/>
  <c r="F391" i="48" l="1"/>
  <c r="D391" i="48"/>
  <c r="E391" i="48"/>
  <c r="C392" i="48"/>
  <c r="B393" i="48"/>
  <c r="D392" i="48" l="1"/>
  <c r="F392" i="48"/>
  <c r="E392" i="48"/>
  <c r="C393" i="48"/>
  <c r="B394" i="48"/>
  <c r="E393" i="48" l="1"/>
  <c r="F393" i="48"/>
  <c r="D393" i="48"/>
  <c r="C394" i="48"/>
  <c r="B395" i="48"/>
  <c r="E394" i="48" l="1"/>
  <c r="D394" i="48"/>
  <c r="F394" i="48"/>
  <c r="C395" i="48"/>
  <c r="B396" i="48"/>
  <c r="D395" i="48" l="1"/>
  <c r="F395" i="48"/>
  <c r="E395" i="48"/>
  <c r="C396" i="48"/>
  <c r="B397" i="48"/>
  <c r="D396" i="48" l="1"/>
  <c r="E396" i="48"/>
  <c r="F396" i="48"/>
  <c r="C397" i="48"/>
  <c r="B398" i="48"/>
  <c r="E397" i="48" l="1"/>
  <c r="F397" i="48"/>
  <c r="D397" i="48"/>
  <c r="B399" i="48"/>
  <c r="C398" i="48"/>
  <c r="D398" i="48" l="1"/>
  <c r="F398" i="48"/>
  <c r="E398" i="48"/>
  <c r="B400" i="48"/>
  <c r="C399" i="48"/>
  <c r="E399" i="48" l="1"/>
  <c r="F399" i="48"/>
  <c r="D399" i="48"/>
  <c r="B401" i="48"/>
  <c r="C400" i="48"/>
  <c r="E400" i="48" l="1"/>
  <c r="F400" i="48"/>
  <c r="D400" i="48"/>
  <c r="B402" i="48"/>
  <c r="C401" i="48"/>
  <c r="D401" i="48" l="1"/>
  <c r="F401" i="48"/>
  <c r="E401" i="48"/>
  <c r="C402" i="48"/>
  <c r="B403" i="48"/>
  <c r="E402" i="48" l="1"/>
  <c r="F402" i="48"/>
  <c r="D402" i="48"/>
  <c r="C403" i="48"/>
  <c r="B404" i="48"/>
  <c r="C404" i="48" s="1"/>
  <c r="D404" i="48" l="1"/>
  <c r="E404" i="48"/>
  <c r="F404" i="48"/>
  <c r="D403" i="48"/>
  <c r="E403" i="48"/>
  <c r="F403" i="48"/>
</calcChain>
</file>

<file path=xl/sharedStrings.xml><?xml version="1.0" encoding="utf-8"?>
<sst xmlns="http://schemas.openxmlformats.org/spreadsheetml/2006/main" count="566" uniqueCount="264">
  <si>
    <t>Year</t>
  </si>
  <si>
    <t>Month</t>
  </si>
  <si>
    <t>Day</t>
  </si>
  <si>
    <t>x</t>
  </si>
  <si>
    <t>y</t>
  </si>
  <si>
    <t>Hour</t>
  </si>
  <si>
    <t>JDN</t>
  </si>
  <si>
    <t>year</t>
  </si>
  <si>
    <t>hour</t>
  </si>
  <si>
    <t>Months</t>
  </si>
  <si>
    <t># days</t>
  </si>
  <si>
    <t>-</t>
  </si>
  <si>
    <t>Source</t>
  </si>
  <si>
    <t>Angle</t>
  </si>
  <si>
    <t>Sun</t>
  </si>
  <si>
    <t>Moon</t>
  </si>
  <si>
    <t>Earth</t>
  </si>
  <si>
    <t>correction</t>
  </si>
  <si>
    <t>r</t>
  </si>
  <si>
    <t>Mercury</t>
  </si>
  <si>
    <t>Mars</t>
  </si>
  <si>
    <t>Jupiter</t>
  </si>
  <si>
    <t>Venus</t>
  </si>
  <si>
    <t>Saturn</t>
  </si>
  <si>
    <t>a</t>
  </si>
  <si>
    <t>fraction</t>
  </si>
  <si>
    <t>Inputs</t>
  </si>
  <si>
    <t>points:</t>
  </si>
  <si>
    <t>dgr</t>
  </si>
  <si>
    <t>step:</t>
  </si>
  <si>
    <t>cos</t>
  </si>
  <si>
    <t>minor semi axis</t>
  </si>
  <si>
    <t>major semi axis</t>
  </si>
  <si>
    <t>ellipse</t>
  </si>
  <si>
    <t>black bottom</t>
  </si>
  <si>
    <t>transparent</t>
  </si>
  <si>
    <t>black top</t>
  </si>
  <si>
    <t>km</t>
  </si>
  <si>
    <t>e</t>
  </si>
  <si>
    <t>f</t>
  </si>
  <si>
    <t>u</t>
  </si>
  <si>
    <t>Date</t>
  </si>
  <si>
    <t>longitude</t>
  </si>
  <si>
    <t>seconds</t>
  </si>
  <si>
    <t>hours</t>
  </si>
  <si>
    <t>minutes</t>
  </si>
  <si>
    <t>A</t>
  </si>
  <si>
    <t>Total</t>
  </si>
  <si>
    <t>B</t>
  </si>
  <si>
    <t>C</t>
  </si>
  <si>
    <t>E</t>
  </si>
  <si>
    <t>F</t>
  </si>
  <si>
    <t>Y'</t>
  </si>
  <si>
    <t>M'</t>
  </si>
  <si>
    <t>D</t>
  </si>
  <si>
    <t>j</t>
  </si>
  <si>
    <t>v</t>
  </si>
  <si>
    <t>p</t>
  </si>
  <si>
    <t>w</t>
  </si>
  <si>
    <t>m</t>
  </si>
  <si>
    <t>n</t>
  </si>
  <si>
    <t>RA (h)</t>
  </si>
  <si>
    <t>g</t>
  </si>
  <si>
    <t>i</t>
  </si>
  <si>
    <t>z</t>
  </si>
  <si>
    <t>A1</t>
  </si>
  <si>
    <t>A3</t>
  </si>
  <si>
    <t>A2</t>
  </si>
  <si>
    <t>A5</t>
  </si>
  <si>
    <t>N</t>
  </si>
  <si>
    <t>Nonetheless, this spreadsheet has been carefully reviewed, and calculation results have been compared with other applications.</t>
  </si>
  <si>
    <t>I'm solely responsible for the input and express no warranty.  Use at your own risk.</t>
  </si>
  <si>
    <t>All Rights Reserved:  © Astronomy Morsels.</t>
  </si>
  <si>
    <t>V1.0</t>
  </si>
  <si>
    <t>Email</t>
  </si>
  <si>
    <r>
      <rPr>
        <b/>
        <sz val="14"/>
        <color theme="1"/>
        <rFont val="Calibri (Body)"/>
      </rPr>
      <t>Compiled by</t>
    </r>
    <r>
      <rPr>
        <sz val="14"/>
        <color theme="1"/>
        <rFont val="Calibri (Body)"/>
      </rPr>
      <t>: Anton Viola (Astronomy Morsels).</t>
    </r>
  </si>
  <si>
    <t>New Moon</t>
  </si>
  <si>
    <t>Third/Last Quarter</t>
  </si>
  <si>
    <t>Day nr.</t>
  </si>
  <si>
    <t>Full Moon</t>
  </si>
  <si>
    <t>Leap year?</t>
  </si>
  <si>
    <t>First Quarter</t>
  </si>
  <si>
    <t>JDN (UT)</t>
  </si>
  <si>
    <t>Weekday</t>
  </si>
  <si>
    <t>UT</t>
  </si>
  <si>
    <t>JDE'</t>
  </si>
  <si>
    <t>k</t>
  </si>
  <si>
    <t>A4</t>
  </si>
  <si>
    <t>RD</t>
  </si>
  <si>
    <t>Calculate Fraction day/year</t>
  </si>
  <si>
    <t xml:space="preserve">s </t>
  </si>
  <si>
    <t xml:space="preserve">h  </t>
  </si>
  <si>
    <t>Second</t>
  </si>
  <si>
    <t>Minute</t>
  </si>
  <si>
    <t xml:space="preserve">Day </t>
  </si>
  <si>
    <t>Input</t>
  </si>
  <si>
    <t>Source: Paul Schlyter</t>
  </si>
  <si>
    <r>
      <rPr>
        <b/>
        <sz val="14"/>
        <color theme="1"/>
        <rFont val="Calibri (Body)"/>
      </rPr>
      <t>Latest update</t>
    </r>
    <r>
      <rPr>
        <sz val="14"/>
        <color theme="1"/>
        <rFont val="Calibri (Body)"/>
      </rPr>
      <t>: 23rd April, 2024.</t>
    </r>
  </si>
  <si>
    <t>In this spreadsheet, the azimuth/altitude coordinates of the planets in our solar system are calculated for a specific date, time and location.</t>
  </si>
  <si>
    <t>Pluto</t>
  </si>
  <si>
    <t>Neptune</t>
  </si>
  <si>
    <t>Uranus</t>
  </si>
  <si>
    <t>altitude</t>
  </si>
  <si>
    <t>azimuth</t>
  </si>
  <si>
    <t>Graph 1: Planet at Horizon (Geocentric)</t>
  </si>
  <si>
    <t>Aphelion</t>
  </si>
  <si>
    <t>Perihelion</t>
  </si>
  <si>
    <t>Set time</t>
  </si>
  <si>
    <t>Transit</t>
  </si>
  <si>
    <t>Rise time</t>
  </si>
  <si>
    <t>Azimuth</t>
  </si>
  <si>
    <t>Altitude</t>
  </si>
  <si>
    <t>December solstice</t>
  </si>
  <si>
    <t>September equinox</t>
  </si>
  <si>
    <t>June solstice</t>
  </si>
  <si>
    <t>JDN (LT)</t>
  </si>
  <si>
    <t>March equinox</t>
  </si>
  <si>
    <t>timezone</t>
  </si>
  <si>
    <t>Time (UT)</t>
  </si>
  <si>
    <t>(degrees)</t>
  </si>
  <si>
    <t>latitude</t>
  </si>
  <si>
    <t>(hh:mm)</t>
  </si>
  <si>
    <t>Local time</t>
  </si>
  <si>
    <t>(dd.mm.yyyy)</t>
  </si>
  <si>
    <t>Day'</t>
  </si>
  <si>
    <t xml:space="preserve">A </t>
  </si>
  <si>
    <t>alpha</t>
  </si>
  <si>
    <t>Sun/Earth</t>
  </si>
  <si>
    <t>Difference: sometimes 1 day, but confirmed on Internet</t>
  </si>
  <si>
    <t>10. Perihelion/Aphelion (Meeus)</t>
  </si>
  <si>
    <t>Iterations needed!</t>
  </si>
  <si>
    <t>second</t>
  </si>
  <si>
    <t>minute</t>
  </si>
  <si>
    <t>hour'</t>
  </si>
  <si>
    <t>LT (set)</t>
  </si>
  <si>
    <t>LT (rise)</t>
  </si>
  <si>
    <t>LHA (d)</t>
  </si>
  <si>
    <t>cos(LHA) (r)</t>
  </si>
  <si>
    <t>LT (meredian)</t>
  </si>
  <si>
    <t>UT (meredian)</t>
  </si>
  <si>
    <t>RSA</t>
  </si>
  <si>
    <t>longitude (d)</t>
  </si>
  <si>
    <t>latitude (d)</t>
  </si>
  <si>
    <t>12:00 Decl</t>
  </si>
  <si>
    <t>12:00 RA</t>
  </si>
  <si>
    <t>GMST0</t>
  </si>
  <si>
    <t>9. Rise/Set Times</t>
  </si>
  <si>
    <t>altitude (d)</t>
  </si>
  <si>
    <t>azimuth (d)</t>
  </si>
  <si>
    <t>zhor</t>
  </si>
  <si>
    <t>yhor</t>
  </si>
  <si>
    <t>xhor</t>
  </si>
  <si>
    <t>LHA (h)</t>
  </si>
  <si>
    <t>LST (h)</t>
  </si>
  <si>
    <t>LST (d)</t>
  </si>
  <si>
    <t>GMST</t>
  </si>
  <si>
    <t>GMST0 (h)</t>
  </si>
  <si>
    <t>GMST0 (d)</t>
  </si>
  <si>
    <t>L 00:00 (d)</t>
  </si>
  <si>
    <t>M 00:00 (d)</t>
  </si>
  <si>
    <t>w 00:00 (d)</t>
  </si>
  <si>
    <t>noon</t>
  </si>
  <si>
    <t>UT (d)</t>
  </si>
  <si>
    <t>UT (h)</t>
  </si>
  <si>
    <t>Day 00:00</t>
  </si>
  <si>
    <t>8. Altitude/Azimuth</t>
  </si>
  <si>
    <t>(add topocentric?)</t>
  </si>
  <si>
    <t>rg</t>
  </si>
  <si>
    <t>Decl (d)</t>
  </si>
  <si>
    <t>Decl (r)</t>
  </si>
  <si>
    <t>RA (d)</t>
  </si>
  <si>
    <t>RA (r)</t>
  </si>
  <si>
    <t>ze</t>
  </si>
  <si>
    <t>ye</t>
  </si>
  <si>
    <t>xe</t>
  </si>
  <si>
    <t>7. Geocentric Equatorial Coordinates</t>
  </si>
  <si>
    <t>zg</t>
  </si>
  <si>
    <t>yg</t>
  </si>
  <si>
    <t>xg</t>
  </si>
  <si>
    <t>ys</t>
  </si>
  <si>
    <t>xs</t>
  </si>
  <si>
    <t>6. Geocentric Ecliptic Coordinates</t>
  </si>
  <si>
    <t>zh</t>
  </si>
  <si>
    <t>yh</t>
  </si>
  <si>
    <t>xh</t>
  </si>
  <si>
    <t xml:space="preserve">5. Heliocentric  Ecliptic Coordinates </t>
  </si>
  <si>
    <t>r`</t>
  </si>
  <si>
    <t>latecl`(d)</t>
  </si>
  <si>
    <t>lonecl` (d)</t>
  </si>
  <si>
    <t>Pdist</t>
  </si>
  <si>
    <t>Plat</t>
  </si>
  <si>
    <t>Plong</t>
  </si>
  <si>
    <t>Lm</t>
  </si>
  <si>
    <t>Ls</t>
  </si>
  <si>
    <t>Mx</t>
  </si>
  <si>
    <t>Ms</t>
  </si>
  <si>
    <t>4. Correction for Perturbations</t>
  </si>
  <si>
    <t>oblecl (d)</t>
  </si>
  <si>
    <t>latecl (d)</t>
  </si>
  <si>
    <t>lonecl (d)</t>
  </si>
  <si>
    <t>v (d)</t>
  </si>
  <si>
    <t>yv</t>
  </si>
  <si>
    <t>xv</t>
  </si>
  <si>
    <t>3. Heliocentric  Ecliptic Coordinates (uncorrected for Perturbations), moon geocentric</t>
  </si>
  <si>
    <t>E5 (d)</t>
  </si>
  <si>
    <t>E4 (d)</t>
  </si>
  <si>
    <t>E3 (d)</t>
  </si>
  <si>
    <t>E2 (d)</t>
  </si>
  <si>
    <t>E1 (d)</t>
  </si>
  <si>
    <t>E0 (d)</t>
  </si>
  <si>
    <t>2. Eccentric Anomaly (iteration, limited to 5 here)</t>
  </si>
  <si>
    <t>P (d)</t>
  </si>
  <si>
    <t>S (d)</t>
  </si>
  <si>
    <t>L (d)</t>
  </si>
  <si>
    <t>M (d)</t>
  </si>
  <si>
    <t>w (d)</t>
  </si>
  <si>
    <t>1. Orbital Elements</t>
  </si>
  <si>
    <t>astronomical twilight</t>
  </si>
  <si>
    <t>amateur astronomical twilight</t>
  </si>
  <si>
    <t>nautical twilight</t>
  </si>
  <si>
    <t>civil twilight</t>
  </si>
  <si>
    <t>sun's upper limb touches the horizon</t>
  </si>
  <si>
    <t>center of sun's disk touches the horizon</t>
  </si>
  <si>
    <t>sun's upper limb touches mathematical horizon</t>
  </si>
  <si>
    <t>center of sun touches a mathematical horizon</t>
  </si>
  <si>
    <t>description</t>
  </si>
  <si>
    <t>3. Set/rise</t>
  </si>
  <si>
    <t>NM</t>
  </si>
  <si>
    <t>Waning Crescent</t>
  </si>
  <si>
    <t>NC</t>
  </si>
  <si>
    <t>LQ</t>
  </si>
  <si>
    <t>Waning Gibbous</t>
  </si>
  <si>
    <t>NG</t>
  </si>
  <si>
    <t>FM</t>
  </si>
  <si>
    <t>Waxing Gibbous</t>
  </si>
  <si>
    <t>WG</t>
  </si>
  <si>
    <t>FQ</t>
  </si>
  <si>
    <t>Waxing Crescent</t>
  </si>
  <si>
    <t>WC</t>
  </si>
  <si>
    <t>Moon Phase</t>
  </si>
  <si>
    <t>Abbrevation</t>
  </si>
  <si>
    <t>2. Moon Phases</t>
  </si>
  <si>
    <t>sun's altitude (degrees) for rise/set times</t>
  </si>
  <si>
    <t>seconds/day</t>
  </si>
  <si>
    <t>SD</t>
  </si>
  <si>
    <t>Earth Radius</t>
  </si>
  <si>
    <t>ER</t>
  </si>
  <si>
    <t>Astronomical Unit</t>
  </si>
  <si>
    <t>AU</t>
  </si>
  <si>
    <t>degrees -&gt; radians</t>
  </si>
  <si>
    <t>DR</t>
  </si>
  <si>
    <t>radians  -&gt; degrees</t>
  </si>
  <si>
    <t>1. Constants</t>
  </si>
  <si>
    <t>Convert JDN (LT) to JDN (UT)</t>
  </si>
  <si>
    <r>
      <t>JDN'</t>
    </r>
    <r>
      <rPr>
        <vertAlign val="subscript"/>
        <sz val="11"/>
        <color theme="1"/>
        <rFont val="Calibri (Body)"/>
      </rPr>
      <t>corrected</t>
    </r>
  </si>
  <si>
    <t>Conversion for equinoxes and solstices</t>
  </si>
  <si>
    <t>Gregorian Date -&gt; JDN</t>
  </si>
  <si>
    <t>Universal time</t>
  </si>
  <si>
    <t>Total seconds</t>
  </si>
  <si>
    <t>delta</t>
  </si>
  <si>
    <r>
      <t xml:space="preserve">Local Time -&gt; Universal Time (based on </t>
    </r>
    <r>
      <rPr>
        <b/>
        <i/>
        <u/>
        <sz val="12"/>
        <color theme="1"/>
        <rFont val="Calibri"/>
        <family val="2"/>
        <scheme val="minor"/>
      </rPr>
      <t>timezone</t>
    </r>
    <r>
      <rPr>
        <b/>
        <u/>
        <sz val="12"/>
        <color theme="1"/>
        <rFont val="Calibri"/>
        <family val="2"/>
        <scheme val="minor"/>
      </rPr>
      <t>)</t>
    </r>
  </si>
  <si>
    <r>
      <t xml:space="preserve">Local Time -&gt; Universal Time (based on </t>
    </r>
    <r>
      <rPr>
        <b/>
        <i/>
        <u/>
        <sz val="12"/>
        <color theme="1"/>
        <rFont val="Calibri"/>
        <family val="2"/>
        <scheme val="minor"/>
      </rPr>
      <t>longitude</t>
    </r>
    <r>
      <rPr>
        <b/>
        <u/>
        <sz val="12"/>
        <color theme="1"/>
        <rFont val="Calibri"/>
        <family val="2"/>
        <scheme val="minor"/>
      </rPr>
      <t>)</t>
    </r>
  </si>
  <si>
    <t>Note: planet rise/transit/set times are not always accurate, moon calculations sometimes fail. Working on a better version!</t>
  </si>
  <si>
    <t>The Real Planet Nine??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</si>
</sst>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"/>
    <numFmt numFmtId="165" formatCode="0.00000"/>
    <numFmt numFmtId="166" formatCode="#,##0.00000"/>
    <numFmt numFmtId="167" formatCode="0.0000"/>
    <numFmt numFmtId="168" formatCode="0.0"/>
    <numFmt numFmtId="169" formatCode="[$]dd/mm/yyyy;@" x16r2:formatCode16="[$-en-CH,1]dd/mm/yyyy;@"/>
    <numFmt numFmtId="170" formatCode="[$-F400]h:mm:ss\ AM/PM"/>
    <numFmt numFmtId="171" formatCode="#,##0.0000"/>
    <numFmt numFmtId="172" formatCode="[$]hh:mm;@" x16r2:formatCode16="[$-en-CH,1]hh:mm;@"/>
    <numFmt numFmtId="173" formatCode="[$]hh:mm:ss;@" x16r2:formatCode16="[$-en-CH,1]hh:mm:ss;@"/>
    <numFmt numFmtId="174" formatCode="0.000000"/>
  </numFmts>
  <fonts count="45" x14ac:knownFonts="1">
    <font>
      <sz val="12"/>
      <color theme="1"/>
      <name val="Calibri"/>
      <family val="2"/>
      <scheme val="minor"/>
    </font>
    <font>
      <sz val="12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2060"/>
      <name val="Calibri"/>
      <family val="2"/>
    </font>
    <font>
      <u/>
      <sz val="12"/>
      <color theme="10"/>
      <name val="Calibri"/>
      <family val="2"/>
    </font>
    <font>
      <b/>
      <sz val="14"/>
      <color theme="1"/>
      <name val="Calibri (Body)"/>
    </font>
    <font>
      <sz val="14"/>
      <color theme="1"/>
      <name val="Calibri (Body)"/>
    </font>
    <font>
      <u/>
      <sz val="14"/>
      <color theme="10"/>
      <name val="Calibri (Body)"/>
    </font>
    <font>
      <i/>
      <sz val="14"/>
      <color theme="0"/>
      <name val="Calibri"/>
      <family val="2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9"/>
      <color rgb="FFFFFF99"/>
      <name val="Arial"/>
      <family val="2"/>
    </font>
    <font>
      <sz val="11"/>
      <color theme="0"/>
      <name val="Calibri"/>
      <family val="2"/>
      <scheme val="minor"/>
    </font>
    <font>
      <sz val="12"/>
      <color theme="6" tint="0.3999755851924192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vertAlign val="subscript"/>
      <sz val="11"/>
      <color theme="1"/>
      <name val="Calibri (Body)"/>
    </font>
    <font>
      <b/>
      <i/>
      <u/>
      <sz val="12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 style="hair">
        <color indexed="64"/>
      </right>
      <top/>
      <bottom/>
      <diagonal/>
    </border>
  </borders>
  <cellStyleXfs count="11">
    <xf numFmtId="0" fontId="0" fillId="0" borderId="0"/>
    <xf numFmtId="0" fontId="5" fillId="0" borderId="0" applyNumberFormat="0" applyFill="0" applyBorder="0" applyAlignment="0" applyProtection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/>
    <xf numFmtId="0" fontId="14" fillId="0" borderId="0"/>
    <xf numFmtId="0" fontId="17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</cellStyleXfs>
  <cellXfs count="276">
    <xf numFmtId="0" fontId="0" fillId="0" borderId="0" xfId="0"/>
    <xf numFmtId="0" fontId="14" fillId="0" borderId="0" xfId="6"/>
    <xf numFmtId="0" fontId="17" fillId="0" borderId="0" xfId="7"/>
    <xf numFmtId="0" fontId="21" fillId="5" borderId="9" xfId="7" applyFont="1" applyFill="1" applyBorder="1" applyAlignment="1">
      <alignment horizontal="center"/>
    </xf>
    <xf numFmtId="0" fontId="22" fillId="5" borderId="8" xfId="7" applyFont="1" applyFill="1" applyBorder="1"/>
    <xf numFmtId="0" fontId="22" fillId="5" borderId="8" xfId="9" applyFont="1" applyFill="1" applyBorder="1" applyAlignment="1">
      <alignment horizontal="left"/>
    </xf>
    <xf numFmtId="0" fontId="22" fillId="5" borderId="7" xfId="9" applyFont="1" applyFill="1" applyBorder="1" applyAlignment="1">
      <alignment horizontal="left"/>
    </xf>
    <xf numFmtId="0" fontId="22" fillId="5" borderId="6" xfId="7" applyFont="1" applyFill="1" applyBorder="1" applyAlignment="1">
      <alignment horizontal="center"/>
    </xf>
    <xf numFmtId="0" fontId="22" fillId="5" borderId="0" xfId="7" applyFont="1" applyFill="1"/>
    <xf numFmtId="0" fontId="22" fillId="5" borderId="0" xfId="7" applyFont="1" applyFill="1" applyAlignment="1">
      <alignment horizontal="center"/>
    </xf>
    <xf numFmtId="0" fontId="23" fillId="5" borderId="5" xfId="9" applyFont="1" applyFill="1" applyBorder="1" applyAlignment="1">
      <alignment horizontal="left"/>
    </xf>
    <xf numFmtId="0" fontId="23" fillId="5" borderId="2" xfId="9" applyFont="1" applyFill="1" applyBorder="1" applyAlignment="1">
      <alignment horizontal="center"/>
    </xf>
    <xf numFmtId="0" fontId="22" fillId="5" borderId="3" xfId="7" applyFont="1" applyFill="1" applyBorder="1"/>
    <xf numFmtId="0" fontId="22" fillId="5" borderId="3" xfId="7" applyFont="1" applyFill="1" applyBorder="1" applyAlignment="1">
      <alignment horizontal="center"/>
    </xf>
    <xf numFmtId="0" fontId="3" fillId="8" borderId="11" xfId="0" applyFont="1" applyFill="1" applyBorder="1" applyAlignment="1">
      <alignment horizontal="center"/>
    </xf>
    <xf numFmtId="164" fontId="2" fillId="8" borderId="12" xfId="0" applyNumberFormat="1" applyFont="1" applyFill="1" applyBorder="1"/>
    <xf numFmtId="0" fontId="11" fillId="8" borderId="3" xfId="4" applyFill="1" applyBorder="1"/>
    <xf numFmtId="0" fontId="1" fillId="8" borderId="3" xfId="0" applyFont="1" applyFill="1" applyBorder="1"/>
    <xf numFmtId="0" fontId="11" fillId="8" borderId="2" xfId="4" applyFill="1" applyBorder="1"/>
    <xf numFmtId="0" fontId="11" fillId="8" borderId="1" xfId="4" applyFill="1" applyBorder="1"/>
    <xf numFmtId="164" fontId="11" fillId="8" borderId="2" xfId="4" applyNumberFormat="1" applyFill="1" applyBorder="1"/>
    <xf numFmtId="0" fontId="11" fillId="8" borderId="7" xfId="4" applyFill="1" applyBorder="1"/>
    <xf numFmtId="0" fontId="11" fillId="8" borderId="8" xfId="4" applyFill="1" applyBorder="1"/>
    <xf numFmtId="2" fontId="11" fillId="8" borderId="9" xfId="4" applyNumberFormat="1" applyFill="1" applyBorder="1"/>
    <xf numFmtId="0" fontId="11" fillId="8" borderId="5" xfId="4" applyFill="1" applyBorder="1"/>
    <xf numFmtId="0" fontId="11" fillId="8" borderId="0" xfId="4" applyFill="1"/>
    <xf numFmtId="0" fontId="11" fillId="8" borderId="6" xfId="4" applyFill="1" applyBorder="1"/>
    <xf numFmtId="0" fontId="11" fillId="8" borderId="9" xfId="4" applyFill="1" applyBorder="1"/>
    <xf numFmtId="0" fontId="10" fillId="8" borderId="5" xfId="4" applyFont="1" applyFill="1" applyBorder="1" applyAlignment="1">
      <alignment horizontal="center"/>
    </xf>
    <xf numFmtId="0" fontId="10" fillId="8" borderId="0" xfId="4" applyFont="1" applyFill="1" applyAlignment="1">
      <alignment horizontal="center"/>
    </xf>
    <xf numFmtId="0" fontId="10" fillId="8" borderId="6" xfId="4" applyFont="1" applyFill="1" applyBorder="1" applyAlignment="1">
      <alignment horizontal="center"/>
    </xf>
    <xf numFmtId="0" fontId="18" fillId="0" borderId="0" xfId="10"/>
    <xf numFmtId="0" fontId="22" fillId="5" borderId="1" xfId="10" applyFont="1" applyFill="1" applyBorder="1" applyAlignment="1">
      <alignment horizontal="left"/>
    </xf>
    <xf numFmtId="11" fontId="14" fillId="0" borderId="0" xfId="6" applyNumberFormat="1"/>
    <xf numFmtId="170" fontId="14" fillId="0" borderId="0" xfId="6" applyNumberFormat="1"/>
    <xf numFmtId="0" fontId="6" fillId="0" borderId="0" xfId="6" applyFont="1"/>
    <xf numFmtId="18" fontId="14" fillId="0" borderId="0" xfId="6" applyNumberFormat="1"/>
    <xf numFmtId="0" fontId="26" fillId="0" borderId="0" xfId="6" applyFont="1"/>
    <xf numFmtId="0" fontId="14" fillId="0" borderId="0" xfId="6" applyAlignment="1">
      <alignment horizontal="center"/>
    </xf>
    <xf numFmtId="0" fontId="6" fillId="8" borderId="2" xfId="6" applyFont="1" applyFill="1" applyBorder="1" applyAlignment="1">
      <alignment horizontal="center" vertical="center"/>
    </xf>
    <xf numFmtId="0" fontId="6" fillId="8" borderId="3" xfId="6" applyFont="1" applyFill="1" applyBorder="1" applyAlignment="1">
      <alignment horizontal="center" vertical="center"/>
    </xf>
    <xf numFmtId="14" fontId="17" fillId="8" borderId="14" xfId="6" applyNumberFormat="1" applyFont="1" applyFill="1" applyBorder="1" applyAlignment="1">
      <alignment horizontal="right" vertical="center"/>
    </xf>
    <xf numFmtId="0" fontId="17" fillId="8" borderId="14" xfId="6" applyFont="1" applyFill="1" applyBorder="1" applyAlignment="1">
      <alignment horizontal="right" vertical="center"/>
    </xf>
    <xf numFmtId="0" fontId="6" fillId="8" borderId="14" xfId="6" applyFont="1" applyFill="1" applyBorder="1" applyAlignment="1">
      <alignment horizontal="center" vertical="center"/>
    </xf>
    <xf numFmtId="170" fontId="17" fillId="8" borderId="14" xfId="6" applyNumberFormat="1" applyFont="1" applyFill="1" applyBorder="1" applyAlignment="1">
      <alignment horizontal="right" vertical="center"/>
    </xf>
    <xf numFmtId="2" fontId="17" fillId="8" borderId="14" xfId="6" applyNumberFormat="1" applyFont="1" applyFill="1" applyBorder="1" applyAlignment="1">
      <alignment horizontal="right" vertical="center"/>
    </xf>
    <xf numFmtId="0" fontId="26" fillId="0" borderId="0" xfId="6" applyFont="1" applyAlignment="1">
      <alignment horizontal="left"/>
    </xf>
    <xf numFmtId="0" fontId="14" fillId="2" borderId="6" xfId="6" applyFill="1" applyBorder="1"/>
    <xf numFmtId="0" fontId="14" fillId="2" borderId="3" xfId="6" applyFill="1" applyBorder="1"/>
    <xf numFmtId="0" fontId="14" fillId="2" borderId="1" xfId="6" applyFill="1" applyBorder="1"/>
    <xf numFmtId="0" fontId="14" fillId="2" borderId="2" xfId="6" applyFill="1" applyBorder="1"/>
    <xf numFmtId="0" fontId="14" fillId="2" borderId="0" xfId="6" applyFill="1"/>
    <xf numFmtId="0" fontId="14" fillId="2" borderId="1" xfId="6" applyFill="1" applyBorder="1" applyAlignment="1">
      <alignment horizontal="center"/>
    </xf>
    <xf numFmtId="0" fontId="14" fillId="2" borderId="5" xfId="6" applyFill="1" applyBorder="1"/>
    <xf numFmtId="22" fontId="26" fillId="0" borderId="0" xfId="6" applyNumberFormat="1" applyFont="1"/>
    <xf numFmtId="19" fontId="26" fillId="0" borderId="0" xfId="6" applyNumberFormat="1" applyFont="1"/>
    <xf numFmtId="0" fontId="16" fillId="8" borderId="0" xfId="6" applyFont="1" applyFill="1" applyAlignment="1">
      <alignment horizontal="center"/>
    </xf>
    <xf numFmtId="0" fontId="16" fillId="8" borderId="0" xfId="6" applyFont="1" applyFill="1" applyAlignment="1">
      <alignment horizontal="center" vertical="center"/>
    </xf>
    <xf numFmtId="0" fontId="6" fillId="8" borderId="10" xfId="6" applyFont="1" applyFill="1" applyBorder="1" applyAlignment="1">
      <alignment horizontal="center"/>
    </xf>
    <xf numFmtId="172" fontId="17" fillId="8" borderId="9" xfId="6" applyNumberFormat="1" applyFont="1" applyFill="1" applyBorder="1" applyAlignment="1">
      <alignment horizontal="center" vertical="center"/>
    </xf>
    <xf numFmtId="2" fontId="17" fillId="8" borderId="8" xfId="6" applyNumberFormat="1" applyFont="1" applyFill="1" applyBorder="1" applyAlignment="1">
      <alignment horizontal="center" vertical="center"/>
    </xf>
    <xf numFmtId="4" fontId="17" fillId="8" borderId="8" xfId="6" applyNumberFormat="1" applyFont="1" applyFill="1" applyBorder="1" applyAlignment="1">
      <alignment horizontal="center" vertical="center"/>
    </xf>
    <xf numFmtId="0" fontId="17" fillId="8" borderId="7" xfId="6" applyFont="1" applyFill="1" applyBorder="1" applyAlignment="1">
      <alignment vertical="center"/>
    </xf>
    <xf numFmtId="0" fontId="14" fillId="3" borderId="24" xfId="6" applyFill="1" applyBorder="1" applyAlignment="1">
      <alignment vertical="center"/>
    </xf>
    <xf numFmtId="2" fontId="17" fillId="8" borderId="9" xfId="6" applyNumberFormat="1" applyFont="1" applyFill="1" applyBorder="1" applyAlignment="1">
      <alignment horizontal="center" vertical="center"/>
    </xf>
    <xf numFmtId="1" fontId="17" fillId="8" borderId="8" xfId="6" applyNumberFormat="1" applyFont="1" applyFill="1" applyBorder="1" applyAlignment="1">
      <alignment horizontal="right" vertical="center"/>
    </xf>
    <xf numFmtId="0" fontId="17" fillId="8" borderId="7" xfId="6" applyFont="1" applyFill="1" applyBorder="1" applyAlignment="1">
      <alignment horizontal="center" vertical="center"/>
    </xf>
    <xf numFmtId="0" fontId="14" fillId="8" borderId="13" xfId="6" applyFill="1" applyBorder="1" applyAlignment="1">
      <alignment horizontal="center"/>
    </xf>
    <xf numFmtId="172" fontId="17" fillId="8" borderId="6" xfId="6" applyNumberFormat="1" applyFont="1" applyFill="1" applyBorder="1" applyAlignment="1">
      <alignment horizontal="center" vertical="center"/>
    </xf>
    <xf numFmtId="2" fontId="17" fillId="8" borderId="0" xfId="6" applyNumberFormat="1" applyFont="1" applyFill="1" applyAlignment="1">
      <alignment horizontal="center" vertical="center"/>
    </xf>
    <xf numFmtId="4" fontId="17" fillId="8" borderId="0" xfId="6" applyNumberFormat="1" applyFont="1" applyFill="1" applyAlignment="1">
      <alignment horizontal="center" vertical="center"/>
    </xf>
    <xf numFmtId="0" fontId="17" fillId="8" borderId="5" xfId="6" applyFont="1" applyFill="1" applyBorder="1" applyAlignment="1">
      <alignment vertical="center"/>
    </xf>
    <xf numFmtId="2" fontId="17" fillId="8" borderId="6" xfId="6" applyNumberFormat="1" applyFont="1" applyFill="1" applyBorder="1" applyAlignment="1">
      <alignment horizontal="center" vertical="center"/>
    </xf>
    <xf numFmtId="4" fontId="17" fillId="8" borderId="0" xfId="6" applyNumberFormat="1" applyFont="1" applyFill="1" applyAlignment="1">
      <alignment horizontal="right" vertical="center"/>
    </xf>
    <xf numFmtId="0" fontId="17" fillId="8" borderId="5" xfId="6" applyFont="1" applyFill="1" applyBorder="1" applyAlignment="1">
      <alignment horizontal="center" vertical="center"/>
    </xf>
    <xf numFmtId="10" fontId="17" fillId="8" borderId="13" xfId="6" applyNumberFormat="1" applyFont="1" applyFill="1" applyBorder="1" applyAlignment="1">
      <alignment horizontal="center" vertical="center"/>
    </xf>
    <xf numFmtId="2" fontId="17" fillId="8" borderId="13" xfId="6" applyNumberFormat="1" applyFont="1" applyFill="1" applyBorder="1" applyAlignment="1">
      <alignment horizontal="center" vertical="center"/>
    </xf>
    <xf numFmtId="2" fontId="6" fillId="6" borderId="0" xfId="6" applyNumberFormat="1" applyFont="1" applyFill="1" applyAlignment="1" applyProtection="1">
      <alignment horizontal="right" vertical="center"/>
      <protection locked="0"/>
    </xf>
    <xf numFmtId="0" fontId="6" fillId="8" borderId="4" xfId="6" applyFont="1" applyFill="1" applyBorder="1" applyAlignment="1">
      <alignment horizontal="center" vertical="center"/>
    </xf>
    <xf numFmtId="1" fontId="28" fillId="8" borderId="1" xfId="6" applyNumberFormat="1" applyFont="1" applyFill="1" applyBorder="1" applyAlignment="1">
      <alignment vertical="center"/>
    </xf>
    <xf numFmtId="2" fontId="30" fillId="0" borderId="0" xfId="6" applyNumberFormat="1" applyFont="1"/>
    <xf numFmtId="2" fontId="9" fillId="8" borderId="6" xfId="6" applyNumberFormat="1" applyFont="1" applyFill="1" applyBorder="1" applyAlignment="1">
      <alignment horizontal="center" vertical="center"/>
    </xf>
    <xf numFmtId="167" fontId="6" fillId="6" borderId="0" xfId="6" applyNumberFormat="1" applyFont="1" applyFill="1" applyAlignment="1" applyProtection="1">
      <alignment horizontal="right" vertical="center"/>
      <protection locked="0"/>
    </xf>
    <xf numFmtId="2" fontId="6" fillId="8" borderId="6" xfId="6" applyNumberFormat="1" applyFont="1" applyFill="1" applyBorder="1" applyAlignment="1">
      <alignment horizontal="center" vertical="center"/>
    </xf>
    <xf numFmtId="172" fontId="17" fillId="8" borderId="0" xfId="6" applyNumberFormat="1" applyFont="1" applyFill="1" applyAlignment="1">
      <alignment horizontal="right" vertical="center"/>
    </xf>
    <xf numFmtId="1" fontId="14" fillId="0" borderId="0" xfId="6" applyNumberFormat="1"/>
    <xf numFmtId="172" fontId="6" fillId="6" borderId="0" xfId="6" applyNumberFormat="1" applyFont="1" applyFill="1" applyAlignment="1" applyProtection="1">
      <alignment horizontal="right" vertical="center"/>
      <protection locked="0"/>
    </xf>
    <xf numFmtId="1" fontId="31" fillId="8" borderId="6" xfId="6" applyNumberFormat="1" applyFont="1" applyFill="1" applyBorder="1" applyAlignment="1">
      <alignment horizontal="center" vertical="center"/>
    </xf>
    <xf numFmtId="0" fontId="17" fillId="8" borderId="0" xfId="6" applyFont="1" applyFill="1" applyAlignment="1">
      <alignment horizontal="right" vertical="center"/>
    </xf>
    <xf numFmtId="169" fontId="6" fillId="6" borderId="0" xfId="6" applyNumberFormat="1" applyFont="1" applyFill="1" applyAlignment="1" applyProtection="1">
      <alignment horizontal="right" vertical="center"/>
      <protection locked="0"/>
    </xf>
    <xf numFmtId="2" fontId="17" fillId="8" borderId="2" xfId="6" applyNumberFormat="1" applyFont="1" applyFill="1" applyBorder="1" applyAlignment="1">
      <alignment horizontal="center" vertical="center"/>
    </xf>
    <xf numFmtId="0" fontId="6" fillId="6" borderId="3" xfId="6" applyFont="1" applyFill="1" applyBorder="1" applyAlignment="1">
      <alignment horizontal="right" vertical="center"/>
    </xf>
    <xf numFmtId="0" fontId="28" fillId="8" borderId="1" xfId="6" applyFont="1" applyFill="1" applyBorder="1" applyAlignment="1">
      <alignment horizontal="center" vertical="center"/>
    </xf>
    <xf numFmtId="0" fontId="14" fillId="8" borderId="9" xfId="6" applyFill="1" applyBorder="1"/>
    <xf numFmtId="14" fontId="13" fillId="8" borderId="8" xfId="6" applyNumberFormat="1" applyFont="1" applyFill="1" applyBorder="1" applyAlignment="1">
      <alignment horizontal="right"/>
    </xf>
    <xf numFmtId="14" fontId="13" fillId="8" borderId="7" xfId="6" applyNumberFormat="1" applyFont="1" applyFill="1" applyBorder="1" applyAlignment="1">
      <alignment horizontal="right"/>
    </xf>
    <xf numFmtId="0" fontId="26" fillId="8" borderId="10" xfId="6" applyFont="1" applyFill="1" applyBorder="1"/>
    <xf numFmtId="0" fontId="14" fillId="8" borderId="6" xfId="6" applyFill="1" applyBorder="1"/>
    <xf numFmtId="1" fontId="26" fillId="8" borderId="0" xfId="6" applyNumberFormat="1" applyFont="1" applyFill="1"/>
    <xf numFmtId="1" fontId="26" fillId="8" borderId="5" xfId="6" applyNumberFormat="1" applyFont="1" applyFill="1" applyBorder="1"/>
    <xf numFmtId="0" fontId="26" fillId="8" borderId="13" xfId="6" applyFont="1" applyFill="1" applyBorder="1"/>
    <xf numFmtId="0" fontId="26" fillId="8" borderId="0" xfId="6" applyFont="1" applyFill="1"/>
    <xf numFmtId="0" fontId="26" fillId="8" borderId="5" xfId="6" applyFont="1" applyFill="1" applyBorder="1"/>
    <xf numFmtId="165" fontId="26" fillId="8" borderId="0" xfId="6" applyNumberFormat="1" applyFont="1" applyFill="1"/>
    <xf numFmtId="165" fontId="26" fillId="8" borderId="5" xfId="6" applyNumberFormat="1" applyFont="1" applyFill="1" applyBorder="1"/>
    <xf numFmtId="168" fontId="26" fillId="8" borderId="0" xfId="6" applyNumberFormat="1" applyFont="1" applyFill="1"/>
    <xf numFmtId="168" fontId="26" fillId="8" borderId="5" xfId="6" applyNumberFormat="1" applyFont="1" applyFill="1" applyBorder="1"/>
    <xf numFmtId="0" fontId="14" fillId="8" borderId="2" xfId="6" applyFill="1" applyBorder="1"/>
    <xf numFmtId="0" fontId="26" fillId="8" borderId="3" xfId="6" applyFont="1" applyFill="1" applyBorder="1"/>
    <xf numFmtId="0" fontId="26" fillId="8" borderId="1" xfId="6" applyFont="1" applyFill="1" applyBorder="1"/>
    <xf numFmtId="0" fontId="26" fillId="8" borderId="4" xfId="6" applyFont="1" applyFill="1" applyBorder="1"/>
    <xf numFmtId="0" fontId="32" fillId="4" borderId="0" xfId="6" applyFont="1" applyFill="1" applyAlignment="1">
      <alignment horizontal="right"/>
    </xf>
    <xf numFmtId="0" fontId="33" fillId="9" borderId="14" xfId="6" applyFont="1" applyFill="1" applyBorder="1" applyAlignment="1">
      <alignment vertical="center"/>
    </xf>
    <xf numFmtId="0" fontId="15" fillId="0" borderId="0" xfId="6" applyFont="1"/>
    <xf numFmtId="0" fontId="34" fillId="0" borderId="0" xfId="6" applyFont="1"/>
    <xf numFmtId="0" fontId="26" fillId="8" borderId="9" xfId="6" applyFont="1" applyFill="1" applyBorder="1"/>
    <xf numFmtId="0" fontId="26" fillId="8" borderId="8" xfId="6" applyFont="1" applyFill="1" applyBorder="1"/>
    <xf numFmtId="0" fontId="26" fillId="8" borderId="7" xfId="6" applyFont="1" applyFill="1" applyBorder="1"/>
    <xf numFmtId="0" fontId="26" fillId="8" borderId="6" xfId="6" applyFont="1" applyFill="1" applyBorder="1"/>
    <xf numFmtId="3" fontId="26" fillId="8" borderId="6" xfId="6" applyNumberFormat="1" applyFont="1" applyFill="1" applyBorder="1"/>
    <xf numFmtId="3" fontId="26" fillId="8" borderId="0" xfId="6" applyNumberFormat="1" applyFont="1" applyFill="1"/>
    <xf numFmtId="166" fontId="26" fillId="8" borderId="6" xfId="6" applyNumberFormat="1" applyFont="1" applyFill="1" applyBorder="1"/>
    <xf numFmtId="166" fontId="26" fillId="8" borderId="0" xfId="6" applyNumberFormat="1" applyFont="1" applyFill="1"/>
    <xf numFmtId="170" fontId="26" fillId="8" borderId="6" xfId="6" applyNumberFormat="1" applyFont="1" applyFill="1" applyBorder="1" applyAlignment="1">
      <alignment horizontal="right"/>
    </xf>
    <xf numFmtId="166" fontId="26" fillId="8" borderId="5" xfId="6" applyNumberFormat="1" applyFont="1" applyFill="1" applyBorder="1"/>
    <xf numFmtId="0" fontId="33" fillId="8" borderId="6" xfId="6" applyFont="1" applyFill="1" applyBorder="1" applyAlignment="1">
      <alignment horizontal="right"/>
    </xf>
    <xf numFmtId="166" fontId="26" fillId="8" borderId="2" xfId="6" applyNumberFormat="1" applyFont="1" applyFill="1" applyBorder="1"/>
    <xf numFmtId="166" fontId="26" fillId="8" borderId="3" xfId="6" applyNumberFormat="1" applyFont="1" applyFill="1" applyBorder="1"/>
    <xf numFmtId="0" fontId="33" fillId="8" borderId="2" xfId="6" applyFont="1" applyFill="1" applyBorder="1" applyAlignment="1">
      <alignment horizontal="right"/>
    </xf>
    <xf numFmtId="166" fontId="26" fillId="8" borderId="1" xfId="6" applyNumberFormat="1" applyFont="1" applyFill="1" applyBorder="1"/>
    <xf numFmtId="0" fontId="25" fillId="0" borderId="0" xfId="6" applyFont="1"/>
    <xf numFmtId="166" fontId="26" fillId="0" borderId="0" xfId="6" applyNumberFormat="1" applyFont="1"/>
    <xf numFmtId="2" fontId="26" fillId="0" borderId="0" xfId="6" applyNumberFormat="1" applyFont="1"/>
    <xf numFmtId="2" fontId="14" fillId="0" borderId="0" xfId="6" applyNumberFormat="1"/>
    <xf numFmtId="165" fontId="26" fillId="0" borderId="0" xfId="6" applyNumberFormat="1" applyFont="1"/>
    <xf numFmtId="20" fontId="26" fillId="0" borderId="0" xfId="6" applyNumberFormat="1" applyFont="1"/>
    <xf numFmtId="165" fontId="26" fillId="8" borderId="9" xfId="6" applyNumberFormat="1" applyFont="1" applyFill="1" applyBorder="1"/>
    <xf numFmtId="165" fontId="26" fillId="8" borderId="8" xfId="6" applyNumberFormat="1" applyFont="1" applyFill="1" applyBorder="1"/>
    <xf numFmtId="165" fontId="26" fillId="8" borderId="7" xfId="6" applyNumberFormat="1" applyFont="1" applyFill="1" applyBorder="1"/>
    <xf numFmtId="165" fontId="26" fillId="8" borderId="18" xfId="6" applyNumberFormat="1" applyFont="1" applyFill="1" applyBorder="1"/>
    <xf numFmtId="165" fontId="26" fillId="8" borderId="17" xfId="6" applyNumberFormat="1" applyFont="1" applyFill="1" applyBorder="1"/>
    <xf numFmtId="165" fontId="26" fillId="8" borderId="6" xfId="6" applyNumberFormat="1" applyFont="1" applyFill="1" applyBorder="1"/>
    <xf numFmtId="165" fontId="26" fillId="8" borderId="16" xfId="6" applyNumberFormat="1" applyFont="1" applyFill="1" applyBorder="1"/>
    <xf numFmtId="165" fontId="26" fillId="8" borderId="15" xfId="6" applyNumberFormat="1" applyFont="1" applyFill="1" applyBorder="1"/>
    <xf numFmtId="165" fontId="25" fillId="8" borderId="6" xfId="6" applyNumberFormat="1" applyFont="1" applyFill="1" applyBorder="1"/>
    <xf numFmtId="165" fontId="25" fillId="8" borderId="0" xfId="6" applyNumberFormat="1" applyFont="1" applyFill="1"/>
    <xf numFmtId="165" fontId="25" fillId="8" borderId="5" xfId="6" applyNumberFormat="1" applyFont="1" applyFill="1" applyBorder="1"/>
    <xf numFmtId="165" fontId="25" fillId="8" borderId="16" xfId="6" applyNumberFormat="1" applyFont="1" applyFill="1" applyBorder="1"/>
    <xf numFmtId="165" fontId="25" fillId="8" borderId="15" xfId="6" applyNumberFormat="1" applyFont="1" applyFill="1" applyBorder="1"/>
    <xf numFmtId="0" fontId="25" fillId="8" borderId="13" xfId="6" applyFont="1" applyFill="1" applyBorder="1"/>
    <xf numFmtId="0" fontId="14" fillId="0" borderId="0" xfId="6" applyAlignment="1">
      <alignment horizontal="right"/>
    </xf>
    <xf numFmtId="0" fontId="35" fillId="0" borderId="0" xfId="6" applyFont="1"/>
    <xf numFmtId="165" fontId="26" fillId="8" borderId="2" xfId="6" applyNumberFormat="1" applyFont="1" applyFill="1" applyBorder="1"/>
    <xf numFmtId="165" fontId="26" fillId="8" borderId="3" xfId="6" applyNumberFormat="1" applyFont="1" applyFill="1" applyBorder="1"/>
    <xf numFmtId="165" fontId="26" fillId="8" borderId="1" xfId="6" applyNumberFormat="1" applyFont="1" applyFill="1" applyBorder="1"/>
    <xf numFmtId="165" fontId="26" fillId="8" borderId="20" xfId="6" applyNumberFormat="1" applyFont="1" applyFill="1" applyBorder="1"/>
    <xf numFmtId="165" fontId="26" fillId="8" borderId="19" xfId="6" applyNumberFormat="1" applyFont="1" applyFill="1" applyBorder="1"/>
    <xf numFmtId="0" fontId="32" fillId="4" borderId="16" xfId="6" applyFont="1" applyFill="1" applyBorder="1" applyAlignment="1">
      <alignment horizontal="right"/>
    </xf>
    <xf numFmtId="0" fontId="32" fillId="4" borderId="25" xfId="6" applyFont="1" applyFill="1" applyBorder="1" applyAlignment="1">
      <alignment horizontal="right"/>
    </xf>
    <xf numFmtId="173" fontId="26" fillId="0" borderId="0" xfId="6" applyNumberFormat="1" applyFont="1"/>
    <xf numFmtId="167" fontId="14" fillId="0" borderId="0" xfId="6" applyNumberFormat="1"/>
    <xf numFmtId="0" fontId="15" fillId="0" borderId="0" xfId="6" applyFont="1" applyAlignment="1">
      <alignment horizontal="center"/>
    </xf>
    <xf numFmtId="167" fontId="26" fillId="8" borderId="9" xfId="6" applyNumberFormat="1" applyFont="1" applyFill="1" applyBorder="1"/>
    <xf numFmtId="167" fontId="26" fillId="8" borderId="8" xfId="6" applyNumberFormat="1" applyFont="1" applyFill="1" applyBorder="1"/>
    <xf numFmtId="167" fontId="26" fillId="8" borderId="18" xfId="6" applyNumberFormat="1" applyFont="1" applyFill="1" applyBorder="1"/>
    <xf numFmtId="167" fontId="26" fillId="8" borderId="17" xfId="6" applyNumberFormat="1" applyFont="1" applyFill="1" applyBorder="1"/>
    <xf numFmtId="167" fontId="26" fillId="8" borderId="6" xfId="6" applyNumberFormat="1" applyFont="1" applyFill="1" applyBorder="1"/>
    <xf numFmtId="167" fontId="26" fillId="8" borderId="0" xfId="6" applyNumberFormat="1" applyFont="1" applyFill="1"/>
    <xf numFmtId="167" fontId="26" fillId="8" borderId="16" xfId="6" applyNumberFormat="1" applyFont="1" applyFill="1" applyBorder="1"/>
    <xf numFmtId="167" fontId="26" fillId="8" borderId="15" xfId="6" applyNumberFormat="1" applyFont="1" applyFill="1" applyBorder="1"/>
    <xf numFmtId="167" fontId="26" fillId="8" borderId="2" xfId="6" applyNumberFormat="1" applyFont="1" applyFill="1" applyBorder="1"/>
    <xf numFmtId="167" fontId="26" fillId="8" borderId="3" xfId="6" applyNumberFormat="1" applyFont="1" applyFill="1" applyBorder="1"/>
    <xf numFmtId="167" fontId="26" fillId="8" borderId="20" xfId="6" applyNumberFormat="1" applyFont="1" applyFill="1" applyBorder="1"/>
    <xf numFmtId="167" fontId="26" fillId="8" borderId="19" xfId="6" applyNumberFormat="1" applyFont="1" applyFill="1" applyBorder="1"/>
    <xf numFmtId="167" fontId="14" fillId="8" borderId="6" xfId="6" applyNumberFormat="1" applyFill="1" applyBorder="1"/>
    <xf numFmtId="167" fontId="14" fillId="8" borderId="0" xfId="6" applyNumberFormat="1" applyFill="1"/>
    <xf numFmtId="167" fontId="14" fillId="8" borderId="16" xfId="6" applyNumberFormat="1" applyFill="1" applyBorder="1"/>
    <xf numFmtId="167" fontId="14" fillId="8" borderId="15" xfId="6" applyNumberFormat="1" applyFill="1" applyBorder="1"/>
    <xf numFmtId="0" fontId="14" fillId="8" borderId="8" xfId="6" applyFill="1" applyBorder="1"/>
    <xf numFmtId="0" fontId="26" fillId="8" borderId="18" xfId="6" applyFont="1" applyFill="1" applyBorder="1"/>
    <xf numFmtId="0" fontId="26" fillId="8" borderId="17" xfId="6" applyFont="1" applyFill="1" applyBorder="1"/>
    <xf numFmtId="0" fontId="36" fillId="0" borderId="0" xfId="6" applyFont="1"/>
    <xf numFmtId="167" fontId="14" fillId="8" borderId="9" xfId="6" applyNumberFormat="1" applyFill="1" applyBorder="1"/>
    <xf numFmtId="167" fontId="14" fillId="8" borderId="2" xfId="6" applyNumberFormat="1" applyFill="1" applyBorder="1"/>
    <xf numFmtId="0" fontId="32" fillId="4" borderId="2" xfId="6" applyFont="1" applyFill="1" applyBorder="1" applyAlignment="1">
      <alignment horizontal="right"/>
    </xf>
    <xf numFmtId="0" fontId="32" fillId="4" borderId="3" xfId="6" applyFont="1" applyFill="1" applyBorder="1" applyAlignment="1">
      <alignment horizontal="right"/>
    </xf>
    <xf numFmtId="0" fontId="32" fillId="4" borderId="1" xfId="6" applyFont="1" applyFill="1" applyBorder="1" applyAlignment="1">
      <alignment horizontal="right"/>
    </xf>
    <xf numFmtId="2" fontId="25" fillId="0" borderId="0" xfId="6" applyNumberFormat="1" applyFont="1"/>
    <xf numFmtId="4" fontId="14" fillId="0" borderId="0" xfId="6" applyNumberFormat="1"/>
    <xf numFmtId="0" fontId="12" fillId="0" borderId="0" xfId="5"/>
    <xf numFmtId="0" fontId="37" fillId="0" borderId="0" xfId="5" applyFont="1"/>
    <xf numFmtId="164" fontId="14" fillId="8" borderId="7" xfId="6" applyNumberFormat="1" applyFill="1" applyBorder="1"/>
    <xf numFmtId="0" fontId="14" fillId="8" borderId="0" xfId="6" applyFill="1"/>
    <xf numFmtId="164" fontId="14" fillId="8" borderId="5" xfId="6" applyNumberFormat="1" applyFill="1" applyBorder="1"/>
    <xf numFmtId="0" fontId="4" fillId="8" borderId="3" xfId="6" applyFont="1" applyFill="1" applyBorder="1"/>
    <xf numFmtId="0" fontId="4" fillId="8" borderId="1" xfId="6" applyFont="1" applyFill="1" applyBorder="1" applyAlignment="1">
      <alignment horizontal="right"/>
    </xf>
    <xf numFmtId="0" fontId="4" fillId="0" borderId="0" xfId="6" applyFont="1"/>
    <xf numFmtId="0" fontId="26" fillId="8" borderId="8" xfId="6" applyFont="1" applyFill="1" applyBorder="1" applyAlignment="1">
      <alignment horizontal="left"/>
    </xf>
    <xf numFmtId="0" fontId="26" fillId="8" borderId="8" xfId="6" applyFont="1" applyFill="1" applyBorder="1" applyAlignment="1">
      <alignment horizontal="center"/>
    </xf>
    <xf numFmtId="0" fontId="26" fillId="8" borderId="7" xfId="6" applyFont="1" applyFill="1" applyBorder="1" applyAlignment="1">
      <alignment horizontal="center"/>
    </xf>
    <xf numFmtId="0" fontId="26" fillId="8" borderId="0" xfId="6" applyFont="1" applyFill="1" applyAlignment="1">
      <alignment horizontal="center"/>
    </xf>
    <xf numFmtId="0" fontId="26" fillId="8" borderId="5" xfId="6" applyFont="1" applyFill="1" applyBorder="1" applyAlignment="1">
      <alignment horizontal="center"/>
    </xf>
    <xf numFmtId="0" fontId="26" fillId="8" borderId="0" xfId="6" applyFont="1" applyFill="1" applyAlignment="1">
      <alignment horizontal="left"/>
    </xf>
    <xf numFmtId="0" fontId="33" fillId="8" borderId="2" xfId="6" applyFont="1" applyFill="1" applyBorder="1"/>
    <xf numFmtId="0" fontId="33" fillId="8" borderId="3" xfId="6" applyFont="1" applyFill="1" applyBorder="1"/>
    <xf numFmtId="0" fontId="33" fillId="8" borderId="3" xfId="6" applyFont="1" applyFill="1" applyBorder="1" applyAlignment="1">
      <alignment horizontal="center"/>
    </xf>
    <xf numFmtId="0" fontId="33" fillId="8" borderId="1" xfId="6" applyFont="1" applyFill="1" applyBorder="1" applyAlignment="1">
      <alignment horizontal="center"/>
    </xf>
    <xf numFmtId="164" fontId="26" fillId="8" borderId="8" xfId="6" applyNumberFormat="1" applyFont="1" applyFill="1" applyBorder="1"/>
    <xf numFmtId="0" fontId="26" fillId="8" borderId="2" xfId="6" applyFont="1" applyFill="1" applyBorder="1"/>
    <xf numFmtId="0" fontId="14" fillId="8" borderId="7" xfId="6" applyFill="1" applyBorder="1"/>
    <xf numFmtId="166" fontId="4" fillId="0" borderId="0" xfId="6" applyNumberFormat="1" applyFont="1"/>
    <xf numFmtId="171" fontId="4" fillId="8" borderId="6" xfId="6" applyNumberFormat="1" applyFont="1" applyFill="1" applyBorder="1"/>
    <xf numFmtId="0" fontId="4" fillId="8" borderId="5" xfId="6" applyFont="1" applyFill="1" applyBorder="1"/>
    <xf numFmtId="4" fontId="33" fillId="0" borderId="0" xfId="6" applyNumberFormat="1" applyFont="1" applyAlignment="1">
      <alignment horizontal="right"/>
    </xf>
    <xf numFmtId="4" fontId="26" fillId="8" borderId="6" xfId="6" applyNumberFormat="1" applyFont="1" applyFill="1" applyBorder="1" applyAlignment="1">
      <alignment horizontal="right"/>
    </xf>
    <xf numFmtId="0" fontId="14" fillId="8" borderId="5" xfId="6" applyFill="1" applyBorder="1"/>
    <xf numFmtId="0" fontId="27" fillId="0" borderId="0" xfId="6" applyFont="1" applyAlignment="1">
      <alignment horizontal="right"/>
    </xf>
    <xf numFmtId="0" fontId="27" fillId="8" borderId="6" xfId="6" applyFont="1" applyFill="1" applyBorder="1" applyAlignment="1">
      <alignment horizontal="right"/>
    </xf>
    <xf numFmtId="0" fontId="28" fillId="8" borderId="1" xfId="6" applyFont="1" applyFill="1" applyBorder="1"/>
    <xf numFmtId="0" fontId="26" fillId="8" borderId="9" xfId="6" applyFont="1" applyFill="1" applyBorder="1" applyAlignment="1">
      <alignment horizontal="center"/>
    </xf>
    <xf numFmtId="1" fontId="26" fillId="8" borderId="8" xfId="6" applyNumberFormat="1" applyFont="1" applyFill="1" applyBorder="1" applyAlignment="1">
      <alignment horizontal="center"/>
    </xf>
    <xf numFmtId="0" fontId="26" fillId="8" borderId="6" xfId="6" applyFont="1" applyFill="1" applyBorder="1" applyAlignment="1">
      <alignment horizontal="center"/>
    </xf>
    <xf numFmtId="1" fontId="26" fillId="8" borderId="0" xfId="6" applyNumberFormat="1" applyFont="1" applyFill="1" applyAlignment="1">
      <alignment horizontal="center"/>
    </xf>
    <xf numFmtId="2" fontId="26" fillId="8" borderId="0" xfId="6" applyNumberFormat="1" applyFont="1" applyFill="1" applyAlignment="1">
      <alignment horizontal="right"/>
    </xf>
    <xf numFmtId="1" fontId="4" fillId="8" borderId="0" xfId="6" applyNumberFormat="1" applyFont="1" applyFill="1" applyAlignment="1">
      <alignment horizontal="right"/>
    </xf>
    <xf numFmtId="1" fontId="26" fillId="8" borderId="0" xfId="6" applyNumberFormat="1" applyFont="1" applyFill="1" applyAlignment="1">
      <alignment horizontal="right"/>
    </xf>
    <xf numFmtId="0" fontId="26" fillId="8" borderId="0" xfId="6" applyFont="1" applyFill="1" applyAlignment="1">
      <alignment horizontal="right"/>
    </xf>
    <xf numFmtId="0" fontId="27" fillId="8" borderId="2" xfId="6" applyFont="1" applyFill="1" applyBorder="1" applyAlignment="1">
      <alignment horizontal="center"/>
    </xf>
    <xf numFmtId="0" fontId="27" fillId="8" borderId="3" xfId="6" applyFont="1" applyFill="1" applyBorder="1" applyAlignment="1">
      <alignment horizontal="center"/>
    </xf>
    <xf numFmtId="0" fontId="26" fillId="8" borderId="3" xfId="6" applyFont="1" applyFill="1" applyBorder="1" applyAlignment="1">
      <alignment horizontal="center"/>
    </xf>
    <xf numFmtId="4" fontId="26" fillId="8" borderId="9" xfId="6" applyNumberFormat="1" applyFont="1" applyFill="1" applyBorder="1"/>
    <xf numFmtId="4" fontId="26" fillId="8" borderId="8" xfId="6" applyNumberFormat="1" applyFont="1" applyFill="1" applyBorder="1"/>
    <xf numFmtId="1" fontId="26" fillId="8" borderId="6" xfId="6" applyNumberFormat="1" applyFont="1" applyFill="1" applyBorder="1"/>
    <xf numFmtId="174" fontId="4" fillId="8" borderId="0" xfId="6" applyNumberFormat="1" applyFont="1" applyFill="1"/>
    <xf numFmtId="167" fontId="4" fillId="8" borderId="0" xfId="6" applyNumberFormat="1" applyFont="1" applyFill="1"/>
    <xf numFmtId="1" fontId="4" fillId="8" borderId="6" xfId="6" applyNumberFormat="1" applyFont="1" applyFill="1" applyBorder="1"/>
    <xf numFmtId="0" fontId="4" fillId="8" borderId="0" xfId="6" applyFont="1" applyFill="1"/>
    <xf numFmtId="1" fontId="4" fillId="8" borderId="0" xfId="6" applyNumberFormat="1" applyFont="1" applyFill="1"/>
    <xf numFmtId="167" fontId="4" fillId="8" borderId="6" xfId="6" applyNumberFormat="1" applyFont="1" applyFill="1" applyBorder="1"/>
    <xf numFmtId="0" fontId="17" fillId="8" borderId="3" xfId="6" applyFont="1" applyFill="1" applyBorder="1"/>
    <xf numFmtId="0" fontId="12" fillId="8" borderId="1" xfId="5" applyFill="1" applyBorder="1"/>
    <xf numFmtId="170" fontId="4" fillId="8" borderId="9" xfId="6" applyNumberFormat="1" applyFont="1" applyFill="1" applyBorder="1"/>
    <xf numFmtId="170" fontId="4" fillId="8" borderId="8" xfId="6" applyNumberFormat="1" applyFont="1" applyFill="1" applyBorder="1"/>
    <xf numFmtId="0" fontId="4" fillId="8" borderId="7" xfId="6" applyFont="1" applyFill="1" applyBorder="1"/>
    <xf numFmtId="2" fontId="26" fillId="8" borderId="6" xfId="6" applyNumberFormat="1" applyFont="1" applyFill="1" applyBorder="1"/>
    <xf numFmtId="4" fontId="26" fillId="8" borderId="0" xfId="6" applyNumberFormat="1" applyFont="1" applyFill="1"/>
    <xf numFmtId="0" fontId="33" fillId="8" borderId="5" xfId="6" applyFont="1" applyFill="1" applyBorder="1"/>
    <xf numFmtId="170" fontId="4" fillId="8" borderId="6" xfId="6" applyNumberFormat="1" applyFont="1" applyFill="1" applyBorder="1"/>
    <xf numFmtId="170" fontId="4" fillId="8" borderId="0" xfId="6" applyNumberFormat="1" applyFont="1" applyFill="1"/>
    <xf numFmtId="0" fontId="27" fillId="8" borderId="0" xfId="6" applyFont="1" applyFill="1" applyAlignment="1">
      <alignment horizontal="right"/>
    </xf>
    <xf numFmtId="0" fontId="17" fillId="8" borderId="2" xfId="6" applyFont="1" applyFill="1" applyBorder="1"/>
    <xf numFmtId="2" fontId="26" fillId="8" borderId="0" xfId="6" applyNumberFormat="1" applyFont="1" applyFill="1"/>
    <xf numFmtId="0" fontId="41" fillId="0" borderId="0" xfId="1" applyFont="1"/>
    <xf numFmtId="0" fontId="24" fillId="7" borderId="0" xfId="7" applyFont="1" applyFill="1" applyAlignment="1">
      <alignment horizontal="center" vertical="center" wrapText="1"/>
    </xf>
    <xf numFmtId="0" fontId="20" fillId="0" borderId="1" xfId="9" applyFont="1" applyBorder="1" applyAlignment="1">
      <alignment horizontal="center"/>
    </xf>
    <xf numFmtId="0" fontId="20" fillId="0" borderId="3" xfId="9" applyFont="1" applyBorder="1" applyAlignment="1">
      <alignment horizontal="center"/>
    </xf>
    <xf numFmtId="0" fontId="20" fillId="0" borderId="23" xfId="9" applyFont="1" applyBorder="1" applyAlignment="1">
      <alignment horizontal="center"/>
    </xf>
    <xf numFmtId="0" fontId="19" fillId="0" borderId="5" xfId="10" applyFont="1" applyBorder="1" applyAlignment="1">
      <alignment horizontal="center"/>
    </xf>
    <xf numFmtId="0" fontId="19" fillId="0" borderId="0" xfId="10" applyFont="1" applyAlignment="1">
      <alignment horizontal="center"/>
    </xf>
    <xf numFmtId="0" fontId="19" fillId="0" borderId="22" xfId="10" applyFont="1" applyBorder="1" applyAlignment="1">
      <alignment horizontal="center"/>
    </xf>
    <xf numFmtId="0" fontId="19" fillId="0" borderId="7" xfId="10" applyFont="1" applyBorder="1" applyAlignment="1">
      <alignment horizontal="center"/>
    </xf>
    <xf numFmtId="0" fontId="19" fillId="0" borderId="8" xfId="10" applyFont="1" applyBorder="1" applyAlignment="1">
      <alignment horizontal="center"/>
    </xf>
    <xf numFmtId="0" fontId="19" fillId="0" borderId="21" xfId="10" applyFont="1" applyBorder="1" applyAlignment="1">
      <alignment horizontal="center"/>
    </xf>
    <xf numFmtId="0" fontId="12" fillId="0" borderId="0" xfId="5" applyAlignment="1">
      <alignment horizontal="center"/>
    </xf>
    <xf numFmtId="0" fontId="29" fillId="2" borderId="3" xfId="6" applyFont="1" applyFill="1" applyBorder="1"/>
    <xf numFmtId="0" fontId="29" fillId="2" borderId="0" xfId="6" applyFont="1" applyFill="1"/>
    <xf numFmtId="0" fontId="42" fillId="0" borderId="0" xfId="6" applyFont="1" applyAlignment="1">
      <alignment horizontal="center"/>
    </xf>
    <xf numFmtId="0" fontId="38" fillId="0" borderId="0" xfId="6" applyFont="1" applyAlignment="1">
      <alignment horizontal="left" vertical="center"/>
    </xf>
    <xf numFmtId="0" fontId="4" fillId="8" borderId="1" xfId="6" applyFont="1" applyFill="1" applyBorder="1" applyAlignment="1">
      <alignment horizontal="center"/>
    </xf>
    <xf numFmtId="0" fontId="4" fillId="8" borderId="3" xfId="6" applyFont="1" applyFill="1" applyBorder="1" applyAlignment="1">
      <alignment horizontal="center"/>
    </xf>
    <xf numFmtId="0" fontId="4" fillId="8" borderId="2" xfId="6" applyFont="1" applyFill="1" applyBorder="1" applyAlignment="1">
      <alignment horizontal="center"/>
    </xf>
    <xf numFmtId="0" fontId="16" fillId="0" borderId="0" xfId="6" applyFont="1" applyAlignment="1">
      <alignment horizontal="center"/>
    </xf>
    <xf numFmtId="0" fontId="43" fillId="3" borderId="0" xfId="6" applyFont="1" applyFill="1" applyBorder="1" applyAlignment="1">
      <alignment horizontal="center" vertical="center"/>
    </xf>
    <xf numFmtId="0" fontId="44" fillId="3" borderId="0" xfId="6" applyFont="1" applyFill="1" applyBorder="1"/>
    <xf numFmtId="0" fontId="43" fillId="3" borderId="0" xfId="6" applyFont="1" applyFill="1" applyBorder="1" applyAlignment="1">
      <alignment horizontal="right"/>
    </xf>
    <xf numFmtId="171" fontId="44" fillId="3" borderId="0" xfId="6" applyNumberFormat="1" applyFont="1" applyFill="1" applyBorder="1"/>
  </cellXfs>
  <cellStyles count="11">
    <cellStyle name="Hyperlink" xfId="1" builtinId="8"/>
    <cellStyle name="Hyperlink 2" xfId="3" xr:uid="{4FE61311-DBD8-B048-945F-211246329FAC}"/>
    <cellStyle name="Hyperlink 2 2" xfId="9" xr:uid="{9AEAE755-0984-374B-83D3-325E278840C1}"/>
    <cellStyle name="Hyperlink 3" xfId="5" xr:uid="{6006D9EC-8120-0749-984A-414BFE0882C3}"/>
    <cellStyle name="Normal" xfId="0" builtinId="0"/>
    <cellStyle name="Normal 2" xfId="2" xr:uid="{63DDC796-707B-E346-BECA-246AC8FB8D6E}"/>
    <cellStyle name="Normal 2 2" xfId="7" xr:uid="{23C92AB3-C5D4-E44F-86E5-0B511C926082}"/>
    <cellStyle name="Normal 3" xfId="4" xr:uid="{9EF0BE49-41F8-3641-9F36-6E0EA183D3EE}"/>
    <cellStyle name="Normal 3 2" xfId="10" xr:uid="{5627FF92-F093-7C46-954F-31B3B211F802}"/>
    <cellStyle name="Normal 4" xfId="6" xr:uid="{19ECB998-5E58-6E4F-9183-EF25138180AA}"/>
    <cellStyle name="Normal 5" xfId="8" xr:uid="{25E274EF-2CE5-6C42-848D-8D45B2DC2040}"/>
  </cellStyles>
  <dxfs count="0"/>
  <tableStyles count="0" defaultTableStyle="TableStyleMedium9" defaultPivotStyle="PivotStyleMedium7"/>
  <colors>
    <mruColors>
      <color rgb="FFFFF4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de-CH" b="0">
                <a:solidFill>
                  <a:schemeClr val="bg1"/>
                </a:solidFill>
              </a:defRPr>
            </a:pPr>
            <a:r>
              <a:rPr lang="en-US" b="0">
                <a:solidFill>
                  <a:schemeClr val="bg1"/>
                </a:solidFill>
              </a:rPr>
              <a:t>Planet Positions (Earth Horizon, chosen location)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2219700726481383E-2"/>
          <c:y val="0.10394858874908054"/>
          <c:w val="0.93490542031338664"/>
          <c:h val="0.80070180550570857"/>
        </c:manualLayout>
      </c:layout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xVal>
            <c:numRef>
              <c:f>'Solar System'!$O$35:$O$44</c:f>
              <c:numCache>
                <c:formatCode>#,##0.0000</c:formatCode>
                <c:ptCount val="10"/>
                <c:pt idx="0">
                  <c:v>308.87771794172158</c:v>
                </c:pt>
                <c:pt idx="1">
                  <c:v>323.82446865559257</c:v>
                </c:pt>
                <c:pt idx="2">
                  <c:v>313.952225378707</c:v>
                </c:pt>
                <c:pt idx="3">
                  <c:v>340.75372708141771</c:v>
                </c:pt>
                <c:pt idx="4">
                  <c:v>300.19837741873954</c:v>
                </c:pt>
                <c:pt idx="5">
                  <c:v>357.40723921164465</c:v>
                </c:pt>
                <c:pt idx="6">
                  <c:v>301.61431766589817</c:v>
                </c:pt>
                <c:pt idx="7">
                  <c:v>342.14107726573513</c:v>
                </c:pt>
                <c:pt idx="8">
                  <c:v>340.78992930851791</c:v>
                </c:pt>
                <c:pt idx="9">
                  <c:v>69.963175730293315</c:v>
                </c:pt>
              </c:numCache>
            </c:numRef>
          </c:xVal>
          <c:yVal>
            <c:numRef>
              <c:f>'Solar System'!$P$35:$P$44</c:f>
              <c:numCache>
                <c:formatCode>#,##0.0000</c:formatCode>
                <c:ptCount val="10"/>
                <c:pt idx="0">
                  <c:v>-12.822923967478477</c:v>
                </c:pt>
                <c:pt idx="1">
                  <c:v>-32.479778698086882</c:v>
                </c:pt>
                <c:pt idx="2">
                  <c:v>-20.829390685765521</c:v>
                </c:pt>
                <c:pt idx="3">
                  <c:v>-43.028461547570046</c:v>
                </c:pt>
                <c:pt idx="4">
                  <c:v>-2.8510972544559938</c:v>
                </c:pt>
                <c:pt idx="5">
                  <c:v>-50.409655482293225</c:v>
                </c:pt>
                <c:pt idx="6">
                  <c:v>-3.9074506638575128</c:v>
                </c:pt>
                <c:pt idx="7">
                  <c:v>-43.724155767128828</c:v>
                </c:pt>
                <c:pt idx="8">
                  <c:v>-41.474197564907364</c:v>
                </c:pt>
                <c:pt idx="9">
                  <c:v>-50.933952079729728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3-D446-9B0C-C747F423269B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FFFF00"/>
              </a:solidFill>
            </c:spPr>
          </c:marker>
          <c:dPt>
            <c:idx val="1"/>
            <c:marker>
              <c:spPr>
                <a:solidFill>
                  <a:schemeClr val="bg2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2F3-D446-9B0C-C747F423269B}"/>
              </c:ext>
            </c:extLst>
          </c:dPt>
          <c:dPt>
            <c:idx val="2"/>
            <c:marker>
              <c:spPr>
                <a:solidFill>
                  <a:schemeClr val="bg2">
                    <a:lumMod val="25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F3-D446-9B0C-C747F423269B}"/>
              </c:ext>
            </c:extLst>
          </c:dPt>
          <c:dPt>
            <c:idx val="3"/>
            <c:marker>
              <c:spPr>
                <a:solidFill>
                  <a:srgbClr val="C0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F3-D446-9B0C-C747F423269B}"/>
              </c:ext>
            </c:extLst>
          </c:dPt>
          <c:dPt>
            <c:idx val="4"/>
            <c:marker>
              <c:spPr>
                <a:gradFill>
                  <a:gsLst>
                    <a:gs pos="0">
                      <a:schemeClr val="accent1">
                        <a:lumMod val="60000"/>
                        <a:lumOff val="40000"/>
                      </a:schemeClr>
                    </a:gs>
                    <a:gs pos="50000">
                      <a:srgbClr val="4F81BD">
                        <a:tint val="44500"/>
                        <a:satMod val="160000"/>
                      </a:srgbClr>
                    </a:gs>
                    <a:gs pos="100000">
                      <a:srgbClr val="4F81BD">
                        <a:tint val="23500"/>
                        <a:satMod val="160000"/>
                      </a:srgbClr>
                    </a:gs>
                  </a:gsLst>
                  <a:lin ang="5400000" scaled="0"/>
                </a:gra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F3-D446-9B0C-C747F423269B}"/>
              </c:ext>
            </c:extLst>
          </c:dPt>
          <c:dPt>
            <c:idx val="5"/>
            <c:marker>
              <c:spPr>
                <a:blipFill>
                  <a:blip xmlns:r="http://schemas.openxmlformats.org/officeDocument/2006/relationships" r:embed="rId1"/>
                  <a:tile tx="0" ty="0" sx="100000" sy="100000" flip="none" algn="tl"/>
                </a:blip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F3-D446-9B0C-C747F423269B}"/>
              </c:ext>
            </c:extLst>
          </c:dPt>
          <c:dPt>
            <c:idx val="6"/>
            <c:marker>
              <c:spPr>
                <a:solidFill>
                  <a:schemeClr val="tx2">
                    <a:lumMod val="20000"/>
                    <a:lumOff val="8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F3-D446-9B0C-C747F423269B}"/>
              </c:ext>
            </c:extLst>
          </c:dPt>
          <c:dPt>
            <c:idx val="7"/>
            <c:marker>
              <c:spPr>
                <a:solidFill>
                  <a:schemeClr val="tx2">
                    <a:lumMod val="60000"/>
                    <a:lumOff val="4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F3-D446-9B0C-C747F423269B}"/>
              </c:ext>
            </c:extLst>
          </c:dPt>
          <c:dPt>
            <c:idx val="8"/>
            <c:marker>
              <c:spPr>
                <a:solidFill>
                  <a:schemeClr val="accent6">
                    <a:lumMod val="60000"/>
                    <a:lumOff val="4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F3-D446-9B0C-C747F423269B}"/>
              </c:ext>
            </c:extLst>
          </c:dPt>
          <c:dPt>
            <c:idx val="9"/>
            <c:marker>
              <c:spPr>
                <a:solidFill>
                  <a:schemeClr val="accent1">
                    <a:lumMod val="75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F3-D446-9B0C-C747F423269B}"/>
              </c:ext>
            </c:extLst>
          </c:dPt>
          <c:dLbls>
            <c:dLbl>
              <c:idx val="0"/>
              <c:tx>
                <c:strRef>
                  <c:f>'Solar System'!$N$35</c:f>
                  <c:strCache>
                    <c:ptCount val="1"/>
                    <c:pt idx="0">
                      <c:v>Sun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{D5FE0985-AD35-3140-950B-0C9F3F1078F7}</c15:txfldGUID>
                      <c15:f>'Solar System'!$N$35</c15:f>
                      <c15:dlblFieldTableCache>
                        <c:ptCount val="1"/>
                        <c:pt idx="0">
                          <c:v>Sun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2F3-D446-9B0C-C747F423269B}"/>
                </c:ext>
              </c:extLst>
            </c:dLbl>
            <c:dLbl>
              <c:idx val="1"/>
              <c:tx>
                <c:strRef>
                  <c:f>'Solar System'!$N$36</c:f>
                  <c:strCache>
                    <c:ptCount val="1"/>
                    <c:pt idx="0">
                      <c:v>Mercury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{28EEABBD-6221-3840-85FE-1624B20A9F5C}</c15:txfldGUID>
                      <c15:f>'Solar System'!$N$36</c15:f>
                      <c15:dlblFieldTableCache>
                        <c:ptCount val="1"/>
                        <c:pt idx="0">
                          <c:v>Mercury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2F3-D446-9B0C-C747F423269B}"/>
                </c:ext>
              </c:extLst>
            </c:dLbl>
            <c:dLbl>
              <c:idx val="2"/>
              <c:tx>
                <c:strRef>
                  <c:f>'Solar System'!$N$37</c:f>
                  <c:strCache>
                    <c:ptCount val="1"/>
                    <c:pt idx="0">
                      <c:v>Venus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{9653F970-03BD-6C4D-A487-31CCA03597D8}</c15:txfldGUID>
                      <c15:f>'Solar System'!$N$37</c15:f>
                      <c15:dlblFieldTableCache>
                        <c:ptCount val="1"/>
                        <c:pt idx="0">
                          <c:v>Venus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2F3-D446-9B0C-C747F423269B}"/>
                </c:ext>
              </c:extLst>
            </c:dLbl>
            <c:dLbl>
              <c:idx val="3"/>
              <c:tx>
                <c:strRef>
                  <c:f>'Solar System'!$N$38</c:f>
                  <c:strCache>
                    <c:ptCount val="1"/>
                    <c:pt idx="0">
                      <c:v>Mars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{3406D8E5-7698-DD45-BC53-EAA9F4F85DC3}</c15:txfldGUID>
                      <c15:f>'Solar System'!$N$38</c15:f>
                      <c15:dlblFieldTableCache>
                        <c:ptCount val="1"/>
                        <c:pt idx="0">
                          <c:v>Mars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2F3-D446-9B0C-C747F423269B}"/>
                </c:ext>
              </c:extLst>
            </c:dLbl>
            <c:dLbl>
              <c:idx val="4"/>
              <c:tx>
                <c:strRef>
                  <c:f>'Solar System'!$N$39</c:f>
                  <c:strCache>
                    <c:ptCount val="1"/>
                    <c:pt idx="0">
                      <c:v>Jupiter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{DF4484A7-4F43-0940-B4E4-347A635A7AAA}</c15:txfldGUID>
                      <c15:f>'Solar System'!$N$39</c15:f>
                      <c15:dlblFieldTableCache>
                        <c:ptCount val="1"/>
                        <c:pt idx="0">
                          <c:v>Jupiter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2F3-D446-9B0C-C747F423269B}"/>
                </c:ext>
              </c:extLst>
            </c:dLbl>
            <c:dLbl>
              <c:idx val="5"/>
              <c:tx>
                <c:strRef>
                  <c:f>'Solar System'!$N$40</c:f>
                  <c:strCache>
                    <c:ptCount val="1"/>
                    <c:pt idx="0">
                      <c:v>Saturn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{01EE5924-C214-BC44-BA11-8425FABA5D6A}</c15:txfldGUID>
                      <c15:f>'Solar System'!$N$40</c15:f>
                      <c15:dlblFieldTableCache>
                        <c:ptCount val="1"/>
                        <c:pt idx="0">
                          <c:v>Saturn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A2F3-D446-9B0C-C747F423269B}"/>
                </c:ext>
              </c:extLst>
            </c:dLbl>
            <c:dLbl>
              <c:idx val="6"/>
              <c:tx>
                <c:strRef>
                  <c:f>'Solar System'!$N$41</c:f>
                  <c:strCache>
                    <c:ptCount val="1"/>
                    <c:pt idx="0">
                      <c:v>Uranus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{D82FDE69-A610-514B-874B-281B64D38B9A}</c15:txfldGUID>
                      <c15:f>'Solar System'!$N$41</c15:f>
                      <c15:dlblFieldTableCache>
                        <c:ptCount val="1"/>
                        <c:pt idx="0">
                          <c:v>Uranus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2F3-D446-9B0C-C747F423269B}"/>
                </c:ext>
              </c:extLst>
            </c:dLbl>
            <c:dLbl>
              <c:idx val="7"/>
              <c:tx>
                <c:strRef>
                  <c:f>'Solar System'!$N$42</c:f>
                  <c:strCache>
                    <c:ptCount val="1"/>
                    <c:pt idx="0">
                      <c:v>Neptune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{CB6F2EF2-545D-0146-86FF-FFCA86FF8105}</c15:txfldGUID>
                      <c15:f>'Solar System'!$N$42</c15:f>
                      <c15:dlblFieldTableCache>
                        <c:ptCount val="1"/>
                        <c:pt idx="0">
                          <c:v>Neptune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2F3-D446-9B0C-C747F423269B}"/>
                </c:ext>
              </c:extLst>
            </c:dLbl>
            <c:dLbl>
              <c:idx val="8"/>
              <c:tx>
                <c:strRef>
                  <c:f>'Solar System'!$N$43</c:f>
                  <c:strCache>
                    <c:ptCount val="1"/>
                    <c:pt idx="0">
                      <c:v>Pluto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{243244DD-697E-0E48-BBEE-C41D74AB0D2B}</c15:txfldGUID>
                      <c15:f>'Solar System'!$N$43</c15:f>
                      <c15:dlblFieldTableCache>
                        <c:ptCount val="1"/>
                        <c:pt idx="0">
                          <c:v>Pluto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2F3-D446-9B0C-C747F423269B}"/>
                </c:ext>
              </c:extLst>
            </c:dLbl>
            <c:dLbl>
              <c:idx val="9"/>
              <c:tx>
                <c:strRef>
                  <c:f>'Solar System'!$N$44</c:f>
                  <c:strCache>
                    <c:ptCount val="1"/>
                    <c:pt idx="0">
                      <c:v>Moon</c:v>
                    </c:pt>
                  </c:strCache>
                </c:strRef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{093F13C7-914D-3741-9C69-96623106CD4D}</c15:txfldGUID>
                      <c15:f>'Solar System'!$N$44</c15:f>
                      <c15:dlblFieldTableCache>
                        <c:ptCount val="1"/>
                        <c:pt idx="0">
                          <c:v>Moon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2F3-D446-9B0C-C747F4232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de-CH"/>
                </a:pPr>
                <a:endParaRPr lang="en-C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'Solar System'!$O$35:$O$44</c:f>
              <c:numCache>
                <c:formatCode>#,##0.0000</c:formatCode>
                <c:ptCount val="10"/>
                <c:pt idx="0">
                  <c:v>308.87771794172158</c:v>
                </c:pt>
                <c:pt idx="1">
                  <c:v>323.82446865559257</c:v>
                </c:pt>
                <c:pt idx="2">
                  <c:v>313.952225378707</c:v>
                </c:pt>
                <c:pt idx="3">
                  <c:v>340.75372708141771</c:v>
                </c:pt>
                <c:pt idx="4">
                  <c:v>300.19837741873954</c:v>
                </c:pt>
                <c:pt idx="5">
                  <c:v>357.40723921164465</c:v>
                </c:pt>
                <c:pt idx="6">
                  <c:v>301.61431766589817</c:v>
                </c:pt>
                <c:pt idx="7">
                  <c:v>342.14107726573513</c:v>
                </c:pt>
                <c:pt idx="8">
                  <c:v>340.78992930851791</c:v>
                </c:pt>
                <c:pt idx="9">
                  <c:v>69.963175730293315</c:v>
                </c:pt>
              </c:numCache>
            </c:numRef>
          </c:xVal>
          <c:yVal>
            <c:numRef>
              <c:f>'Solar System'!$P$35:$P$44</c:f>
              <c:numCache>
                <c:formatCode>#,##0.0000</c:formatCode>
                <c:ptCount val="10"/>
                <c:pt idx="0">
                  <c:v>-12.822923967478477</c:v>
                </c:pt>
                <c:pt idx="1">
                  <c:v>-32.479778698086882</c:v>
                </c:pt>
                <c:pt idx="2">
                  <c:v>-20.829390685765521</c:v>
                </c:pt>
                <c:pt idx="3">
                  <c:v>-43.028461547570046</c:v>
                </c:pt>
                <c:pt idx="4">
                  <c:v>-2.8510972544559938</c:v>
                </c:pt>
                <c:pt idx="5">
                  <c:v>-50.409655482293225</c:v>
                </c:pt>
                <c:pt idx="6">
                  <c:v>-3.9074506638575128</c:v>
                </c:pt>
                <c:pt idx="7">
                  <c:v>-43.724155767128828</c:v>
                </c:pt>
                <c:pt idx="8">
                  <c:v>-41.474197564907364</c:v>
                </c:pt>
                <c:pt idx="9">
                  <c:v>-50.933952079729728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2F3-D446-9B0C-C747F4232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3350536"/>
        <c:axId val="2112413240"/>
      </c:scatterChart>
      <c:valAx>
        <c:axId val="2103350536"/>
        <c:scaling>
          <c:orientation val="minMax"/>
          <c:max val="3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lang="de-CH"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Azimuth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txPr>
          <a:bodyPr/>
          <a:lstStyle/>
          <a:p>
            <a:pPr>
              <a:defRPr lang="de-CH">
                <a:solidFill>
                  <a:schemeClr val="bg1"/>
                </a:solidFill>
              </a:defRPr>
            </a:pPr>
            <a:endParaRPr lang="en-CH"/>
          </a:p>
        </c:txPr>
        <c:crossAx val="2112413240"/>
        <c:crosses val="autoZero"/>
        <c:crossBetween val="midCat"/>
        <c:majorUnit val="30"/>
      </c:valAx>
      <c:valAx>
        <c:axId val="2112413240"/>
        <c:scaling>
          <c:orientation val="minMax"/>
          <c:max val="90"/>
          <c:min val="-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de-CH"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Altitude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txPr>
          <a:bodyPr/>
          <a:lstStyle/>
          <a:p>
            <a:pPr>
              <a:defRPr lang="de-CH">
                <a:solidFill>
                  <a:schemeClr val="bg1"/>
                </a:solidFill>
              </a:defRPr>
            </a:pPr>
            <a:endParaRPr lang="en-CH"/>
          </a:p>
        </c:txPr>
        <c:crossAx val="2103350536"/>
        <c:crosses val="autoZero"/>
        <c:crossBetween val="midCat"/>
        <c:majorUnit val="10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chemeClr val="tx2"/>
    </a:solidFill>
  </c:spPr>
  <c:printSettings>
    <c:headerFooter/>
    <c:pageMargins b="0.750000000000003" l="0.70000000000000095" r="0.70000000000000095" t="0.750000000000003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957908635653674E-2"/>
          <c:y val="8.8570188110700786E-3"/>
          <c:w val="0.97273465049997587"/>
          <c:h val="0.98626932728264161"/>
        </c:manualLayout>
      </c:layout>
      <c:pieChart>
        <c:varyColors val="1"/>
        <c:ser>
          <c:idx val="1"/>
          <c:order val="0"/>
          <c:tx>
            <c:v>k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78-264C-A288-3A34EA5D63CF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4078-264C-A288-3A34EA5D6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areaChart>
        <c:grouping val="stacked"/>
        <c:varyColors val="0"/>
        <c:ser>
          <c:idx val="2"/>
          <c:order val="1"/>
          <c:tx>
            <c:strRef>
              <c:f>Calculations!$D$203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Calculations!$D$204:$D$404</c:f>
              <c:numCache>
                <c:formatCode>General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1.875770056289916E-4</c:v>
                </c:pt>
                <c:pt idx="102">
                  <c:v>7.5051929185354638E-4</c:v>
                </c:pt>
                <c:pt idx="103">
                  <c:v>1.6894618582472543E-3</c:v>
                </c:pt>
                <c:pt idx="104">
                  <c:v>3.0054670250183602E-3</c:v>
                </c:pt>
                <c:pt idx="105">
                  <c:v>4.7000304697695228E-3</c:v>
                </c:pt>
                <c:pt idx="106">
                  <c:v>6.7750897910866525E-3</c:v>
                </c:pt>
                <c:pt idx="107">
                  <c:v>9.2330357143105557E-3</c:v>
                </c:pt>
                <c:pt idx="108">
                  <c:v>1.2076726092553614E-2</c:v>
                </c:pt>
                <c:pt idx="109">
                  <c:v>1.5309502897542737E-2</c:v>
                </c:pt>
                <c:pt idx="110">
                  <c:v>1.8935212441343552E-2</c:v>
                </c:pt>
                <c:pt idx="111">
                  <c:v>2.2958229122782559E-2</c:v>
                </c:pt>
                <c:pt idx="112">
                  <c:v>2.738348305304994E-2</c:v>
                </c:pt>
                <c:pt idx="113">
                  <c:v>3.2216491985477824E-2</c:v>
                </c:pt>
                <c:pt idx="114">
                  <c:v>3.7463398057235975E-2</c:v>
                </c:pt>
                <c:pt idx="115">
                  <c:v>4.3131009948644272E-2</c:v>
                </c:pt>
                <c:pt idx="116">
                  <c:v>4.922685118266501E-2</c:v>
                </c:pt>
                <c:pt idx="117">
                  <c:v>5.5759215427595987E-2</c:v>
                </c:pt>
                <c:pt idx="118">
                  <c:v>6.273722983597696E-2</c:v>
                </c:pt>
                <c:pt idx="119">
                  <c:v>7.0170927659864102E-2</c:v>
                </c:pt>
                <c:pt idx="120">
                  <c:v>7.8071331636743513E-2</c:v>
                </c:pt>
                <c:pt idx="121">
                  <c:v>8.6450549954230849E-2</c:v>
                </c:pt>
                <c:pt idx="122">
                  <c:v>9.5321886992087435E-2</c:v>
                </c:pt>
                <c:pt idx="123">
                  <c:v>0.10469997152913157</c:v>
                </c:pt>
                <c:pt idx="124">
                  <c:v>0.11460090571987347</c:v>
                </c:pt>
                <c:pt idx="125">
                  <c:v>0.12504243893092204</c:v>
                </c:pt>
                <c:pt idx="126">
                  <c:v>0.13604417153445847</c:v>
                </c:pt>
                <c:pt idx="127">
                  <c:v>0.14762779505959855</c:v>
                </c:pt>
                <c:pt idx="128">
                  <c:v>0.15981737680543928</c:v>
                </c:pt>
                <c:pt idx="129">
                  <c:v>0.17263969926701517</c:v>
                </c:pt>
                <c:pt idx="130">
                  <c:v>0.18612466772385383</c:v>
                </c:pt>
                <c:pt idx="131">
                  <c:v>0.20030580338857684</c:v>
                </c:pt>
                <c:pt idx="132">
                  <c:v>0.21522084504739669</c:v>
                </c:pt>
                <c:pt idx="133">
                  <c:v>0.23091248979715917</c:v>
                </c:pt>
                <c:pt idx="134">
                  <c:v>0.2474293142836097</c:v>
                </c:pt>
                <c:pt idx="135">
                  <c:v>0.2648269333027623</c:v>
                </c:pt>
                <c:pt idx="136">
                  <c:v>0.283169475160164</c:v>
                </c:pt>
                <c:pt idx="137">
                  <c:v>0.3025314867070783</c:v>
                </c:pt>
                <c:pt idx="138">
                  <c:v>0.32300043199742556</c:v>
                </c:pt>
                <c:pt idx="139">
                  <c:v>0.34468002818160903</c:v>
                </c:pt>
                <c:pt idx="140">
                  <c:v>0.36769479031073049</c:v>
                </c:pt>
                <c:pt idx="141">
                  <c:v>0.39219636947112946</c:v>
                </c:pt>
                <c:pt idx="142">
                  <c:v>0.41837263586063034</c:v>
                </c:pt>
                <c:pt idx="143">
                  <c:v>0.44646112106276026</c:v>
                </c:pt>
                <c:pt idx="144">
                  <c:v>0.47676969447266204</c:v>
                </c:pt>
                <c:pt idx="145">
                  <c:v>0.50970990516112069</c:v>
                </c:pt>
                <c:pt idx="146">
                  <c:v>0.54585402796044402</c:v>
                </c:pt>
                <c:pt idx="147">
                  <c:v>0.58604044510346265</c:v>
                </c:pt>
                <c:pt idx="148">
                  <c:v>0.63158959758405875</c:v>
                </c:pt>
                <c:pt idx="149">
                  <c:v>0.68481799151258271</c:v>
                </c:pt>
                <c:pt idx="150">
                  <c:v>0.75059483828958262</c:v>
                </c:pt>
                <c:pt idx="151">
                  <c:v>0.8440643297728625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78-264C-A288-3A34EA5D63CF}"/>
            </c:ext>
          </c:extLst>
        </c:ser>
        <c:ser>
          <c:idx val="0"/>
          <c:order val="2"/>
          <c:tx>
            <c:strRef>
              <c:f>Calculations!$E$203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Calculations!$E$204:$E$404</c:f>
              <c:numCache>
                <c:formatCode>General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1.999624845988742</c:v>
                </c:pt>
                <c:pt idx="102">
                  <c:v>1.9984989614162929</c:v>
                </c:pt>
                <c:pt idx="103">
                  <c:v>1.9966210762835055</c:v>
                </c:pt>
                <c:pt idx="104">
                  <c:v>1.9939890659499633</c:v>
                </c:pt>
                <c:pt idx="105">
                  <c:v>1.990599939060461</c:v>
                </c:pt>
                <c:pt idx="106">
                  <c:v>1.9864498204178267</c:v>
                </c:pt>
                <c:pt idx="107">
                  <c:v>1.9815339285713789</c:v>
                </c:pt>
                <c:pt idx="108">
                  <c:v>1.9758465478148928</c:v>
                </c:pt>
                <c:pt idx="109">
                  <c:v>1.9693809942049145</c:v>
                </c:pt>
                <c:pt idx="110">
                  <c:v>1.9621295751173129</c:v>
                </c:pt>
                <c:pt idx="111">
                  <c:v>1.9540835417544349</c:v>
                </c:pt>
                <c:pt idx="112">
                  <c:v>1.9452330338939001</c:v>
                </c:pt>
                <c:pt idx="113">
                  <c:v>1.9355670160290444</c:v>
                </c:pt>
                <c:pt idx="114">
                  <c:v>1.9250732038855281</c:v>
                </c:pt>
                <c:pt idx="115">
                  <c:v>1.9137379801027115</c:v>
                </c:pt>
                <c:pt idx="116">
                  <c:v>1.90154629763467</c:v>
                </c:pt>
                <c:pt idx="117">
                  <c:v>1.888481569144808</c:v>
                </c:pt>
                <c:pt idx="118">
                  <c:v>1.8745255403280461</c:v>
                </c:pt>
                <c:pt idx="119">
                  <c:v>1.8596581446802718</c:v>
                </c:pt>
                <c:pt idx="120">
                  <c:v>1.843857336726513</c:v>
                </c:pt>
                <c:pt idx="121">
                  <c:v>1.8270989000915383</c:v>
                </c:pt>
                <c:pt idx="122">
                  <c:v>1.8093562260158251</c:v>
                </c:pt>
                <c:pt idx="123">
                  <c:v>1.7906000569417369</c:v>
                </c:pt>
                <c:pt idx="124">
                  <c:v>1.7707981885602531</c:v>
                </c:pt>
                <c:pt idx="125">
                  <c:v>1.7499151221381559</c:v>
                </c:pt>
                <c:pt idx="126">
                  <c:v>1.7279116569310831</c:v>
                </c:pt>
                <c:pt idx="127">
                  <c:v>1.7047444098808029</c:v>
                </c:pt>
                <c:pt idx="128">
                  <c:v>1.6803652463891214</c:v>
                </c:pt>
                <c:pt idx="129">
                  <c:v>1.6547206014659697</c:v>
                </c:pt>
                <c:pt idx="130">
                  <c:v>1.6277506645522923</c:v>
                </c:pt>
                <c:pt idx="131">
                  <c:v>1.5993883932228463</c:v>
                </c:pt>
                <c:pt idx="132">
                  <c:v>1.5695583099052066</c:v>
                </c:pt>
                <c:pt idx="133">
                  <c:v>1.5381750204056817</c:v>
                </c:pt>
                <c:pt idx="134">
                  <c:v>1.5051413714327806</c:v>
                </c:pt>
                <c:pt idx="135">
                  <c:v>1.4703461333944754</c:v>
                </c:pt>
                <c:pt idx="136">
                  <c:v>1.433661049679672</c:v>
                </c:pt>
                <c:pt idx="137">
                  <c:v>1.3949370265858434</c:v>
                </c:pt>
                <c:pt idx="138">
                  <c:v>1.3539991360051489</c:v>
                </c:pt>
                <c:pt idx="139">
                  <c:v>1.3106399436367819</c:v>
                </c:pt>
                <c:pt idx="140">
                  <c:v>1.264610419378539</c:v>
                </c:pt>
                <c:pt idx="141">
                  <c:v>1.2156072610577411</c:v>
                </c:pt>
                <c:pt idx="142">
                  <c:v>1.1632547282787393</c:v>
                </c:pt>
                <c:pt idx="143">
                  <c:v>1.1070777578744795</c:v>
                </c:pt>
                <c:pt idx="144">
                  <c:v>1.0464606110546759</c:v>
                </c:pt>
                <c:pt idx="145">
                  <c:v>0.98058018967775862</c:v>
                </c:pt>
                <c:pt idx="146">
                  <c:v>0.90829194407911207</c:v>
                </c:pt>
                <c:pt idx="147">
                  <c:v>0.82791910979307481</c:v>
                </c:pt>
                <c:pt idx="148">
                  <c:v>0.7368208048318825</c:v>
                </c:pt>
                <c:pt idx="149">
                  <c:v>0.63036401697483446</c:v>
                </c:pt>
                <c:pt idx="150">
                  <c:v>0.49881032342083487</c:v>
                </c:pt>
                <c:pt idx="151">
                  <c:v>0.31187134045427495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78-264C-A288-3A34EA5D63CF}"/>
            </c:ext>
          </c:extLst>
        </c:ser>
        <c:ser>
          <c:idx val="3"/>
          <c:order val="3"/>
          <c:tx>
            <c:strRef>
              <c:f>Calculations!$F$203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Calculations!$F$204:$F$404</c:f>
              <c:numCache>
                <c:formatCode>General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1.999812422994371</c:v>
                </c:pt>
                <c:pt idx="102">
                  <c:v>1.9992494807081465</c:v>
                </c:pt>
                <c:pt idx="103">
                  <c:v>1.9983105381417527</c:v>
                </c:pt>
                <c:pt idx="104">
                  <c:v>1.9969945329749816</c:v>
                </c:pt>
                <c:pt idx="105">
                  <c:v>1.9952999695302305</c:v>
                </c:pt>
                <c:pt idx="106">
                  <c:v>1.9932249102089132</c:v>
                </c:pt>
                <c:pt idx="107">
                  <c:v>1.9907669642856893</c:v>
                </c:pt>
                <c:pt idx="108">
                  <c:v>1.9879232739074464</c:v>
                </c:pt>
                <c:pt idx="109">
                  <c:v>1.9846904971024573</c:v>
                </c:pt>
                <c:pt idx="110">
                  <c:v>1.9810647875586564</c:v>
                </c:pt>
                <c:pt idx="111">
                  <c:v>1.9770417708772174</c:v>
                </c:pt>
                <c:pt idx="112">
                  <c:v>1.9726165169469501</c:v>
                </c:pt>
                <c:pt idx="113">
                  <c:v>1.9677835080145223</c:v>
                </c:pt>
                <c:pt idx="114">
                  <c:v>1.9625366019427641</c:v>
                </c:pt>
                <c:pt idx="115">
                  <c:v>1.9568689900513556</c:v>
                </c:pt>
                <c:pt idx="116">
                  <c:v>1.950773148817335</c:v>
                </c:pt>
                <c:pt idx="117">
                  <c:v>1.9442407845724041</c:v>
                </c:pt>
                <c:pt idx="118">
                  <c:v>1.937262770164023</c:v>
                </c:pt>
                <c:pt idx="119">
                  <c:v>1.9298290723401359</c:v>
                </c:pt>
                <c:pt idx="120">
                  <c:v>1.9219286683632566</c:v>
                </c:pt>
                <c:pt idx="121">
                  <c:v>1.9135494500457693</c:v>
                </c:pt>
                <c:pt idx="122">
                  <c:v>1.9046781130079125</c:v>
                </c:pt>
                <c:pt idx="123">
                  <c:v>1.8953000284708685</c:v>
                </c:pt>
                <c:pt idx="124">
                  <c:v>1.8853990942801264</c:v>
                </c:pt>
                <c:pt idx="125">
                  <c:v>1.8749575610690781</c:v>
                </c:pt>
                <c:pt idx="126">
                  <c:v>1.8639558284655415</c:v>
                </c:pt>
                <c:pt idx="127">
                  <c:v>1.8523722049404014</c:v>
                </c:pt>
                <c:pt idx="128">
                  <c:v>1.8401826231945608</c:v>
                </c:pt>
                <c:pt idx="129">
                  <c:v>1.8273603007329848</c:v>
                </c:pt>
                <c:pt idx="130">
                  <c:v>1.8138753322761461</c:v>
                </c:pt>
                <c:pt idx="131">
                  <c:v>1.7996941966114233</c:v>
                </c:pt>
                <c:pt idx="132">
                  <c:v>1.7847791549526033</c:v>
                </c:pt>
                <c:pt idx="133">
                  <c:v>1.7690875102028407</c:v>
                </c:pt>
                <c:pt idx="134">
                  <c:v>1.7525706857163903</c:v>
                </c:pt>
                <c:pt idx="135">
                  <c:v>1.7351730666972376</c:v>
                </c:pt>
                <c:pt idx="136">
                  <c:v>1.7168305248398359</c:v>
                </c:pt>
                <c:pt idx="137">
                  <c:v>1.6974685132929217</c:v>
                </c:pt>
                <c:pt idx="138">
                  <c:v>1.6769995680025744</c:v>
                </c:pt>
                <c:pt idx="139">
                  <c:v>1.6553199718183911</c:v>
                </c:pt>
                <c:pt idx="140">
                  <c:v>1.6323052096892696</c:v>
                </c:pt>
                <c:pt idx="141">
                  <c:v>1.6078036305288705</c:v>
                </c:pt>
                <c:pt idx="142">
                  <c:v>1.5816273641393697</c:v>
                </c:pt>
                <c:pt idx="143">
                  <c:v>1.5535388789372397</c:v>
                </c:pt>
                <c:pt idx="144">
                  <c:v>1.523230305527338</c:v>
                </c:pt>
                <c:pt idx="145">
                  <c:v>1.4902900948388793</c:v>
                </c:pt>
                <c:pt idx="146">
                  <c:v>1.454145972039556</c:v>
                </c:pt>
                <c:pt idx="147">
                  <c:v>1.4139595548965374</c:v>
                </c:pt>
                <c:pt idx="148">
                  <c:v>1.3684104024159414</c:v>
                </c:pt>
                <c:pt idx="149">
                  <c:v>1.3151820084874173</c:v>
                </c:pt>
                <c:pt idx="150">
                  <c:v>1.2494051617104174</c:v>
                </c:pt>
                <c:pt idx="151">
                  <c:v>1.1559356702271375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78-264C-A288-3A34EA5D6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gif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gif"/><Relationship Id="rId2" Type="http://schemas.openxmlformats.org/officeDocument/2006/relationships/image" Target="../media/image3.gif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chart" Target="../charts/chart1.xml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4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hyperlink" Target="https://en.wikipedia.org/wiki/Planet_Nine" TargetMode="External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26.jpg"/><Relationship Id="rId1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774700</xdr:colOff>
      <xdr:row>17</xdr:row>
      <xdr:rowOff>127000</xdr:rowOff>
    </xdr:from>
    <xdr:ext cx="8600086" cy="3365500"/>
    <xdr:pic>
      <xdr:nvPicPr>
        <xdr:cNvPr id="2" name="Picture 1">
          <a:extLst>
            <a:ext uri="{FF2B5EF4-FFF2-40B4-BE49-F238E27FC236}">
              <a16:creationId xmlns:a16="http://schemas.microsoft.com/office/drawing/2014/main" id="{1E192C21-527B-6F47-8093-877540FB2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700" y="3365500"/>
          <a:ext cx="8600086" cy="3365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1072776</xdr:colOff>
      <xdr:row>29</xdr:row>
      <xdr:rowOff>164352</xdr:rowOff>
    </xdr:from>
    <xdr:to>
      <xdr:col>12</xdr:col>
      <xdr:colOff>59765</xdr:colOff>
      <xdr:row>54</xdr:row>
      <xdr:rowOff>70222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AD9F2-A40C-D442-904E-AACCA08A3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85725</xdr:colOff>
      <xdr:row>313</xdr:row>
      <xdr:rowOff>0</xdr:rowOff>
    </xdr:from>
    <xdr:ext cx="476250" cy="489137"/>
    <xdr:pic>
      <xdr:nvPicPr>
        <xdr:cNvPr id="3" name="Moon_NM" descr="O" hidden="1">
          <a:extLst>
            <a:ext uri="{FF2B5EF4-FFF2-40B4-BE49-F238E27FC236}">
              <a16:creationId xmlns:a16="http://schemas.microsoft.com/office/drawing/2014/main" id="{A736A3DE-16CC-954F-96CE-E59ECA592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78125" y="59626500"/>
          <a:ext cx="476250" cy="489137"/>
        </a:xfrm>
        <a:prstGeom prst="rect">
          <a:avLst/>
        </a:prstGeom>
        <a:noFill/>
      </xdr:spPr>
    </xdr:pic>
    <xdr:clientData/>
  </xdr:oneCellAnchor>
  <xdr:oneCellAnchor>
    <xdr:from>
      <xdr:col>12</xdr:col>
      <xdr:colOff>0</xdr:colOff>
      <xdr:row>16</xdr:row>
      <xdr:rowOff>0</xdr:rowOff>
    </xdr:from>
    <xdr:ext cx="2448411" cy="2173740"/>
    <xdr:pic>
      <xdr:nvPicPr>
        <xdr:cNvPr id="4" name="Picture 11" descr="http://lepmfi.gsfc.nasa.gov/mfi/lepedu/siteimg/all_planets.gif" hidden="1">
          <a:extLst>
            <a:ext uri="{FF2B5EF4-FFF2-40B4-BE49-F238E27FC236}">
              <a16:creationId xmlns:a16="http://schemas.microsoft.com/office/drawing/2014/main" id="{6261DBD9-ACD1-A84E-95AC-CCABD88F9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77200" y="3048000"/>
          <a:ext cx="2448411" cy="2173740"/>
        </a:xfrm>
        <a:prstGeom prst="rect">
          <a:avLst/>
        </a:prstGeom>
        <a:noFill/>
      </xdr:spPr>
    </xdr:pic>
    <xdr:clientData/>
  </xdr:oneCellAnchor>
  <xdr:oneCellAnchor>
    <xdr:from>
      <xdr:col>2</xdr:col>
      <xdr:colOff>9525</xdr:colOff>
      <xdr:row>17</xdr:row>
      <xdr:rowOff>0</xdr:rowOff>
    </xdr:from>
    <xdr:ext cx="635000" cy="446367"/>
    <xdr:pic macro="[0]!InfoSun">
      <xdr:nvPicPr>
        <xdr:cNvPr id="5" name="Picture 14" descr="http://upload.wikimedia.org/wikipedia/commons/thumb/a/aa/Sun920607.jpg/100px-Sun920607.jpg" hidden="1">
          <a:extLst>
            <a:ext uri="{FF2B5EF4-FFF2-40B4-BE49-F238E27FC236}">
              <a16:creationId xmlns:a16="http://schemas.microsoft.com/office/drawing/2014/main" id="{27ADAFC4-F4CA-F645-98AC-B07F8F091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55725" y="3238500"/>
          <a:ext cx="635000" cy="446367"/>
        </a:xfrm>
        <a:prstGeom prst="rect">
          <a:avLst/>
        </a:prstGeom>
        <a:noFill/>
      </xdr:spPr>
    </xdr:pic>
    <xdr:clientData/>
  </xdr:oneCellAnchor>
  <xdr:oneCellAnchor>
    <xdr:from>
      <xdr:col>5</xdr:col>
      <xdr:colOff>19050</xdr:colOff>
      <xdr:row>16</xdr:row>
      <xdr:rowOff>114300</xdr:rowOff>
    </xdr:from>
    <xdr:ext cx="622426" cy="577103"/>
    <xdr:pic macro="[0]!InfoMoon">
      <xdr:nvPicPr>
        <xdr:cNvPr id="6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052786A6-1756-4047-9AE7-49A3E6B48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84550" y="3162300"/>
          <a:ext cx="622426" cy="577103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19049</xdr:colOff>
      <xdr:row>16</xdr:row>
      <xdr:rowOff>133350</xdr:rowOff>
    </xdr:from>
    <xdr:ext cx="615759" cy="558054"/>
    <xdr:pic macro="[0]!InfoMercury">
      <xdr:nvPicPr>
        <xdr:cNvPr id="7" name="Picture 16" descr="http://upload.wikimedia.org/wikipedia/commons/thumb/3/30/Mercury_in_color_-_Prockter07_centered.jpg/100px-Mercury_in_color_-_Prockter07_centered.jpg" hidden="1">
          <a:extLst>
            <a:ext uri="{FF2B5EF4-FFF2-40B4-BE49-F238E27FC236}">
              <a16:creationId xmlns:a16="http://schemas.microsoft.com/office/drawing/2014/main" id="{D0EF82CF-B05E-814D-8BDE-2FD19B78F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8349" y="3181350"/>
          <a:ext cx="615759" cy="558054"/>
        </a:xfrm>
        <a:prstGeom prst="rect">
          <a:avLst/>
        </a:prstGeom>
        <a:noFill/>
      </xdr:spPr>
    </xdr:pic>
    <xdr:clientData/>
  </xdr:oneCellAnchor>
  <xdr:oneCellAnchor>
    <xdr:from>
      <xdr:col>4</xdr:col>
      <xdr:colOff>19050</xdr:colOff>
      <xdr:row>16</xdr:row>
      <xdr:rowOff>114300</xdr:rowOff>
    </xdr:from>
    <xdr:ext cx="717550" cy="577103"/>
    <xdr:pic macro="[0]!InfoVenus">
      <xdr:nvPicPr>
        <xdr:cNvPr id="8" name="Picture 17" descr="http://upload.wikimedia.org/wikipedia/commons/thumb/5/51/Venus-real.jpg/100px-Venus-real.jpg" hidden="1">
          <a:extLst>
            <a:ext uri="{FF2B5EF4-FFF2-40B4-BE49-F238E27FC236}">
              <a16:creationId xmlns:a16="http://schemas.microsoft.com/office/drawing/2014/main" id="{EB4473AB-25EA-3341-AEEF-0217DE52B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11450" y="3162300"/>
          <a:ext cx="717550" cy="577103"/>
        </a:xfrm>
        <a:prstGeom prst="rect">
          <a:avLst/>
        </a:prstGeom>
        <a:noFill/>
      </xdr:spPr>
    </xdr:pic>
    <xdr:clientData/>
  </xdr:oneCellAnchor>
  <xdr:oneCellAnchor>
    <xdr:from>
      <xdr:col>6</xdr:col>
      <xdr:colOff>19050</xdr:colOff>
      <xdr:row>16</xdr:row>
      <xdr:rowOff>180974</xdr:rowOff>
    </xdr:from>
    <xdr:ext cx="624417" cy="510428"/>
    <xdr:pic macro="[0]!InfoMars">
      <xdr:nvPicPr>
        <xdr:cNvPr id="9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56BC7D5A-E52B-EC4A-9B42-3773389F3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3228974"/>
          <a:ext cx="624417" cy="510428"/>
        </a:xfrm>
        <a:prstGeom prst="rect">
          <a:avLst/>
        </a:prstGeom>
        <a:noFill/>
      </xdr:spPr>
    </xdr:pic>
    <xdr:clientData/>
  </xdr:oneCellAnchor>
  <xdr:oneCellAnchor>
    <xdr:from>
      <xdr:col>7</xdr:col>
      <xdr:colOff>19050</xdr:colOff>
      <xdr:row>16</xdr:row>
      <xdr:rowOff>104774</xdr:rowOff>
    </xdr:from>
    <xdr:ext cx="727075" cy="586628"/>
    <xdr:pic macro="[0]!InfoJupiter">
      <xdr:nvPicPr>
        <xdr:cNvPr id="10" name="Picture 19" descr="http://upload.wikimedia.org/wikipedia/commons/thumb/e/e2/Jupiter.jpg/100px-Jupiter.jpg" hidden="1">
          <a:extLst>
            <a:ext uri="{FF2B5EF4-FFF2-40B4-BE49-F238E27FC236}">
              <a16:creationId xmlns:a16="http://schemas.microsoft.com/office/drawing/2014/main" id="{F6568823-84F4-A145-B697-5991EA81B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30750" y="3152774"/>
          <a:ext cx="727075" cy="586628"/>
        </a:xfrm>
        <a:prstGeom prst="rect">
          <a:avLst/>
        </a:prstGeom>
        <a:noFill/>
      </xdr:spPr>
    </xdr:pic>
    <xdr:clientData/>
  </xdr:oneCellAnchor>
  <xdr:oneCellAnchor>
    <xdr:from>
      <xdr:col>9</xdr:col>
      <xdr:colOff>19050</xdr:colOff>
      <xdr:row>16</xdr:row>
      <xdr:rowOff>95250</xdr:rowOff>
    </xdr:from>
    <xdr:ext cx="730187" cy="596153"/>
    <xdr:pic macro="[0]!InfoUranus">
      <xdr:nvPicPr>
        <xdr:cNvPr id="11" name="Picture 21" descr="http://upload.wikimedia.org/wikipedia/commons/thumb/3/3d/Uranus2.jpg/100px-Uranus2.jpg" hidden="1">
          <a:extLst>
            <a:ext uri="{FF2B5EF4-FFF2-40B4-BE49-F238E27FC236}">
              <a16:creationId xmlns:a16="http://schemas.microsoft.com/office/drawing/2014/main" id="{AA9ECD2D-BAA8-2A46-98CC-7C70283D8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76950" y="3143250"/>
          <a:ext cx="730187" cy="596153"/>
        </a:xfrm>
        <a:prstGeom prst="rect">
          <a:avLst/>
        </a:prstGeom>
        <a:noFill/>
      </xdr:spPr>
    </xdr:pic>
    <xdr:clientData/>
  </xdr:oneCellAnchor>
  <xdr:oneCellAnchor>
    <xdr:from>
      <xdr:col>10</xdr:col>
      <xdr:colOff>28575</xdr:colOff>
      <xdr:row>16</xdr:row>
      <xdr:rowOff>133350</xdr:rowOff>
    </xdr:from>
    <xdr:ext cx="710940" cy="558052"/>
    <xdr:pic macro="[0]!InfoNeptune">
      <xdr:nvPicPr>
        <xdr:cNvPr id="12" name="Picture 22" descr="http://upload.wikimedia.org/wikipedia/commons/thumb/0/06/Neptune.jpg/100px-Neptune.jpg" hidden="1">
          <a:extLst>
            <a:ext uri="{FF2B5EF4-FFF2-40B4-BE49-F238E27FC236}">
              <a16:creationId xmlns:a16="http://schemas.microsoft.com/office/drawing/2014/main" id="{B9F42A87-E8FF-4E40-865A-BEA5F11CC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759575" y="3181350"/>
          <a:ext cx="710940" cy="558052"/>
        </a:xfrm>
        <a:prstGeom prst="rect">
          <a:avLst/>
        </a:prstGeom>
        <a:noFill/>
      </xdr:spPr>
    </xdr:pic>
    <xdr:clientData/>
  </xdr:oneCellAnchor>
  <xdr:oneCellAnchor>
    <xdr:from>
      <xdr:col>11</xdr:col>
      <xdr:colOff>9524</xdr:colOff>
      <xdr:row>16</xdr:row>
      <xdr:rowOff>104775</xdr:rowOff>
    </xdr:from>
    <xdr:ext cx="638175" cy="586628"/>
    <xdr:pic macro="[0]!InfoPluto">
      <xdr:nvPicPr>
        <xdr:cNvPr id="13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4BA8A18D-629E-0348-8BB5-151F3A875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13624" y="3152775"/>
          <a:ext cx="638175" cy="586628"/>
        </a:xfrm>
        <a:prstGeom prst="rect">
          <a:avLst/>
        </a:prstGeom>
        <a:noFill/>
      </xdr:spPr>
    </xdr:pic>
    <xdr:clientData/>
  </xdr:oneCellAnchor>
  <xdr:oneCellAnchor>
    <xdr:from>
      <xdr:col>8</xdr:col>
      <xdr:colOff>9525</xdr:colOff>
      <xdr:row>17</xdr:row>
      <xdr:rowOff>19049</xdr:rowOff>
    </xdr:from>
    <xdr:ext cx="739492" cy="451410"/>
    <xdr:pic macro="[0]!InfoSaturn">
      <xdr:nvPicPr>
        <xdr:cNvPr id="14" name="Picture 24" descr="http://www.planetengrund.net/desktophintergrund/small/planeten/saturn03_1024.jpg" hidden="1">
          <a:extLst>
            <a:ext uri="{FF2B5EF4-FFF2-40B4-BE49-F238E27FC236}">
              <a16:creationId xmlns:a16="http://schemas.microsoft.com/office/drawing/2014/main" id="{83576662-797A-6C40-856C-239C5F771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94325" y="3257549"/>
          <a:ext cx="739492" cy="451410"/>
        </a:xfrm>
        <a:prstGeom prst="rect">
          <a:avLst/>
        </a:prstGeom>
        <a:noFill/>
      </xdr:spPr>
    </xdr:pic>
    <xdr:clientData/>
  </xdr:oneCellAnchor>
  <xdr:oneCellAnchor>
    <xdr:from>
      <xdr:col>12</xdr:col>
      <xdr:colOff>0</xdr:colOff>
      <xdr:row>16</xdr:row>
      <xdr:rowOff>0</xdr:rowOff>
    </xdr:from>
    <xdr:ext cx="2309345" cy="2187598"/>
    <xdr:pic>
      <xdr:nvPicPr>
        <xdr:cNvPr id="15" name="Picture 14" descr="SolarSystem.jpg" hidden="1">
          <a:extLst>
            <a:ext uri="{FF2B5EF4-FFF2-40B4-BE49-F238E27FC236}">
              <a16:creationId xmlns:a16="http://schemas.microsoft.com/office/drawing/2014/main" id="{9DA5AB0A-5B8B-CE42-A8DE-5C6EC5A8B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077200" y="3048000"/>
          <a:ext cx="2309345" cy="218759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16</xdr:row>
      <xdr:rowOff>0</xdr:rowOff>
    </xdr:from>
    <xdr:ext cx="3141196" cy="1865593"/>
    <xdr:pic>
      <xdr:nvPicPr>
        <xdr:cNvPr id="16" name="Picture 15" descr="SolarSystem2.jpg" hidden="1">
          <a:extLst>
            <a:ext uri="{FF2B5EF4-FFF2-40B4-BE49-F238E27FC236}">
              <a16:creationId xmlns:a16="http://schemas.microsoft.com/office/drawing/2014/main" id="{539C99DB-A6DC-3C44-A0FE-F884CB88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73100" y="3048000"/>
          <a:ext cx="3141196" cy="1865593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16</xdr:row>
      <xdr:rowOff>0</xdr:rowOff>
    </xdr:from>
    <xdr:ext cx="2213534" cy="2186747"/>
    <xdr:pic>
      <xdr:nvPicPr>
        <xdr:cNvPr id="17" name="Picture 16" descr="SolarSystem.jpg" hidden="1">
          <a:extLst>
            <a:ext uri="{FF2B5EF4-FFF2-40B4-BE49-F238E27FC236}">
              <a16:creationId xmlns:a16="http://schemas.microsoft.com/office/drawing/2014/main" id="{ED323756-A631-E142-966D-BB6583E18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077200" y="3048000"/>
          <a:ext cx="2213534" cy="2186747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16</xdr:row>
      <xdr:rowOff>0</xdr:rowOff>
    </xdr:from>
    <xdr:ext cx="3122146" cy="1865593"/>
    <xdr:pic>
      <xdr:nvPicPr>
        <xdr:cNvPr id="18" name="Picture 17" descr="SolarSystem2.jpg" hidden="1">
          <a:extLst>
            <a:ext uri="{FF2B5EF4-FFF2-40B4-BE49-F238E27FC236}">
              <a16:creationId xmlns:a16="http://schemas.microsoft.com/office/drawing/2014/main" id="{72F72226-099E-6844-AA5E-3D583B45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87400" y="3048000"/>
          <a:ext cx="3122146" cy="186559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3106270" cy="1865593"/>
    <xdr:pic>
      <xdr:nvPicPr>
        <xdr:cNvPr id="19" name="Picture 18" descr="SolarSystem2.jpg" hidden="1">
          <a:extLst>
            <a:ext uri="{FF2B5EF4-FFF2-40B4-BE49-F238E27FC236}">
              <a16:creationId xmlns:a16="http://schemas.microsoft.com/office/drawing/2014/main" id="{B958E33B-1856-9644-939C-F4E499E5E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46200" y="3048000"/>
          <a:ext cx="3106270" cy="1865593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16</xdr:row>
      <xdr:rowOff>0</xdr:rowOff>
    </xdr:from>
    <xdr:ext cx="3106270" cy="1865593"/>
    <xdr:pic>
      <xdr:nvPicPr>
        <xdr:cNvPr id="20" name="Picture 19" descr="SolarSystem2.jpg" hidden="1">
          <a:extLst>
            <a:ext uri="{FF2B5EF4-FFF2-40B4-BE49-F238E27FC236}">
              <a16:creationId xmlns:a16="http://schemas.microsoft.com/office/drawing/2014/main" id="{10A5C326-71C5-F742-BA19-66D3769B1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38600" y="3048000"/>
          <a:ext cx="3106270" cy="186559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1368985" cy="915521"/>
    <xdr:pic>
      <xdr:nvPicPr>
        <xdr:cNvPr id="21" name="Picture 20" descr="Saturn.jpg" hidden="1">
          <a:extLst>
            <a:ext uri="{FF2B5EF4-FFF2-40B4-BE49-F238E27FC236}">
              <a16:creationId xmlns:a16="http://schemas.microsoft.com/office/drawing/2014/main" id="{52EF15F4-FFD2-EC4C-9483-57F4E6E2E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346200" y="3048000"/>
          <a:ext cx="1368985" cy="915521"/>
        </a:xfrm>
        <a:prstGeom prst="rect">
          <a:avLst/>
        </a:prstGeom>
      </xdr:spPr>
    </xdr:pic>
    <xdr:clientData/>
  </xdr:oneCellAnchor>
  <xdr:oneCellAnchor>
    <xdr:from>
      <xdr:col>3</xdr:col>
      <xdr:colOff>485775</xdr:colOff>
      <xdr:row>16</xdr:row>
      <xdr:rowOff>0</xdr:rowOff>
    </xdr:from>
    <xdr:ext cx="1134035" cy="881903"/>
    <xdr:pic>
      <xdr:nvPicPr>
        <xdr:cNvPr id="22" name="MoonNewMoon" descr="MoonNew.gif" hidden="1">
          <a:extLst>
            <a:ext uri="{FF2B5EF4-FFF2-40B4-BE49-F238E27FC236}">
              <a16:creationId xmlns:a16="http://schemas.microsoft.com/office/drawing/2014/main" id="{27E336B2-FC0C-7D42-BEC4-2898C8C6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505075" y="3048000"/>
          <a:ext cx="1134035" cy="881903"/>
        </a:xfrm>
        <a:prstGeom prst="rect">
          <a:avLst/>
        </a:prstGeom>
      </xdr:spPr>
    </xdr:pic>
    <xdr:clientData/>
  </xdr:oneCellAnchor>
  <xdr:oneCellAnchor>
    <xdr:from>
      <xdr:col>4</xdr:col>
      <xdr:colOff>457200</xdr:colOff>
      <xdr:row>16</xdr:row>
      <xdr:rowOff>0</xdr:rowOff>
    </xdr:from>
    <xdr:ext cx="1451535" cy="1145988"/>
    <xdr:pic>
      <xdr:nvPicPr>
        <xdr:cNvPr id="23" name="Picture 22" descr="Jupiter.jpg" hidden="1">
          <a:extLst>
            <a:ext uri="{FF2B5EF4-FFF2-40B4-BE49-F238E27FC236}">
              <a16:creationId xmlns:a16="http://schemas.microsoft.com/office/drawing/2014/main" id="{51A8F7FE-9F4D-7C45-A041-EC6A05168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49600" y="3048000"/>
          <a:ext cx="1451535" cy="1145988"/>
        </a:xfrm>
        <a:prstGeom prst="rect">
          <a:avLst/>
        </a:prstGeom>
      </xdr:spPr>
    </xdr:pic>
    <xdr:clientData/>
  </xdr:oneCellAnchor>
  <xdr:twoCellAnchor>
    <xdr:from>
      <xdr:col>4</xdr:col>
      <xdr:colOff>314325</xdr:colOff>
      <xdr:row>16</xdr:row>
      <xdr:rowOff>0</xdr:rowOff>
    </xdr:from>
    <xdr:to>
      <xdr:col>6</xdr:col>
      <xdr:colOff>288925</xdr:colOff>
      <xdr:row>19</xdr:row>
      <xdr:rowOff>117475</xdr:rowOff>
    </xdr:to>
    <xdr:pic>
      <xdr:nvPicPr>
        <xdr:cNvPr id="24" name="Picture 23" descr="Jupiter.jpg" hidden="1">
          <a:extLst>
            <a:ext uri="{FF2B5EF4-FFF2-40B4-BE49-F238E27FC236}">
              <a16:creationId xmlns:a16="http://schemas.microsoft.com/office/drawing/2014/main" id="{BC8FE978-C5EF-A748-9CB1-281DB86E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06725" y="3048000"/>
          <a:ext cx="1320800" cy="688975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16</xdr:row>
      <xdr:rowOff>0</xdr:rowOff>
    </xdr:from>
    <xdr:ext cx="1041400" cy="881903"/>
    <xdr:pic>
      <xdr:nvPicPr>
        <xdr:cNvPr id="25" name="Picture 24" descr="MoonNew.gif" hidden="1">
          <a:extLst>
            <a:ext uri="{FF2B5EF4-FFF2-40B4-BE49-F238E27FC236}">
              <a16:creationId xmlns:a16="http://schemas.microsoft.com/office/drawing/2014/main" id="{38D84CDC-BD30-244A-A7DE-BEE05605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46200" y="3048000"/>
          <a:ext cx="1041400" cy="881903"/>
        </a:xfrm>
        <a:prstGeom prst="rect">
          <a:avLst/>
        </a:prstGeom>
      </xdr:spPr>
    </xdr:pic>
    <xdr:clientData/>
  </xdr:oneCellAnchor>
  <xdr:oneCellAnchor>
    <xdr:from>
      <xdr:col>1</xdr:col>
      <xdr:colOff>647700</xdr:colOff>
      <xdr:row>16</xdr:row>
      <xdr:rowOff>0</xdr:rowOff>
    </xdr:from>
    <xdr:ext cx="3214781" cy="1865593"/>
    <xdr:pic>
      <xdr:nvPicPr>
        <xdr:cNvPr id="26" name="Picture 25" descr="SolarSystem2.jpg" hidden="1">
          <a:extLst>
            <a:ext uri="{FF2B5EF4-FFF2-40B4-BE49-F238E27FC236}">
              <a16:creationId xmlns:a16="http://schemas.microsoft.com/office/drawing/2014/main" id="{290FC3C3-7446-5441-9213-3D014986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20800" y="3048000"/>
          <a:ext cx="3214781" cy="1865593"/>
        </a:xfrm>
        <a:prstGeom prst="rect">
          <a:avLst/>
        </a:prstGeom>
      </xdr:spPr>
    </xdr:pic>
    <xdr:clientData/>
  </xdr:oneCellAnchor>
  <xdr:oneCellAnchor>
    <xdr:from>
      <xdr:col>1</xdr:col>
      <xdr:colOff>647700</xdr:colOff>
      <xdr:row>16</xdr:row>
      <xdr:rowOff>0</xdr:rowOff>
    </xdr:from>
    <xdr:ext cx="3214781" cy="1865593"/>
    <xdr:pic>
      <xdr:nvPicPr>
        <xdr:cNvPr id="27" name="Picture 26" descr="SolarSystem2.jpg" hidden="1">
          <a:extLst>
            <a:ext uri="{FF2B5EF4-FFF2-40B4-BE49-F238E27FC236}">
              <a16:creationId xmlns:a16="http://schemas.microsoft.com/office/drawing/2014/main" id="{DBF80FEE-4E5E-E94B-AD2C-845552B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320800" y="3048000"/>
          <a:ext cx="3214781" cy="1865593"/>
        </a:xfrm>
        <a:prstGeom prst="rect">
          <a:avLst/>
        </a:prstGeom>
      </xdr:spPr>
    </xdr:pic>
    <xdr:clientData/>
  </xdr:oneCellAnchor>
  <xdr:oneCellAnchor>
    <xdr:from>
      <xdr:col>7</xdr:col>
      <xdr:colOff>50801</xdr:colOff>
      <xdr:row>16</xdr:row>
      <xdr:rowOff>53976</xdr:rowOff>
    </xdr:from>
    <xdr:ext cx="1092200" cy="995365"/>
    <xdr:pic>
      <xdr:nvPicPr>
        <xdr:cNvPr id="28" name="Picture 27" descr="Jupiter.jpg">
          <a:extLst>
            <a:ext uri="{FF2B5EF4-FFF2-40B4-BE49-F238E27FC236}">
              <a16:creationId xmlns:a16="http://schemas.microsoft.com/office/drawing/2014/main" id="{88372BB9-E563-1D41-BBAB-2353755A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62501" y="3101976"/>
          <a:ext cx="1092200" cy="995365"/>
        </a:xfrm>
        <a:prstGeom prst="rect">
          <a:avLst/>
        </a:prstGeom>
      </xdr:spPr>
    </xdr:pic>
    <xdr:clientData/>
  </xdr:oneCellAnchor>
  <xdr:oneCellAnchor>
    <xdr:from>
      <xdr:col>6</xdr:col>
      <xdr:colOff>47624</xdr:colOff>
      <xdr:row>16</xdr:row>
      <xdr:rowOff>20953</xdr:rowOff>
    </xdr:from>
    <xdr:ext cx="1108075" cy="1034018"/>
    <xdr:pic>
      <xdr:nvPicPr>
        <xdr:cNvPr id="29" name="Picture 28" descr="Mars.jpg">
          <a:extLst>
            <a:ext uri="{FF2B5EF4-FFF2-40B4-BE49-F238E27FC236}">
              <a16:creationId xmlns:a16="http://schemas.microsoft.com/office/drawing/2014/main" id="{7B733BA6-6ABD-2F43-B589-BCC7633F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086224" y="3068953"/>
          <a:ext cx="1108075" cy="1034018"/>
        </a:xfrm>
        <a:prstGeom prst="rect">
          <a:avLst/>
        </a:prstGeom>
      </xdr:spPr>
    </xdr:pic>
    <xdr:clientData/>
  </xdr:oneCellAnchor>
  <xdr:oneCellAnchor>
    <xdr:from>
      <xdr:col>3</xdr:col>
      <xdr:colOff>12700</xdr:colOff>
      <xdr:row>16</xdr:row>
      <xdr:rowOff>28574</xdr:rowOff>
    </xdr:from>
    <xdr:ext cx="1206827" cy="1092014"/>
    <xdr:pic>
      <xdr:nvPicPr>
        <xdr:cNvPr id="30" name="Picture 29" descr="Mercury.jpg">
          <a:extLst>
            <a:ext uri="{FF2B5EF4-FFF2-40B4-BE49-F238E27FC236}">
              <a16:creationId xmlns:a16="http://schemas.microsoft.com/office/drawing/2014/main" id="{8EA28C21-794A-9F48-B6F1-298457756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32000" y="3076574"/>
          <a:ext cx="1206827" cy="1092014"/>
        </a:xfrm>
        <a:prstGeom prst="rect">
          <a:avLst/>
        </a:prstGeom>
      </xdr:spPr>
    </xdr:pic>
    <xdr:clientData/>
  </xdr:oneCellAnchor>
  <xdr:oneCellAnchor>
    <xdr:from>
      <xdr:col>4</xdr:col>
      <xdr:colOff>60325</xdr:colOff>
      <xdr:row>16</xdr:row>
      <xdr:rowOff>38101</xdr:rowOff>
    </xdr:from>
    <xdr:ext cx="1082675" cy="999129"/>
    <xdr:pic>
      <xdr:nvPicPr>
        <xdr:cNvPr id="31" name="Picture 30" descr="Venus.jpg">
          <a:extLst>
            <a:ext uri="{FF2B5EF4-FFF2-40B4-BE49-F238E27FC236}">
              <a16:creationId xmlns:a16="http://schemas.microsoft.com/office/drawing/2014/main" id="{05F6BC43-D9D3-C44A-9D33-AEDDC294D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752725" y="3086101"/>
          <a:ext cx="1082675" cy="999129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16</xdr:row>
      <xdr:rowOff>44449</xdr:rowOff>
    </xdr:from>
    <xdr:ext cx="1128366" cy="953622"/>
    <xdr:pic>
      <xdr:nvPicPr>
        <xdr:cNvPr id="32" name="Picture 31" descr="Saturn.jpg">
          <a:extLst>
            <a:ext uri="{FF2B5EF4-FFF2-40B4-BE49-F238E27FC236}">
              <a16:creationId xmlns:a16="http://schemas.microsoft.com/office/drawing/2014/main" id="{77AF2A01-4359-7F4B-B360-9C7150139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384800" y="3092449"/>
          <a:ext cx="1128366" cy="953622"/>
        </a:xfrm>
        <a:prstGeom prst="rect">
          <a:avLst/>
        </a:prstGeom>
      </xdr:spPr>
    </xdr:pic>
    <xdr:clientData/>
  </xdr:oneCellAnchor>
  <xdr:oneCellAnchor>
    <xdr:from>
      <xdr:col>9</xdr:col>
      <xdr:colOff>1206499</xdr:colOff>
      <xdr:row>16</xdr:row>
      <xdr:rowOff>60324</xdr:rowOff>
    </xdr:from>
    <xdr:ext cx="1122260" cy="1013947"/>
    <xdr:pic>
      <xdr:nvPicPr>
        <xdr:cNvPr id="33" name="Picture 32" descr="Neptune.jpg">
          <a:extLst>
            <a:ext uri="{FF2B5EF4-FFF2-40B4-BE49-F238E27FC236}">
              <a16:creationId xmlns:a16="http://schemas.microsoft.com/office/drawing/2014/main" id="{4C4A783B-D79B-0941-A7A5-C62C46D9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730999" y="3108324"/>
          <a:ext cx="1122260" cy="1013947"/>
        </a:xfrm>
        <a:prstGeom prst="rect">
          <a:avLst/>
        </a:prstGeom>
      </xdr:spPr>
    </xdr:pic>
    <xdr:clientData/>
  </xdr:oneCellAnchor>
  <xdr:oneCellAnchor>
    <xdr:from>
      <xdr:col>11</xdr:col>
      <xdr:colOff>140448</xdr:colOff>
      <xdr:row>16</xdr:row>
      <xdr:rowOff>31749</xdr:rowOff>
    </xdr:from>
    <xdr:ext cx="1066800" cy="966322"/>
    <xdr:pic>
      <xdr:nvPicPr>
        <xdr:cNvPr id="34" name="Picture 33" descr="Pluto.jpg">
          <a:extLst>
            <a:ext uri="{FF2B5EF4-FFF2-40B4-BE49-F238E27FC236}">
              <a16:creationId xmlns:a16="http://schemas.microsoft.com/office/drawing/2014/main" id="{A0495626-3DF2-444D-A61D-28FFF8EB7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544548" y="3079749"/>
          <a:ext cx="1066800" cy="966322"/>
        </a:xfrm>
        <a:prstGeom prst="rect">
          <a:avLst/>
        </a:prstGeom>
      </xdr:spPr>
    </xdr:pic>
    <xdr:clientData/>
  </xdr:oneCellAnchor>
  <xdr:oneCellAnchor>
    <xdr:from>
      <xdr:col>5</xdr:col>
      <xdr:colOff>88900</xdr:colOff>
      <xdr:row>16</xdr:row>
      <xdr:rowOff>22224</xdr:rowOff>
    </xdr:from>
    <xdr:ext cx="1054100" cy="1070415"/>
    <xdr:pic>
      <xdr:nvPicPr>
        <xdr:cNvPr id="35" name="Picture 34" descr="Moon.jpg">
          <a:extLst>
            <a:ext uri="{FF2B5EF4-FFF2-40B4-BE49-F238E27FC236}">
              <a16:creationId xmlns:a16="http://schemas.microsoft.com/office/drawing/2014/main" id="{FCCE749A-2683-2D4B-A2CD-7AEE2A6D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54400" y="3070224"/>
          <a:ext cx="1054100" cy="1070415"/>
        </a:xfrm>
        <a:prstGeom prst="rect">
          <a:avLst/>
        </a:prstGeom>
      </xdr:spPr>
    </xdr:pic>
    <xdr:clientData/>
  </xdr:oneCellAnchor>
  <xdr:oneCellAnchor>
    <xdr:from>
      <xdr:col>1</xdr:col>
      <xdr:colOff>22224</xdr:colOff>
      <xdr:row>16</xdr:row>
      <xdr:rowOff>25399</xdr:rowOff>
    </xdr:from>
    <xdr:ext cx="1158875" cy="1047620"/>
    <xdr:pic>
      <xdr:nvPicPr>
        <xdr:cNvPr id="36" name="Picture 35" descr="Earth.jpg">
          <a:extLst>
            <a:ext uri="{FF2B5EF4-FFF2-40B4-BE49-F238E27FC236}">
              <a16:creationId xmlns:a16="http://schemas.microsoft.com/office/drawing/2014/main" id="{0BE69F31-E151-A14F-96B5-67D075BFD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95324" y="3073399"/>
          <a:ext cx="1158875" cy="1047620"/>
        </a:xfrm>
        <a:prstGeom prst="rect">
          <a:avLst/>
        </a:prstGeom>
      </xdr:spPr>
    </xdr:pic>
    <xdr:clientData/>
  </xdr:oneCellAnchor>
  <xdr:oneCellAnchor>
    <xdr:from>
      <xdr:col>2</xdr:col>
      <xdr:colOff>12701</xdr:colOff>
      <xdr:row>16</xdr:row>
      <xdr:rowOff>19051</xdr:rowOff>
    </xdr:from>
    <xdr:ext cx="1197535" cy="1101537"/>
    <xdr:pic>
      <xdr:nvPicPr>
        <xdr:cNvPr id="37" name="Picture 36" descr="Sun.jpg">
          <a:extLst>
            <a:ext uri="{FF2B5EF4-FFF2-40B4-BE49-F238E27FC236}">
              <a16:creationId xmlns:a16="http://schemas.microsoft.com/office/drawing/2014/main" id="{336915C2-A0A1-354F-A684-6AE644FA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358901" y="3067051"/>
          <a:ext cx="1197535" cy="1101537"/>
        </a:xfrm>
        <a:prstGeom prst="rect">
          <a:avLst/>
        </a:prstGeom>
      </xdr:spPr>
    </xdr:pic>
    <xdr:clientData/>
  </xdr:oneCellAnchor>
  <xdr:oneCellAnchor>
    <xdr:from>
      <xdr:col>9</xdr:col>
      <xdr:colOff>31750</xdr:colOff>
      <xdr:row>16</xdr:row>
      <xdr:rowOff>41274</xdr:rowOff>
    </xdr:from>
    <xdr:ext cx="1105336" cy="994897"/>
    <xdr:pic>
      <xdr:nvPicPr>
        <xdr:cNvPr id="38" name="Picture 37" descr="Uranus.jpg">
          <a:extLst>
            <a:ext uri="{FF2B5EF4-FFF2-40B4-BE49-F238E27FC236}">
              <a16:creationId xmlns:a16="http://schemas.microsoft.com/office/drawing/2014/main" id="{4B07B751-209C-CC42-910A-209EE3D2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089650" y="3089274"/>
          <a:ext cx="1105336" cy="994897"/>
        </a:xfrm>
        <a:prstGeom prst="rect">
          <a:avLst/>
        </a:prstGeom>
      </xdr:spPr>
    </xdr:pic>
    <xdr:clientData/>
  </xdr:oneCellAnchor>
  <xdr:twoCellAnchor>
    <xdr:from>
      <xdr:col>10</xdr:col>
      <xdr:colOff>44822</xdr:colOff>
      <xdr:row>1</xdr:row>
      <xdr:rowOff>149413</xdr:rowOff>
    </xdr:from>
    <xdr:to>
      <xdr:col>11</xdr:col>
      <xdr:colOff>1195293</xdr:colOff>
      <xdr:row>13</xdr:row>
      <xdr:rowOff>104589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A9D9579D-5B4C-1E4F-87C0-457669F98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13</xdr:col>
      <xdr:colOff>493059</xdr:colOff>
      <xdr:row>16</xdr:row>
      <xdr:rowOff>32824</xdr:rowOff>
    </xdr:from>
    <xdr:to>
      <xdr:col>20</xdr:col>
      <xdr:colOff>376055</xdr:colOff>
      <xdr:row>27</xdr:row>
      <xdr:rowOff>298824</xdr:rowOff>
    </xdr:to>
    <xdr:pic>
      <xdr:nvPicPr>
        <xdr:cNvPr id="40" name="Picture 39" descr="Hypothetical Planet X - NASA Science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9DE3D843-338B-81C0-ECB8-4A79D02F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1647" y="3394589"/>
          <a:ext cx="5485937" cy="3269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2</xdr:row>
      <xdr:rowOff>127000</xdr:rowOff>
    </xdr:from>
    <xdr:to>
      <xdr:col>20</xdr:col>
      <xdr:colOff>546100</xdr:colOff>
      <xdr:row>47</xdr:row>
      <xdr:rowOff>127000</xdr:rowOff>
    </xdr:to>
    <xdr:pic>
      <xdr:nvPicPr>
        <xdr:cNvPr id="3" name="Picture 2" descr="Solar System Map">
          <a:extLst>
            <a:ext uri="{FF2B5EF4-FFF2-40B4-BE49-F238E27FC236}">
              <a16:creationId xmlns:a16="http://schemas.microsoft.com/office/drawing/2014/main" id="{10A31C53-9C36-6B0E-E700-65F8D27FE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0200"/>
          <a:ext cx="16256000" cy="91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25400</xdr:colOff>
      <xdr:row>49</xdr:row>
      <xdr:rowOff>101600</xdr:rowOff>
    </xdr:from>
    <xdr:to>
      <xdr:col>10</xdr:col>
      <xdr:colOff>368300</xdr:colOff>
      <xdr:row>68</xdr:row>
      <xdr:rowOff>115235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107C5-D5E1-CA08-D10A-AC9ADB3F2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900" y="9855200"/>
          <a:ext cx="7772400" cy="3874435"/>
        </a:xfrm>
        <a:prstGeom prst="rect">
          <a:avLst/>
        </a:prstGeom>
      </xdr:spPr>
    </xdr:pic>
    <xdr:clientData/>
  </xdr:twoCellAnchor>
  <xdr:twoCellAnchor editAs="oneCell">
    <xdr:from>
      <xdr:col>11</xdr:col>
      <xdr:colOff>165100</xdr:colOff>
      <xdr:row>49</xdr:row>
      <xdr:rowOff>114300</xdr:rowOff>
    </xdr:from>
    <xdr:to>
      <xdr:col>20</xdr:col>
      <xdr:colOff>508000</xdr:colOff>
      <xdr:row>68</xdr:row>
      <xdr:rowOff>151512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DC3C62-F2B7-DA1B-024E-EC7BF172F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5600" y="9867900"/>
          <a:ext cx="7772400" cy="38980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ssassenburg/Dropbox/X_Private/06_Hobbies/1%20-%20Astronomy/Study/Programs/ORBIT%20(HS,%20V0.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ar System"/>
      <sheetName val="Definitions"/>
      <sheetName val="Calculations"/>
      <sheetName val="Graphical Data"/>
      <sheetName val="Conversion"/>
      <sheetName val="Clock"/>
    </sheetNames>
    <sheetDataSet>
      <sheetData sheetId="0" refreshError="1"/>
      <sheetData sheetId="1">
        <row r="8">
          <cell r="C8">
            <v>86400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astro.if.ufrgs.br/trigesf/position.html" TargetMode="Externa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theplanetstoday.com/planets_information_basic_facts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astro.if.ufrgs.br/trigesf/positio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quasar.as.utexas.edu/BillInfo/JulianDatesG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9D7B0-E520-5B48-AB53-2047706F7C9A}">
  <dimension ref="B2:K40"/>
  <sheetViews>
    <sheetView showGridLines="0" tabSelected="1" workbookViewId="0">
      <selection activeCell="A3" sqref="A3"/>
    </sheetView>
  </sheetViews>
  <sheetFormatPr baseColWidth="10" defaultRowHeight="16" x14ac:dyDescent="0.2"/>
  <cols>
    <col min="1" max="1" width="10.83203125" style="2"/>
    <col min="2" max="11" width="11.33203125" style="2" customWidth="1"/>
    <col min="12" max="16384" width="10.83203125" style="2"/>
  </cols>
  <sheetData>
    <row r="2" spans="2:11" ht="15" customHeight="1" x14ac:dyDescent="0.2"/>
    <row r="3" spans="2:11" ht="16" customHeight="1" x14ac:dyDescent="0.2">
      <c r="B3" s="253" t="s">
        <v>98</v>
      </c>
      <c r="C3" s="253"/>
      <c r="D3" s="253"/>
      <c r="E3" s="253"/>
      <c r="F3" s="253"/>
      <c r="G3" s="253"/>
      <c r="H3" s="253"/>
      <c r="I3" s="253"/>
      <c r="J3" s="253"/>
      <c r="K3" s="253"/>
    </row>
    <row r="4" spans="2:11" ht="16" customHeight="1" x14ac:dyDescent="0.2">
      <c r="B4" s="253"/>
      <c r="C4" s="253"/>
      <c r="D4" s="253"/>
      <c r="E4" s="253"/>
      <c r="F4" s="253"/>
      <c r="G4" s="253"/>
      <c r="H4" s="253"/>
      <c r="I4" s="253"/>
      <c r="J4" s="253"/>
      <c r="K4" s="253"/>
    </row>
    <row r="5" spans="2:11" ht="16" customHeight="1" x14ac:dyDescent="0.2">
      <c r="B5" s="253"/>
      <c r="C5" s="253"/>
      <c r="D5" s="253"/>
      <c r="E5" s="253"/>
      <c r="F5" s="253"/>
      <c r="G5" s="253"/>
      <c r="H5" s="253"/>
      <c r="I5" s="253"/>
      <c r="J5" s="253"/>
      <c r="K5" s="253"/>
    </row>
    <row r="6" spans="2:11" ht="16" customHeight="1" x14ac:dyDescent="0.2">
      <c r="B6" s="253"/>
      <c r="C6" s="253"/>
      <c r="D6" s="253"/>
      <c r="E6" s="253"/>
      <c r="F6" s="253"/>
      <c r="G6" s="253"/>
      <c r="H6" s="253"/>
      <c r="I6" s="253"/>
      <c r="J6" s="253"/>
      <c r="K6" s="253"/>
    </row>
    <row r="7" spans="2:11" ht="16" customHeight="1" x14ac:dyDescent="0.2">
      <c r="B7" s="253"/>
      <c r="C7" s="253"/>
      <c r="D7" s="253"/>
      <c r="E7" s="253"/>
      <c r="F7" s="253"/>
      <c r="G7" s="253"/>
      <c r="H7" s="253"/>
      <c r="I7" s="253"/>
      <c r="J7" s="253"/>
      <c r="K7" s="253"/>
    </row>
    <row r="8" spans="2:11" ht="16" customHeight="1" x14ac:dyDescent="0.2">
      <c r="B8" s="253"/>
      <c r="C8" s="253"/>
      <c r="D8" s="253"/>
      <c r="E8" s="253"/>
      <c r="F8" s="253"/>
      <c r="G8" s="253"/>
      <c r="H8" s="253"/>
      <c r="I8" s="253"/>
      <c r="J8" s="253"/>
      <c r="K8" s="253"/>
    </row>
    <row r="9" spans="2:11" ht="16" customHeight="1" x14ac:dyDescent="0.2">
      <c r="B9" s="253"/>
      <c r="C9" s="253"/>
      <c r="D9" s="253"/>
      <c r="E9" s="253"/>
      <c r="F9" s="253"/>
      <c r="G9" s="253"/>
      <c r="H9" s="253"/>
      <c r="I9" s="253"/>
      <c r="J9" s="253"/>
      <c r="K9" s="253"/>
    </row>
    <row r="13" spans="2:11" ht="19" x14ac:dyDescent="0.25">
      <c r="D13" s="32" t="s">
        <v>75</v>
      </c>
      <c r="E13" s="13"/>
      <c r="F13" s="12"/>
      <c r="G13" s="12"/>
      <c r="H13" s="12"/>
      <c r="I13" s="11" t="s">
        <v>74</v>
      </c>
    </row>
    <row r="14" spans="2:11" ht="19" x14ac:dyDescent="0.25">
      <c r="D14" s="10"/>
      <c r="E14" s="9"/>
      <c r="F14" s="8"/>
      <c r="G14" s="8"/>
      <c r="H14" s="8"/>
      <c r="I14" s="7"/>
    </row>
    <row r="15" spans="2:11" ht="19" x14ac:dyDescent="0.25">
      <c r="D15" s="6" t="s">
        <v>97</v>
      </c>
      <c r="E15" s="5"/>
      <c r="F15" s="4"/>
      <c r="G15" s="4"/>
      <c r="H15" s="4"/>
      <c r="I15" s="3" t="s">
        <v>73</v>
      </c>
    </row>
    <row r="16" spans="2:11" x14ac:dyDescent="0.2">
      <c r="D16" s="263" t="s">
        <v>96</v>
      </c>
      <c r="E16" s="263"/>
      <c r="F16" s="263"/>
      <c r="G16" s="263"/>
      <c r="H16" s="263"/>
      <c r="I16" s="263"/>
    </row>
    <row r="21" spans="3:3" x14ac:dyDescent="0.2">
      <c r="C21" s="31"/>
    </row>
    <row r="38" spans="2:11" x14ac:dyDescent="0.2">
      <c r="B38" s="254" t="s">
        <v>72</v>
      </c>
      <c r="C38" s="255"/>
      <c r="D38" s="255"/>
      <c r="E38" s="255"/>
      <c r="F38" s="255"/>
      <c r="G38" s="255"/>
      <c r="H38" s="255"/>
      <c r="I38" s="255"/>
      <c r="J38" s="255"/>
      <c r="K38" s="256"/>
    </row>
    <row r="39" spans="2:11" x14ac:dyDescent="0.2">
      <c r="B39" s="257" t="s">
        <v>71</v>
      </c>
      <c r="C39" s="258"/>
      <c r="D39" s="258"/>
      <c r="E39" s="258"/>
      <c r="F39" s="258"/>
      <c r="G39" s="258"/>
      <c r="H39" s="258"/>
      <c r="I39" s="258"/>
      <c r="J39" s="258"/>
      <c r="K39" s="259"/>
    </row>
    <row r="40" spans="2:11" x14ac:dyDescent="0.2">
      <c r="B40" s="260" t="s">
        <v>70</v>
      </c>
      <c r="C40" s="261"/>
      <c r="D40" s="261"/>
      <c r="E40" s="261"/>
      <c r="F40" s="261"/>
      <c r="G40" s="261"/>
      <c r="H40" s="261"/>
      <c r="I40" s="261"/>
      <c r="J40" s="261"/>
      <c r="K40" s="262"/>
    </row>
  </sheetData>
  <sheetProtection sheet="1" objects="1" scenarios="1"/>
  <mergeCells count="5">
    <mergeCell ref="B3:K9"/>
    <mergeCell ref="B38:K38"/>
    <mergeCell ref="B39:K39"/>
    <mergeCell ref="B40:K40"/>
    <mergeCell ref="D16:I16"/>
  </mergeCells>
  <hyperlinks>
    <hyperlink ref="I13" r:id="rId1" xr:uid="{75108EA2-78C2-9541-82F2-F14EB18BCD96}"/>
    <hyperlink ref="B38" r:id="rId2" display="http://www.astronomy-morsels.ch/" xr:uid="{6B801436-B97F-0D47-A6EC-ECA2EA398712}"/>
    <hyperlink ref="D16:I16" r:id="rId3" display="Source" xr:uid="{9F324A0C-AEBB-5F47-85D4-38339A6DF74D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482BE-3BB6-6445-A3F7-1F6214F97C1D}">
  <dimension ref="B3:Y354"/>
  <sheetViews>
    <sheetView showGridLines="0" zoomScale="85" zoomScaleNormal="85" zoomScalePageLayoutView="85" workbookViewId="0">
      <selection activeCell="P31" sqref="P31"/>
    </sheetView>
  </sheetViews>
  <sheetFormatPr baseColWidth="10" defaultColWidth="8.83203125" defaultRowHeight="15" x14ac:dyDescent="0.2"/>
  <cols>
    <col min="1" max="1" width="14.6640625" style="1" customWidth="1"/>
    <col min="2" max="12" width="15.83203125" style="1" customWidth="1"/>
    <col min="13" max="13" width="15.33203125" style="1" bestFit="1" customWidth="1"/>
    <col min="14" max="14" width="11.1640625" style="1" customWidth="1"/>
    <col min="15" max="15" width="10.5" style="1" bestFit="1" customWidth="1"/>
    <col min="16" max="16" width="13.5" style="1" customWidth="1"/>
    <col min="17" max="17" width="11.1640625" style="1" customWidth="1"/>
    <col min="18" max="18" width="8.83203125" style="1"/>
    <col min="19" max="19" width="9.5" style="1" bestFit="1" customWidth="1"/>
    <col min="20" max="20" width="8.83203125" style="1"/>
    <col min="21" max="21" width="9.1640625" style="1" customWidth="1"/>
    <col min="22" max="22" width="12.5" style="1" bestFit="1" customWidth="1"/>
    <col min="23" max="29" width="10.5" style="1" bestFit="1" customWidth="1"/>
    <col min="30" max="16384" width="8.83203125" style="1"/>
  </cols>
  <sheetData>
    <row r="3" spans="2:21" ht="16" x14ac:dyDescent="0.2">
      <c r="B3" s="92"/>
      <c r="C3" s="91" t="s">
        <v>26</v>
      </c>
      <c r="D3" s="90"/>
      <c r="I3" s="78" t="s">
        <v>15</v>
      </c>
    </row>
    <row r="4" spans="2:21" ht="16" x14ac:dyDescent="0.2">
      <c r="B4" s="74" t="s">
        <v>41</v>
      </c>
      <c r="C4" s="89">
        <v>45412</v>
      </c>
      <c r="D4" s="81" t="s">
        <v>123</v>
      </c>
      <c r="H4" s="85"/>
      <c r="I4" s="76">
        <f>MOD(360+C23-F23,360)</f>
        <v>238.91454221142828</v>
      </c>
    </row>
    <row r="5" spans="2:21" ht="16" x14ac:dyDescent="0.2">
      <c r="B5" s="74" t="s">
        <v>83</v>
      </c>
      <c r="C5" s="88" t="str">
        <f>IF(D5=0,"Sunday",IF(D5=1,"Monday",IF(D5=2,"Tuesday",IF(D5=3,"Wednesday",IF(D5=4,"Thursday",IF(D5=5,"Friday","Saturday"))))))</f>
        <v>Tuesday</v>
      </c>
      <c r="D5" s="87">
        <f>INT(MOD((C11+1.5),7))</f>
        <v>2</v>
      </c>
      <c r="I5" s="75">
        <f>1-((ABS(180-I4)/180))</f>
        <v>0.67269698771428732</v>
      </c>
    </row>
    <row r="6" spans="2:21" ht="16" x14ac:dyDescent="0.2">
      <c r="B6" s="74" t="s">
        <v>122</v>
      </c>
      <c r="C6" s="86">
        <v>0.875</v>
      </c>
      <c r="D6" s="81" t="s">
        <v>121</v>
      </c>
      <c r="H6" s="85"/>
      <c r="I6" s="67"/>
    </row>
    <row r="7" spans="2:21" ht="16" x14ac:dyDescent="0.2">
      <c r="B7" s="74" t="s">
        <v>84</v>
      </c>
      <c r="C7" s="84">
        <f>Conversion!C35</f>
        <v>0.83333333333333326</v>
      </c>
      <c r="D7" s="83" t="str">
        <f>Conversion!D35</f>
        <v>same day</v>
      </c>
      <c r="I7" s="58" t="str">
        <f>VLOOKUP(I4,Conversion!B101:D109,3,TRUE)</f>
        <v>Waning Gibbous</v>
      </c>
    </row>
    <row r="8" spans="2:21" ht="16" x14ac:dyDescent="0.2">
      <c r="B8" s="74" t="s">
        <v>120</v>
      </c>
      <c r="C8" s="82">
        <v>46.4572</v>
      </c>
      <c r="D8" s="81" t="s">
        <v>119</v>
      </c>
    </row>
    <row r="9" spans="2:21" ht="16" x14ac:dyDescent="0.2">
      <c r="B9" s="74" t="s">
        <v>42</v>
      </c>
      <c r="C9" s="82">
        <v>7.4428999999999998</v>
      </c>
      <c r="D9" s="81" t="s">
        <v>119</v>
      </c>
      <c r="E9" s="80">
        <f>(YEAR(C4)-2000)/1000</f>
        <v>2.4E-2</v>
      </c>
      <c r="F9" s="79"/>
      <c r="G9" s="40" t="s">
        <v>6</v>
      </c>
      <c r="H9" s="40" t="s">
        <v>41</v>
      </c>
      <c r="I9" s="39" t="s">
        <v>118</v>
      </c>
    </row>
    <row r="10" spans="2:21" ht="16" x14ac:dyDescent="0.2">
      <c r="B10" s="74" t="s">
        <v>117</v>
      </c>
      <c r="C10" s="77">
        <v>1</v>
      </c>
      <c r="D10" s="72"/>
      <c r="E10" s="63"/>
      <c r="F10" s="71" t="s">
        <v>116</v>
      </c>
      <c r="G10" s="70">
        <f>2451623.80984+365242.374*E$9 + 0.05169*POWER(E$9,2)-0.00411*POWER(E$9,3) - 0.00057*POWER(E$9,4)</f>
        <v>2460389.6268457165</v>
      </c>
      <c r="H10" s="69" t="str">
        <f>CONCATENATE(TEXT(Conversion!F43,"00"),".",TEXT(Conversion!F42,"00"),".",TEXT(Conversion!F41,"0000"))</f>
        <v>20.03.2024</v>
      </c>
      <c r="I10" s="68">
        <f>TIME(Conversion!F44,Conversion!F45,Conversion!F46)</f>
        <v>0.12684027777777779</v>
      </c>
      <c r="N10"/>
    </row>
    <row r="11" spans="2:21" ht="16" x14ac:dyDescent="0.2">
      <c r="B11" s="74" t="s">
        <v>115</v>
      </c>
      <c r="C11" s="73">
        <f>Conversion!C57</f>
        <v>2460431.375</v>
      </c>
      <c r="D11" s="72"/>
      <c r="E11" s="63"/>
      <c r="F11" s="71" t="s">
        <v>114</v>
      </c>
      <c r="G11" s="70">
        <f>2451716.56767+365241.62603*E$9 + 0.00325*POWER(E$9,2)+0.0088*POWER(E$9,3) - 0.0003*POWER(E$9,4)</f>
        <v>2460482.3666967135</v>
      </c>
      <c r="H11" s="69" t="str">
        <f>CONCATENATE(TEXT(Conversion!H43,"00"),".",TEXT(Conversion!H42,"00"),".",TEXT(Conversion!H41,"0000"))</f>
        <v>20.06.2024</v>
      </c>
      <c r="I11" s="68">
        <f>TIME(Conversion!H44,Conversion!H45,Conversion!H46)</f>
        <v>0.86668981481481477</v>
      </c>
    </row>
    <row r="12" spans="2:21" ht="16" x14ac:dyDescent="0.2">
      <c r="B12" s="74" t="s">
        <v>82</v>
      </c>
      <c r="C12" s="73">
        <f>Conversion!C84</f>
        <v>2460431.3333333335</v>
      </c>
      <c r="D12" s="72"/>
      <c r="E12" s="63"/>
      <c r="F12" s="71" t="s">
        <v>113</v>
      </c>
      <c r="G12" s="70">
        <f>2451810.21715+365242.01767*E$9 +-0.11575*POWER(E$9,2)+0.00337*POWER(E$9,3) +0.00078*POWER(E$9,4)</f>
        <v>2460576.0255074548</v>
      </c>
      <c r="H12" s="69" t="str">
        <f>CONCATENATE(TEXT(Conversion!J43,"00"),".",TEXT(Conversion!J42,"00"),".",TEXT(Conversion!J41,"0000"))</f>
        <v>22.09.2024</v>
      </c>
      <c r="I12" s="68">
        <f>TIME(Conversion!J44,Conversion!J45,Conversion!J46)</f>
        <v>0.52549768518518514</v>
      </c>
    </row>
    <row r="13" spans="2:21" ht="16" x14ac:dyDescent="0.2">
      <c r="B13" s="66" t="s">
        <v>78</v>
      </c>
      <c r="C13" s="65">
        <f>Conversion!C71</f>
        <v>121</v>
      </c>
      <c r="D13" s="64"/>
      <c r="E13" s="63"/>
      <c r="F13" s="62" t="s">
        <v>112</v>
      </c>
      <c r="G13" s="61">
        <f>2451900.05952+365242.74049*E$9 -0.06223*POWER(E$9,2)-0.00823*POWER(E$9,3) +0.00032*POWER(E$9,4)</f>
        <v>2460665.8852558024</v>
      </c>
      <c r="H13" s="60" t="str">
        <f>CONCATENATE(TEXT(Conversion!L43,"00"),".",TEXT(Conversion!L42,"00"),".",TEXT(Conversion!L41,"0000"))</f>
        <v>21.12.2024</v>
      </c>
      <c r="I13" s="59">
        <f>TIME(Conversion!L44,Conversion!L45,Conversion!L46)</f>
        <v>0.38525462962962964</v>
      </c>
    </row>
    <row r="14" spans="2:21" ht="18" customHeight="1" x14ac:dyDescent="0.2">
      <c r="N14"/>
    </row>
    <row r="15" spans="2:21" ht="18" customHeight="1" x14ac:dyDescent="0.2"/>
    <row r="16" spans="2:21" ht="18" customHeight="1" x14ac:dyDescent="0.25">
      <c r="B16" s="57" t="s">
        <v>16</v>
      </c>
      <c r="C16" s="56" t="s">
        <v>14</v>
      </c>
      <c r="D16" s="56" t="s">
        <v>19</v>
      </c>
      <c r="E16" s="56" t="s">
        <v>22</v>
      </c>
      <c r="F16" s="56" t="s">
        <v>15</v>
      </c>
      <c r="G16" s="56" t="s">
        <v>20</v>
      </c>
      <c r="H16" s="56" t="s">
        <v>21</v>
      </c>
      <c r="I16" s="56" t="s">
        <v>23</v>
      </c>
      <c r="J16" s="56" t="s">
        <v>101</v>
      </c>
      <c r="K16" s="56" t="s">
        <v>100</v>
      </c>
      <c r="L16" s="56" t="s">
        <v>99</v>
      </c>
      <c r="N16" s="271" t="s">
        <v>263</v>
      </c>
      <c r="O16" s="271"/>
      <c r="P16" s="271"/>
      <c r="Q16" s="271"/>
      <c r="R16" s="271"/>
      <c r="S16" s="271"/>
      <c r="T16" s="271"/>
      <c r="U16" s="271"/>
    </row>
    <row r="17" spans="2:25" ht="18" customHeight="1" x14ac:dyDescent="0.2">
      <c r="B17" s="49"/>
      <c r="C17" s="48"/>
      <c r="D17" s="48"/>
      <c r="E17" s="48"/>
      <c r="F17" s="48"/>
      <c r="G17" s="264"/>
      <c r="H17" s="48"/>
      <c r="I17" s="48"/>
      <c r="J17" s="48"/>
      <c r="K17" s="48"/>
      <c r="L17" s="50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46"/>
      <c r="X17" s="37"/>
      <c r="Y17" s="37"/>
    </row>
    <row r="18" spans="2:25" ht="18" customHeight="1" x14ac:dyDescent="0.2">
      <c r="B18" s="53"/>
      <c r="C18" s="51"/>
      <c r="D18" s="51"/>
      <c r="E18" s="51"/>
      <c r="F18" s="51"/>
      <c r="G18" s="265"/>
      <c r="H18" s="51"/>
      <c r="I18" s="51"/>
      <c r="J18" s="51"/>
      <c r="K18" s="51"/>
      <c r="L18" s="47"/>
      <c r="M18" s="55"/>
      <c r="N18" s="54"/>
      <c r="O18" s="37"/>
      <c r="P18" s="37"/>
      <c r="Q18" s="37"/>
      <c r="R18" s="37"/>
      <c r="S18" s="37"/>
      <c r="T18" s="37"/>
      <c r="U18" s="37"/>
      <c r="V18" s="37"/>
      <c r="W18" s="46"/>
      <c r="X18" s="37"/>
      <c r="Y18" s="37"/>
    </row>
    <row r="19" spans="2:25" ht="18" customHeight="1" x14ac:dyDescent="0.2">
      <c r="B19" s="53"/>
      <c r="C19" s="51"/>
      <c r="D19" s="51"/>
      <c r="E19" s="51"/>
      <c r="F19" s="51"/>
      <c r="G19" s="51"/>
      <c r="H19" s="51"/>
      <c r="I19" s="51"/>
      <c r="J19" s="51"/>
      <c r="K19" s="51"/>
      <c r="L19" s="47"/>
      <c r="M19" s="46"/>
      <c r="N19" s="37"/>
      <c r="O19" s="37"/>
      <c r="P19" s="37"/>
      <c r="Q19" s="37"/>
      <c r="R19" s="37"/>
      <c r="S19" s="37"/>
      <c r="T19" s="37"/>
      <c r="U19" s="37"/>
      <c r="V19" s="37"/>
      <c r="W19" s="46"/>
      <c r="X19" s="37"/>
      <c r="Y19" s="37"/>
    </row>
    <row r="20" spans="2:25" ht="18" customHeight="1" x14ac:dyDescent="0.2">
      <c r="B20" s="53"/>
      <c r="C20" s="51"/>
      <c r="D20" s="51"/>
      <c r="E20" s="51"/>
      <c r="F20" s="51"/>
      <c r="G20" s="51"/>
      <c r="H20" s="51"/>
      <c r="I20" s="51"/>
      <c r="J20" s="51"/>
      <c r="K20" s="51"/>
      <c r="L20" s="4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46"/>
      <c r="X20" s="37"/>
      <c r="Y20" s="37"/>
    </row>
    <row r="21" spans="2:25" ht="18" customHeight="1" x14ac:dyDescent="0.2">
      <c r="B21" s="52"/>
      <c r="C21" s="48"/>
      <c r="D21" s="51"/>
      <c r="E21" s="49"/>
      <c r="F21" s="48"/>
      <c r="G21" s="48"/>
      <c r="H21" s="48"/>
      <c r="I21" s="50"/>
      <c r="J21" s="49"/>
      <c r="K21" s="48"/>
      <c r="L21" s="4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46"/>
      <c r="X21" s="37"/>
      <c r="Y21" s="37"/>
    </row>
    <row r="22" spans="2:25" ht="25" customHeight="1" x14ac:dyDescent="0.2">
      <c r="B22" s="43" t="s">
        <v>111</v>
      </c>
      <c r="C22" s="45">
        <f>Calculations!C116</f>
        <v>-12.822923967478477</v>
      </c>
      <c r="D22" s="45">
        <f>Calculations!E116</f>
        <v>-32.479778698086882</v>
      </c>
      <c r="E22" s="45">
        <f>Calculations!F116</f>
        <v>-20.829390685765521</v>
      </c>
      <c r="F22" s="45">
        <f>Calculations!G116</f>
        <v>-50.933952079729728</v>
      </c>
      <c r="G22" s="45">
        <f>Calculations!H116</f>
        <v>-43.028461547570046</v>
      </c>
      <c r="H22" s="45">
        <f>Calculations!I116</f>
        <v>-2.8510972544559938</v>
      </c>
      <c r="I22" s="45">
        <f>Calculations!J116</f>
        <v>-50.409655482293225</v>
      </c>
      <c r="J22" s="45">
        <f>Calculations!K116</f>
        <v>-3.9074506638575128</v>
      </c>
      <c r="K22" s="45">
        <f>Calculations!L116</f>
        <v>-43.724155767128828</v>
      </c>
      <c r="L22" s="45">
        <f>Calculations!M116</f>
        <v>-41.474197564907364</v>
      </c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46"/>
      <c r="X22" s="37"/>
      <c r="Y22" s="37"/>
    </row>
    <row r="23" spans="2:25" ht="25" customHeight="1" x14ac:dyDescent="0.2">
      <c r="B23" s="43" t="s">
        <v>110</v>
      </c>
      <c r="C23" s="45">
        <f>Calculations!C115</f>
        <v>308.87771794172158</v>
      </c>
      <c r="D23" s="45">
        <f>Calculations!E115</f>
        <v>323.82446865559257</v>
      </c>
      <c r="E23" s="45">
        <f>Calculations!F115</f>
        <v>313.952225378707</v>
      </c>
      <c r="F23" s="45">
        <f>Calculations!G115</f>
        <v>69.963175730293315</v>
      </c>
      <c r="G23" s="45">
        <f>Calculations!H115</f>
        <v>340.75372708141771</v>
      </c>
      <c r="H23" s="45">
        <f>Calculations!I115</f>
        <v>300.19837741873954</v>
      </c>
      <c r="I23" s="45">
        <f>Calculations!J115</f>
        <v>357.40723921164465</v>
      </c>
      <c r="J23" s="45">
        <f>Calculations!K115</f>
        <v>301.61431766589817</v>
      </c>
      <c r="K23" s="45">
        <f>Calculations!L115</f>
        <v>342.14107726573513</v>
      </c>
      <c r="L23" s="45">
        <f>Calculations!M115</f>
        <v>340.78992930851791</v>
      </c>
      <c r="T23" s="37"/>
      <c r="U23" s="37"/>
      <c r="V23" s="37"/>
      <c r="W23" s="37"/>
      <c r="X23" s="37"/>
      <c r="Y23" s="37"/>
    </row>
    <row r="24" spans="2:25" ht="25" customHeight="1" x14ac:dyDescent="0.2">
      <c r="B24" s="43" t="s">
        <v>109</v>
      </c>
      <c r="C24" s="44">
        <f>TIME(Calculations!C136,Calculations!C137,Calculations!C138)</f>
        <v>0.21893518518518518</v>
      </c>
      <c r="D24" s="44">
        <f>TIME(Calculations!E136,Calculations!E137,Calculations!E138)</f>
        <v>0.19302083333333334</v>
      </c>
      <c r="E24" s="44">
        <f>TIME(Calculations!F136,Calculations!F137,Calculations!F138)</f>
        <v>0.21065972222222223</v>
      </c>
      <c r="F24" s="44">
        <f>TIME(Calculations!G136,Calculations!G137,Calculations!G138)</f>
        <v>8.6944444444444449E-2</v>
      </c>
      <c r="G24" s="44">
        <f>TIME(Calculations!H136,Calculations!H137,Calculations!H138)</f>
        <v>0.16530092592592593</v>
      </c>
      <c r="H24" s="44">
        <f>TIME(Calculations!I136,Calculations!I137,Calculations!I138)</f>
        <v>0.24797453703703703</v>
      </c>
      <c r="I24" s="44">
        <f>TIME(Calculations!J136,Calculations!J137,Calculations!J138)</f>
        <v>0.14559027777777778</v>
      </c>
      <c r="J24" s="44">
        <f>TIME(Calculations!K136,Calculations!K137,Calculations!K138)</f>
        <v>0.24266203703703704</v>
      </c>
      <c r="K24" s="44">
        <f>TIME(Calculations!L136,Calculations!L137,Calculations!L138)</f>
        <v>0.16075231481481481</v>
      </c>
      <c r="L24" s="44">
        <f>TIME(Calculations!M136,Calculations!M137,Calculations!M138)</f>
        <v>0.16175925925925927</v>
      </c>
      <c r="T24" s="37"/>
      <c r="U24" s="37"/>
      <c r="V24" s="37"/>
      <c r="W24" s="37"/>
      <c r="X24" s="37"/>
      <c r="Y24" s="37"/>
    </row>
    <row r="25" spans="2:25" ht="25" customHeight="1" x14ac:dyDescent="0.2">
      <c r="B25" s="43" t="s">
        <v>108</v>
      </c>
      <c r="C25" s="44">
        <f>TIME(Calculations!C130,Calculations!C131,Calculations!C132)</f>
        <v>0.51810185185185187</v>
      </c>
      <c r="D25" s="44">
        <f>TIME(Calculations!E130,Calculations!E131,Calculations!E132)</f>
        <v>0.45983796296296298</v>
      </c>
      <c r="E25" s="44">
        <f>TIME(Calculations!F130,Calculations!F131,Calculations!F132)</f>
        <v>0.49663194444444442</v>
      </c>
      <c r="F25" s="44">
        <f>TIME(Calculations!G130,Calculations!G131,Calculations!G132)</f>
        <v>0.26167824074074075</v>
      </c>
      <c r="G25" s="44">
        <f>TIME(Calculations!H130,Calculations!H131,Calculations!H132)</f>
        <v>0.41545138888888888</v>
      </c>
      <c r="H25" s="44">
        <f>TIME(Calculations!I130,Calculations!I131,Calculations!I132)</f>
        <v>0.5575</v>
      </c>
      <c r="I25" s="44">
        <f>TIME(Calculations!J130,Calculations!J131,Calculations!J132)</f>
        <v>0.37869212962962961</v>
      </c>
      <c r="J25" s="44">
        <f>TIME(Calculations!K130,Calculations!K131,Calculations!K132)</f>
        <v>0.55236111111111108</v>
      </c>
      <c r="K25" s="44">
        <f>TIME(Calculations!L130,Calculations!L131,Calculations!L132)</f>
        <v>0.40957175925925926</v>
      </c>
      <c r="L25" s="44">
        <f>TIME(Calculations!M130,Calculations!M131,Calculations!M132)</f>
        <v>0.41635416666666669</v>
      </c>
      <c r="T25" s="37"/>
      <c r="U25" s="37"/>
      <c r="V25" s="37"/>
      <c r="W25" s="37"/>
      <c r="X25" s="37"/>
      <c r="Y25" s="37"/>
    </row>
    <row r="26" spans="2:25" ht="25" customHeight="1" x14ac:dyDescent="0.2">
      <c r="B26" s="43" t="s">
        <v>107</v>
      </c>
      <c r="C26" s="44">
        <f>TIME(Calculations!C140,Calculations!C142,Calculations!C143)</f>
        <v>0.81726851851851856</v>
      </c>
      <c r="D26" s="44">
        <f>TIME(Calculations!E141,Calculations!E142,Calculations!E143)</f>
        <v>0.72665509259259264</v>
      </c>
      <c r="E26" s="44">
        <f>TIME(Calculations!F141,Calculations!F142,Calculations!F143)</f>
        <v>0.7826157407407407</v>
      </c>
      <c r="F26" s="44">
        <f>TIME(Calculations!G141,Calculations!G142,Calculations!G143)</f>
        <v>0.43642361111111111</v>
      </c>
      <c r="G26" s="44">
        <f>TIME(Calculations!H141,Calculations!H142,Calculations!H143)</f>
        <v>0.66560185185185183</v>
      </c>
      <c r="H26" s="44">
        <f>TIME(Calculations!I141,Calculations!I142,Calculations!I143)</f>
        <v>0.86701388888888886</v>
      </c>
      <c r="I26" s="44">
        <f>TIME(Calculations!J141,Calculations!J142,Calculations!J143)</f>
        <v>0.6118055555555556</v>
      </c>
      <c r="J26" s="44">
        <f>TIME(Calculations!K141,Calculations!K142,Calculations!K143)</f>
        <v>0.86206018518518523</v>
      </c>
      <c r="K26" s="44">
        <f>TIME(Calculations!L141,Calculations!L142,Calculations!L143)</f>
        <v>0.65837962962962959</v>
      </c>
      <c r="L26" s="44">
        <f>TIME(Calculations!M141,Calculations!M142,Calculations!M143)</f>
        <v>0.67094907407407411</v>
      </c>
      <c r="T26" s="37"/>
      <c r="U26" s="37"/>
      <c r="V26" s="37"/>
      <c r="W26" s="37"/>
      <c r="X26" s="37"/>
      <c r="Y26" s="37"/>
    </row>
    <row r="27" spans="2:25" ht="25" customHeight="1" x14ac:dyDescent="0.2">
      <c r="B27" s="43" t="s">
        <v>106</v>
      </c>
      <c r="C27" s="44" t="str">
        <f>Calculations!C169</f>
        <v>03.01.2024</v>
      </c>
      <c r="D27" s="44" t="str">
        <f>Calculations!E169</f>
        <v>13.06.2024</v>
      </c>
      <c r="E27" s="44" t="str">
        <f>Calculations!F169</f>
        <v>29.08.2026</v>
      </c>
      <c r="F27" s="44" t="s">
        <v>11</v>
      </c>
      <c r="G27" s="44" t="str">
        <f>Calculations!H169</f>
        <v>08.05.2024</v>
      </c>
      <c r="H27" s="44" t="str">
        <f>Calculations!I169</f>
        <v>25.01.2023</v>
      </c>
      <c r="I27" s="44" t="str">
        <f>Calculations!J169</f>
        <v>27.12.2032</v>
      </c>
      <c r="J27" s="44" t="str">
        <f>Calculations!K169</f>
        <v>11.02.2051</v>
      </c>
      <c r="K27" s="44" t="str">
        <f>Calculations!L169</f>
        <v>04.07.2047</v>
      </c>
      <c r="L27" s="44" t="s">
        <v>11</v>
      </c>
      <c r="T27" s="37"/>
      <c r="U27" s="37"/>
      <c r="V27" s="37"/>
      <c r="W27" s="37"/>
      <c r="X27" s="37"/>
      <c r="Y27" s="37"/>
    </row>
    <row r="28" spans="2:25" ht="25" customHeight="1" x14ac:dyDescent="0.2">
      <c r="B28" s="43" t="s">
        <v>105</v>
      </c>
      <c r="C28" s="41" t="str">
        <f>Calculations!C191</f>
        <v>05.07.2024</v>
      </c>
      <c r="D28" s="41" t="str">
        <f>Calculations!E191</f>
        <v>27.07.2024</v>
      </c>
      <c r="E28" s="41" t="str">
        <f>Calculations!F191</f>
        <v>29.12.2026</v>
      </c>
      <c r="F28" s="42" t="s">
        <v>11</v>
      </c>
      <c r="G28" s="41" t="str">
        <f>Calculations!H191</f>
        <v>16.04.2025</v>
      </c>
      <c r="H28" s="41" t="str">
        <f>Calculations!I191</f>
        <v>30.12.2028</v>
      </c>
      <c r="I28" s="41" t="str">
        <f>Calculations!J191</f>
        <v>22.09.2047</v>
      </c>
      <c r="J28" s="41" t="str">
        <f>Calculations!K191</f>
        <v>17.02.2093</v>
      </c>
      <c r="K28" s="41" t="str">
        <f>Calculations!L191</f>
        <v>26.11.2129</v>
      </c>
      <c r="L28" s="41" t="s">
        <v>11</v>
      </c>
      <c r="T28" s="37"/>
    </row>
    <row r="29" spans="2:25" ht="25" customHeight="1" x14ac:dyDescent="0.2">
      <c r="T29" s="37"/>
    </row>
    <row r="30" spans="2:25" ht="25" customHeight="1" x14ac:dyDescent="0.2">
      <c r="T30" s="37"/>
    </row>
    <row r="31" spans="2:25" ht="31" customHeight="1" x14ac:dyDescent="0.2">
      <c r="T31" s="37"/>
    </row>
    <row r="32" spans="2:25" ht="31" customHeight="1" x14ac:dyDescent="0.2">
      <c r="T32" s="37"/>
    </row>
    <row r="33" spans="10:25" ht="31" customHeight="1" x14ac:dyDescent="0.2">
      <c r="N33" s="272" t="s">
        <v>104</v>
      </c>
      <c r="O33" s="272"/>
      <c r="P33" s="272"/>
      <c r="T33" s="37"/>
    </row>
    <row r="34" spans="10:25" ht="16" x14ac:dyDescent="0.2">
      <c r="J34" s="38"/>
      <c r="M34" s="37"/>
      <c r="N34" s="273"/>
      <c r="O34" s="274" t="s">
        <v>103</v>
      </c>
      <c r="P34" s="274" t="s">
        <v>102</v>
      </c>
      <c r="S34" s="37"/>
      <c r="T34" s="37"/>
      <c r="Y34" s="37"/>
    </row>
    <row r="35" spans="10:25" ht="16" x14ac:dyDescent="0.2">
      <c r="J35" s="38"/>
      <c r="M35" s="37"/>
      <c r="N35" s="273" t="s">
        <v>14</v>
      </c>
      <c r="O35" s="275">
        <f>(Calculations!C115)</f>
        <v>308.87771794172158</v>
      </c>
      <c r="P35" s="275">
        <f>Calculations!C116</f>
        <v>-12.822923967478477</v>
      </c>
      <c r="S35" s="37"/>
      <c r="T35" s="37"/>
      <c r="Y35" s="37"/>
    </row>
    <row r="36" spans="10:25" ht="16" x14ac:dyDescent="0.2">
      <c r="J36" s="38"/>
      <c r="M36" s="37"/>
      <c r="N36" s="273" t="s">
        <v>19</v>
      </c>
      <c r="O36" s="275">
        <f>(Calculations!E115)</f>
        <v>323.82446865559257</v>
      </c>
      <c r="P36" s="275">
        <f>Calculations!E116</f>
        <v>-32.479778698086882</v>
      </c>
      <c r="S36" s="37"/>
      <c r="T36" s="37"/>
      <c r="Y36" s="37"/>
    </row>
    <row r="37" spans="10:25" ht="16" x14ac:dyDescent="0.2">
      <c r="J37" s="38"/>
      <c r="M37" s="37"/>
      <c r="N37" s="273" t="s">
        <v>22</v>
      </c>
      <c r="O37" s="275">
        <f>(Calculations!F115)</f>
        <v>313.952225378707</v>
      </c>
      <c r="P37" s="275">
        <f>Calculations!F116</f>
        <v>-20.829390685765521</v>
      </c>
      <c r="S37" s="37"/>
      <c r="T37" s="37"/>
      <c r="Y37" s="37"/>
    </row>
    <row r="38" spans="10:25" ht="16" x14ac:dyDescent="0.2">
      <c r="J38" s="38"/>
      <c r="M38" s="37"/>
      <c r="N38" s="273" t="s">
        <v>20</v>
      </c>
      <c r="O38" s="275">
        <f>(Calculations!H115)</f>
        <v>340.75372708141771</v>
      </c>
      <c r="P38" s="275">
        <f>Calculations!H116</f>
        <v>-43.028461547570046</v>
      </c>
      <c r="S38" s="37"/>
      <c r="T38" s="37"/>
      <c r="Y38" s="37"/>
    </row>
    <row r="39" spans="10:25" ht="16" x14ac:dyDescent="0.2">
      <c r="N39" s="273" t="s">
        <v>21</v>
      </c>
      <c r="O39" s="275">
        <f>(Calculations!I115)</f>
        <v>300.19837741873954</v>
      </c>
      <c r="P39" s="275">
        <f>Calculations!I116</f>
        <v>-2.8510972544559938</v>
      </c>
    </row>
    <row r="40" spans="10:25" ht="16" x14ac:dyDescent="0.2">
      <c r="N40" s="273" t="s">
        <v>23</v>
      </c>
      <c r="O40" s="275">
        <f>(Calculations!J115)</f>
        <v>357.40723921164465</v>
      </c>
      <c r="P40" s="275">
        <f>Calculations!J116</f>
        <v>-50.409655482293225</v>
      </c>
    </row>
    <row r="41" spans="10:25" ht="16" x14ac:dyDescent="0.2">
      <c r="N41" s="273" t="s">
        <v>101</v>
      </c>
      <c r="O41" s="275">
        <f>(Calculations!K115)</f>
        <v>301.61431766589817</v>
      </c>
      <c r="P41" s="275">
        <f>Calculations!K116</f>
        <v>-3.9074506638575128</v>
      </c>
    </row>
    <row r="42" spans="10:25" ht="16" x14ac:dyDescent="0.2">
      <c r="N42" s="273" t="s">
        <v>100</v>
      </c>
      <c r="O42" s="275">
        <f>(Calculations!L115)</f>
        <v>342.14107726573513</v>
      </c>
      <c r="P42" s="275">
        <f>Calculations!L116</f>
        <v>-43.724155767128828</v>
      </c>
    </row>
    <row r="43" spans="10:25" ht="16" x14ac:dyDescent="0.2">
      <c r="N43" s="273" t="s">
        <v>99</v>
      </c>
      <c r="O43" s="275">
        <f>(Calculations!M115)</f>
        <v>340.78992930851791</v>
      </c>
      <c r="P43" s="275">
        <f>Calculations!M116</f>
        <v>-41.474197564907364</v>
      </c>
    </row>
    <row r="44" spans="10:25" ht="16" x14ac:dyDescent="0.2">
      <c r="N44" s="273" t="s">
        <v>15</v>
      </c>
      <c r="O44" s="275">
        <f>(Calculations!G115)</f>
        <v>69.963175730293315</v>
      </c>
      <c r="P44" s="275">
        <f>Calculations!G116</f>
        <v>-50.933952079729728</v>
      </c>
    </row>
    <row r="57" spans="2:12" ht="16" x14ac:dyDescent="0.2">
      <c r="B57" s="266" t="s">
        <v>262</v>
      </c>
      <c r="C57" s="266"/>
      <c r="D57" s="266"/>
      <c r="E57" s="266"/>
      <c r="F57" s="266"/>
      <c r="G57" s="266"/>
      <c r="H57" s="266"/>
      <c r="I57" s="266"/>
      <c r="J57" s="266"/>
      <c r="K57" s="266"/>
      <c r="L57" s="266"/>
    </row>
    <row r="219" s="1" customFormat="1" ht="15" customHeight="1" x14ac:dyDescent="0.2"/>
    <row r="220" s="1" customFormat="1" ht="15" customHeight="1" x14ac:dyDescent="0.2"/>
    <row r="221" s="1" customFormat="1" ht="15" customHeight="1" x14ac:dyDescent="0.2"/>
    <row r="222" s="1" customFormat="1" ht="15" customHeight="1" x14ac:dyDescent="0.2"/>
    <row r="223" s="1" customFormat="1" ht="15" customHeight="1" x14ac:dyDescent="0.2"/>
    <row r="224" s="1" customFormat="1" ht="15" customHeight="1" x14ac:dyDescent="0.2"/>
    <row r="225" s="1" customFormat="1" ht="15" customHeight="1" x14ac:dyDescent="0.2"/>
    <row r="226" s="1" customFormat="1" ht="15" customHeight="1" x14ac:dyDescent="0.2"/>
    <row r="227" s="1" customFormat="1" ht="15" customHeight="1" x14ac:dyDescent="0.2"/>
    <row r="228" s="1" customFormat="1" ht="15" customHeight="1" x14ac:dyDescent="0.2"/>
    <row r="229" s="1" customFormat="1" ht="15" customHeight="1" x14ac:dyDescent="0.2"/>
    <row r="230" s="1" customFormat="1" ht="15" customHeight="1" x14ac:dyDescent="0.2"/>
    <row r="231" s="1" customFormat="1" ht="15" customHeight="1" x14ac:dyDescent="0.2"/>
    <row r="232" s="1" customFormat="1" ht="15" customHeight="1" x14ac:dyDescent="0.2"/>
    <row r="233" s="1" customFormat="1" ht="15" customHeight="1" x14ac:dyDescent="0.2"/>
    <row r="234" s="1" customFormat="1" ht="15" customHeight="1" x14ac:dyDescent="0.2"/>
    <row r="235" s="1" customFormat="1" ht="15" customHeight="1" x14ac:dyDescent="0.2"/>
    <row r="236" s="1" customFormat="1" ht="15" customHeight="1" x14ac:dyDescent="0.2"/>
    <row r="237" s="1" customFormat="1" ht="15" customHeight="1" x14ac:dyDescent="0.2"/>
    <row r="238" s="1" customFormat="1" ht="15" customHeight="1" x14ac:dyDescent="0.2"/>
    <row r="239" s="1" customFormat="1" ht="15" customHeight="1" x14ac:dyDescent="0.2"/>
    <row r="240" s="1" customFormat="1" ht="15" customHeight="1" x14ac:dyDescent="0.2"/>
    <row r="241" s="1" customFormat="1" ht="15" customHeight="1" x14ac:dyDescent="0.2"/>
    <row r="242" s="1" customFormat="1" ht="15" customHeight="1" x14ac:dyDescent="0.2"/>
    <row r="243" s="1" customFormat="1" ht="15" customHeight="1" x14ac:dyDescent="0.2"/>
    <row r="244" s="1" customFormat="1" ht="15" customHeight="1" x14ac:dyDescent="0.2"/>
    <row r="245" s="1" customFormat="1" ht="15" customHeight="1" x14ac:dyDescent="0.2"/>
    <row r="246" s="1" customFormat="1" ht="15" customHeight="1" x14ac:dyDescent="0.2"/>
    <row r="247" s="1" customFormat="1" ht="15" customHeight="1" x14ac:dyDescent="0.2"/>
    <row r="248" s="1" customFormat="1" ht="15" customHeight="1" x14ac:dyDescent="0.2"/>
    <row r="249" s="1" customFormat="1" ht="15" customHeight="1" x14ac:dyDescent="0.2"/>
    <row r="250" s="1" customFormat="1" ht="15" customHeight="1" x14ac:dyDescent="0.2"/>
    <row r="251" s="1" customFormat="1" ht="15" customHeight="1" x14ac:dyDescent="0.2"/>
    <row r="252" s="1" customFormat="1" ht="15" customHeight="1" x14ac:dyDescent="0.2"/>
    <row r="253" s="1" customFormat="1" ht="15" customHeight="1" x14ac:dyDescent="0.2"/>
    <row r="254" s="1" customFormat="1" ht="15" customHeight="1" x14ac:dyDescent="0.2"/>
    <row r="255" s="1" customFormat="1" ht="15" customHeight="1" x14ac:dyDescent="0.2"/>
    <row r="256" s="1" customFormat="1" ht="15" customHeight="1" x14ac:dyDescent="0.2"/>
    <row r="257" s="1" customFormat="1" ht="15" customHeight="1" x14ac:dyDescent="0.2"/>
    <row r="258" s="1" customFormat="1" ht="15" customHeight="1" x14ac:dyDescent="0.2"/>
    <row r="259" s="1" customFormat="1" ht="15" customHeight="1" x14ac:dyDescent="0.2"/>
    <row r="260" s="1" customFormat="1" ht="15" customHeight="1" x14ac:dyDescent="0.2"/>
    <row r="261" s="1" customFormat="1" ht="15" customHeight="1" x14ac:dyDescent="0.2"/>
    <row r="262" s="1" customFormat="1" ht="15" customHeight="1" x14ac:dyDescent="0.2"/>
    <row r="263" s="1" customFormat="1" ht="15" customHeight="1" x14ac:dyDescent="0.2"/>
    <row r="264" s="1" customFormat="1" ht="15" customHeight="1" x14ac:dyDescent="0.2"/>
    <row r="265" s="1" customFormat="1" ht="15" customHeight="1" x14ac:dyDescent="0.2"/>
    <row r="266" s="1" customFormat="1" ht="15" customHeight="1" x14ac:dyDescent="0.2"/>
    <row r="267" s="1" customFormat="1" ht="15" customHeight="1" x14ac:dyDescent="0.2"/>
    <row r="268" s="1" customFormat="1" ht="15" customHeight="1" x14ac:dyDescent="0.2"/>
    <row r="269" s="1" customFormat="1" ht="15" customHeight="1" x14ac:dyDescent="0.2"/>
    <row r="270" s="1" customFormat="1" ht="15" customHeight="1" x14ac:dyDescent="0.2"/>
    <row r="271" s="1" customFormat="1" ht="15" customHeight="1" x14ac:dyDescent="0.2"/>
    <row r="272" s="1" customFormat="1" ht="15" customHeight="1" x14ac:dyDescent="0.2"/>
    <row r="273" spans="3:3" ht="15" customHeight="1" x14ac:dyDescent="0.2"/>
    <row r="274" spans="3:3" ht="15" customHeight="1" x14ac:dyDescent="0.2"/>
    <row r="275" spans="3:3" ht="15" customHeight="1" x14ac:dyDescent="0.2">
      <c r="C275" s="36"/>
    </row>
    <row r="313" spans="3:7" x14ac:dyDescent="0.2">
      <c r="C313" s="33"/>
    </row>
    <row r="315" spans="3:7" ht="16" x14ac:dyDescent="0.2">
      <c r="F315" s="35"/>
    </row>
    <row r="316" spans="3:7" ht="16" x14ac:dyDescent="0.2">
      <c r="D316" s="35"/>
    </row>
    <row r="317" spans="3:7" ht="16" x14ac:dyDescent="0.2">
      <c r="C317" s="35"/>
      <c r="G317" s="35"/>
    </row>
    <row r="323" spans="3:3" x14ac:dyDescent="0.2">
      <c r="C323" s="34"/>
    </row>
    <row r="349" spans="4:6" x14ac:dyDescent="0.2">
      <c r="D349" s="33"/>
      <c r="F349" s="33"/>
    </row>
    <row r="353" spans="3:7" x14ac:dyDescent="0.2">
      <c r="C353" s="33"/>
    </row>
    <row r="354" spans="3:7" x14ac:dyDescent="0.2">
      <c r="G354" s="33"/>
    </row>
  </sheetData>
  <sheetProtection sheet="1" objects="1" scenarios="1"/>
  <mergeCells count="4">
    <mergeCell ref="G17:G18"/>
    <mergeCell ref="N33:P33"/>
    <mergeCell ref="B57:L57"/>
    <mergeCell ref="N16:U16"/>
  </mergeCell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BA542-5B0C-E348-A76F-A871FF615F4E}">
  <dimension ref="B2"/>
  <sheetViews>
    <sheetView showGridLines="0" topLeftCell="A7" workbookViewId="0">
      <selection activeCell="F77" sqref="F77"/>
    </sheetView>
  </sheetViews>
  <sheetFormatPr baseColWidth="10" defaultRowHeight="16" x14ac:dyDescent="0.2"/>
  <sheetData>
    <row r="2" spans="2:2" ht="21" x14ac:dyDescent="0.25">
      <c r="B2" s="252" t="s">
        <v>12</v>
      </c>
    </row>
  </sheetData>
  <sheetProtection sheet="1" objects="1" scenarios="1"/>
  <hyperlinks>
    <hyperlink ref="B2" r:id="rId1" xr:uid="{FFD24FA3-2E0E-4B48-99FA-CE3809CCB197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7AA12-4E55-BF45-AC74-7731951C7B0B}">
  <dimension ref="B2:P404"/>
  <sheetViews>
    <sheetView showGridLines="0" topLeftCell="A30" workbookViewId="0">
      <selection activeCell="C198" sqref="C198"/>
    </sheetView>
  </sheetViews>
  <sheetFormatPr baseColWidth="10" defaultColWidth="11.5" defaultRowHeight="15" x14ac:dyDescent="0.2"/>
  <cols>
    <col min="1" max="2" width="11.5" style="1"/>
    <col min="3" max="5" width="11.5" style="1" customWidth="1"/>
    <col min="6" max="6" width="11.5" style="1"/>
    <col min="7" max="7" width="14.33203125" style="1" customWidth="1"/>
    <col min="8" max="16384" width="11.5" style="1"/>
  </cols>
  <sheetData>
    <row r="2" spans="2:13" ht="19" x14ac:dyDescent="0.25">
      <c r="B2" s="190" t="s">
        <v>96</v>
      </c>
    </row>
    <row r="3" spans="2:13" x14ac:dyDescent="0.2">
      <c r="B3" s="189"/>
    </row>
    <row r="4" spans="2:13" x14ac:dyDescent="0.2">
      <c r="B4" s="189"/>
    </row>
    <row r="5" spans="2:13" ht="19" x14ac:dyDescent="0.25">
      <c r="B5" s="114" t="s">
        <v>216</v>
      </c>
    </row>
    <row r="6" spans="2:13" x14ac:dyDescent="0.2">
      <c r="B6" s="37" t="s">
        <v>82</v>
      </c>
      <c r="C6" s="188">
        <f>'Solar System'!C12</f>
        <v>2460431.3333333335</v>
      </c>
      <c r="D6" s="188"/>
    </row>
    <row r="7" spans="2:13" x14ac:dyDescent="0.2">
      <c r="B7" s="130" t="s">
        <v>78</v>
      </c>
      <c r="C7" s="187">
        <f>C6-2451543.5</f>
        <v>8887.8333333334886</v>
      </c>
      <c r="D7" s="132">
        <f>INT(C7)+0.5</f>
        <v>8887.5</v>
      </c>
      <c r="E7" s="37"/>
      <c r="F7" s="37"/>
      <c r="G7" s="37"/>
      <c r="H7" s="37"/>
      <c r="I7" s="37"/>
      <c r="J7" s="37"/>
      <c r="K7" s="37"/>
      <c r="L7" s="37"/>
      <c r="M7" s="37"/>
    </row>
    <row r="8" spans="2:13" x14ac:dyDescent="0.2">
      <c r="B8" s="37"/>
      <c r="C8" s="132"/>
      <c r="D8" s="132"/>
      <c r="E8" s="37"/>
      <c r="F8" s="37"/>
      <c r="G8" s="37"/>
      <c r="H8" s="37"/>
      <c r="I8" s="37"/>
      <c r="J8" s="37"/>
      <c r="K8" s="37"/>
      <c r="L8" s="37"/>
      <c r="M8" s="37"/>
    </row>
    <row r="9" spans="2:13" x14ac:dyDescent="0.2">
      <c r="B9" s="37"/>
      <c r="C9" s="186" t="s">
        <v>127</v>
      </c>
      <c r="D9" s="185" t="s">
        <v>161</v>
      </c>
      <c r="E9" s="185" t="s">
        <v>19</v>
      </c>
      <c r="F9" s="185" t="s">
        <v>22</v>
      </c>
      <c r="G9" s="185" t="s">
        <v>15</v>
      </c>
      <c r="H9" s="185" t="s">
        <v>20</v>
      </c>
      <c r="I9" s="185" t="s">
        <v>21</v>
      </c>
      <c r="J9" s="185" t="s">
        <v>23</v>
      </c>
      <c r="K9" s="185" t="s">
        <v>101</v>
      </c>
      <c r="L9" s="185" t="s">
        <v>100</v>
      </c>
      <c r="M9" s="184" t="s">
        <v>99</v>
      </c>
    </row>
    <row r="10" spans="2:13" x14ac:dyDescent="0.2">
      <c r="B10" s="110" t="s">
        <v>69</v>
      </c>
      <c r="C10" s="169">
        <v>0</v>
      </c>
      <c r="D10" s="168">
        <v>0</v>
      </c>
      <c r="E10" s="167">
        <f>MOD(48.3313 + 0.0000324587*$C$7,360)</f>
        <v>48.619787515816668</v>
      </c>
      <c r="F10" s="167">
        <f>MOD(76.6799+0.000024659*$C$7,360)</f>
        <v>76.899065082166672</v>
      </c>
      <c r="G10" s="167">
        <f>125.1228-0.0529538083*$C$7</f>
        <v>-345.52182253569157</v>
      </c>
      <c r="H10" s="167">
        <f>MOD(49.5574+0.0000211081*$C$7,360)</f>
        <v>49.745005274783338</v>
      </c>
      <c r="I10" s="167">
        <f>MOD(100.4542+0.0000276854*$C$7,360)</f>
        <v>100.70026322096668</v>
      </c>
      <c r="J10" s="167">
        <f>MOD(113.6634+0.000023898*$C$7,360)</f>
        <v>113.87580144099999</v>
      </c>
      <c r="K10" s="167">
        <f>MOD(74.0005+0.000013978*$C$7,360)</f>
        <v>74.124734134333337</v>
      </c>
      <c r="L10" s="167">
        <f>MOD(131.7806+0.000030173*$C$7,360)</f>
        <v>132.04877259516667</v>
      </c>
      <c r="M10" s="166"/>
    </row>
    <row r="11" spans="2:13" x14ac:dyDescent="0.2">
      <c r="B11" s="100" t="s">
        <v>63</v>
      </c>
      <c r="C11" s="169">
        <v>0</v>
      </c>
      <c r="D11" s="168">
        <v>0</v>
      </c>
      <c r="E11" s="167">
        <f>MOD(7.0047+0.00000005*$C$7,360)</f>
        <v>7.0051443916666667</v>
      </c>
      <c r="F11" s="167">
        <f>MOD(3.3946+0.0000000275*$C$7,360)</f>
        <v>3.3948444154166668</v>
      </c>
      <c r="G11" s="167">
        <v>5.1454000000000004</v>
      </c>
      <c r="H11" s="167">
        <f>MOD(1.8497-0.0000000178*$C$7,360)</f>
        <v>1.8495417965666665</v>
      </c>
      <c r="I11" s="167">
        <f>MOD(1.303-0.0000001557*$C$7,360)</f>
        <v>1.3016161643499999</v>
      </c>
      <c r="J11" s="167">
        <f>MOD(2.4886-0.0000001081*$C$7,360)</f>
        <v>2.4876392252166664</v>
      </c>
      <c r="K11" s="167">
        <f>MOD(0.7733+0.000000019*$C$7,360)</f>
        <v>0.77346886883333332</v>
      </c>
      <c r="L11" s="167">
        <f>MOD(1.77-0.000000255*$C$7,360)</f>
        <v>1.7677336024999999</v>
      </c>
      <c r="M11" s="166"/>
    </row>
    <row r="12" spans="2:13" x14ac:dyDescent="0.2">
      <c r="B12" s="100" t="s">
        <v>215</v>
      </c>
      <c r="C12" s="169">
        <f>MOD(282.9404 + 0.0000470935*$C$7,360)</f>
        <v>283.35895917908334</v>
      </c>
      <c r="D12" s="168">
        <f>MOD(282.9404 + 0.0000470935*$D$7,360)</f>
        <v>283.35894348125004</v>
      </c>
      <c r="E12" s="167">
        <f>MOD(29.1241 + 0.0000101444*$C$7,360)</f>
        <v>29.214261736466668</v>
      </c>
      <c r="F12" s="167">
        <f>MOD(54.891+0.0000138374*$C$7,360)</f>
        <v>55.013984504966665</v>
      </c>
      <c r="G12" s="167">
        <f>MOD(318.0634 + 0.1643573223*$C$7,360)</f>
        <v>338.84388771537556</v>
      </c>
      <c r="H12" s="167">
        <f>MOD(286.5016+0.0000292961*$C$7,360)</f>
        <v>286.76197885411665</v>
      </c>
      <c r="I12" s="167">
        <f>MOD(273.8777+0.0000164505*$C$7,360)</f>
        <v>274.02390930224999</v>
      </c>
      <c r="J12" s="167">
        <f>MOD(339.3939+0.0000297661*$C$7,360)</f>
        <v>339.6584561357833</v>
      </c>
      <c r="K12" s="167">
        <f>MOD(96.6612+0.000030565*$C$7,360)</f>
        <v>96.932856625833338</v>
      </c>
      <c r="L12" s="167">
        <f>MOD(272.8461-0.000006027*$C$7,360)</f>
        <v>272.79253302849997</v>
      </c>
      <c r="M12" s="166"/>
    </row>
    <row r="13" spans="2:13" x14ac:dyDescent="0.2">
      <c r="B13" s="100" t="s">
        <v>24</v>
      </c>
      <c r="C13" s="169">
        <v>1</v>
      </c>
      <c r="D13" s="168">
        <v>1</v>
      </c>
      <c r="E13" s="167">
        <v>0.387098</v>
      </c>
      <c r="F13" s="167">
        <v>0.72333000000000003</v>
      </c>
      <c r="G13" s="167">
        <v>60.266599999999997</v>
      </c>
      <c r="H13" s="167">
        <v>1.5236879999999999</v>
      </c>
      <c r="I13" s="167">
        <v>5.2025600000000001</v>
      </c>
      <c r="J13" s="167">
        <v>9.5547500000000003</v>
      </c>
      <c r="K13" s="167">
        <f>19.18171 - 0.0000000155*$C$7</f>
        <v>19.181572238583332</v>
      </c>
      <c r="L13" s="167">
        <f>30.05826+0.00000003313*$C$7</f>
        <v>30.058554453918333</v>
      </c>
      <c r="M13" s="166"/>
    </row>
    <row r="14" spans="2:13" x14ac:dyDescent="0.2">
      <c r="B14" s="100" t="s">
        <v>38</v>
      </c>
      <c r="C14" s="169">
        <f>0.016709-0.000000001151*$C$7</f>
        <v>1.6698770103833336E-2</v>
      </c>
      <c r="D14" s="168">
        <f>0.016709-0.000000001151*$D$7</f>
        <v>1.66987704875E-2</v>
      </c>
      <c r="E14" s="167">
        <f>0.205635 + 0.000000000559*$C$7</f>
        <v>0.20563996829883335</v>
      </c>
      <c r="F14" s="167">
        <f>0.006773-0.000000001302*$C$7</f>
        <v>6.7614280410000002E-3</v>
      </c>
      <c r="G14" s="167">
        <v>5.4899999999999997E-2</v>
      </c>
      <c r="H14" s="167">
        <f>0.093405+0.000000002516*$C$7</f>
        <v>9.3427361788666674E-2</v>
      </c>
      <c r="I14" s="167">
        <f>0.048498+0.000000004469*$C$7</f>
        <v>4.8537719727166667E-2</v>
      </c>
      <c r="J14" s="167">
        <f>0.055546-0.000000009499*$C$7</f>
        <v>5.5461574471166661E-2</v>
      </c>
      <c r="K14" s="167">
        <f>0.047318+0.00000000745*$C$7</f>
        <v>4.7384214358333336E-2</v>
      </c>
      <c r="L14" s="167">
        <f>0.008606+0.00000000215*$C$7</f>
        <v>8.625108841666668E-3</v>
      </c>
      <c r="M14" s="166"/>
    </row>
    <row r="15" spans="2:13" x14ac:dyDescent="0.2">
      <c r="B15" s="100" t="s">
        <v>214</v>
      </c>
      <c r="C15" s="169">
        <f>MOD(356.047 + 0.9856002585*$C$7+3600,360)</f>
        <v>115.89783083840302</v>
      </c>
      <c r="D15" s="168">
        <f>MOD(356.047 + 0.9856002585*$D$7+3600,360)</f>
        <v>115.56929741874956</v>
      </c>
      <c r="E15" s="167">
        <f>MOD(168.6562+4.0923344368*$C$7+360,360)</f>
        <v>180.6426185395685</v>
      </c>
      <c r="F15" s="167">
        <f>MOD(48.0052+1.6021302244*$C$7+360,360)</f>
        <v>247.47161276338193</v>
      </c>
      <c r="G15" s="167">
        <f>MOD(115.3654 + 13.0649929509*$C$7+360,360)</f>
        <v>314.84524877608055</v>
      </c>
      <c r="H15" s="167">
        <f>MOD(18.6021+0.5240207766*$C$7+360,360)</f>
        <v>356.01142562478162</v>
      </c>
      <c r="I15" s="167">
        <f>MOD(19.895+0.0830853001*$C$7+360,360)</f>
        <v>38.343299738796304</v>
      </c>
      <c r="J15" s="167">
        <f>MOD(316.967+0.0334442282*$C$7+360,360)</f>
        <v>254.21372620357192</v>
      </c>
      <c r="K15" s="167">
        <f>MOD(142.5905+0.011725806*$C$7+360,360)</f>
        <v>246.80750942700183</v>
      </c>
      <c r="L15" s="167">
        <f>MOD(260.2471+0.005995147*$C$7+360,360)</f>
        <v>313.53096734483427</v>
      </c>
      <c r="M15" s="166"/>
    </row>
    <row r="16" spans="2:13" x14ac:dyDescent="0.2">
      <c r="B16" s="100" t="s">
        <v>213</v>
      </c>
      <c r="C16" s="169">
        <f t="shared" ref="C16:L16" si="0">MOD(C12+C15,360)</f>
        <v>39.256790017486367</v>
      </c>
      <c r="D16" s="168">
        <f t="shared" si="0"/>
        <v>38.928240899999594</v>
      </c>
      <c r="E16" s="167">
        <f t="shared" si="0"/>
        <v>209.85688027603516</v>
      </c>
      <c r="F16" s="167">
        <f t="shared" si="0"/>
        <v>302.48559726834861</v>
      </c>
      <c r="G16" s="167">
        <f t="shared" si="0"/>
        <v>293.68913649145611</v>
      </c>
      <c r="H16" s="167">
        <f t="shared" si="0"/>
        <v>282.77340447889833</v>
      </c>
      <c r="I16" s="167">
        <f t="shared" si="0"/>
        <v>312.36720904104629</v>
      </c>
      <c r="J16" s="167">
        <f t="shared" si="0"/>
        <v>233.87218233935528</v>
      </c>
      <c r="K16" s="167">
        <f t="shared" si="0"/>
        <v>343.74036605283516</v>
      </c>
      <c r="L16" s="167">
        <f t="shared" si="0"/>
        <v>226.32350037333424</v>
      </c>
      <c r="M16" s="166"/>
    </row>
    <row r="17" spans="2:16" x14ac:dyDescent="0.2">
      <c r="B17" s="100" t="s">
        <v>212</v>
      </c>
      <c r="C17" s="169"/>
      <c r="D17" s="168"/>
      <c r="E17" s="167"/>
      <c r="F17" s="167"/>
      <c r="G17" s="167"/>
      <c r="H17" s="167"/>
      <c r="I17" s="167"/>
      <c r="J17" s="167"/>
      <c r="K17" s="167"/>
      <c r="L17" s="167"/>
      <c r="M17" s="166">
        <f>MOD(50.03 + 0.033459652*Calculations!$C$7,360)</f>
        <v>347.41381036733856</v>
      </c>
    </row>
    <row r="18" spans="2:16" x14ac:dyDescent="0.2">
      <c r="B18" s="96" t="s">
        <v>211</v>
      </c>
      <c r="C18" s="165"/>
      <c r="D18" s="164"/>
      <c r="E18" s="163"/>
      <c r="F18" s="163"/>
      <c r="G18" s="163"/>
      <c r="H18" s="163"/>
      <c r="I18" s="163"/>
      <c r="J18" s="163"/>
      <c r="K18" s="163"/>
      <c r="L18" s="163"/>
      <c r="M18" s="162">
        <f>MOD(238.95+0.003968789*Calculations!$C$7,360)</f>
        <v>274.22393516716727</v>
      </c>
    </row>
    <row r="20" spans="2:16" ht="19" x14ac:dyDescent="0.25">
      <c r="B20" s="114" t="s">
        <v>210</v>
      </c>
    </row>
    <row r="21" spans="2:16" ht="19" x14ac:dyDescent="0.25">
      <c r="B21" s="114"/>
    </row>
    <row r="22" spans="2:16" x14ac:dyDescent="0.2">
      <c r="B22" s="37"/>
      <c r="C22" s="111" t="s">
        <v>127</v>
      </c>
      <c r="D22" s="111" t="s">
        <v>161</v>
      </c>
      <c r="E22" s="111" t="s">
        <v>19</v>
      </c>
      <c r="F22" s="111" t="s">
        <v>22</v>
      </c>
      <c r="G22" s="111" t="s">
        <v>15</v>
      </c>
      <c r="H22" s="111" t="s">
        <v>20</v>
      </c>
      <c r="I22" s="111" t="s">
        <v>21</v>
      </c>
      <c r="J22" s="111" t="s">
        <v>23</v>
      </c>
      <c r="K22" s="111" t="s">
        <v>101</v>
      </c>
      <c r="L22" s="111" t="s">
        <v>100</v>
      </c>
      <c r="M22" s="111" t="s">
        <v>99</v>
      </c>
    </row>
    <row r="23" spans="2:16" x14ac:dyDescent="0.2">
      <c r="B23" s="110" t="s">
        <v>209</v>
      </c>
      <c r="C23" s="173">
        <f t="shared" ref="C23:L23" si="1">C15+RD*C$14*SIN(DR*C15)*(1+C$14*COS(DR*C15))</f>
        <v>116.75223831013858</v>
      </c>
      <c r="D23" s="172">
        <f t="shared" si="1"/>
        <v>116.42614397120144</v>
      </c>
      <c r="E23" s="171">
        <f t="shared" si="1"/>
        <v>180.53764589718367</v>
      </c>
      <c r="F23" s="171">
        <f t="shared" si="1"/>
        <v>247.11470114598086</v>
      </c>
      <c r="G23" s="171">
        <f t="shared" si="1"/>
        <v>312.52867420308559</v>
      </c>
      <c r="H23" s="171">
        <f t="shared" si="1"/>
        <v>355.60438195695207</v>
      </c>
      <c r="I23" s="171">
        <f t="shared" si="1"/>
        <v>40.134236112005141</v>
      </c>
      <c r="J23" s="171">
        <f t="shared" si="1"/>
        <v>251.20200322579115</v>
      </c>
      <c r="K23" s="171">
        <f t="shared" si="1"/>
        <v>244.35856309858406</v>
      </c>
      <c r="L23" s="171">
        <f t="shared" si="1"/>
        <v>313.17055566758518</v>
      </c>
      <c r="M23" s="183"/>
    </row>
    <row r="24" spans="2:16" x14ac:dyDescent="0.2">
      <c r="B24" s="100" t="s">
        <v>208</v>
      </c>
      <c r="C24" s="169">
        <f t="shared" ref="C24:L28" si="2">(C23-(C23-RD*C$14*SIN(DR*C23)-C$15)/(1-C$14*COS(DR*C23)))</f>
        <v>116.75218900042019</v>
      </c>
      <c r="D24" s="168">
        <f t="shared" si="2"/>
        <v>116.42609290332942</v>
      </c>
      <c r="E24" s="167">
        <f t="shared" si="2"/>
        <v>180.53301162623899</v>
      </c>
      <c r="F24" s="167">
        <f t="shared" si="2"/>
        <v>247.1147056693689</v>
      </c>
      <c r="G24" s="167">
        <f t="shared" si="2"/>
        <v>312.5271208474158</v>
      </c>
      <c r="H24" s="167">
        <f t="shared" si="2"/>
        <v>355.60082611804808</v>
      </c>
      <c r="I24" s="167">
        <f t="shared" si="2"/>
        <v>40.135945965420582</v>
      </c>
      <c r="J24" s="167">
        <f t="shared" si="2"/>
        <v>251.20544809425536</v>
      </c>
      <c r="K24" s="167">
        <f t="shared" si="2"/>
        <v>244.35993129066986</v>
      </c>
      <c r="L24" s="167">
        <f t="shared" si="2"/>
        <v>313.17055009349002</v>
      </c>
      <c r="M24" s="174"/>
    </row>
    <row r="25" spans="2:16" x14ac:dyDescent="0.2">
      <c r="B25" s="100" t="s">
        <v>207</v>
      </c>
      <c r="C25" s="169">
        <f t="shared" si="2"/>
        <v>116.75218900041988</v>
      </c>
      <c r="D25" s="168">
        <f t="shared" si="2"/>
        <v>116.42609290332906</v>
      </c>
      <c r="E25" s="167">
        <f t="shared" si="2"/>
        <v>180.5330116265381</v>
      </c>
      <c r="F25" s="167">
        <f t="shared" si="2"/>
        <v>247.1147056693689</v>
      </c>
      <c r="G25" s="167">
        <f t="shared" si="2"/>
        <v>312.52712084830057</v>
      </c>
      <c r="H25" s="167">
        <f t="shared" si="2"/>
        <v>355.60082611891954</v>
      </c>
      <c r="I25" s="167">
        <f t="shared" si="2"/>
        <v>40.135945964591599</v>
      </c>
      <c r="J25" s="167">
        <f t="shared" si="2"/>
        <v>251.20544809959722</v>
      </c>
      <c r="K25" s="167">
        <f t="shared" si="2"/>
        <v>244.35993129135366</v>
      </c>
      <c r="L25" s="167">
        <f t="shared" si="2"/>
        <v>313.17055009349002</v>
      </c>
      <c r="M25" s="174"/>
    </row>
    <row r="26" spans="2:16" x14ac:dyDescent="0.2">
      <c r="B26" s="100" t="s">
        <v>206</v>
      </c>
      <c r="C26" s="169">
        <f t="shared" si="2"/>
        <v>116.75218900041988</v>
      </c>
      <c r="D26" s="168">
        <f t="shared" si="2"/>
        <v>116.42609290332908</v>
      </c>
      <c r="E26" s="167">
        <f t="shared" si="2"/>
        <v>180.5330116265381</v>
      </c>
      <c r="F26" s="167">
        <f t="shared" si="2"/>
        <v>247.1147056693689</v>
      </c>
      <c r="G26" s="167">
        <f t="shared" si="2"/>
        <v>312.52712084830057</v>
      </c>
      <c r="H26" s="167">
        <f t="shared" si="2"/>
        <v>355.60082611891954</v>
      </c>
      <c r="I26" s="167">
        <f t="shared" si="2"/>
        <v>40.135945964591599</v>
      </c>
      <c r="J26" s="167">
        <f t="shared" si="2"/>
        <v>251.20544809959719</v>
      </c>
      <c r="K26" s="167">
        <f t="shared" si="2"/>
        <v>244.35993129135366</v>
      </c>
      <c r="L26" s="167">
        <f t="shared" si="2"/>
        <v>313.17055009349002</v>
      </c>
      <c r="M26" s="174"/>
    </row>
    <row r="27" spans="2:16" x14ac:dyDescent="0.2">
      <c r="B27" s="100" t="s">
        <v>205</v>
      </c>
      <c r="C27" s="169">
        <f t="shared" si="2"/>
        <v>116.75218900041988</v>
      </c>
      <c r="D27" s="168">
        <f t="shared" si="2"/>
        <v>116.42609290332908</v>
      </c>
      <c r="E27" s="167">
        <f t="shared" si="2"/>
        <v>180.5330116265381</v>
      </c>
      <c r="F27" s="167">
        <f t="shared" si="2"/>
        <v>247.1147056693689</v>
      </c>
      <c r="G27" s="167">
        <f t="shared" si="2"/>
        <v>312.52712084830057</v>
      </c>
      <c r="H27" s="167">
        <f t="shared" si="2"/>
        <v>355.60082611891954</v>
      </c>
      <c r="I27" s="167">
        <f t="shared" si="2"/>
        <v>40.135945964591599</v>
      </c>
      <c r="J27" s="167">
        <f t="shared" si="2"/>
        <v>251.20544809959719</v>
      </c>
      <c r="K27" s="167">
        <f t="shared" si="2"/>
        <v>244.35993129135366</v>
      </c>
      <c r="L27" s="167">
        <f t="shared" si="2"/>
        <v>313.17055009349002</v>
      </c>
      <c r="M27" s="174"/>
    </row>
    <row r="28" spans="2:16" x14ac:dyDescent="0.2">
      <c r="B28" s="96" t="s">
        <v>204</v>
      </c>
      <c r="C28" s="165">
        <f t="shared" si="2"/>
        <v>116.75218900041988</v>
      </c>
      <c r="D28" s="164">
        <f t="shared" si="2"/>
        <v>116.42609290332908</v>
      </c>
      <c r="E28" s="163">
        <f t="shared" si="2"/>
        <v>180.5330116265381</v>
      </c>
      <c r="F28" s="163">
        <f t="shared" si="2"/>
        <v>247.1147056693689</v>
      </c>
      <c r="G28" s="163">
        <f t="shared" si="2"/>
        <v>312.52712084830057</v>
      </c>
      <c r="H28" s="163">
        <f t="shared" si="2"/>
        <v>355.60082611891954</v>
      </c>
      <c r="I28" s="163">
        <f t="shared" si="2"/>
        <v>40.135945964591599</v>
      </c>
      <c r="J28" s="163">
        <f t="shared" si="2"/>
        <v>251.20544809959719</v>
      </c>
      <c r="K28" s="163">
        <f t="shared" si="2"/>
        <v>244.35993129135366</v>
      </c>
      <c r="L28" s="163">
        <f t="shared" si="2"/>
        <v>313.17055009349002</v>
      </c>
      <c r="M28" s="182"/>
    </row>
    <row r="29" spans="2:16" x14ac:dyDescent="0.2">
      <c r="C29" s="33"/>
      <c r="D29" s="33"/>
    </row>
    <row r="30" spans="2:16" ht="19" x14ac:dyDescent="0.25">
      <c r="B30" s="114" t="s">
        <v>203</v>
      </c>
      <c r="C30" s="33"/>
      <c r="D30" s="33"/>
    </row>
    <row r="31" spans="2:16" ht="19" x14ac:dyDescent="0.25">
      <c r="B31" s="114"/>
      <c r="C31" s="33"/>
      <c r="D31" s="33"/>
    </row>
    <row r="32" spans="2:16" x14ac:dyDescent="0.2">
      <c r="B32" s="37"/>
      <c r="C32" s="111" t="s">
        <v>127</v>
      </c>
      <c r="D32" s="111"/>
      <c r="E32" s="111" t="s">
        <v>19</v>
      </c>
      <c r="F32" s="111" t="s">
        <v>22</v>
      </c>
      <c r="G32" s="111" t="s">
        <v>15</v>
      </c>
      <c r="H32" s="111" t="s">
        <v>20</v>
      </c>
      <c r="I32" s="111" t="s">
        <v>21</v>
      </c>
      <c r="J32" s="111" t="s">
        <v>23</v>
      </c>
      <c r="K32" s="111" t="s">
        <v>101</v>
      </c>
      <c r="L32" s="111" t="s">
        <v>100</v>
      </c>
      <c r="M32" s="111" t="s">
        <v>99</v>
      </c>
      <c r="O32" s="181"/>
      <c r="P32" s="181"/>
    </row>
    <row r="33" spans="2:16" x14ac:dyDescent="0.2">
      <c r="B33" s="110" t="s">
        <v>202</v>
      </c>
      <c r="C33" s="173">
        <f>COS(DR*C28)-C14</f>
        <v>-0.4668313273096325</v>
      </c>
      <c r="D33" s="172">
        <f>COS(DR*D28)-D14</f>
        <v>-0.46174181702296091</v>
      </c>
      <c r="E33" s="171">
        <f t="shared" ref="E33:L33" si="3">E13*(COS(DR*E28)-E14)</f>
        <v>-0.46668407040656901</v>
      </c>
      <c r="F33" s="171">
        <f t="shared" si="3"/>
        <v>-0.28618474180756254</v>
      </c>
      <c r="G33" s="171">
        <f t="shared" si="3"/>
        <v>37.4279162741365</v>
      </c>
      <c r="H33" s="171">
        <f t="shared" si="3"/>
        <v>1.3768448492105945</v>
      </c>
      <c r="I33" s="171">
        <f t="shared" si="3"/>
        <v>3.7249259086860418</v>
      </c>
      <c r="J33" s="171">
        <f t="shared" si="3"/>
        <v>-3.6082295521357133</v>
      </c>
      <c r="K33" s="171">
        <f t="shared" si="3"/>
        <v>-9.2090831283374932</v>
      </c>
      <c r="L33" s="171">
        <f t="shared" si="3"/>
        <v>20.305972849933188</v>
      </c>
      <c r="M33" s="170"/>
      <c r="O33" s="181"/>
      <c r="P33" s="181"/>
    </row>
    <row r="34" spans="2:16" x14ac:dyDescent="0.2">
      <c r="B34" s="100" t="s">
        <v>201</v>
      </c>
      <c r="C34" s="169">
        <f>SQRT(1-C14*C14)*SIN(DR*C28)</f>
        <v>0.89283723723827813</v>
      </c>
      <c r="D34" s="168">
        <f>SQRT(1-D14*D14)*SIN(DR*D28)</f>
        <v>0.89538431276115538</v>
      </c>
      <c r="E34" s="167">
        <f t="shared" ref="E34:L34" si="4">E13*(SQRT(1-E14*E14)*SIN(DR*E28))</f>
        <v>-3.5240837748509064E-3</v>
      </c>
      <c r="F34" s="167">
        <f t="shared" si="4"/>
        <v>-0.66637802604079133</v>
      </c>
      <c r="G34" s="167">
        <f t="shared" si="4"/>
        <v>-44.346938243025349</v>
      </c>
      <c r="H34" s="167">
        <f t="shared" si="4"/>
        <v>-0.11636276280034309</v>
      </c>
      <c r="I34" s="167">
        <f t="shared" si="4"/>
        <v>3.3496351377893183</v>
      </c>
      <c r="J34" s="167">
        <f t="shared" si="4"/>
        <v>-9.0313674590158559</v>
      </c>
      <c r="K34" s="167">
        <f t="shared" si="4"/>
        <v>-17.273341090440539</v>
      </c>
      <c r="L34" s="167">
        <f t="shared" si="4"/>
        <v>-21.92150111903592</v>
      </c>
      <c r="M34" s="166"/>
    </row>
    <row r="35" spans="2:16" x14ac:dyDescent="0.2">
      <c r="B35" s="100" t="s">
        <v>200</v>
      </c>
      <c r="C35" s="169">
        <f>RD*ATAN2(C33,C34)</f>
        <v>117.60339169137174</v>
      </c>
      <c r="D35" s="168">
        <f>RD*ATAN2(D33,D34)</f>
        <v>117.27975996642083</v>
      </c>
      <c r="E35" s="167">
        <f>RD*ATAN2(E33,E34)</f>
        <v>-179.56734908692943</v>
      </c>
      <c r="F35" s="167">
        <f>RD*ATAN2(F33,F34)</f>
        <v>-113.24173572774141</v>
      </c>
      <c r="G35" s="167">
        <f>MOD(RD*ATAN2(G33,G34)+360,360)</f>
        <v>310.16368703019464</v>
      </c>
      <c r="H35" s="167">
        <f>RD*ATAN2(H33,H34)</f>
        <v>-4.8308197975851206</v>
      </c>
      <c r="I35" s="167">
        <f>RD*ATAN2(I33,I34)</f>
        <v>41.963424147040776</v>
      </c>
      <c r="J35" s="167">
        <f>RD*ATAN2(J33,J34)</f>
        <v>-111.77779338763338</v>
      </c>
      <c r="K35" s="167">
        <f>RD*ATAN2(K33,K34)</f>
        <v>-118.06379513732338</v>
      </c>
      <c r="L35" s="167">
        <f>RD*ATAN2(L33,L34)</f>
        <v>-47.190939270803192</v>
      </c>
      <c r="M35" s="166"/>
    </row>
    <row r="36" spans="2:16" x14ac:dyDescent="0.2">
      <c r="B36" s="100" t="s">
        <v>18</v>
      </c>
      <c r="C36" s="169">
        <f t="shared" ref="C36:L36" si="5">SQRT(C33*C33+C34*C34)</f>
        <v>1.0075166600890302</v>
      </c>
      <c r="D36" s="168">
        <f t="shared" si="5"/>
        <v>1.0074316716911536</v>
      </c>
      <c r="E36" s="167">
        <f t="shared" si="5"/>
        <v>0.46669737597044147</v>
      </c>
      <c r="F36" s="167">
        <f t="shared" si="5"/>
        <v>0.72523194912626598</v>
      </c>
      <c r="G36" s="167">
        <f t="shared" si="5"/>
        <v>58.030163261483906</v>
      </c>
      <c r="H36" s="167">
        <f t="shared" si="5"/>
        <v>1.3817532454690575</v>
      </c>
      <c r="I36" s="167">
        <f t="shared" si="5"/>
        <v>5.009503825880703</v>
      </c>
      <c r="J36" s="167">
        <f t="shared" si="5"/>
        <v>9.7254778124612482</v>
      </c>
      <c r="K36" s="167">
        <f t="shared" si="5"/>
        <v>19.574869718374419</v>
      </c>
      <c r="L36" s="167">
        <f t="shared" si="5"/>
        <v>29.88117709686345</v>
      </c>
      <c r="M36" s="166">
        <f>40.72+6.68*SIN(DR*M18)+6.9*COS(DR*M18)-1.18*SIN(DR*2*M18)-0.03*COS(DR*2*M18)+0.15*SIN(DR*3*M18)-0.14*COS(DR*3*M18)</f>
        <v>34.946447850096774</v>
      </c>
    </row>
    <row r="37" spans="2:16" x14ac:dyDescent="0.2">
      <c r="B37" s="100" t="s">
        <v>184</v>
      </c>
      <c r="C37" s="169">
        <f t="shared" ref="C37:L37" si="6">C36*(COS(DR*C10)*COS(DR*(C35+C12)) - SIN(DR*C10)*SIN(DR*(C35+C12))*COS(DR*C11))</f>
        <v>0.76081664904535462</v>
      </c>
      <c r="D37" s="168">
        <f t="shared" si="6"/>
        <v>0.76447092130050553</v>
      </c>
      <c r="E37" s="167">
        <f t="shared" si="6"/>
        <v>-9.6198928320085197E-2</v>
      </c>
      <c r="F37" s="167">
        <f t="shared" si="6"/>
        <v>0.68600969126749345</v>
      </c>
      <c r="G37" s="167">
        <f t="shared" si="6"/>
        <v>31.961683299503466</v>
      </c>
      <c r="H37" s="167">
        <f t="shared" si="6"/>
        <v>1.2157923092240366</v>
      </c>
      <c r="I37" s="167">
        <f t="shared" si="6"/>
        <v>2.7503557264186056</v>
      </c>
      <c r="J37" s="167">
        <f t="shared" si="6"/>
        <v>9.2304048139992556</v>
      </c>
      <c r="K37" s="167">
        <f t="shared" si="6"/>
        <v>11.78152499924474</v>
      </c>
      <c r="L37" s="167">
        <f t="shared" si="6"/>
        <v>29.848509650706031</v>
      </c>
      <c r="M37" s="166"/>
    </row>
    <row r="38" spans="2:16" x14ac:dyDescent="0.2">
      <c r="B38" s="100" t="s">
        <v>183</v>
      </c>
      <c r="C38" s="169">
        <f t="shared" ref="C38:L38" si="7">C36*(SIN(DR*C10)*COS(DR*(C35+C12))+COS(DR*C10)*SIN(DR*(C35+C12))*COS(DR*C11))</f>
        <v>0.66049061075260718</v>
      </c>
      <c r="D38" s="168">
        <f t="shared" si="7"/>
        <v>0.65612710934116136</v>
      </c>
      <c r="E38" s="167">
        <f t="shared" si="7"/>
        <v>-0.45580645959962862</v>
      </c>
      <c r="F38" s="167">
        <f t="shared" si="7"/>
        <v>0.23242006625238421</v>
      </c>
      <c r="G38" s="167">
        <f t="shared" si="7"/>
        <v>-48.184421732877496</v>
      </c>
      <c r="H38" s="167">
        <f t="shared" si="7"/>
        <v>-0.65512386942588696</v>
      </c>
      <c r="I38" s="167">
        <f t="shared" si="7"/>
        <v>4.1862179313424095</v>
      </c>
      <c r="J38" s="167">
        <f t="shared" si="7"/>
        <v>-3.0473772263657271</v>
      </c>
      <c r="K38" s="167">
        <f t="shared" si="7"/>
        <v>15.632086190417251</v>
      </c>
      <c r="L38" s="167">
        <f t="shared" si="7"/>
        <v>-1.2318542668116073</v>
      </c>
      <c r="M38" s="166"/>
    </row>
    <row r="39" spans="2:16" x14ac:dyDescent="0.2">
      <c r="B39" s="100" t="s">
        <v>182</v>
      </c>
      <c r="C39" s="169">
        <f t="shared" ref="C39:L39" si="8">C36*(SIN(DR*(C35+C12))*SIN(DR*C11))</f>
        <v>0</v>
      </c>
      <c r="D39" s="168">
        <f t="shared" si="8"/>
        <v>0</v>
      </c>
      <c r="E39" s="167">
        <f t="shared" si="8"/>
        <v>-2.8154543416912661E-2</v>
      </c>
      <c r="F39" s="167">
        <f t="shared" si="8"/>
        <v>-3.651022218226601E-2</v>
      </c>
      <c r="G39" s="167">
        <f t="shared" si="8"/>
        <v>-4.9205844251390127</v>
      </c>
      <c r="H39" s="167">
        <f t="shared" si="8"/>
        <v>-4.3632647231309066E-2</v>
      </c>
      <c r="I39" s="167">
        <f t="shared" si="8"/>
        <v>-7.9065738326120627E-2</v>
      </c>
      <c r="J39" s="167">
        <f t="shared" si="8"/>
        <v>-0.31310971017032446</v>
      </c>
      <c r="K39" s="167">
        <f t="shared" si="8"/>
        <v>-9.5260269102091011E-2</v>
      </c>
      <c r="L39" s="167">
        <f t="shared" si="8"/>
        <v>-0.65859804977244918</v>
      </c>
      <c r="M39" s="166"/>
    </row>
    <row r="40" spans="2:16" x14ac:dyDescent="0.2">
      <c r="B40" s="100" t="s">
        <v>199</v>
      </c>
      <c r="C40" s="169"/>
      <c r="D40" s="168"/>
      <c r="E40" s="167">
        <f t="shared" ref="E40:L40" si="9">MOD(RD*ATAN2(E37,E38)+360,360)</f>
        <v>258.08249618216439</v>
      </c>
      <c r="F40" s="167">
        <f t="shared" si="9"/>
        <v>18.716378958699238</v>
      </c>
      <c r="G40" s="167">
        <f t="shared" si="9"/>
        <v>303.55710643791258</v>
      </c>
      <c r="H40" s="167">
        <f t="shared" si="9"/>
        <v>331.68220501794877</v>
      </c>
      <c r="I40" s="167">
        <f t="shared" si="9"/>
        <v>56.694985245290809</v>
      </c>
      <c r="J40" s="167">
        <f t="shared" si="9"/>
        <v>341.729589104696</v>
      </c>
      <c r="K40" s="167">
        <f t="shared" si="9"/>
        <v>52.995551147593801</v>
      </c>
      <c r="L40" s="167">
        <f t="shared" si="9"/>
        <v>357.63673225796856</v>
      </c>
      <c r="M40" s="166"/>
    </row>
    <row r="41" spans="2:16" x14ac:dyDescent="0.2">
      <c r="B41" s="100" t="s">
        <v>198</v>
      </c>
      <c r="C41" s="169"/>
      <c r="D41" s="168"/>
      <c r="E41" s="167">
        <f t="shared" ref="E41:L41" si="10">RD*ATAN2(SQRT(E37*E37+E38*E38),E39)</f>
        <v>-3.4585936579628775</v>
      </c>
      <c r="F41" s="167">
        <f t="shared" si="10"/>
        <v>-2.8856509459997999</v>
      </c>
      <c r="G41" s="167">
        <f t="shared" si="10"/>
        <v>-4.8641541637528025</v>
      </c>
      <c r="H41" s="167">
        <f t="shared" si="10"/>
        <v>-1.8095721542597252</v>
      </c>
      <c r="I41" s="167">
        <f t="shared" si="10"/>
        <v>-0.90434529458400914</v>
      </c>
      <c r="J41" s="167">
        <f t="shared" si="10"/>
        <v>-1.8449443651764521</v>
      </c>
      <c r="K41" s="167">
        <f t="shared" si="10"/>
        <v>-0.27882856932008337</v>
      </c>
      <c r="L41" s="167">
        <f t="shared" si="10"/>
        <v>-1.2629336647865761</v>
      </c>
      <c r="M41" s="166"/>
    </row>
    <row r="42" spans="2:16" x14ac:dyDescent="0.2">
      <c r="B42" s="96" t="s">
        <v>197</v>
      </c>
      <c r="C42" s="180">
        <f>23.4393-0.0000003563*$C$7</f>
        <v>23.436133264983333</v>
      </c>
      <c r="D42" s="179">
        <f>23.4393-0.0000003563*$D$7</f>
        <v>23.436133383750001</v>
      </c>
      <c r="E42" s="178"/>
      <c r="F42" s="178"/>
      <c r="G42" s="178"/>
      <c r="H42" s="178"/>
      <c r="I42" s="178"/>
      <c r="J42" s="178"/>
      <c r="K42" s="178"/>
      <c r="L42" s="178"/>
      <c r="M42" s="93"/>
    </row>
    <row r="43" spans="2:16" x14ac:dyDescent="0.2">
      <c r="J43" s="160"/>
      <c r="K43" s="160"/>
    </row>
    <row r="44" spans="2:16" ht="19" x14ac:dyDescent="0.25">
      <c r="B44" s="114" t="s">
        <v>196</v>
      </c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</row>
    <row r="45" spans="2:16" ht="19" x14ac:dyDescent="0.25">
      <c r="B45" s="114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</row>
    <row r="46" spans="2:16" x14ac:dyDescent="0.2">
      <c r="B46" s="37"/>
      <c r="C46" s="111" t="s">
        <v>127</v>
      </c>
      <c r="D46" s="111" t="s">
        <v>161</v>
      </c>
      <c r="E46" s="111" t="s">
        <v>19</v>
      </c>
      <c r="F46" s="111" t="s">
        <v>22</v>
      </c>
      <c r="G46" s="111" t="s">
        <v>15</v>
      </c>
      <c r="H46" s="111" t="s">
        <v>20</v>
      </c>
      <c r="I46" s="111" t="s">
        <v>21</v>
      </c>
      <c r="J46" s="111" t="s">
        <v>23</v>
      </c>
      <c r="K46" s="111" t="s">
        <v>101</v>
      </c>
      <c r="L46" s="111" t="s">
        <v>100</v>
      </c>
      <c r="M46" s="111" t="s">
        <v>99</v>
      </c>
    </row>
    <row r="47" spans="2:16" x14ac:dyDescent="0.2">
      <c r="B47" s="110" t="s">
        <v>195</v>
      </c>
      <c r="C47" s="173">
        <f>C15</f>
        <v>115.89783083840302</v>
      </c>
      <c r="D47" s="172">
        <f>D15</f>
        <v>115.56929741874956</v>
      </c>
      <c r="E47" s="171"/>
      <c r="F47" s="171"/>
      <c r="G47" s="171">
        <f>C15</f>
        <v>115.89783083840302</v>
      </c>
      <c r="H47" s="171"/>
      <c r="I47" s="171"/>
      <c r="J47" s="171"/>
      <c r="K47" s="171"/>
      <c r="L47" s="171"/>
      <c r="M47" s="170"/>
    </row>
    <row r="48" spans="2:16" x14ac:dyDescent="0.2">
      <c r="B48" s="100" t="s">
        <v>194</v>
      </c>
      <c r="C48" s="169"/>
      <c r="D48" s="168"/>
      <c r="E48" s="167"/>
      <c r="F48" s="167"/>
      <c r="G48" s="167">
        <f>G15</f>
        <v>314.84524877608055</v>
      </c>
      <c r="H48" s="167"/>
      <c r="I48" s="167">
        <f>I15</f>
        <v>38.343299738796304</v>
      </c>
      <c r="J48" s="167">
        <f>J15</f>
        <v>254.21372620357192</v>
      </c>
      <c r="K48" s="167">
        <f>K15</f>
        <v>246.80750942700183</v>
      </c>
      <c r="L48" s="167"/>
      <c r="M48" s="166"/>
    </row>
    <row r="49" spans="2:13" x14ac:dyDescent="0.2">
      <c r="B49" s="100" t="s">
        <v>193</v>
      </c>
      <c r="C49" s="169">
        <f>MOD(C10+C12+C15,360)</f>
        <v>39.256790017486367</v>
      </c>
      <c r="D49" s="168">
        <f>MOD(D10+D12+D15,360)</f>
        <v>38.928240899999594</v>
      </c>
      <c r="E49" s="167"/>
      <c r="F49" s="167"/>
      <c r="G49" s="167">
        <f>C16</f>
        <v>39.256790017486367</v>
      </c>
      <c r="H49" s="167"/>
      <c r="I49" s="167"/>
      <c r="J49" s="167"/>
      <c r="K49" s="167"/>
      <c r="L49" s="167"/>
      <c r="M49" s="166"/>
    </row>
    <row r="50" spans="2:13" x14ac:dyDescent="0.2">
      <c r="B50" s="100" t="s">
        <v>192</v>
      </c>
      <c r="C50" s="169"/>
      <c r="D50" s="168"/>
      <c r="E50" s="167"/>
      <c r="F50" s="167"/>
      <c r="G50" s="167">
        <f>G10+G12+G15</f>
        <v>308.16731395576454</v>
      </c>
      <c r="H50" s="167"/>
      <c r="I50" s="167"/>
      <c r="J50" s="167"/>
      <c r="K50" s="167"/>
      <c r="L50" s="167"/>
      <c r="M50" s="166"/>
    </row>
    <row r="51" spans="2:13" x14ac:dyDescent="0.2">
      <c r="B51" s="100" t="s">
        <v>54</v>
      </c>
      <c r="C51" s="169"/>
      <c r="D51" s="168"/>
      <c r="E51" s="167"/>
      <c r="F51" s="167"/>
      <c r="G51" s="167">
        <f>G50-C49</f>
        <v>268.91052393827817</v>
      </c>
      <c r="H51" s="167"/>
      <c r="I51" s="167"/>
      <c r="J51" s="167"/>
      <c r="K51" s="167"/>
      <c r="L51" s="167"/>
      <c r="M51" s="166"/>
    </row>
    <row r="52" spans="2:13" x14ac:dyDescent="0.2">
      <c r="B52" s="100" t="s">
        <v>51</v>
      </c>
      <c r="C52" s="169"/>
      <c r="D52" s="168"/>
      <c r="E52" s="167"/>
      <c r="F52" s="167"/>
      <c r="G52" s="167">
        <f>G50-G10</f>
        <v>653.68913649145611</v>
      </c>
      <c r="H52" s="167"/>
      <c r="I52" s="167"/>
      <c r="J52" s="167"/>
      <c r="K52" s="167"/>
      <c r="L52" s="167"/>
      <c r="M52" s="166"/>
    </row>
    <row r="53" spans="2:13" x14ac:dyDescent="0.2">
      <c r="B53" s="100"/>
      <c r="C53" s="177"/>
      <c r="D53" s="176"/>
      <c r="E53" s="175"/>
      <c r="F53" s="175"/>
      <c r="G53" s="175"/>
      <c r="H53" s="175"/>
      <c r="I53" s="167"/>
      <c r="J53" s="167"/>
      <c r="K53" s="167"/>
      <c r="L53" s="175"/>
      <c r="M53" s="174"/>
    </row>
    <row r="54" spans="2:13" x14ac:dyDescent="0.2">
      <c r="B54" s="100" t="s">
        <v>191</v>
      </c>
      <c r="C54" s="169"/>
      <c r="D54" s="168"/>
      <c r="E54" s="167"/>
      <c r="F54" s="167"/>
      <c r="G54" s="167">
        <f>-1.274*SIN(DR*(G48-2*G51))+0.658*SIN(DR*2*G51)-0.186*SIN(DR*C47)-0.059*SIN(DR*(2*G48-2*G51))-0.057*SIN(DR*(G48-2*G51+C47))+0.053*SIN(DR*(G48+2*G51))+0.046*SIN(DR*(2*G51-C47))+0.041*SIN(DR*(G48-C47))-0.035*SIN(DR*G51)-0.031*SIN(DR*(G48+C47))-0.015*SIN(DR*(2*G52-2*G51))+0.011*SIN(DR*(G48-4*G51))</f>
        <v>-0.96188674429322019</v>
      </c>
      <c r="H54" s="167"/>
      <c r="I54" s="167">
        <f>-0.332*SIN(DR*(2*I48-5*J48-67.6))-0.056*SIN(DR*(2*I48-2*J48+21))+0.042*SIN(DR*(3*I48-5*J48+21))-0.036*SIN(DR*(I48-2*J48))+0.022*COS(DR*(I48-J48))+0.023*SIN(DR*(2*I48-3*J48+52))-0.016*SIN(DR*(I48-5*J48-69))</f>
        <v>2.5736603474755825E-2</v>
      </c>
      <c r="J54" s="167">
        <f>0.812*SIN(DR*(2*I48-5*J48-67.6))-0.229*COS(DR*(2*I48-4*J48-2))+0.119*SIN(DR*(I48-2*J48-3))+0.046*SIN(DR*(2*I48-6*J48-69))+0.014*SIN(DR*(I48-3*J48+32))</f>
        <v>4.9923599945192278E-2</v>
      </c>
      <c r="K54" s="167">
        <f>0.04*SIN(DR*(J48-2*K48+6))+0.035*SIN(DR*(J48-3*K48+33))-0.015*SIN(DR*(I48-K48+20))</f>
        <v>-5.0397629048281687E-3</v>
      </c>
      <c r="L54" s="167"/>
      <c r="M54" s="166"/>
    </row>
    <row r="55" spans="2:13" x14ac:dyDescent="0.2">
      <c r="B55" s="100" t="s">
        <v>190</v>
      </c>
      <c r="C55" s="169"/>
      <c r="D55" s="168"/>
      <c r="E55" s="167"/>
      <c r="F55" s="167"/>
      <c r="G55" s="167">
        <f>-0.173*SIN(DR*(G52-2*G51))-0.055*SIN(DR*(G48-G52-2*G51))-0.046*SIN(DR*(G48+G52-2*G51))+0.033*SIN(DR*(G52+2*G51))+0.017*SIN(DR*(2*G48+G52))</f>
        <v>-0.15334236650451241</v>
      </c>
      <c r="H55" s="167"/>
      <c r="I55" s="167"/>
      <c r="J55" s="167">
        <f>-0.02*COS(DR*(2*I48-4*J48-2))+0.018*SIN(DR*(2*I48-6*J48-49))</f>
        <v>-3.7366724166131363E-4</v>
      </c>
      <c r="K55" s="167"/>
      <c r="L55" s="167"/>
      <c r="M55" s="166"/>
    </row>
    <row r="56" spans="2:13" x14ac:dyDescent="0.2">
      <c r="B56" s="100" t="s">
        <v>189</v>
      </c>
      <c r="C56" s="169"/>
      <c r="D56" s="168"/>
      <c r="E56" s="167"/>
      <c r="F56" s="167"/>
      <c r="G56" s="167">
        <f>-0.58*COS(DR*(G48-2*G51))-0.46*COS(DR*2*G51)</f>
        <v>0.88401958488087184</v>
      </c>
      <c r="H56" s="167"/>
      <c r="I56" s="167"/>
      <c r="J56" s="167"/>
      <c r="K56" s="167"/>
      <c r="L56" s="167"/>
      <c r="M56" s="166"/>
    </row>
    <row r="57" spans="2:13" x14ac:dyDescent="0.2">
      <c r="B57" s="100" t="s">
        <v>188</v>
      </c>
      <c r="C57" s="169"/>
      <c r="D57" s="168"/>
      <c r="E57" s="167">
        <f t="shared" ref="E57:L57" si="11">MOD(E40+E54+360,360)</f>
        <v>258.08249618216439</v>
      </c>
      <c r="F57" s="167">
        <f t="shared" si="11"/>
        <v>18.716378958699238</v>
      </c>
      <c r="G57" s="167">
        <f t="shared" si="11"/>
        <v>302.59521969361936</v>
      </c>
      <c r="H57" s="167">
        <f t="shared" si="11"/>
        <v>331.68220501794872</v>
      </c>
      <c r="I57" s="167">
        <f t="shared" si="11"/>
        <v>56.72072184876555</v>
      </c>
      <c r="J57" s="167">
        <f t="shared" si="11"/>
        <v>341.77951270464121</v>
      </c>
      <c r="K57" s="167">
        <f t="shared" si="11"/>
        <v>52.990511384688944</v>
      </c>
      <c r="L57" s="167">
        <f t="shared" si="11"/>
        <v>357.63673225796856</v>
      </c>
      <c r="M57" s="166"/>
    </row>
    <row r="58" spans="2:13" x14ac:dyDescent="0.2">
      <c r="B58" s="100" t="s">
        <v>187</v>
      </c>
      <c r="C58" s="169"/>
      <c r="D58" s="168"/>
      <c r="E58" s="167">
        <f t="shared" ref="E58:L58" si="12">E41+E55</f>
        <v>-3.4585936579628775</v>
      </c>
      <c r="F58" s="167">
        <f t="shared" si="12"/>
        <v>-2.8856509459997999</v>
      </c>
      <c r="G58" s="167">
        <f t="shared" si="12"/>
        <v>-5.0174965302573149</v>
      </c>
      <c r="H58" s="167">
        <f t="shared" si="12"/>
        <v>-1.8095721542597252</v>
      </c>
      <c r="I58" s="167">
        <f t="shared" si="12"/>
        <v>-0.90434529458400914</v>
      </c>
      <c r="J58" s="167">
        <f t="shared" si="12"/>
        <v>-1.8453180324181133</v>
      </c>
      <c r="K58" s="167">
        <f t="shared" si="12"/>
        <v>-0.27882856932008337</v>
      </c>
      <c r="L58" s="167">
        <f t="shared" si="12"/>
        <v>-1.2629336647865761</v>
      </c>
      <c r="M58" s="166"/>
    </row>
    <row r="59" spans="2:13" x14ac:dyDescent="0.2">
      <c r="B59" s="96" t="s">
        <v>186</v>
      </c>
      <c r="C59" s="165"/>
      <c r="D59" s="164"/>
      <c r="E59" s="163">
        <f t="shared" ref="E59:M59" si="13">E36+E56</f>
        <v>0.46669737597044147</v>
      </c>
      <c r="F59" s="163">
        <f t="shared" si="13"/>
        <v>0.72523194912626598</v>
      </c>
      <c r="G59" s="163">
        <f t="shared" si="13"/>
        <v>58.914182846364781</v>
      </c>
      <c r="H59" s="163">
        <f t="shared" si="13"/>
        <v>1.3817532454690575</v>
      </c>
      <c r="I59" s="163">
        <f t="shared" si="13"/>
        <v>5.009503825880703</v>
      </c>
      <c r="J59" s="163">
        <f t="shared" si="13"/>
        <v>9.7254778124612482</v>
      </c>
      <c r="K59" s="163">
        <f t="shared" si="13"/>
        <v>19.574869718374419</v>
      </c>
      <c r="L59" s="163">
        <f t="shared" si="13"/>
        <v>29.88117709686345</v>
      </c>
      <c r="M59" s="162">
        <f t="shared" si="13"/>
        <v>34.946447850096774</v>
      </c>
    </row>
    <row r="61" spans="2:13" ht="19" x14ac:dyDescent="0.25">
      <c r="B61" s="114" t="s">
        <v>185</v>
      </c>
    </row>
    <row r="62" spans="2:13" ht="19" x14ac:dyDescent="0.25">
      <c r="B62" s="114"/>
    </row>
    <row r="63" spans="2:13" x14ac:dyDescent="0.2">
      <c r="B63" s="37"/>
      <c r="C63" s="111" t="s">
        <v>127</v>
      </c>
      <c r="D63" s="111" t="s">
        <v>161</v>
      </c>
      <c r="E63" s="111" t="s">
        <v>19</v>
      </c>
      <c r="F63" s="111" t="s">
        <v>22</v>
      </c>
      <c r="G63" s="111" t="s">
        <v>15</v>
      </c>
      <c r="H63" s="111" t="s">
        <v>20</v>
      </c>
      <c r="I63" s="111" t="s">
        <v>21</v>
      </c>
      <c r="J63" s="111" t="s">
        <v>23</v>
      </c>
      <c r="K63" s="111" t="s">
        <v>101</v>
      </c>
      <c r="L63" s="111" t="s">
        <v>100</v>
      </c>
      <c r="M63" s="111" t="s">
        <v>99</v>
      </c>
    </row>
    <row r="64" spans="2:13" x14ac:dyDescent="0.2">
      <c r="B64" s="110" t="s">
        <v>184</v>
      </c>
      <c r="C64" s="173"/>
      <c r="D64" s="172"/>
      <c r="E64" s="171">
        <f>E59*COS(DR*E57)*COS(DR*E58)</f>
        <v>-9.6198928320085308E-2</v>
      </c>
      <c r="F64" s="171">
        <f>F59*COS(DR*F57)*COS(DR*F58)</f>
        <v>0.68600969126749356</v>
      </c>
      <c r="G64" s="171">
        <f>COS(DR*G57)*COS(DR*G58)</f>
        <v>0.53663621505051717</v>
      </c>
      <c r="H64" s="171">
        <f t="shared" ref="H64:M64" si="14">H59*COS(DR*H57)*COS(DR*H58)</f>
        <v>1.2157923092240359</v>
      </c>
      <c r="I64" s="171">
        <f t="shared" si="14"/>
        <v>2.7484750481887019</v>
      </c>
      <c r="J64" s="171">
        <f t="shared" si="14"/>
        <v>9.2330546447288313</v>
      </c>
      <c r="K64" s="171">
        <f t="shared" si="14"/>
        <v>11.782899959098708</v>
      </c>
      <c r="L64" s="171">
        <f t="shared" si="14"/>
        <v>29.848509650706024</v>
      </c>
      <c r="M64" s="170">
        <f t="shared" si="14"/>
        <v>34.946447850096774</v>
      </c>
    </row>
    <row r="65" spans="2:13" x14ac:dyDescent="0.2">
      <c r="B65" s="100" t="s">
        <v>183</v>
      </c>
      <c r="C65" s="169"/>
      <c r="D65" s="168"/>
      <c r="E65" s="167">
        <f>E59*SIN(DR*E57)*COS(DR*E58)</f>
        <v>-0.45580645959962862</v>
      </c>
      <c r="F65" s="167">
        <f>F59*SIN(DR*F57)*COS(DR*F58)</f>
        <v>0.23242006625238393</v>
      </c>
      <c r="G65" s="167">
        <f>SIN(DR*G57)*COS(DR*G58)</f>
        <v>-0.83926892595188296</v>
      </c>
      <c r="H65" s="167">
        <f t="shared" ref="H65:M65" si="15">H59*SIN(DR*H57)*COS(DR*H58)</f>
        <v>-0.65512386942588774</v>
      </c>
      <c r="I65" s="167">
        <f t="shared" si="15"/>
        <v>4.1874529370514075</v>
      </c>
      <c r="J65" s="167">
        <f t="shared" si="15"/>
        <v>-3.0393326923777773</v>
      </c>
      <c r="K65" s="167">
        <f t="shared" si="15"/>
        <v>15.63104982163175</v>
      </c>
      <c r="L65" s="167">
        <f t="shared" si="15"/>
        <v>-1.2318542668116115</v>
      </c>
      <c r="M65" s="166">
        <f t="shared" si="15"/>
        <v>0</v>
      </c>
    </row>
    <row r="66" spans="2:13" x14ac:dyDescent="0.2">
      <c r="B66" s="96" t="s">
        <v>182</v>
      </c>
      <c r="C66" s="165"/>
      <c r="D66" s="164"/>
      <c r="E66" s="163">
        <f>E59*SIN(DR*E58)</f>
        <v>-2.8154543416912665E-2</v>
      </c>
      <c r="F66" s="163">
        <f>F59*SIN(DR*F58)</f>
        <v>-3.651022218226601E-2</v>
      </c>
      <c r="G66" s="163">
        <f>SIN(DR*G58)</f>
        <v>-8.7459948706982121E-2</v>
      </c>
      <c r="H66" s="163">
        <f t="shared" ref="H66:M66" si="16">H59*SIN(DR*H58)</f>
        <v>-4.3632647231309059E-2</v>
      </c>
      <c r="I66" s="163">
        <f t="shared" si="16"/>
        <v>-7.9065738326120641E-2</v>
      </c>
      <c r="J66" s="163">
        <f t="shared" si="16"/>
        <v>-0.31317310416291033</v>
      </c>
      <c r="K66" s="163">
        <f t="shared" si="16"/>
        <v>-9.5260269102090997E-2</v>
      </c>
      <c r="L66" s="163">
        <f t="shared" si="16"/>
        <v>-0.65859804977244907</v>
      </c>
      <c r="M66" s="162">
        <f t="shared" si="16"/>
        <v>0</v>
      </c>
    </row>
    <row r="68" spans="2:13" ht="19" x14ac:dyDescent="0.25">
      <c r="B68" s="114" t="s">
        <v>181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</row>
    <row r="69" spans="2:13" ht="19" x14ac:dyDescent="0.25">
      <c r="B69" s="114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</row>
    <row r="70" spans="2:13" x14ac:dyDescent="0.2">
      <c r="B70" s="37"/>
      <c r="C70" s="111" t="s">
        <v>127</v>
      </c>
      <c r="D70" s="111" t="s">
        <v>161</v>
      </c>
      <c r="E70" s="111" t="s">
        <v>19</v>
      </c>
      <c r="F70" s="111" t="s">
        <v>22</v>
      </c>
      <c r="G70" s="111" t="s">
        <v>15</v>
      </c>
      <c r="H70" s="111" t="s">
        <v>20</v>
      </c>
      <c r="I70" s="111" t="s">
        <v>21</v>
      </c>
      <c r="J70" s="111" t="s">
        <v>23</v>
      </c>
      <c r="K70" s="111" t="s">
        <v>101</v>
      </c>
      <c r="L70" s="111" t="s">
        <v>100</v>
      </c>
      <c r="M70" s="111" t="s">
        <v>99</v>
      </c>
    </row>
    <row r="71" spans="2:13" x14ac:dyDescent="0.2">
      <c r="B71" s="110" t="s">
        <v>180</v>
      </c>
      <c r="C71" s="156">
        <f>C36*COS(DR*(C35+C12))</f>
        <v>0.76081664904535462</v>
      </c>
      <c r="D71" s="155">
        <f>D36*COS(DR*(D35+D12))</f>
        <v>0.76447092130050553</v>
      </c>
      <c r="E71" s="153"/>
      <c r="F71" s="153"/>
      <c r="G71" s="153"/>
      <c r="H71" s="153"/>
      <c r="I71" s="153"/>
      <c r="J71" s="153"/>
      <c r="K71" s="153"/>
      <c r="L71" s="153"/>
      <c r="M71" s="152"/>
    </row>
    <row r="72" spans="2:13" x14ac:dyDescent="0.2">
      <c r="B72" s="100" t="s">
        <v>179</v>
      </c>
      <c r="C72" s="143">
        <f>C36*SIN(DR*(C35+C12))</f>
        <v>0.66049061075260718</v>
      </c>
      <c r="D72" s="142">
        <f>D36*SIN(DR*(D35+D12))</f>
        <v>0.65612710934116136</v>
      </c>
      <c r="E72" s="103"/>
      <c r="F72" s="103"/>
      <c r="G72" s="103"/>
      <c r="H72" s="103"/>
      <c r="I72" s="103"/>
      <c r="J72" s="103"/>
      <c r="K72" s="103"/>
      <c r="L72" s="103"/>
      <c r="M72" s="141"/>
    </row>
    <row r="73" spans="2:13" x14ac:dyDescent="0.2">
      <c r="B73" s="100" t="s">
        <v>178</v>
      </c>
      <c r="C73" s="143">
        <f>C71</f>
        <v>0.76081664904535462</v>
      </c>
      <c r="D73" s="142">
        <f>D71</f>
        <v>0.76447092130050553</v>
      </c>
      <c r="E73" s="103">
        <f t="shared" ref="E73:L73" si="17">E64+$C$71</f>
        <v>0.66461772072526926</v>
      </c>
      <c r="F73" s="103">
        <f t="shared" si="17"/>
        <v>1.4468263403128483</v>
      </c>
      <c r="G73" s="103">
        <f t="shared" si="17"/>
        <v>1.2974528640958718</v>
      </c>
      <c r="H73" s="103">
        <f t="shared" si="17"/>
        <v>1.9766089582693906</v>
      </c>
      <c r="I73" s="103">
        <f t="shared" si="17"/>
        <v>3.5092916972340564</v>
      </c>
      <c r="J73" s="103">
        <f t="shared" si="17"/>
        <v>9.9938712937741858</v>
      </c>
      <c r="K73" s="103">
        <f t="shared" si="17"/>
        <v>12.543716608144063</v>
      </c>
      <c r="L73" s="103">
        <f t="shared" si="17"/>
        <v>30.60932629975138</v>
      </c>
      <c r="M73" s="141">
        <f>M64+Calculations!$C$71</f>
        <v>35.707264499142127</v>
      </c>
    </row>
    <row r="74" spans="2:13" x14ac:dyDescent="0.2">
      <c r="B74" s="100" t="s">
        <v>177</v>
      </c>
      <c r="C74" s="143">
        <f>C72*COS(DR*C42)</f>
        <v>0.60600276681884546</v>
      </c>
      <c r="D74" s="142">
        <f>D72*COS(DR*D42)</f>
        <v>0.60199923634833197</v>
      </c>
      <c r="E74" s="103">
        <f t="shared" ref="E74:L74" si="18">E65+$C$72</f>
        <v>0.20468415115297856</v>
      </c>
      <c r="F74" s="103">
        <f t="shared" si="18"/>
        <v>0.89291067700499105</v>
      </c>
      <c r="G74" s="103">
        <f t="shared" si="18"/>
        <v>-0.17877831519927578</v>
      </c>
      <c r="H74" s="103">
        <f t="shared" si="18"/>
        <v>5.3667413267194375E-3</v>
      </c>
      <c r="I74" s="103">
        <f t="shared" si="18"/>
        <v>4.8479435478040145</v>
      </c>
      <c r="J74" s="103">
        <f t="shared" si="18"/>
        <v>-2.3788420816251703</v>
      </c>
      <c r="K74" s="103">
        <f t="shared" si="18"/>
        <v>16.291540432384359</v>
      </c>
      <c r="L74" s="103">
        <f t="shared" si="18"/>
        <v>-0.5713636560590043</v>
      </c>
      <c r="M74" s="141">
        <f>M65+Calculations!$C$72</f>
        <v>0.66049061075260718</v>
      </c>
    </row>
    <row r="75" spans="2:13" x14ac:dyDescent="0.2">
      <c r="B75" s="96" t="s">
        <v>176</v>
      </c>
      <c r="C75" s="140">
        <f>C72*SIN(DR*C42)</f>
        <v>0.26269467733522134</v>
      </c>
      <c r="D75" s="139">
        <f>D72*SIN(DR*D42)</f>
        <v>0.26095919805290152</v>
      </c>
      <c r="E75" s="137">
        <f t="shared" ref="E75:M75" si="19">E66</f>
        <v>-2.8154543416912665E-2</v>
      </c>
      <c r="F75" s="137">
        <f t="shared" si="19"/>
        <v>-3.651022218226601E-2</v>
      </c>
      <c r="G75" s="137">
        <f t="shared" si="19"/>
        <v>-8.7459948706982121E-2</v>
      </c>
      <c r="H75" s="137">
        <f t="shared" si="19"/>
        <v>-4.3632647231309059E-2</v>
      </c>
      <c r="I75" s="137">
        <f t="shared" si="19"/>
        <v>-7.9065738326120641E-2</v>
      </c>
      <c r="J75" s="137">
        <f t="shared" si="19"/>
        <v>-0.31317310416291033</v>
      </c>
      <c r="K75" s="137">
        <f t="shared" si="19"/>
        <v>-9.5260269102090997E-2</v>
      </c>
      <c r="L75" s="137">
        <f t="shared" si="19"/>
        <v>-0.65859804977244907</v>
      </c>
      <c r="M75" s="136">
        <f t="shared" si="19"/>
        <v>0</v>
      </c>
    </row>
    <row r="76" spans="2:13" x14ac:dyDescent="0.2"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</row>
    <row r="77" spans="2:13" ht="19" x14ac:dyDescent="0.25">
      <c r="B77" s="114" t="s">
        <v>175</v>
      </c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</row>
    <row r="78" spans="2:13" ht="19" x14ac:dyDescent="0.25">
      <c r="B78" s="114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</row>
    <row r="79" spans="2:13" x14ac:dyDescent="0.2">
      <c r="B79" s="37"/>
      <c r="C79" s="111" t="s">
        <v>127</v>
      </c>
      <c r="D79" s="111" t="s">
        <v>161</v>
      </c>
      <c r="E79" s="111" t="s">
        <v>19</v>
      </c>
      <c r="F79" s="111" t="s">
        <v>22</v>
      </c>
      <c r="G79" s="111" t="s">
        <v>15</v>
      </c>
      <c r="H79" s="111" t="s">
        <v>20</v>
      </c>
      <c r="I79" s="111" t="s">
        <v>21</v>
      </c>
      <c r="J79" s="111" t="s">
        <v>23</v>
      </c>
      <c r="K79" s="111" t="s">
        <v>101</v>
      </c>
      <c r="L79" s="111" t="s">
        <v>100</v>
      </c>
      <c r="M79" s="111" t="s">
        <v>99</v>
      </c>
    </row>
    <row r="80" spans="2:13" x14ac:dyDescent="0.2">
      <c r="B80" s="110" t="s">
        <v>174</v>
      </c>
      <c r="C80" s="156">
        <f>C71</f>
        <v>0.76081664904535462</v>
      </c>
      <c r="D80" s="155">
        <f>D71</f>
        <v>0.76447092130050553</v>
      </c>
      <c r="E80" s="153">
        <f>E73</f>
        <v>0.66461772072526926</v>
      </c>
      <c r="F80" s="153">
        <f>F73</f>
        <v>1.4468263403128483</v>
      </c>
      <c r="G80" s="153">
        <f>G64</f>
        <v>0.53663621505051717</v>
      </c>
      <c r="H80" s="153">
        <f t="shared" ref="H80:M80" si="20">H73</f>
        <v>1.9766089582693906</v>
      </c>
      <c r="I80" s="153">
        <f t="shared" si="20"/>
        <v>3.5092916972340564</v>
      </c>
      <c r="J80" s="153">
        <f t="shared" si="20"/>
        <v>9.9938712937741858</v>
      </c>
      <c r="K80" s="153">
        <f t="shared" si="20"/>
        <v>12.543716608144063</v>
      </c>
      <c r="L80" s="153">
        <f t="shared" si="20"/>
        <v>30.60932629975138</v>
      </c>
      <c r="M80" s="152">
        <f t="shared" si="20"/>
        <v>35.707264499142127</v>
      </c>
    </row>
    <row r="81" spans="2:15" x14ac:dyDescent="0.2">
      <c r="B81" s="100" t="s">
        <v>173</v>
      </c>
      <c r="C81" s="143">
        <f>C72*COS(DR*C42)</f>
        <v>0.60600276681884546</v>
      </c>
      <c r="D81" s="142">
        <f>D72*COS(DR*D42)</f>
        <v>0.60199923634833197</v>
      </c>
      <c r="E81" s="103">
        <f>E74*COS(DR*$C$42)-E75*SIN(DR*$C$42)</f>
        <v>0.19899633466603267</v>
      </c>
      <c r="F81" s="103">
        <f>F74*COS(DR*$C$42)-F75*SIN(DR*$C$42)</f>
        <v>0.83377018970068206</v>
      </c>
      <c r="G81" s="103">
        <f>G65*COS(DR*$C$42)-G75*SIN(DR*$C$42)</f>
        <v>-0.73524743625535216</v>
      </c>
      <c r="H81" s="103">
        <f>H74*COS(DR*$C$42)-H75*SIN(DR*$C$42)</f>
        <v>2.2277870478335501E-2</v>
      </c>
      <c r="I81" s="103">
        <f>I74*COS(DR*$C$42)-I75*SIN(DR*$C$42)</f>
        <v>4.4794540661181914</v>
      </c>
      <c r="J81" s="103">
        <f>J74*COS(DR*$C$42)-J75*SIN(DR*$C$42)</f>
        <v>-2.0580398170882614</v>
      </c>
      <c r="K81" s="103">
        <f>K74*COS(DR*$C$42)-K75*SIN(DR*$C$42)</f>
        <v>14.985440795505784</v>
      </c>
      <c r="L81" s="103">
        <f>L74*COS(DR*$C$42)-L75*SIN(DR*$C$42)</f>
        <v>-0.26228647528465177</v>
      </c>
      <c r="M81" s="141">
        <f>M74*COS(DR*Calculations!$C$42)-M75*SIN(DR*Calculations!$C$42)</f>
        <v>0.60600276681884546</v>
      </c>
    </row>
    <row r="82" spans="2:15" x14ac:dyDescent="0.2">
      <c r="B82" s="100" t="s">
        <v>172</v>
      </c>
      <c r="C82" s="143">
        <f>C72*SIN(DR*C42)</f>
        <v>0.26269467733522134</v>
      </c>
      <c r="D82" s="142">
        <f>D72*SIN(DR*D42)</f>
        <v>0.26095919805290152</v>
      </c>
      <c r="E82" s="103">
        <f>E74*SIN(DR*$C$42)+E75*COS(DR*$C$42)</f>
        <v>5.5576423398006794E-2</v>
      </c>
      <c r="F82" s="103">
        <f>F74*SIN(DR*$C$42)+F75*COS(DR*$C$42)</f>
        <v>0.32163604306700228</v>
      </c>
      <c r="G82" s="103">
        <f>G65*SIN(DR*$C$42)+G75*COS(DR*$C$42)</f>
        <v>-0.41404441811982817</v>
      </c>
      <c r="H82" s="103">
        <f>H74*SIN(DR*$C$42)+H75*COS(DR*$C$42)</f>
        <v>-3.7898631951962171E-2</v>
      </c>
      <c r="I82" s="103">
        <f>I74*SIN(DR*$C$42)+I75*COS(DR*$C$42)</f>
        <v>1.8556129184743329</v>
      </c>
      <c r="J82" s="103">
        <f>J74*SIN(DR*$C$42)+J75*COS(DR*$C$42)</f>
        <v>-1.2334663164274584</v>
      </c>
      <c r="K82" s="103">
        <f>K74*SIN(DR*$C$42)+K75*COS(DR*$C$42)</f>
        <v>6.392177120768376</v>
      </c>
      <c r="L82" s="103">
        <f>L74*SIN(DR*$C$42)+L75*COS(DR*$C$42)</f>
        <v>-0.83151285228307759</v>
      </c>
      <c r="M82" s="141">
        <f>M74*SIN(DR*Calculations!$C$42)+M75*COS(DR*Calculations!$C$42)</f>
        <v>0.26269467733522134</v>
      </c>
    </row>
    <row r="83" spans="2:15" x14ac:dyDescent="0.2">
      <c r="B83" s="100" t="s">
        <v>171</v>
      </c>
      <c r="C83" s="143">
        <f t="shared" ref="C83:M83" si="21">ATAN2(C80,C81)</f>
        <v>0.67261304540317379</v>
      </c>
      <c r="D83" s="142">
        <f t="shared" si="21"/>
        <v>0.66705492963238822</v>
      </c>
      <c r="E83" s="103">
        <f t="shared" si="21"/>
        <v>0.29091976204921827</v>
      </c>
      <c r="F83" s="103">
        <f t="shared" si="21"/>
        <v>0.52279212485665483</v>
      </c>
      <c r="G83" s="103">
        <f t="shared" si="21"/>
        <v>-0.94030234428846737</v>
      </c>
      <c r="H83" s="103">
        <f t="shared" si="21"/>
        <v>1.1270275356563579E-2</v>
      </c>
      <c r="I83" s="103">
        <f t="shared" si="21"/>
        <v>0.90624752554351462</v>
      </c>
      <c r="J83" s="103">
        <f t="shared" si="21"/>
        <v>-0.20309110889891505</v>
      </c>
      <c r="K83" s="103">
        <f t="shared" si="21"/>
        <v>0.87386259467645933</v>
      </c>
      <c r="L83" s="103">
        <f t="shared" si="21"/>
        <v>-8.5686321068657693E-3</v>
      </c>
      <c r="M83" s="141">
        <f t="shared" si="21"/>
        <v>1.6969784811841238E-2</v>
      </c>
      <c r="O83" s="134"/>
    </row>
    <row r="84" spans="2:15" x14ac:dyDescent="0.2">
      <c r="B84" s="100" t="s">
        <v>61</v>
      </c>
      <c r="C84" s="143">
        <f>MOD((C83/(2*PI()))*24+24,24)</f>
        <v>2.569192583136207</v>
      </c>
      <c r="D84" s="142">
        <f t="shared" ref="D84:M84" si="22">(D83/(2*PI()))*24</f>
        <v>2.5479621447554641</v>
      </c>
      <c r="E84" s="103">
        <f t="shared" si="22"/>
        <v>1.1112316361580257</v>
      </c>
      <c r="F84" s="103">
        <f t="shared" si="22"/>
        <v>1.9969188211308468</v>
      </c>
      <c r="G84" s="103">
        <f t="shared" si="22"/>
        <v>-3.5916903862657632</v>
      </c>
      <c r="H84" s="103">
        <f t="shared" si="22"/>
        <v>4.3049280792092803E-2</v>
      </c>
      <c r="I84" s="103">
        <f t="shared" si="22"/>
        <v>3.4616105605211764</v>
      </c>
      <c r="J84" s="103">
        <f t="shared" si="22"/>
        <v>-0.77575089310264178</v>
      </c>
      <c r="K84" s="103">
        <f t="shared" si="22"/>
        <v>3.3379092366208294</v>
      </c>
      <c r="L84" s="103">
        <f t="shared" si="22"/>
        <v>-3.2729763728246611E-2</v>
      </c>
      <c r="M84" s="141">
        <f t="shared" si="22"/>
        <v>6.4819803264247244E-2</v>
      </c>
      <c r="O84" s="134"/>
    </row>
    <row r="85" spans="2:15" x14ac:dyDescent="0.2">
      <c r="B85" s="100" t="s">
        <v>170</v>
      </c>
      <c r="C85" s="143">
        <f t="shared" ref="C85:M85" si="23">MOD((C83+2*PI())/(2*PI())*360,360)</f>
        <v>38.537888747043098</v>
      </c>
      <c r="D85" s="142">
        <f t="shared" si="23"/>
        <v>38.21943217133196</v>
      </c>
      <c r="E85" s="103">
        <f t="shared" si="23"/>
        <v>16.668474542370348</v>
      </c>
      <c r="F85" s="103">
        <f t="shared" si="23"/>
        <v>29.953782316962702</v>
      </c>
      <c r="G85" s="103">
        <f t="shared" si="23"/>
        <v>306.12464420601356</v>
      </c>
      <c r="H85" s="103">
        <f t="shared" si="23"/>
        <v>0.64573921188139138</v>
      </c>
      <c r="I85" s="103">
        <f t="shared" si="23"/>
        <v>51.924158407817686</v>
      </c>
      <c r="J85" s="103">
        <f t="shared" si="23"/>
        <v>348.36373660346038</v>
      </c>
      <c r="K85" s="103">
        <f t="shared" si="23"/>
        <v>50.068638549312425</v>
      </c>
      <c r="L85" s="103">
        <f t="shared" si="23"/>
        <v>359.50905354407632</v>
      </c>
      <c r="M85" s="141">
        <f t="shared" si="23"/>
        <v>0.9722970489636964</v>
      </c>
      <c r="O85" s="134"/>
    </row>
    <row r="86" spans="2:15" x14ac:dyDescent="0.2">
      <c r="B86" s="100" t="s">
        <v>169</v>
      </c>
      <c r="C86" s="143">
        <f t="shared" ref="C86:M86" si="24">ATAN2(SQRT(C80*C80+C81*C81),C82)</f>
        <v>0.26378327490084835</v>
      </c>
      <c r="D86" s="142">
        <f t="shared" si="24"/>
        <v>0.26202207847425157</v>
      </c>
      <c r="E86" s="103">
        <f t="shared" si="24"/>
        <v>7.9937195432756819E-2</v>
      </c>
      <c r="F86" s="103">
        <f t="shared" si="24"/>
        <v>0.19028072831437634</v>
      </c>
      <c r="G86" s="103">
        <f t="shared" si="24"/>
        <v>-0.42689275814507072</v>
      </c>
      <c r="H86" s="103">
        <f t="shared" si="24"/>
        <v>-1.9169994467202297E-2</v>
      </c>
      <c r="I86" s="103">
        <f t="shared" si="24"/>
        <v>0.31522234601501115</v>
      </c>
      <c r="J86" s="103">
        <f t="shared" si="24"/>
        <v>-0.12030193448970222</v>
      </c>
      <c r="K86" s="103">
        <f t="shared" si="24"/>
        <v>0.31612243490579039</v>
      </c>
      <c r="L86" s="103">
        <f t="shared" si="24"/>
        <v>-2.7157667306477763E-2</v>
      </c>
      <c r="M86" s="141">
        <f t="shared" si="24"/>
        <v>7.3557053503102363E-3</v>
      </c>
      <c r="O86" s="134"/>
    </row>
    <row r="87" spans="2:15" x14ac:dyDescent="0.2">
      <c r="B87" s="100" t="s">
        <v>168</v>
      </c>
      <c r="C87" s="143">
        <f t="shared" ref="C87:M87" si="25">(C86)/(2*PI())*360</f>
        <v>15.11366835795779</v>
      </c>
      <c r="D87" s="142">
        <f t="shared" si="25"/>
        <v>15.012759235820271</v>
      </c>
      <c r="E87" s="103">
        <f t="shared" si="25"/>
        <v>4.5800639244094059</v>
      </c>
      <c r="F87" s="103">
        <f t="shared" si="25"/>
        <v>10.902282655089227</v>
      </c>
      <c r="G87" s="103">
        <f t="shared" si="25"/>
        <v>-24.459153346411547</v>
      </c>
      <c r="H87" s="103">
        <f t="shared" si="25"/>
        <v>-1.0983597762598309</v>
      </c>
      <c r="I87" s="103">
        <f t="shared" si="25"/>
        <v>18.060910034872624</v>
      </c>
      <c r="J87" s="103">
        <f t="shared" si="25"/>
        <v>-6.8927931135192528</v>
      </c>
      <c r="K87" s="103">
        <f t="shared" si="25"/>
        <v>18.112481329500884</v>
      </c>
      <c r="L87" s="103">
        <f t="shared" si="25"/>
        <v>-1.5560197180815942</v>
      </c>
      <c r="M87" s="141">
        <f t="shared" si="25"/>
        <v>0.42145087191457525</v>
      </c>
      <c r="O87" s="134"/>
    </row>
    <row r="88" spans="2:15" x14ac:dyDescent="0.2">
      <c r="B88" s="96" t="s">
        <v>167</v>
      </c>
      <c r="C88" s="140">
        <f t="shared" ref="C88:M88" si="26">SQRT(C80*C80+C81*C81+C82*C82)</f>
        <v>1.0075166600890302</v>
      </c>
      <c r="D88" s="139">
        <f t="shared" si="26"/>
        <v>1.0074316716911536</v>
      </c>
      <c r="E88" s="137">
        <f t="shared" si="26"/>
        <v>0.69599209388489625</v>
      </c>
      <c r="F88" s="137">
        <f t="shared" si="26"/>
        <v>1.7005672384402739</v>
      </c>
      <c r="G88" s="137">
        <f t="shared" si="26"/>
        <v>1</v>
      </c>
      <c r="H88" s="137">
        <f t="shared" si="26"/>
        <v>1.9770977678728194</v>
      </c>
      <c r="I88" s="137">
        <f t="shared" si="26"/>
        <v>5.9853100379134512</v>
      </c>
      <c r="J88" s="137">
        <f t="shared" si="26"/>
        <v>10.277861182123717</v>
      </c>
      <c r="K88" s="137">
        <f t="shared" si="26"/>
        <v>20.561327547712306</v>
      </c>
      <c r="L88" s="137">
        <f t="shared" si="26"/>
        <v>30.621741693497459</v>
      </c>
      <c r="M88" s="136">
        <f t="shared" si="26"/>
        <v>35.713372647491411</v>
      </c>
    </row>
    <row r="89" spans="2:15" x14ac:dyDescent="0.2">
      <c r="G89" s="161" t="s">
        <v>166</v>
      </c>
    </row>
    <row r="90" spans="2:15" ht="19" x14ac:dyDescent="0.25">
      <c r="B90" s="114" t="s">
        <v>165</v>
      </c>
      <c r="G90" s="160"/>
    </row>
    <row r="91" spans="2:15" x14ac:dyDescent="0.2">
      <c r="B91" s="37" t="s">
        <v>164</v>
      </c>
      <c r="C91" s="132">
        <f>C7</f>
        <v>8887.8333333334886</v>
      </c>
      <c r="D91" s="132"/>
      <c r="E91" s="37"/>
      <c r="F91" s="37"/>
      <c r="G91" s="134"/>
      <c r="H91" s="37"/>
      <c r="I91" s="37"/>
      <c r="J91" s="37"/>
      <c r="K91" s="37"/>
      <c r="L91" s="37"/>
      <c r="M91" s="37"/>
    </row>
    <row r="92" spans="2:15" x14ac:dyDescent="0.2">
      <c r="B92" s="37" t="s">
        <v>84</v>
      </c>
      <c r="C92" s="159">
        <f>'Solar System'!C7</f>
        <v>0.83333333333333326</v>
      </c>
      <c r="D92" s="159">
        <v>0.45833333333333331</v>
      </c>
      <c r="E92" s="37"/>
      <c r="F92" s="37"/>
      <c r="G92" s="134"/>
      <c r="H92" s="37"/>
      <c r="I92" s="37"/>
      <c r="J92" s="37"/>
      <c r="K92" s="37"/>
      <c r="L92" s="37"/>
      <c r="M92" s="37"/>
    </row>
    <row r="93" spans="2:15" x14ac:dyDescent="0.2">
      <c r="B93" s="37" t="s">
        <v>163</v>
      </c>
      <c r="C93" s="131">
        <f>HOUR(C92)+(MINUTE(C92)/60)+(SECOND(C92)/3600)</f>
        <v>20</v>
      </c>
      <c r="D93" s="131">
        <f>HOUR(D92)+(MINUTE(D92)/60)+(SECOND(D92)/3600)</f>
        <v>11</v>
      </c>
      <c r="E93" s="37"/>
      <c r="F93" s="37"/>
      <c r="G93" s="37"/>
      <c r="H93" s="37"/>
      <c r="I93" s="37"/>
      <c r="J93" s="37"/>
      <c r="K93" s="37"/>
      <c r="L93" s="37"/>
      <c r="M93" s="37"/>
    </row>
    <row r="94" spans="2:15" x14ac:dyDescent="0.2">
      <c r="B94" s="37" t="s">
        <v>162</v>
      </c>
      <c r="C94" s="131">
        <f>C93*15</f>
        <v>300</v>
      </c>
      <c r="D94" s="131"/>
      <c r="E94" s="37"/>
      <c r="F94" s="37"/>
      <c r="G94" s="37"/>
      <c r="H94" s="37"/>
      <c r="I94" s="37"/>
      <c r="J94" s="37"/>
      <c r="K94" s="37"/>
      <c r="L94" s="37"/>
      <c r="M94" s="37"/>
    </row>
    <row r="95" spans="2:15" x14ac:dyDescent="0.2">
      <c r="B95" s="37" t="s">
        <v>142</v>
      </c>
      <c r="C95" s="132">
        <f>'Solar System'!$C$8</f>
        <v>46.4572</v>
      </c>
      <c r="D95" s="132"/>
      <c r="E95" s="37"/>
      <c r="F95" s="37"/>
      <c r="G95" s="37"/>
      <c r="H95" s="37"/>
      <c r="I95" s="37"/>
      <c r="J95" s="37"/>
      <c r="K95" s="37"/>
      <c r="L95" s="37"/>
      <c r="M95" s="37"/>
    </row>
    <row r="96" spans="2:15" x14ac:dyDescent="0.2">
      <c r="B96" s="37" t="s">
        <v>141</v>
      </c>
      <c r="C96" s="132">
        <f>'Solar System'!$C$9</f>
        <v>7.4428999999999998</v>
      </c>
      <c r="D96" s="132"/>
      <c r="E96" s="37"/>
      <c r="F96" s="37"/>
      <c r="G96" s="37"/>
      <c r="H96" s="37"/>
      <c r="I96" s="37"/>
      <c r="J96" s="37"/>
      <c r="K96" s="37"/>
      <c r="L96" s="37"/>
      <c r="M96" s="37"/>
    </row>
    <row r="97" spans="2:16" x14ac:dyDescent="0.2">
      <c r="B97" s="37"/>
      <c r="C97" s="132"/>
      <c r="D97" s="132"/>
      <c r="E97" s="37"/>
      <c r="F97" s="37"/>
      <c r="G97" s="37"/>
      <c r="H97" s="37"/>
      <c r="I97" s="37"/>
      <c r="J97" s="37"/>
      <c r="K97" s="37"/>
      <c r="L97" s="37"/>
      <c r="M97" s="37"/>
    </row>
    <row r="98" spans="2:16" x14ac:dyDescent="0.2">
      <c r="B98" s="37"/>
      <c r="C98" s="158" t="s">
        <v>127</v>
      </c>
      <c r="D98" s="157" t="s">
        <v>161</v>
      </c>
      <c r="E98" s="111" t="s">
        <v>19</v>
      </c>
      <c r="F98" s="111" t="s">
        <v>22</v>
      </c>
      <c r="G98" s="111" t="s">
        <v>15</v>
      </c>
      <c r="H98" s="111" t="s">
        <v>20</v>
      </c>
      <c r="I98" s="111" t="s">
        <v>21</v>
      </c>
      <c r="J98" s="111" t="s">
        <v>23</v>
      </c>
      <c r="K98" s="111" t="s">
        <v>101</v>
      </c>
      <c r="L98" s="111" t="s">
        <v>100</v>
      </c>
      <c r="M98" s="111" t="s">
        <v>99</v>
      </c>
    </row>
    <row r="99" spans="2:16" x14ac:dyDescent="0.2">
      <c r="B99" s="110" t="s">
        <v>160</v>
      </c>
      <c r="C99" s="156">
        <f>MOD(282.9404 + 0.0000470935*$C$91,360)</f>
        <v>283.35895917908334</v>
      </c>
      <c r="D99" s="155">
        <f>MOD(282.9404 + 0.0000470935*$C$91,360)</f>
        <v>283.35895917908334</v>
      </c>
      <c r="E99" s="154"/>
      <c r="F99" s="153"/>
      <c r="G99" s="153"/>
      <c r="H99" s="153"/>
      <c r="I99" s="153"/>
      <c r="J99" s="153"/>
      <c r="K99" s="153"/>
      <c r="L99" s="153"/>
      <c r="M99" s="152"/>
    </row>
    <row r="100" spans="2:16" x14ac:dyDescent="0.2">
      <c r="B100" s="100" t="s">
        <v>159</v>
      </c>
      <c r="C100" s="143">
        <f>MOD(356.047 + 0.9856002585*$C$91+360,360)</f>
        <v>115.89783083840302</v>
      </c>
      <c r="D100" s="142">
        <f>MOD(356.047 + 0.9856002585*$C$91+360,360)</f>
        <v>115.89783083840302</v>
      </c>
      <c r="E100" s="104"/>
      <c r="F100" s="103"/>
      <c r="G100" s="103"/>
      <c r="H100" s="103"/>
      <c r="I100" s="103"/>
      <c r="J100" s="103"/>
      <c r="K100" s="103"/>
      <c r="L100" s="103"/>
      <c r="M100" s="141"/>
    </row>
    <row r="101" spans="2:16" x14ac:dyDescent="0.2">
      <c r="B101" s="100" t="s">
        <v>158</v>
      </c>
      <c r="C101" s="143">
        <f>MOD(C99+C100,360)</f>
        <v>39.256790017486367</v>
      </c>
      <c r="D101" s="142">
        <f>MOD(D99+D100,360)</f>
        <v>39.256790017486367</v>
      </c>
      <c r="E101" s="104"/>
      <c r="F101" s="103"/>
      <c r="G101" s="103"/>
      <c r="H101" s="103"/>
      <c r="I101" s="103"/>
      <c r="J101" s="103"/>
      <c r="K101" s="103"/>
      <c r="L101" s="103"/>
      <c r="M101" s="141"/>
      <c r="N101" s="151"/>
    </row>
    <row r="102" spans="2:16" x14ac:dyDescent="0.2">
      <c r="B102" s="100" t="s">
        <v>157</v>
      </c>
      <c r="C102" s="143">
        <f>MOD(C101 + 180,360)</f>
        <v>219.25679001748637</v>
      </c>
      <c r="D102" s="142">
        <f>MOD(D101 + 180,360)</f>
        <v>219.25679001748637</v>
      </c>
      <c r="E102" s="104">
        <f>C102</f>
        <v>219.25679001748637</v>
      </c>
      <c r="F102" s="103">
        <f t="shared" ref="F102:L102" si="27">C102</f>
        <v>219.25679001748637</v>
      </c>
      <c r="G102" s="103">
        <f t="shared" si="27"/>
        <v>219.25679001748637</v>
      </c>
      <c r="H102" s="103">
        <f t="shared" si="27"/>
        <v>219.25679001748637</v>
      </c>
      <c r="I102" s="103">
        <f t="shared" si="27"/>
        <v>219.25679001748637</v>
      </c>
      <c r="J102" s="103">
        <f t="shared" si="27"/>
        <v>219.25679001748637</v>
      </c>
      <c r="K102" s="103">
        <f t="shared" si="27"/>
        <v>219.25679001748637</v>
      </c>
      <c r="L102" s="103">
        <f t="shared" si="27"/>
        <v>219.25679001748637</v>
      </c>
      <c r="M102" s="141">
        <f>C102</f>
        <v>219.25679001748637</v>
      </c>
      <c r="N102" s="134"/>
      <c r="P102" s="150"/>
    </row>
    <row r="103" spans="2:16" x14ac:dyDescent="0.2">
      <c r="B103" s="149" t="s">
        <v>156</v>
      </c>
      <c r="C103" s="148">
        <f t="shared" ref="C103:M103" si="28">(C102/360)*24</f>
        <v>14.61711933449909</v>
      </c>
      <c r="D103" s="147">
        <f t="shared" si="28"/>
        <v>14.61711933449909</v>
      </c>
      <c r="E103" s="146">
        <f t="shared" si="28"/>
        <v>14.61711933449909</v>
      </c>
      <c r="F103" s="145">
        <f t="shared" si="28"/>
        <v>14.61711933449909</v>
      </c>
      <c r="G103" s="145">
        <f t="shared" si="28"/>
        <v>14.61711933449909</v>
      </c>
      <c r="H103" s="145">
        <f t="shared" si="28"/>
        <v>14.61711933449909</v>
      </c>
      <c r="I103" s="145">
        <f t="shared" si="28"/>
        <v>14.61711933449909</v>
      </c>
      <c r="J103" s="145">
        <f t="shared" si="28"/>
        <v>14.61711933449909</v>
      </c>
      <c r="K103" s="145">
        <f t="shared" si="28"/>
        <v>14.61711933449909</v>
      </c>
      <c r="L103" s="145">
        <f t="shared" si="28"/>
        <v>14.61711933449909</v>
      </c>
      <c r="M103" s="144">
        <f t="shared" si="28"/>
        <v>14.61711933449909</v>
      </c>
      <c r="N103" s="134"/>
      <c r="P103" s="150"/>
    </row>
    <row r="104" spans="2:16" x14ac:dyDescent="0.2">
      <c r="B104" s="149" t="s">
        <v>155</v>
      </c>
      <c r="C104" s="148">
        <f>MOD(C102+$C93*15,360)</f>
        <v>159.25679001748631</v>
      </c>
      <c r="D104" s="147">
        <f>MOD(D102+$D93*15,360)</f>
        <v>24.256790017486367</v>
      </c>
      <c r="E104" s="146">
        <f t="shared" ref="E104:M104" si="29">MOD(E102+$C93*15,360)</f>
        <v>159.25679001748631</v>
      </c>
      <c r="F104" s="145">
        <f t="shared" si="29"/>
        <v>159.25679001748631</v>
      </c>
      <c r="G104" s="145">
        <f t="shared" si="29"/>
        <v>159.25679001748631</v>
      </c>
      <c r="H104" s="145">
        <f t="shared" si="29"/>
        <v>159.25679001748631</v>
      </c>
      <c r="I104" s="145">
        <f t="shared" si="29"/>
        <v>159.25679001748631</v>
      </c>
      <c r="J104" s="145">
        <f t="shared" si="29"/>
        <v>159.25679001748631</v>
      </c>
      <c r="K104" s="145">
        <f t="shared" si="29"/>
        <v>159.25679001748631</v>
      </c>
      <c r="L104" s="145">
        <f t="shared" si="29"/>
        <v>159.25679001748631</v>
      </c>
      <c r="M104" s="144">
        <f t="shared" si="29"/>
        <v>159.25679001748631</v>
      </c>
      <c r="N104" s="134"/>
      <c r="P104" s="150"/>
    </row>
    <row r="105" spans="2:16" x14ac:dyDescent="0.2">
      <c r="B105" s="100" t="s">
        <v>154</v>
      </c>
      <c r="C105" s="143">
        <f t="shared" ref="C105:M105" si="30">MOD(C104+$C96,360)</f>
        <v>166.69969001748632</v>
      </c>
      <c r="D105" s="142">
        <f t="shared" si="30"/>
        <v>31.699690017486368</v>
      </c>
      <c r="E105" s="104">
        <f t="shared" si="30"/>
        <v>166.69969001748632</v>
      </c>
      <c r="F105" s="103">
        <f t="shared" si="30"/>
        <v>166.69969001748632</v>
      </c>
      <c r="G105" s="103">
        <f t="shared" si="30"/>
        <v>166.69969001748632</v>
      </c>
      <c r="H105" s="103">
        <f t="shared" si="30"/>
        <v>166.69969001748632</v>
      </c>
      <c r="I105" s="103">
        <f t="shared" si="30"/>
        <v>166.69969001748632</v>
      </c>
      <c r="J105" s="103">
        <f t="shared" si="30"/>
        <v>166.69969001748632</v>
      </c>
      <c r="K105" s="103">
        <f t="shared" si="30"/>
        <v>166.69969001748632</v>
      </c>
      <c r="L105" s="103">
        <f t="shared" si="30"/>
        <v>166.69969001748632</v>
      </c>
      <c r="M105" s="141">
        <f t="shared" si="30"/>
        <v>166.69969001748632</v>
      </c>
    </row>
    <row r="106" spans="2:16" x14ac:dyDescent="0.2">
      <c r="B106" s="149" t="s">
        <v>153</v>
      </c>
      <c r="C106" s="148">
        <f t="shared" ref="C106:M106" si="31">(C105/360)*24</f>
        <v>11.113312667832421</v>
      </c>
      <c r="D106" s="147">
        <f t="shared" si="31"/>
        <v>2.1133126678324246</v>
      </c>
      <c r="E106" s="146">
        <f t="shared" si="31"/>
        <v>11.113312667832421</v>
      </c>
      <c r="F106" s="145">
        <f t="shared" si="31"/>
        <v>11.113312667832421</v>
      </c>
      <c r="G106" s="145">
        <f t="shared" si="31"/>
        <v>11.113312667832421</v>
      </c>
      <c r="H106" s="145">
        <f t="shared" si="31"/>
        <v>11.113312667832421</v>
      </c>
      <c r="I106" s="145">
        <f t="shared" si="31"/>
        <v>11.113312667832421</v>
      </c>
      <c r="J106" s="145">
        <f t="shared" si="31"/>
        <v>11.113312667832421</v>
      </c>
      <c r="K106" s="145">
        <f t="shared" si="31"/>
        <v>11.113312667832421</v>
      </c>
      <c r="L106" s="145">
        <f t="shared" si="31"/>
        <v>11.113312667832421</v>
      </c>
      <c r="M106" s="144">
        <f t="shared" si="31"/>
        <v>11.113312667832421</v>
      </c>
    </row>
    <row r="107" spans="2:16" x14ac:dyDescent="0.2">
      <c r="B107" s="100" t="s">
        <v>136</v>
      </c>
      <c r="C107" s="143">
        <f t="shared" ref="C107:M107" si="32">MOD(C105-C85,360)</f>
        <v>128.16180127044322</v>
      </c>
      <c r="D107" s="142">
        <f t="shared" si="32"/>
        <v>353.48025784615442</v>
      </c>
      <c r="E107" s="104">
        <f t="shared" si="32"/>
        <v>150.03121547511597</v>
      </c>
      <c r="F107" s="103">
        <f t="shared" si="32"/>
        <v>136.74590770052362</v>
      </c>
      <c r="G107" s="103">
        <f t="shared" si="32"/>
        <v>220.57504581147276</v>
      </c>
      <c r="H107" s="103">
        <f t="shared" si="32"/>
        <v>166.05395080560493</v>
      </c>
      <c r="I107" s="103">
        <f t="shared" si="32"/>
        <v>114.77553160966863</v>
      </c>
      <c r="J107" s="103">
        <f t="shared" si="32"/>
        <v>178.33595341402594</v>
      </c>
      <c r="K107" s="103">
        <f t="shared" si="32"/>
        <v>116.63105146817389</v>
      </c>
      <c r="L107" s="103">
        <f t="shared" si="32"/>
        <v>167.19063647341</v>
      </c>
      <c r="M107" s="141">
        <f t="shared" si="32"/>
        <v>165.72739296852262</v>
      </c>
    </row>
    <row r="108" spans="2:16" x14ac:dyDescent="0.2">
      <c r="B108" s="149" t="s">
        <v>152</v>
      </c>
      <c r="C108" s="148">
        <f t="shared" ref="C108:M108" si="33">(C107/360)*24</f>
        <v>8.544120084696214</v>
      </c>
      <c r="D108" s="147">
        <f t="shared" si="33"/>
        <v>23.565350523076958</v>
      </c>
      <c r="E108" s="146">
        <f t="shared" si="33"/>
        <v>10.002081031674399</v>
      </c>
      <c r="F108" s="145">
        <f t="shared" si="33"/>
        <v>9.116393846701575</v>
      </c>
      <c r="G108" s="145">
        <f t="shared" si="33"/>
        <v>14.705003054098185</v>
      </c>
      <c r="H108" s="145">
        <f t="shared" si="33"/>
        <v>11.070263387040328</v>
      </c>
      <c r="I108" s="145">
        <f t="shared" si="33"/>
        <v>7.6517021073112428</v>
      </c>
      <c r="J108" s="145">
        <f t="shared" si="33"/>
        <v>11.889063560935062</v>
      </c>
      <c r="K108" s="145">
        <f t="shared" si="33"/>
        <v>7.7754034312115925</v>
      </c>
      <c r="L108" s="145">
        <f t="shared" si="33"/>
        <v>11.146042431560666</v>
      </c>
      <c r="M108" s="144">
        <f t="shared" si="33"/>
        <v>11.048492864568175</v>
      </c>
    </row>
    <row r="109" spans="2:16" x14ac:dyDescent="0.2">
      <c r="B109" s="100" t="s">
        <v>3</v>
      </c>
      <c r="C109" s="143">
        <f t="shared" ref="C109:M109" si="34">COS(DR*C107)*COS(C86)</f>
        <v>-0.59651199614694939</v>
      </c>
      <c r="D109" s="142">
        <f t="shared" si="34"/>
        <v>0.95962169422919719</v>
      </c>
      <c r="E109" s="104">
        <f t="shared" si="34"/>
        <v>-0.8635313534893273</v>
      </c>
      <c r="F109" s="103">
        <f t="shared" si="34"/>
        <v>-0.71517667505753446</v>
      </c>
      <c r="G109" s="103">
        <f t="shared" si="34"/>
        <v>-0.6913897095721605</v>
      </c>
      <c r="H109" s="103">
        <f t="shared" si="34"/>
        <v>-0.97034477171926281</v>
      </c>
      <c r="I109" s="103">
        <f t="shared" si="34"/>
        <v>-0.39841601184009484</v>
      </c>
      <c r="J109" s="103">
        <f t="shared" si="34"/>
        <v>-0.99235377242014922</v>
      </c>
      <c r="K109" s="103">
        <f t="shared" si="34"/>
        <v>-0.42603225593973365</v>
      </c>
      <c r="L109" s="103">
        <f t="shared" si="34"/>
        <v>-0.97475356502974309</v>
      </c>
      <c r="M109" s="141">
        <f t="shared" si="34"/>
        <v>-0.96910749221311832</v>
      </c>
    </row>
    <row r="110" spans="2:16" x14ac:dyDescent="0.2">
      <c r="B110" s="100" t="s">
        <v>4</v>
      </c>
      <c r="C110" s="143">
        <f t="shared" ref="C110:M110" si="35">SIN(DR*C107)*COS(C86)</f>
        <v>0.75907232256986812</v>
      </c>
      <c r="D110" s="142">
        <f t="shared" si="35"/>
        <v>-0.10967003955434287</v>
      </c>
      <c r="E110" s="104">
        <f t="shared" si="35"/>
        <v>0.497932972643573</v>
      </c>
      <c r="F110" s="103">
        <f t="shared" si="35"/>
        <v>0.67286732732587784</v>
      </c>
      <c r="G110" s="103">
        <f t="shared" si="35"/>
        <v>-0.59207051043058756</v>
      </c>
      <c r="H110" s="103">
        <f t="shared" si="35"/>
        <v>0.24096385688105182</v>
      </c>
      <c r="I110" s="103">
        <f t="shared" si="35"/>
        <v>0.86321920839006583</v>
      </c>
      <c r="J110" s="103">
        <f t="shared" si="35"/>
        <v>2.8829127999095469E-2</v>
      </c>
      <c r="K110" s="103">
        <f t="shared" si="35"/>
        <v>0.84961637046864025</v>
      </c>
      <c r="L110" s="103">
        <f t="shared" si="35"/>
        <v>0.22162610376860795</v>
      </c>
      <c r="M110" s="141">
        <f t="shared" si="35"/>
        <v>0.24652903097004072</v>
      </c>
    </row>
    <row r="111" spans="2:16" x14ac:dyDescent="0.2">
      <c r="B111" s="100" t="s">
        <v>64</v>
      </c>
      <c r="C111" s="143">
        <f t="shared" ref="C111:M111" si="36">SIN(C86)</f>
        <v>0.26073482230259903</v>
      </c>
      <c r="D111" s="142">
        <f t="shared" si="36"/>
        <v>0.2590341413575325</v>
      </c>
      <c r="E111" s="104">
        <f t="shared" si="36"/>
        <v>7.9852090111813934E-2</v>
      </c>
      <c r="F111" s="103">
        <f t="shared" si="36"/>
        <v>0.1891345639246822</v>
      </c>
      <c r="G111" s="103">
        <f t="shared" si="36"/>
        <v>-0.41404441811982817</v>
      </c>
      <c r="H111" s="103">
        <f t="shared" si="36"/>
        <v>-1.9168820362757129E-2</v>
      </c>
      <c r="I111" s="103">
        <f t="shared" si="36"/>
        <v>0.31002786935348486</v>
      </c>
      <c r="J111" s="103">
        <f t="shared" si="36"/>
        <v>-0.12001196499645533</v>
      </c>
      <c r="K111" s="103">
        <f t="shared" si="36"/>
        <v>0.31088348288481904</v>
      </c>
      <c r="L111" s="103">
        <f t="shared" si="36"/>
        <v>-2.7154329123599451E-2</v>
      </c>
      <c r="M111" s="141">
        <f t="shared" si="36"/>
        <v>7.3556390186988851E-3</v>
      </c>
    </row>
    <row r="112" spans="2:16" x14ac:dyDescent="0.2">
      <c r="B112" s="100" t="s">
        <v>151</v>
      </c>
      <c r="C112" s="143">
        <f t="shared" ref="C112:M112" si="37">C109*SIN(DR*$C95)-C111*COS(DR*$C95)</f>
        <v>-0.61200690438443117</v>
      </c>
      <c r="D112" s="142">
        <f t="shared" si="37"/>
        <v>0.51714370404923338</v>
      </c>
      <c r="E112" s="104">
        <f t="shared" si="37"/>
        <v>-0.68094911309267392</v>
      </c>
      <c r="F112" s="103">
        <f t="shared" si="37"/>
        <v>-0.64869703094284914</v>
      </c>
      <c r="G112" s="103">
        <f t="shared" si="37"/>
        <v>-0.21592707980112841</v>
      </c>
      <c r="H112" s="103">
        <f t="shared" si="37"/>
        <v>-0.69015875112524661</v>
      </c>
      <c r="I112" s="103">
        <f t="shared" si="37"/>
        <v>-0.50237285041996182</v>
      </c>
      <c r="J112" s="103">
        <f t="shared" si="37"/>
        <v>-0.63664173159272208</v>
      </c>
      <c r="K112" s="103">
        <f t="shared" si="37"/>
        <v>-0.52298018915523925</v>
      </c>
      <c r="L112" s="103">
        <f t="shared" si="37"/>
        <v>-0.68785332194842852</v>
      </c>
      <c r="M112" s="141">
        <f t="shared" si="37"/>
        <v>-0.70753449705007498</v>
      </c>
    </row>
    <row r="113" spans="2:14" x14ac:dyDescent="0.2">
      <c r="B113" s="100" t="s">
        <v>150</v>
      </c>
      <c r="C113" s="143">
        <f t="shared" ref="C113:M113" si="38">C110</f>
        <v>0.75907232256986812</v>
      </c>
      <c r="D113" s="142">
        <f t="shared" si="38"/>
        <v>-0.10967003955434287</v>
      </c>
      <c r="E113" s="104">
        <f t="shared" si="38"/>
        <v>0.497932972643573</v>
      </c>
      <c r="F113" s="103">
        <f t="shared" si="38"/>
        <v>0.67286732732587784</v>
      </c>
      <c r="G113" s="103">
        <f t="shared" si="38"/>
        <v>-0.59207051043058756</v>
      </c>
      <c r="H113" s="103">
        <f t="shared" si="38"/>
        <v>0.24096385688105182</v>
      </c>
      <c r="I113" s="103">
        <f t="shared" si="38"/>
        <v>0.86321920839006583</v>
      </c>
      <c r="J113" s="103">
        <f t="shared" si="38"/>
        <v>2.8829127999095469E-2</v>
      </c>
      <c r="K113" s="103">
        <f t="shared" si="38"/>
        <v>0.84961637046864025</v>
      </c>
      <c r="L113" s="103">
        <f t="shared" si="38"/>
        <v>0.22162610376860795</v>
      </c>
      <c r="M113" s="141">
        <f t="shared" si="38"/>
        <v>0.24652903097004072</v>
      </c>
    </row>
    <row r="114" spans="2:14" x14ac:dyDescent="0.2">
      <c r="B114" s="100" t="s">
        <v>149</v>
      </c>
      <c r="C114" s="143">
        <f t="shared" ref="C114:M114" si="39">C109*COS(DR*$C95)+C111*SIN(DR*$C95)</f>
        <v>-0.22193863587526128</v>
      </c>
      <c r="D114" s="142">
        <f t="shared" si="39"/>
        <v>0.84884325513394276</v>
      </c>
      <c r="E114" s="104">
        <f t="shared" si="39"/>
        <v>-0.53700191818338572</v>
      </c>
      <c r="F114" s="103">
        <f t="shared" si="39"/>
        <v>-0.3555864478059621</v>
      </c>
      <c r="G114" s="103">
        <f t="shared" si="39"/>
        <v>-0.77641999387381877</v>
      </c>
      <c r="H114" s="103">
        <f t="shared" si="39"/>
        <v>-0.6823615741835467</v>
      </c>
      <c r="I114" s="103">
        <f t="shared" si="39"/>
        <v>-4.9740500875551652E-2</v>
      </c>
      <c r="J114" s="103">
        <f t="shared" si="39"/>
        <v>-0.77062065049765716</v>
      </c>
      <c r="K114" s="103">
        <f t="shared" si="39"/>
        <v>-6.8145027572410033E-2</v>
      </c>
      <c r="L114" s="103">
        <f t="shared" si="39"/>
        <v>-0.69118715093153882</v>
      </c>
      <c r="M114" s="141">
        <f t="shared" si="39"/>
        <v>-0.66228269822868691</v>
      </c>
    </row>
    <row r="115" spans="2:14" x14ac:dyDescent="0.2">
      <c r="B115" s="100" t="s">
        <v>148</v>
      </c>
      <c r="C115" s="143">
        <f t="shared" ref="C115:M115" si="40">RD*ATAN2(C112,C113)+180</f>
        <v>308.87771794172158</v>
      </c>
      <c r="D115" s="142">
        <f t="shared" si="40"/>
        <v>168.02674182719798</v>
      </c>
      <c r="E115" s="104">
        <f t="shared" si="40"/>
        <v>323.82446865559257</v>
      </c>
      <c r="F115" s="103">
        <f t="shared" si="40"/>
        <v>313.952225378707</v>
      </c>
      <c r="G115" s="103">
        <f t="shared" si="40"/>
        <v>69.963175730293315</v>
      </c>
      <c r="H115" s="103">
        <f t="shared" si="40"/>
        <v>340.75372708141771</v>
      </c>
      <c r="I115" s="103">
        <f t="shared" si="40"/>
        <v>300.19837741873954</v>
      </c>
      <c r="J115" s="103">
        <f t="shared" si="40"/>
        <v>357.40723921164465</v>
      </c>
      <c r="K115" s="103">
        <f t="shared" si="40"/>
        <v>301.61431766589817</v>
      </c>
      <c r="L115" s="103">
        <f t="shared" si="40"/>
        <v>342.14107726573513</v>
      </c>
      <c r="M115" s="141">
        <f t="shared" si="40"/>
        <v>340.78992930851791</v>
      </c>
    </row>
    <row r="116" spans="2:14" x14ac:dyDescent="0.2">
      <c r="B116" s="96" t="s">
        <v>147</v>
      </c>
      <c r="C116" s="140">
        <f t="shared" ref="C116:M116" si="41">RD*ASIN(C114)</f>
        <v>-12.822923967478477</v>
      </c>
      <c r="D116" s="139">
        <f t="shared" si="41"/>
        <v>58.086077459866488</v>
      </c>
      <c r="E116" s="138">
        <f t="shared" si="41"/>
        <v>-32.479778698086882</v>
      </c>
      <c r="F116" s="137">
        <f t="shared" si="41"/>
        <v>-20.829390685765521</v>
      </c>
      <c r="G116" s="137">
        <f t="shared" si="41"/>
        <v>-50.933952079729728</v>
      </c>
      <c r="H116" s="137">
        <f t="shared" si="41"/>
        <v>-43.028461547570046</v>
      </c>
      <c r="I116" s="137">
        <f t="shared" si="41"/>
        <v>-2.8510972544559938</v>
      </c>
      <c r="J116" s="137">
        <f t="shared" si="41"/>
        <v>-50.409655482293225</v>
      </c>
      <c r="K116" s="137">
        <f t="shared" si="41"/>
        <v>-3.9074506638575128</v>
      </c>
      <c r="L116" s="137">
        <f t="shared" si="41"/>
        <v>-43.724155767128828</v>
      </c>
      <c r="M116" s="136">
        <f t="shared" si="41"/>
        <v>-41.474197564907364</v>
      </c>
      <c r="N116" s="113"/>
    </row>
    <row r="118" spans="2:14" ht="19" x14ac:dyDescent="0.25">
      <c r="B118" s="114" t="s">
        <v>146</v>
      </c>
    </row>
    <row r="119" spans="2:14" x14ac:dyDescent="0.2">
      <c r="B119" s="37" t="s">
        <v>145</v>
      </c>
      <c r="C119" s="134">
        <f>$C102</f>
        <v>219.25679001748637</v>
      </c>
      <c r="D119" s="134"/>
      <c r="E119" s="134">
        <f t="shared" ref="E119:M119" si="42">$C102</f>
        <v>219.25679001748637</v>
      </c>
      <c r="F119" s="134">
        <f t="shared" si="42"/>
        <v>219.25679001748637</v>
      </c>
      <c r="G119" s="134">
        <f t="shared" si="42"/>
        <v>219.25679001748637</v>
      </c>
      <c r="H119" s="134">
        <f t="shared" si="42"/>
        <v>219.25679001748637</v>
      </c>
      <c r="I119" s="134">
        <f t="shared" si="42"/>
        <v>219.25679001748637</v>
      </c>
      <c r="J119" s="134">
        <f t="shared" si="42"/>
        <v>219.25679001748637</v>
      </c>
      <c r="K119" s="134">
        <f t="shared" si="42"/>
        <v>219.25679001748637</v>
      </c>
      <c r="L119" s="134">
        <f t="shared" si="42"/>
        <v>219.25679001748637</v>
      </c>
      <c r="M119" s="134">
        <f t="shared" si="42"/>
        <v>219.25679001748637</v>
      </c>
    </row>
    <row r="120" spans="2:14" x14ac:dyDescent="0.2">
      <c r="B120" s="37" t="s">
        <v>144</v>
      </c>
      <c r="C120" s="131">
        <f>D85</f>
        <v>38.21943217133196</v>
      </c>
      <c r="D120" s="133"/>
      <c r="E120" s="134">
        <f t="shared" ref="E120:M120" si="43">E85</f>
        <v>16.668474542370348</v>
      </c>
      <c r="F120" s="134">
        <f t="shared" si="43"/>
        <v>29.953782316962702</v>
      </c>
      <c r="G120" s="134">
        <f t="shared" si="43"/>
        <v>306.12464420601356</v>
      </c>
      <c r="H120" s="134">
        <f t="shared" si="43"/>
        <v>0.64573921188139138</v>
      </c>
      <c r="I120" s="134">
        <f t="shared" si="43"/>
        <v>51.924158407817686</v>
      </c>
      <c r="J120" s="134">
        <f t="shared" si="43"/>
        <v>348.36373660346038</v>
      </c>
      <c r="K120" s="134">
        <f t="shared" si="43"/>
        <v>50.068638549312425</v>
      </c>
      <c r="L120" s="134">
        <f t="shared" si="43"/>
        <v>359.50905354407632</v>
      </c>
      <c r="M120" s="134">
        <f t="shared" si="43"/>
        <v>0.9722970489636964</v>
      </c>
    </row>
    <row r="121" spans="2:14" x14ac:dyDescent="0.2">
      <c r="B121" s="135" t="s">
        <v>143</v>
      </c>
      <c r="C121" s="131">
        <f>D87</f>
        <v>15.012759235820271</v>
      </c>
      <c r="D121" s="133"/>
      <c r="E121" s="134">
        <f t="shared" ref="E121:M121" si="44">E87</f>
        <v>4.5800639244094059</v>
      </c>
      <c r="F121" s="134">
        <f t="shared" si="44"/>
        <v>10.902282655089227</v>
      </c>
      <c r="G121" s="134">
        <f t="shared" si="44"/>
        <v>-24.459153346411547</v>
      </c>
      <c r="H121" s="134">
        <f t="shared" si="44"/>
        <v>-1.0983597762598309</v>
      </c>
      <c r="I121" s="134">
        <f t="shared" si="44"/>
        <v>18.060910034872624</v>
      </c>
      <c r="J121" s="134">
        <f t="shared" si="44"/>
        <v>-6.8927931135192528</v>
      </c>
      <c r="K121" s="134">
        <f t="shared" si="44"/>
        <v>18.112481329500884</v>
      </c>
      <c r="L121" s="134">
        <f t="shared" si="44"/>
        <v>-1.5560197180815942</v>
      </c>
      <c r="M121" s="134">
        <f t="shared" si="44"/>
        <v>0.42145087191457525</v>
      </c>
    </row>
    <row r="122" spans="2:14" x14ac:dyDescent="0.2">
      <c r="B122" s="37" t="s">
        <v>117</v>
      </c>
      <c r="C122" s="132">
        <f>'Solar System'!C10</f>
        <v>1</v>
      </c>
      <c r="D122" s="133"/>
      <c r="E122" s="37"/>
      <c r="F122" s="37"/>
      <c r="G122" s="37"/>
      <c r="H122" s="37"/>
      <c r="I122" s="37"/>
      <c r="J122" s="37"/>
      <c r="K122" s="37"/>
      <c r="L122" s="37"/>
      <c r="M122" s="37"/>
    </row>
    <row r="123" spans="2:14" x14ac:dyDescent="0.2">
      <c r="B123" s="37" t="s">
        <v>142</v>
      </c>
      <c r="C123" s="131">
        <f>'Solar System'!C8</f>
        <v>46.4572</v>
      </c>
      <c r="D123" s="132"/>
      <c r="E123" s="37"/>
      <c r="F123" s="37"/>
      <c r="G123" s="37"/>
      <c r="H123" s="37"/>
      <c r="I123" s="37"/>
      <c r="J123" s="37"/>
      <c r="K123" s="37"/>
      <c r="L123" s="37"/>
      <c r="M123" s="37"/>
    </row>
    <row r="124" spans="2:14" x14ac:dyDescent="0.2">
      <c r="B124" s="37" t="s">
        <v>141</v>
      </c>
      <c r="C124" s="131">
        <f>'Solar System'!$C$9</f>
        <v>7.4428999999999998</v>
      </c>
      <c r="D124" s="132"/>
      <c r="E124" s="37"/>
      <c r="F124" s="37"/>
      <c r="G124" s="37"/>
      <c r="H124" s="37"/>
      <c r="I124" s="37"/>
      <c r="J124" s="37"/>
      <c r="K124" s="37"/>
      <c r="L124" s="37"/>
      <c r="M124" s="37"/>
    </row>
    <row r="125" spans="2:14" x14ac:dyDescent="0.2">
      <c r="B125" s="37" t="s">
        <v>140</v>
      </c>
      <c r="C125" s="131">
        <f>RSA</f>
        <v>-0.83299999999999996</v>
      </c>
      <c r="D125" s="37"/>
      <c r="E125" s="130" t="str">
        <f>VLOOKUP(C125,Conversion!B114:C121,2,FALSE)</f>
        <v>sun's upper limb touches the horizon</v>
      </c>
      <c r="I125" s="113"/>
    </row>
    <row r="126" spans="2:14" x14ac:dyDescent="0.2">
      <c r="B126" s="37"/>
    </row>
    <row r="127" spans="2:14" x14ac:dyDescent="0.2">
      <c r="B127" s="37"/>
      <c r="C127" s="111" t="s">
        <v>127</v>
      </c>
      <c r="D127" s="111"/>
      <c r="E127" s="111" t="s">
        <v>19</v>
      </c>
      <c r="F127" s="111" t="s">
        <v>22</v>
      </c>
      <c r="G127" s="111" t="s">
        <v>15</v>
      </c>
      <c r="H127" s="111" t="s">
        <v>20</v>
      </c>
      <c r="I127" s="111" t="s">
        <v>21</v>
      </c>
      <c r="J127" s="111" t="s">
        <v>23</v>
      </c>
      <c r="K127" s="111" t="s">
        <v>101</v>
      </c>
      <c r="L127" s="111" t="s">
        <v>100</v>
      </c>
      <c r="M127" s="111" t="s">
        <v>99</v>
      </c>
    </row>
    <row r="128" spans="2:14" x14ac:dyDescent="0.2">
      <c r="B128" s="110" t="s">
        <v>139</v>
      </c>
      <c r="C128" s="129">
        <f>MOD((C120-C119-$C124)/15,24)</f>
        <v>11.434649476923038</v>
      </c>
      <c r="D128" s="128"/>
      <c r="E128" s="127">
        <f t="shared" ref="E128:M128" si="45">MOD((E120-E119-$C124)/15.04107,24)</f>
        <v>10.036151984192877</v>
      </c>
      <c r="F128" s="127">
        <f t="shared" si="45"/>
        <v>10.919420779204959</v>
      </c>
      <c r="G128" s="127">
        <f t="shared" si="45"/>
        <v>5.2805388305836747</v>
      </c>
      <c r="H128" s="127">
        <f t="shared" si="45"/>
        <v>8.970886326198535</v>
      </c>
      <c r="I128" s="127">
        <f t="shared" si="45"/>
        <v>12.380113142903484</v>
      </c>
      <c r="J128" s="127">
        <f t="shared" si="45"/>
        <v>8.0887893338688031</v>
      </c>
      <c r="K128" s="127">
        <f t="shared" si="45"/>
        <v>12.256749588415321</v>
      </c>
      <c r="L128" s="127">
        <f t="shared" si="45"/>
        <v>8.829781626346394</v>
      </c>
      <c r="M128" s="126">
        <f t="shared" si="45"/>
        <v>8.9925974037403797</v>
      </c>
    </row>
    <row r="129" spans="2:13" x14ac:dyDescent="0.2">
      <c r="B129" s="100" t="s">
        <v>138</v>
      </c>
      <c r="C129" s="124">
        <f>C128+$C122</f>
        <v>12.434649476923038</v>
      </c>
      <c r="D129" s="125"/>
      <c r="E129" s="122">
        <f t="shared" ref="E129:M129" si="46">E128+$C122</f>
        <v>11.036151984192877</v>
      </c>
      <c r="F129" s="122">
        <f t="shared" si="46"/>
        <v>11.919420779204959</v>
      </c>
      <c r="G129" s="122">
        <f t="shared" si="46"/>
        <v>6.2805388305836747</v>
      </c>
      <c r="H129" s="122">
        <f t="shared" si="46"/>
        <v>9.970886326198535</v>
      </c>
      <c r="I129" s="122">
        <f t="shared" si="46"/>
        <v>13.380113142903484</v>
      </c>
      <c r="J129" s="122">
        <f t="shared" si="46"/>
        <v>9.0887893338688031</v>
      </c>
      <c r="K129" s="122">
        <f t="shared" si="46"/>
        <v>13.256749588415321</v>
      </c>
      <c r="L129" s="122">
        <f t="shared" si="46"/>
        <v>9.829781626346394</v>
      </c>
      <c r="M129" s="121">
        <f t="shared" si="46"/>
        <v>9.9925974037403797</v>
      </c>
    </row>
    <row r="130" spans="2:13" x14ac:dyDescent="0.2">
      <c r="B130" s="100" t="s">
        <v>8</v>
      </c>
      <c r="C130" s="102">
        <f>INT(C129)</f>
        <v>12</v>
      </c>
      <c r="D130" s="125"/>
      <c r="E130" s="101">
        <f t="shared" ref="E130:M130" si="47">INT(E129)</f>
        <v>11</v>
      </c>
      <c r="F130" s="101">
        <f t="shared" si="47"/>
        <v>11</v>
      </c>
      <c r="G130" s="101">
        <f t="shared" si="47"/>
        <v>6</v>
      </c>
      <c r="H130" s="101">
        <f t="shared" si="47"/>
        <v>9</v>
      </c>
      <c r="I130" s="101">
        <f t="shared" si="47"/>
        <v>13</v>
      </c>
      <c r="J130" s="101">
        <f t="shared" si="47"/>
        <v>9</v>
      </c>
      <c r="K130" s="101">
        <f t="shared" si="47"/>
        <v>13</v>
      </c>
      <c r="L130" s="101">
        <f t="shared" si="47"/>
        <v>9</v>
      </c>
      <c r="M130" s="118">
        <f t="shared" si="47"/>
        <v>9</v>
      </c>
    </row>
    <row r="131" spans="2:13" x14ac:dyDescent="0.2">
      <c r="B131" s="100" t="s">
        <v>132</v>
      </c>
      <c r="C131" s="102">
        <f>INT((C129-C130)*60)</f>
        <v>26</v>
      </c>
      <c r="D131" s="125"/>
      <c r="E131" s="101">
        <f t="shared" ref="E131:M131" si="48">INT((E129-E130)*60)</f>
        <v>2</v>
      </c>
      <c r="F131" s="101">
        <f t="shared" si="48"/>
        <v>55</v>
      </c>
      <c r="G131" s="101">
        <f t="shared" si="48"/>
        <v>16</v>
      </c>
      <c r="H131" s="101">
        <f t="shared" si="48"/>
        <v>58</v>
      </c>
      <c r="I131" s="101">
        <f t="shared" si="48"/>
        <v>22</v>
      </c>
      <c r="J131" s="101">
        <f t="shared" si="48"/>
        <v>5</v>
      </c>
      <c r="K131" s="101">
        <f t="shared" si="48"/>
        <v>15</v>
      </c>
      <c r="L131" s="101">
        <f t="shared" si="48"/>
        <v>49</v>
      </c>
      <c r="M131" s="118">
        <f t="shared" si="48"/>
        <v>59</v>
      </c>
    </row>
    <row r="132" spans="2:13" x14ac:dyDescent="0.2">
      <c r="B132" s="100" t="s">
        <v>131</v>
      </c>
      <c r="C132" s="102">
        <f>INT((C129-C130-C131/60)*3600)</f>
        <v>4</v>
      </c>
      <c r="D132" s="125"/>
      <c r="E132" s="101">
        <f t="shared" ref="E132:M132" si="49">INT((E129-E130-E131/60)*3600)</f>
        <v>10</v>
      </c>
      <c r="F132" s="101">
        <f t="shared" si="49"/>
        <v>9</v>
      </c>
      <c r="G132" s="101">
        <f t="shared" si="49"/>
        <v>49</v>
      </c>
      <c r="H132" s="101">
        <f t="shared" si="49"/>
        <v>15</v>
      </c>
      <c r="I132" s="101">
        <f t="shared" si="49"/>
        <v>48</v>
      </c>
      <c r="J132" s="101">
        <f t="shared" si="49"/>
        <v>19</v>
      </c>
      <c r="K132" s="101">
        <f t="shared" si="49"/>
        <v>24</v>
      </c>
      <c r="L132" s="101">
        <f t="shared" si="49"/>
        <v>47</v>
      </c>
      <c r="M132" s="118">
        <f t="shared" si="49"/>
        <v>33</v>
      </c>
    </row>
    <row r="133" spans="2:13" x14ac:dyDescent="0.2">
      <c r="B133" s="100" t="s">
        <v>137</v>
      </c>
      <c r="C133" s="124">
        <f>(SIN(DR*$C125)-(SIN(DR*$C123)*SIN(DR*C121)))/(COS(DR*$C123)*COS(DR*C121))</f>
        <v>-0.30403778863999176</v>
      </c>
      <c r="D133" s="118"/>
      <c r="E133" s="122">
        <f t="shared" ref="E133:M133" si="50">(SIN(DR*$C125)-(SIN(DR*$C123)*SIN(DR*E121)))/(COS(DR*$C123)*COS(DR*E121))</f>
        <v>-0.1054609630138257</v>
      </c>
      <c r="F133" s="122">
        <f t="shared" si="50"/>
        <v>-0.22415752569034519</v>
      </c>
      <c r="G133" s="122">
        <f t="shared" si="50"/>
        <v>0.45542770173745223</v>
      </c>
      <c r="H133" s="122">
        <f t="shared" si="50"/>
        <v>-9.3408586215022922E-4</v>
      </c>
      <c r="I133" s="122">
        <f t="shared" si="50"/>
        <v>-0.36531632959628862</v>
      </c>
      <c r="J133" s="122">
        <f t="shared" si="50"/>
        <v>0.10593941505420817</v>
      </c>
      <c r="K133" s="122">
        <f t="shared" si="50"/>
        <v>-0.36637095209265846</v>
      </c>
      <c r="L133" s="122">
        <f t="shared" si="50"/>
        <v>7.4712318461164287E-3</v>
      </c>
      <c r="M133" s="121">
        <f t="shared" si="50"/>
        <v>-2.8843859487106643E-2</v>
      </c>
    </row>
    <row r="134" spans="2:13" x14ac:dyDescent="0.2">
      <c r="B134" s="100" t="s">
        <v>136</v>
      </c>
      <c r="C134" s="124">
        <f>RD*ACOS(C133)</f>
        <v>107.70028433846389</v>
      </c>
      <c r="D134" s="118"/>
      <c r="E134" s="122">
        <f t="shared" ref="E134:M134" si="51">RD*ACOS(E133)</f>
        <v>96.053725253167926</v>
      </c>
      <c r="F134" s="122">
        <f t="shared" si="51"/>
        <v>102.95334259948226</v>
      </c>
      <c r="G134" s="122">
        <f t="shared" si="51"/>
        <v>62.907543313283561</v>
      </c>
      <c r="H134" s="122">
        <f t="shared" si="51"/>
        <v>90.053519185386776</v>
      </c>
      <c r="I134" s="122">
        <f t="shared" si="51"/>
        <v>111.42705146011207</v>
      </c>
      <c r="J134" s="122">
        <f t="shared" si="51"/>
        <v>83.918707030814957</v>
      </c>
      <c r="K134" s="122">
        <f t="shared" si="51"/>
        <v>111.49197781617407</v>
      </c>
      <c r="L134" s="122">
        <f t="shared" si="51"/>
        <v>89.57192596492493</v>
      </c>
      <c r="M134" s="121">
        <f t="shared" si="51"/>
        <v>91.652860655453566</v>
      </c>
    </row>
    <row r="135" spans="2:13" x14ac:dyDescent="0.2">
      <c r="B135" s="100" t="s">
        <v>135</v>
      </c>
      <c r="C135" s="124">
        <f>C129-(C134/15)</f>
        <v>5.2546305210254456</v>
      </c>
      <c r="D135" s="118"/>
      <c r="E135" s="122">
        <f t="shared" ref="E135:M135" si="52">E129-(E134/15)</f>
        <v>4.6325703006483483</v>
      </c>
      <c r="F135" s="122">
        <f t="shared" si="52"/>
        <v>5.0558646059061418</v>
      </c>
      <c r="G135" s="122">
        <f t="shared" si="52"/>
        <v>2.0867026096981043</v>
      </c>
      <c r="H135" s="122">
        <f t="shared" si="52"/>
        <v>3.9673183805060832</v>
      </c>
      <c r="I135" s="122">
        <f t="shared" si="52"/>
        <v>5.9516430455626796</v>
      </c>
      <c r="J135" s="122">
        <f t="shared" si="52"/>
        <v>3.4942088651478063</v>
      </c>
      <c r="K135" s="122">
        <f t="shared" si="52"/>
        <v>5.8239510673370498</v>
      </c>
      <c r="L135" s="122">
        <f t="shared" si="52"/>
        <v>3.8583198953513991</v>
      </c>
      <c r="M135" s="121">
        <f t="shared" si="52"/>
        <v>3.8824066933768089</v>
      </c>
    </row>
    <row r="136" spans="2:13" x14ac:dyDescent="0.2">
      <c r="B136" s="100" t="s">
        <v>8</v>
      </c>
      <c r="C136" s="102">
        <f>INT(C135)</f>
        <v>5</v>
      </c>
      <c r="D136" s="118"/>
      <c r="E136" s="101">
        <f t="shared" ref="E136:M136" si="53">INT(E135)</f>
        <v>4</v>
      </c>
      <c r="F136" s="101">
        <f t="shared" si="53"/>
        <v>5</v>
      </c>
      <c r="G136" s="101">
        <f t="shared" si="53"/>
        <v>2</v>
      </c>
      <c r="H136" s="101">
        <f t="shared" si="53"/>
        <v>3</v>
      </c>
      <c r="I136" s="101">
        <f t="shared" si="53"/>
        <v>5</v>
      </c>
      <c r="J136" s="101">
        <f t="shared" si="53"/>
        <v>3</v>
      </c>
      <c r="K136" s="101">
        <f t="shared" si="53"/>
        <v>5</v>
      </c>
      <c r="L136" s="101">
        <f t="shared" si="53"/>
        <v>3</v>
      </c>
      <c r="M136" s="118">
        <f t="shared" si="53"/>
        <v>3</v>
      </c>
    </row>
    <row r="137" spans="2:13" x14ac:dyDescent="0.2">
      <c r="B137" s="100" t="s">
        <v>132</v>
      </c>
      <c r="C137" s="102">
        <f>INT((C135-C136)*60)</f>
        <v>15</v>
      </c>
      <c r="D137" s="118"/>
      <c r="E137" s="101">
        <f t="shared" ref="E137:M137" si="54">INT((E135-E136)*60)</f>
        <v>37</v>
      </c>
      <c r="F137" s="101">
        <f t="shared" si="54"/>
        <v>3</v>
      </c>
      <c r="G137" s="101">
        <f t="shared" si="54"/>
        <v>5</v>
      </c>
      <c r="H137" s="101">
        <f t="shared" si="54"/>
        <v>58</v>
      </c>
      <c r="I137" s="101">
        <f t="shared" si="54"/>
        <v>57</v>
      </c>
      <c r="J137" s="101">
        <f t="shared" si="54"/>
        <v>29</v>
      </c>
      <c r="K137" s="101">
        <f t="shared" si="54"/>
        <v>49</v>
      </c>
      <c r="L137" s="101">
        <f t="shared" si="54"/>
        <v>51</v>
      </c>
      <c r="M137" s="118">
        <f t="shared" si="54"/>
        <v>52</v>
      </c>
    </row>
    <row r="138" spans="2:13" x14ac:dyDescent="0.2">
      <c r="B138" s="100" t="s">
        <v>131</v>
      </c>
      <c r="C138" s="102">
        <f>INT((C135-C136-C137/60)*3600)</f>
        <v>16</v>
      </c>
      <c r="D138" s="118"/>
      <c r="E138" s="101">
        <f t="shared" ref="E138:M138" si="55">INT((E135-E136-E137/60)*3600)</f>
        <v>57</v>
      </c>
      <c r="F138" s="101">
        <f t="shared" si="55"/>
        <v>21</v>
      </c>
      <c r="G138" s="101">
        <f t="shared" si="55"/>
        <v>12</v>
      </c>
      <c r="H138" s="101">
        <f t="shared" si="55"/>
        <v>2</v>
      </c>
      <c r="I138" s="101">
        <f t="shared" si="55"/>
        <v>5</v>
      </c>
      <c r="J138" s="101">
        <f t="shared" si="55"/>
        <v>39</v>
      </c>
      <c r="K138" s="101">
        <f t="shared" si="55"/>
        <v>26</v>
      </c>
      <c r="L138" s="101">
        <f t="shared" si="55"/>
        <v>29</v>
      </c>
      <c r="M138" s="118">
        <f t="shared" si="55"/>
        <v>56</v>
      </c>
    </row>
    <row r="139" spans="2:13" x14ac:dyDescent="0.2">
      <c r="B139" s="100" t="s">
        <v>134</v>
      </c>
      <c r="C139" s="124">
        <f>C129+(C134/15)</f>
        <v>19.614668432820629</v>
      </c>
      <c r="D139" s="123"/>
      <c r="E139" s="122">
        <f t="shared" ref="E139:M139" si="56">E129+(E134/15)</f>
        <v>17.439733667737407</v>
      </c>
      <c r="F139" s="122">
        <f t="shared" si="56"/>
        <v>18.782976952503777</v>
      </c>
      <c r="G139" s="122">
        <f t="shared" si="56"/>
        <v>10.474375051469245</v>
      </c>
      <c r="H139" s="122">
        <f t="shared" si="56"/>
        <v>15.974454271890988</v>
      </c>
      <c r="I139" s="122">
        <f t="shared" si="56"/>
        <v>20.808583240244289</v>
      </c>
      <c r="J139" s="122">
        <f t="shared" si="56"/>
        <v>14.6833698025898</v>
      </c>
      <c r="K139" s="122">
        <f t="shared" si="56"/>
        <v>20.689548109493593</v>
      </c>
      <c r="L139" s="122">
        <f t="shared" si="56"/>
        <v>15.801243357341388</v>
      </c>
      <c r="M139" s="121">
        <f t="shared" si="56"/>
        <v>16.102788114103952</v>
      </c>
    </row>
    <row r="140" spans="2:13" x14ac:dyDescent="0.2">
      <c r="B140" s="100" t="s">
        <v>8</v>
      </c>
      <c r="C140" s="102">
        <f>INT(C139)</f>
        <v>19</v>
      </c>
      <c r="D140" s="118"/>
      <c r="E140" s="120">
        <f>MOD(INT(E139)+24,24)</f>
        <v>17</v>
      </c>
      <c r="F140" s="101">
        <f t="shared" ref="F140:M140" si="57">INT(F139)</f>
        <v>18</v>
      </c>
      <c r="G140" s="101">
        <f t="shared" si="57"/>
        <v>10</v>
      </c>
      <c r="H140" s="101">
        <f t="shared" si="57"/>
        <v>15</v>
      </c>
      <c r="I140" s="101">
        <f t="shared" si="57"/>
        <v>20</v>
      </c>
      <c r="J140" s="101">
        <f t="shared" si="57"/>
        <v>14</v>
      </c>
      <c r="K140" s="101">
        <f t="shared" si="57"/>
        <v>20</v>
      </c>
      <c r="L140" s="101">
        <f t="shared" si="57"/>
        <v>15</v>
      </c>
      <c r="M140" s="118">
        <f t="shared" si="57"/>
        <v>16</v>
      </c>
    </row>
    <row r="141" spans="2:13" x14ac:dyDescent="0.2">
      <c r="B141" s="100" t="s">
        <v>133</v>
      </c>
      <c r="C141" s="102"/>
      <c r="D141" s="118"/>
      <c r="E141" s="120">
        <f t="shared" ref="E141:M141" si="58">MOD(E140+24,24)</f>
        <v>17</v>
      </c>
      <c r="F141" s="120">
        <f t="shared" si="58"/>
        <v>18</v>
      </c>
      <c r="G141" s="120">
        <f t="shared" si="58"/>
        <v>10</v>
      </c>
      <c r="H141" s="120">
        <f t="shared" si="58"/>
        <v>15</v>
      </c>
      <c r="I141" s="120">
        <f t="shared" si="58"/>
        <v>20</v>
      </c>
      <c r="J141" s="120">
        <f t="shared" si="58"/>
        <v>14</v>
      </c>
      <c r="K141" s="120">
        <f t="shared" si="58"/>
        <v>20</v>
      </c>
      <c r="L141" s="120">
        <f t="shared" si="58"/>
        <v>15</v>
      </c>
      <c r="M141" s="119">
        <f t="shared" si="58"/>
        <v>16</v>
      </c>
    </row>
    <row r="142" spans="2:13" x14ac:dyDescent="0.2">
      <c r="B142" s="100" t="s">
        <v>132</v>
      </c>
      <c r="C142" s="102">
        <f>INT((C139-C140)*60)</f>
        <v>36</v>
      </c>
      <c r="D142" s="118"/>
      <c r="E142" s="101">
        <f t="shared" ref="E142:M142" si="59">INT((E139-E140)*60)</f>
        <v>26</v>
      </c>
      <c r="F142" s="101">
        <f t="shared" si="59"/>
        <v>46</v>
      </c>
      <c r="G142" s="101">
        <f t="shared" si="59"/>
        <v>28</v>
      </c>
      <c r="H142" s="101">
        <f t="shared" si="59"/>
        <v>58</v>
      </c>
      <c r="I142" s="101">
        <f t="shared" si="59"/>
        <v>48</v>
      </c>
      <c r="J142" s="101">
        <f t="shared" si="59"/>
        <v>41</v>
      </c>
      <c r="K142" s="101">
        <f t="shared" si="59"/>
        <v>41</v>
      </c>
      <c r="L142" s="101">
        <f t="shared" si="59"/>
        <v>48</v>
      </c>
      <c r="M142" s="118">
        <f t="shared" si="59"/>
        <v>6</v>
      </c>
    </row>
    <row r="143" spans="2:13" x14ac:dyDescent="0.2">
      <c r="B143" s="96" t="s">
        <v>131</v>
      </c>
      <c r="C143" s="117">
        <f>INT((C139-C140-C142/60)*3600)</f>
        <v>52</v>
      </c>
      <c r="D143" s="115"/>
      <c r="E143" s="116">
        <f t="shared" ref="E143:M143" si="60">INT((E139-E140-E142/60)*3600)</f>
        <v>23</v>
      </c>
      <c r="F143" s="116">
        <f t="shared" si="60"/>
        <v>58</v>
      </c>
      <c r="G143" s="116">
        <f t="shared" si="60"/>
        <v>27</v>
      </c>
      <c r="H143" s="116">
        <f t="shared" si="60"/>
        <v>28</v>
      </c>
      <c r="I143" s="116">
        <f t="shared" si="60"/>
        <v>30</v>
      </c>
      <c r="J143" s="116">
        <f t="shared" si="60"/>
        <v>0</v>
      </c>
      <c r="K143" s="116">
        <f t="shared" si="60"/>
        <v>22</v>
      </c>
      <c r="L143" s="116">
        <f t="shared" si="60"/>
        <v>4</v>
      </c>
      <c r="M143" s="115">
        <f t="shared" si="60"/>
        <v>10</v>
      </c>
    </row>
    <row r="144" spans="2:13" x14ac:dyDescent="0.2">
      <c r="G144" s="113" t="s">
        <v>130</v>
      </c>
    </row>
    <row r="145" spans="2:13" ht="19" x14ac:dyDescent="0.25">
      <c r="B145" s="114" t="s">
        <v>129</v>
      </c>
      <c r="G145" s="113"/>
      <c r="I145" s="113" t="s">
        <v>128</v>
      </c>
    </row>
    <row r="146" spans="2:13" x14ac:dyDescent="0.2">
      <c r="B146" s="37" t="s">
        <v>7</v>
      </c>
      <c r="C146" s="37">
        <f>Conversion!$C67+Conversion!$C71/Conversion!$C72</f>
        <v>2024.3306010928961</v>
      </c>
      <c r="D146" s="37"/>
      <c r="E146" s="37"/>
      <c r="F146" s="37"/>
      <c r="G146" s="37"/>
      <c r="H146" s="37"/>
      <c r="I146" s="37"/>
      <c r="J146" s="37"/>
      <c r="K146" s="37"/>
      <c r="L146" s="37"/>
    </row>
    <row r="147" spans="2:13" x14ac:dyDescent="0.2"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</row>
    <row r="148" spans="2:13" x14ac:dyDescent="0.2">
      <c r="B148" s="112" t="s">
        <v>106</v>
      </c>
      <c r="C148" s="111" t="s">
        <v>127</v>
      </c>
      <c r="D148" s="111"/>
      <c r="E148" s="111" t="s">
        <v>19</v>
      </c>
      <c r="F148" s="111" t="s">
        <v>22</v>
      </c>
      <c r="G148" s="111" t="s">
        <v>15</v>
      </c>
      <c r="H148" s="111" t="s">
        <v>20</v>
      </c>
      <c r="I148" s="111" t="s">
        <v>21</v>
      </c>
      <c r="J148" s="111" t="s">
        <v>23</v>
      </c>
      <c r="K148" s="111" t="s">
        <v>101</v>
      </c>
      <c r="L148" s="111" t="s">
        <v>100</v>
      </c>
      <c r="M148" s="111" t="s">
        <v>99</v>
      </c>
    </row>
    <row r="149" spans="2:13" x14ac:dyDescent="0.2">
      <c r="B149" s="110" t="s">
        <v>86</v>
      </c>
      <c r="C149" s="109">
        <f>ROUND(0.99997*($C146-2000.01),0)</f>
        <v>24</v>
      </c>
      <c r="D149" s="108"/>
      <c r="E149" s="108">
        <f>ROUND(4.15201*($C146-2000.12),0)</f>
        <v>101</v>
      </c>
      <c r="F149" s="108">
        <f>ROUND(1.62549*($C146-2000.53),0)</f>
        <v>39</v>
      </c>
      <c r="G149" s="108"/>
      <c r="H149" s="108">
        <f>ROUND(0.53166*($C146-2001.78),0)</f>
        <v>12</v>
      </c>
      <c r="I149" s="108">
        <f>ROUND(0.0843*($C146-2011.2),0)</f>
        <v>1</v>
      </c>
      <c r="J149" s="108">
        <f>ROUND(0.03393*($C146-2003.52),0)</f>
        <v>1</v>
      </c>
      <c r="K149" s="108">
        <f>ROUND(0.0119*($C146-2051.1),0)</f>
        <v>0</v>
      </c>
      <c r="L149" s="108">
        <f>ROUND(0.00607*($C146-2047.5),0)</f>
        <v>0</v>
      </c>
      <c r="M149" s="107"/>
    </row>
    <row r="150" spans="2:13" x14ac:dyDescent="0.2">
      <c r="B150" s="100" t="s">
        <v>65</v>
      </c>
      <c r="C150" s="102">
        <f>328.41+132.788585*C149</f>
        <v>3515.3360400000001</v>
      </c>
      <c r="D150" s="101"/>
      <c r="E150" s="101"/>
      <c r="F150" s="101"/>
      <c r="G150" s="101"/>
      <c r="H150" s="101"/>
      <c r="I150" s="101"/>
      <c r="J150" s="101"/>
      <c r="K150" s="101"/>
      <c r="L150" s="101"/>
      <c r="M150" s="97"/>
    </row>
    <row r="151" spans="2:13" x14ac:dyDescent="0.2">
      <c r="B151" s="100" t="s">
        <v>67</v>
      </c>
      <c r="C151" s="102">
        <f>316.13+584.903132*C149</f>
        <v>14353.805168000001</v>
      </c>
      <c r="D151" s="101"/>
      <c r="E151" s="101"/>
      <c r="F151" s="101"/>
      <c r="G151" s="101"/>
      <c r="H151" s="101"/>
      <c r="I151" s="101"/>
      <c r="J151" s="101"/>
      <c r="K151" s="101"/>
      <c r="L151" s="101"/>
      <c r="M151" s="97"/>
    </row>
    <row r="152" spans="2:13" x14ac:dyDescent="0.2">
      <c r="B152" s="100" t="s">
        <v>66</v>
      </c>
      <c r="C152" s="102">
        <f>346.2 + 450.380738*C149</f>
        <v>11155.337712</v>
      </c>
      <c r="D152" s="101"/>
      <c r="E152" s="101"/>
      <c r="F152" s="101"/>
      <c r="G152" s="101"/>
      <c r="H152" s="101"/>
      <c r="I152" s="101"/>
      <c r="J152" s="101"/>
      <c r="K152" s="101"/>
      <c r="L152" s="101"/>
      <c r="M152" s="97"/>
    </row>
    <row r="153" spans="2:13" x14ac:dyDescent="0.2">
      <c r="B153" s="100" t="s">
        <v>87</v>
      </c>
      <c r="C153" s="102">
        <f>136.95+659.306737*C149</f>
        <v>15960.311688000002</v>
      </c>
      <c r="D153" s="101"/>
      <c r="E153" s="101"/>
      <c r="F153" s="101"/>
      <c r="G153" s="101"/>
      <c r="H153" s="101"/>
      <c r="I153" s="101"/>
      <c r="J153" s="101"/>
      <c r="K153" s="101"/>
      <c r="L153" s="101"/>
      <c r="M153" s="97"/>
    </row>
    <row r="154" spans="2:13" x14ac:dyDescent="0.2">
      <c r="B154" s="100" t="s">
        <v>68</v>
      </c>
      <c r="C154" s="102">
        <f>249.52+329.653368*C149</f>
        <v>8161.2008320000004</v>
      </c>
      <c r="D154" s="101"/>
      <c r="E154" s="101"/>
      <c r="F154" s="101"/>
      <c r="G154" s="101"/>
      <c r="H154" s="101"/>
      <c r="I154" s="101"/>
      <c r="J154" s="101"/>
      <c r="K154" s="101"/>
      <c r="L154" s="101"/>
      <c r="M154" s="97"/>
    </row>
    <row r="155" spans="2:13" x14ac:dyDescent="0.2">
      <c r="B155" s="100" t="s">
        <v>17</v>
      </c>
      <c r="C155" s="102">
        <f>1.278*SIN(DR*C150)-0.055*SIN(DR*C151)-0.091*SIN(DR*C152)-0.056*SIN(DR*C153)-0.045*SIN(DR*C154)</f>
        <v>-1.2342818415103036</v>
      </c>
      <c r="D155" s="101"/>
      <c r="E155" s="101"/>
      <c r="F155" s="101"/>
      <c r="G155" s="101"/>
      <c r="H155" s="101"/>
      <c r="I155" s="101"/>
      <c r="J155" s="101"/>
      <c r="K155" s="101"/>
      <c r="L155" s="101"/>
      <c r="M155" s="97"/>
    </row>
    <row r="156" spans="2:13" x14ac:dyDescent="0.2">
      <c r="B156" s="100" t="s">
        <v>85</v>
      </c>
      <c r="C156" s="106">
        <f>2451547.507+365.2596358*C149+0.0000000158*POWER(C149,2)+C155+0.5</f>
        <v>2460313.0039864592</v>
      </c>
      <c r="D156" s="105"/>
      <c r="E156" s="101">
        <f>2451590.257+87.96934963*E149-0*POWER(E149,2)+0.5</f>
        <v>2460475.6613126304</v>
      </c>
      <c r="F156" s="101">
        <f>2451738.233+244.7008187*F149-0.0000000327*POWER(F149,2)+0.5</f>
        <v>2461282.0648795632</v>
      </c>
      <c r="G156" s="101"/>
      <c r="H156" s="101">
        <f>2452195.026+686.9957843*H149-0.0000001187*POWER(H149,2)+0.5</f>
        <v>2460439.4753945069</v>
      </c>
      <c r="I156" s="101">
        <f>2455636.938+4332.89709*I149+0.0001368*POWER(I149,2)+0.5</f>
        <v>2459970.3352268003</v>
      </c>
      <c r="J156" s="101">
        <f>2452830.11+10764.21731*J149+0.000826*POWER(J149,2)+0.5</f>
        <v>2463594.8281359999</v>
      </c>
      <c r="K156" s="101">
        <f>2470213.5+30694.8767*K149-0.00541*POWER(K149,2)+0.5</f>
        <v>2470214</v>
      </c>
      <c r="L156" s="101">
        <f>2468895.7+60190.32*L149+0.03175*POWER(L149,2)+0.5</f>
        <v>2468896.2000000002</v>
      </c>
      <c r="M156" s="97"/>
    </row>
    <row r="157" spans="2:13" x14ac:dyDescent="0.2">
      <c r="B157" s="100" t="s">
        <v>64</v>
      </c>
      <c r="C157" s="99">
        <f>INT(C156)</f>
        <v>2460313</v>
      </c>
      <c r="D157" s="98"/>
      <c r="E157" s="98">
        <f>INT(E156)</f>
        <v>2460475</v>
      </c>
      <c r="F157" s="98">
        <f>INT(F156)</f>
        <v>2461282</v>
      </c>
      <c r="G157" s="98"/>
      <c r="H157" s="98">
        <f>INT(H156)</f>
        <v>2460439</v>
      </c>
      <c r="I157" s="98">
        <f>INT(I156)</f>
        <v>2459970</v>
      </c>
      <c r="J157" s="98">
        <f>INT(J156)</f>
        <v>2463594</v>
      </c>
      <c r="K157" s="98">
        <f>INT(K156)</f>
        <v>2470214</v>
      </c>
      <c r="L157" s="98">
        <f>INT(L156)</f>
        <v>2468896</v>
      </c>
      <c r="M157" s="97"/>
    </row>
    <row r="158" spans="2:13" x14ac:dyDescent="0.2">
      <c r="B158" s="100" t="s">
        <v>51</v>
      </c>
      <c r="C158" s="104">
        <f>C156-C157</f>
        <v>3.9864592254161835E-3</v>
      </c>
      <c r="D158" s="103"/>
      <c r="E158" s="103">
        <f>E156-E157</f>
        <v>0.66131263040006161</v>
      </c>
      <c r="F158" s="103">
        <f>F156-F157</f>
        <v>6.4879563171416521E-2</v>
      </c>
      <c r="G158" s="103"/>
      <c r="H158" s="103">
        <f>H156-H157</f>
        <v>0.47539450693875551</v>
      </c>
      <c r="I158" s="103">
        <f>I156-I157</f>
        <v>0.33522680029273033</v>
      </c>
      <c r="J158" s="103">
        <f>J156-J157</f>
        <v>0.82813599985092878</v>
      </c>
      <c r="K158" s="103">
        <f>K156-K157</f>
        <v>0</v>
      </c>
      <c r="L158" s="103">
        <f>L156-L157</f>
        <v>0.20000000018626451</v>
      </c>
      <c r="M158" s="97"/>
    </row>
    <row r="159" spans="2:13" x14ac:dyDescent="0.2">
      <c r="B159" s="100" t="s">
        <v>126</v>
      </c>
      <c r="C159" s="102">
        <f>INT((C157-1867216.25)/36524.25)</f>
        <v>16</v>
      </c>
      <c r="D159" s="101"/>
      <c r="E159" s="101">
        <f>INT((E157-1867216.25)/36524.25)</f>
        <v>16</v>
      </c>
      <c r="F159" s="101">
        <f>INT((F157-1867216.25)/36524.25)</f>
        <v>16</v>
      </c>
      <c r="G159" s="101"/>
      <c r="H159" s="101">
        <f>INT((H157-1867216.25)/36524.25)</f>
        <v>16</v>
      </c>
      <c r="I159" s="101">
        <f>INT((I157-1867216.25)/36524.25)</f>
        <v>16</v>
      </c>
      <c r="J159" s="101">
        <f>INT((J157-1867216.25)/36524.25)</f>
        <v>16</v>
      </c>
      <c r="K159" s="101">
        <f>INT((K157-1867216.25)/36524.25)</f>
        <v>16</v>
      </c>
      <c r="L159" s="101">
        <f>INT((L157-1867216.25)/36524.25)</f>
        <v>16</v>
      </c>
      <c r="M159" s="97"/>
    </row>
    <row r="160" spans="2:13" x14ac:dyDescent="0.2">
      <c r="B160" s="100" t="s">
        <v>125</v>
      </c>
      <c r="C160" s="102">
        <f>IF(C157&lt;2299161,C157,C157+1+C159-INT(C159/4))</f>
        <v>2460326</v>
      </c>
      <c r="D160" s="101"/>
      <c r="E160" s="101">
        <f>IF(E157&lt;2299161,E157,E157+1+E159-INT(E159/4))</f>
        <v>2460488</v>
      </c>
      <c r="F160" s="101">
        <f>IF(F157&lt;2299161,F157,F157+1+F159-INT(F159/4))</f>
        <v>2461295</v>
      </c>
      <c r="G160" s="101"/>
      <c r="H160" s="101">
        <f>IF(H157&lt;2299161,H157,H157+1+H159-INT(H159/4))</f>
        <v>2460452</v>
      </c>
      <c r="I160" s="101">
        <f>IF(I157&lt;2299161,I157,I157+1+I159-INT(I159/4))</f>
        <v>2459983</v>
      </c>
      <c r="J160" s="101">
        <f>IF(J157&lt;2299161,J157,J157+1+J159-INT(J159/4))</f>
        <v>2463607</v>
      </c>
      <c r="K160" s="101">
        <f>IF(K157&lt;2299161,K157,K157+1+K159-INT(K159/4))</f>
        <v>2470227</v>
      </c>
      <c r="L160" s="101">
        <f>IF(L157&lt;2299161,L157,L157+1+L159-INT(L159/4))</f>
        <v>2468909</v>
      </c>
      <c r="M160" s="97"/>
    </row>
    <row r="161" spans="2:13" x14ac:dyDescent="0.2">
      <c r="B161" s="100" t="s">
        <v>48</v>
      </c>
      <c r="C161" s="102">
        <f>C160+1524</f>
        <v>2461850</v>
      </c>
      <c r="D161" s="101"/>
      <c r="E161" s="101">
        <f>E160+1524</f>
        <v>2462012</v>
      </c>
      <c r="F161" s="101">
        <f>F160+1524</f>
        <v>2462819</v>
      </c>
      <c r="G161" s="101"/>
      <c r="H161" s="101">
        <f>H160+1524</f>
        <v>2461976</v>
      </c>
      <c r="I161" s="101">
        <f>I160+1524</f>
        <v>2461507</v>
      </c>
      <c r="J161" s="101">
        <f>J160+1524</f>
        <v>2465131</v>
      </c>
      <c r="K161" s="101">
        <f>K160+1524</f>
        <v>2471751</v>
      </c>
      <c r="L161" s="101">
        <f>L160+1524</f>
        <v>2470433</v>
      </c>
      <c r="M161" s="97"/>
    </row>
    <row r="162" spans="2:13" x14ac:dyDescent="0.2">
      <c r="B162" s="100" t="s">
        <v>49</v>
      </c>
      <c r="C162" s="102">
        <f>INT((C161-122.1)/365.25)</f>
        <v>6739</v>
      </c>
      <c r="D162" s="101"/>
      <c r="E162" s="101">
        <f>INT((E161-122.1)/365.25)</f>
        <v>6740</v>
      </c>
      <c r="F162" s="101">
        <f>INT((F161-122.1)/365.25)</f>
        <v>6742</v>
      </c>
      <c r="G162" s="101"/>
      <c r="H162" s="101">
        <f>INT((H161-122.1)/365.25)</f>
        <v>6740</v>
      </c>
      <c r="I162" s="101">
        <f>INT((I161-122.1)/365.25)</f>
        <v>6738</v>
      </c>
      <c r="J162" s="101">
        <f>INT((J161-122.1)/365.25)</f>
        <v>6748</v>
      </c>
      <c r="K162" s="101">
        <f>INT((K161-122.1)/365.25)</f>
        <v>6766</v>
      </c>
      <c r="L162" s="101">
        <f>INT((L161-122.1)/365.25)</f>
        <v>6763</v>
      </c>
      <c r="M162" s="97"/>
    </row>
    <row r="163" spans="2:13" x14ac:dyDescent="0.2">
      <c r="B163" s="100" t="s">
        <v>54</v>
      </c>
      <c r="C163" s="102">
        <f>INT(365.25*C162)</f>
        <v>2461419</v>
      </c>
      <c r="D163" s="101"/>
      <c r="E163" s="101">
        <f>INT(365.25*E162)</f>
        <v>2461785</v>
      </c>
      <c r="F163" s="101">
        <f>INT(365.25*F162)</f>
        <v>2462515</v>
      </c>
      <c r="G163" s="101"/>
      <c r="H163" s="101">
        <f>INT(365.25*H162)</f>
        <v>2461785</v>
      </c>
      <c r="I163" s="101">
        <f>INT(365.25*I162)</f>
        <v>2461054</v>
      </c>
      <c r="J163" s="101">
        <f>INT(365.25*J162)</f>
        <v>2464707</v>
      </c>
      <c r="K163" s="101">
        <f>INT(365.25*K162)</f>
        <v>2471281</v>
      </c>
      <c r="L163" s="101">
        <f>INT(365.25*L162)</f>
        <v>2470185</v>
      </c>
      <c r="M163" s="97"/>
    </row>
    <row r="164" spans="2:13" x14ac:dyDescent="0.2">
      <c r="B164" s="100" t="s">
        <v>50</v>
      </c>
      <c r="C164" s="102">
        <f>INT((C161-C163)/30.6001)</f>
        <v>14</v>
      </c>
      <c r="D164" s="101"/>
      <c r="E164" s="101">
        <f>INT((E161-E163)/30.6001)</f>
        <v>7</v>
      </c>
      <c r="F164" s="101">
        <f>INT((F161-F163)/30.6001)</f>
        <v>9</v>
      </c>
      <c r="G164" s="101"/>
      <c r="H164" s="101">
        <f>INT((H161-H163)/30.6001)</f>
        <v>6</v>
      </c>
      <c r="I164" s="101">
        <f>INT((I161-I163)/30.6001)</f>
        <v>14</v>
      </c>
      <c r="J164" s="101">
        <f>INT((J161-J163)/30.6001)</f>
        <v>13</v>
      </c>
      <c r="K164" s="101">
        <f>INT((K161-K163)/30.6001)</f>
        <v>15</v>
      </c>
      <c r="L164" s="101">
        <f>INT((L161-L163)/30.6001)</f>
        <v>8</v>
      </c>
      <c r="M164" s="97"/>
    </row>
    <row r="165" spans="2:13" x14ac:dyDescent="0.2">
      <c r="B165" s="100" t="s">
        <v>124</v>
      </c>
      <c r="C165" s="104">
        <f>C161-C163-INT(30.6001*C164)+C158</f>
        <v>3.0039864592254162</v>
      </c>
      <c r="D165" s="103"/>
      <c r="E165" s="103">
        <f>E161-E163-INT(30.6001*E164)+E158</f>
        <v>13.661312630400062</v>
      </c>
      <c r="F165" s="103">
        <f>F161-F163-INT(30.6001*F164)+F158</f>
        <v>29.064879563171417</v>
      </c>
      <c r="G165" s="103"/>
      <c r="H165" s="103">
        <f>H161-H163-INT(30.6001*H164)+H158</f>
        <v>8.4753945069387555</v>
      </c>
      <c r="I165" s="103">
        <f>I161-I163-INT(30.6001*I164)+I158</f>
        <v>25.33522680029273</v>
      </c>
      <c r="J165" s="103">
        <f>J161-J163-INT(30.6001*J164)+J158</f>
        <v>27.828135999850929</v>
      </c>
      <c r="K165" s="103">
        <f>K161-K163-INT(30.6001*K164)+K158</f>
        <v>11</v>
      </c>
      <c r="L165" s="103">
        <f>L161-L163-INT(30.6001*L164)+L158</f>
        <v>4.2000000001862645</v>
      </c>
      <c r="M165" s="97"/>
    </row>
    <row r="166" spans="2:13" x14ac:dyDescent="0.2">
      <c r="B166" s="100" t="s">
        <v>2</v>
      </c>
      <c r="C166" s="99">
        <f>INT(C165)</f>
        <v>3</v>
      </c>
      <c r="D166" s="98"/>
      <c r="E166" s="98">
        <f>INT(E165)</f>
        <v>13</v>
      </c>
      <c r="F166" s="98">
        <f>INT(F165)</f>
        <v>29</v>
      </c>
      <c r="G166" s="98"/>
      <c r="H166" s="98">
        <f>INT(H165)</f>
        <v>8</v>
      </c>
      <c r="I166" s="98">
        <f>INT(I165)</f>
        <v>25</v>
      </c>
      <c r="J166" s="98">
        <f>INT(J165)</f>
        <v>27</v>
      </c>
      <c r="K166" s="98">
        <f>INT(K165)</f>
        <v>11</v>
      </c>
      <c r="L166" s="98">
        <f>INT(L165)</f>
        <v>4</v>
      </c>
      <c r="M166" s="97"/>
    </row>
    <row r="167" spans="2:13" x14ac:dyDescent="0.2">
      <c r="B167" s="100" t="s">
        <v>1</v>
      </c>
      <c r="C167" s="102">
        <f>IF(C164&lt;14,C164-1,C164-13)</f>
        <v>1</v>
      </c>
      <c r="D167" s="101"/>
      <c r="E167" s="101">
        <f>IF(E164&lt;14,E164-1,E164-13)</f>
        <v>6</v>
      </c>
      <c r="F167" s="101">
        <f>IF(F164&lt;14,F164-1,F164-13)</f>
        <v>8</v>
      </c>
      <c r="G167" s="101"/>
      <c r="H167" s="101">
        <f>IF(H164&lt;14,H164-1,H164-13)</f>
        <v>5</v>
      </c>
      <c r="I167" s="101">
        <f>IF(I164&lt;14,I164-1,I164-13)</f>
        <v>1</v>
      </c>
      <c r="J167" s="101">
        <f>IF(J164&lt;14,J164-1,J164-13)</f>
        <v>12</v>
      </c>
      <c r="K167" s="101">
        <f>IF(K164&lt;14,K164-1,K164-13)</f>
        <v>2</v>
      </c>
      <c r="L167" s="101">
        <f>IF(L164&lt;14,L164-1,L164-13)</f>
        <v>7</v>
      </c>
      <c r="M167" s="97"/>
    </row>
    <row r="168" spans="2:13" x14ac:dyDescent="0.2">
      <c r="B168" s="100" t="s">
        <v>0</v>
      </c>
      <c r="C168" s="99">
        <f>IF(C167&gt;2,C162-4716,C162-4715)</f>
        <v>2024</v>
      </c>
      <c r="D168" s="98"/>
      <c r="E168" s="98">
        <f>IF(E167&gt;2,E162-4716,E162-4715)</f>
        <v>2024</v>
      </c>
      <c r="F168" s="98">
        <f>IF(F167&gt;2,F162-4716,F162-4715)</f>
        <v>2026</v>
      </c>
      <c r="G168" s="98"/>
      <c r="H168" s="98">
        <f>IF(H167&gt;2,H162-4716,H162-4715)</f>
        <v>2024</v>
      </c>
      <c r="I168" s="98">
        <f>IF(I167&gt;2,I162-4716,I162-4715)</f>
        <v>2023</v>
      </c>
      <c r="J168" s="98">
        <f>IF(J167&gt;2,J162-4716,J162-4715)</f>
        <v>2032</v>
      </c>
      <c r="K168" s="98">
        <f>IF(K167&gt;2,K162-4716,K162-4715)</f>
        <v>2051</v>
      </c>
      <c r="L168" s="98">
        <f>IF(L167&gt;2,L162-4716,L162-4715)</f>
        <v>2047</v>
      </c>
      <c r="M168" s="97"/>
    </row>
    <row r="169" spans="2:13" x14ac:dyDescent="0.2">
      <c r="B169" s="96" t="s">
        <v>41</v>
      </c>
      <c r="C169" s="95" t="str">
        <f>CONCATENATE(TEXT(C166,"00"),".",TEXT(C167,"00"),".",TEXT(C168,"0000"))</f>
        <v>03.01.2024</v>
      </c>
      <c r="D169" s="94"/>
      <c r="E169" s="94" t="str">
        <f>CONCATENATE(TEXT(E166,"00"),".",TEXT(E167,"00"),".",TEXT(E168,"0000"))</f>
        <v>13.06.2024</v>
      </c>
      <c r="F169" s="94" t="str">
        <f>CONCATENATE(TEXT(F166,"00"),".",TEXT(F167,"00"),".",TEXT(F168,"0000"))</f>
        <v>29.08.2026</v>
      </c>
      <c r="G169" s="94"/>
      <c r="H169" s="94" t="str">
        <f>CONCATENATE(TEXT(H166,"00"),".",TEXT(H167,"00"),".",TEXT(H168,"0000"))</f>
        <v>08.05.2024</v>
      </c>
      <c r="I169" s="94" t="str">
        <f>CONCATENATE(TEXT(I166,"00"),".",TEXT(I167,"00"),".",TEXT(I168,"0000"))</f>
        <v>25.01.2023</v>
      </c>
      <c r="J169" s="94" t="str">
        <f>CONCATENATE(TEXT(J166,"00"),".",TEXT(J167,"00"),".",TEXT(J168,"0000"))</f>
        <v>27.12.2032</v>
      </c>
      <c r="K169" s="94" t="str">
        <f>CONCATENATE(TEXT(K166,"00"),".",TEXT(K167,"00"),".",TEXT(K168,"0000"))</f>
        <v>11.02.2051</v>
      </c>
      <c r="L169" s="94" t="str">
        <f>CONCATENATE(TEXT(L166,"00"),".",TEXT(L167,"00"),".",TEXT(L168,"0000"))</f>
        <v>04.07.2047</v>
      </c>
      <c r="M169" s="93"/>
    </row>
    <row r="170" spans="2:13" x14ac:dyDescent="0.2">
      <c r="B170" s="112" t="s">
        <v>105</v>
      </c>
      <c r="C170" s="111" t="s">
        <v>127</v>
      </c>
      <c r="D170" s="111"/>
      <c r="E170" s="111" t="s">
        <v>19</v>
      </c>
      <c r="F170" s="111" t="s">
        <v>22</v>
      </c>
      <c r="G170" s="111" t="s">
        <v>15</v>
      </c>
      <c r="H170" s="111" t="s">
        <v>20</v>
      </c>
      <c r="I170" s="111" t="s">
        <v>21</v>
      </c>
      <c r="J170" s="111" t="s">
        <v>23</v>
      </c>
      <c r="K170" s="111" t="s">
        <v>101</v>
      </c>
      <c r="L170" s="111" t="s">
        <v>100</v>
      </c>
      <c r="M170" s="111" t="s">
        <v>99</v>
      </c>
    </row>
    <row r="171" spans="2:13" x14ac:dyDescent="0.2">
      <c r="B171" s="110" t="s">
        <v>86</v>
      </c>
      <c r="C171" s="109">
        <f>ROUND(0.99997*($C146-2000.01),0)+0.5</f>
        <v>24.5</v>
      </c>
      <c r="D171" s="108"/>
      <c r="E171" s="108">
        <f>ROUND(4.15201*($C146-2000.12),0)+0.5</f>
        <v>101.5</v>
      </c>
      <c r="F171" s="108">
        <f>ROUND(1.62549*($C146-2000.53),0)+0.5</f>
        <v>39.5</v>
      </c>
      <c r="G171" s="108"/>
      <c r="H171" s="108">
        <f>ROUND(0.53166*($C146-2001.78),0)+0.5</f>
        <v>12.5</v>
      </c>
      <c r="I171" s="108">
        <f>ROUND(0.0843*($C146-2011.2),0)+0.5</f>
        <v>1.5</v>
      </c>
      <c r="J171" s="108">
        <f>ROUND(0.03393*($C146-2003.52),0)+0.5</f>
        <v>1.5</v>
      </c>
      <c r="K171" s="108">
        <f>ROUND(0.0119*($C146-2051.1),0)+0.5</f>
        <v>0.5</v>
      </c>
      <c r="L171" s="108">
        <f>ROUND(0.00607*($C146-2047.5),0)+0.5</f>
        <v>0.5</v>
      </c>
      <c r="M171" s="107"/>
    </row>
    <row r="172" spans="2:13" x14ac:dyDescent="0.2">
      <c r="B172" s="100" t="s">
        <v>65</v>
      </c>
      <c r="C172" s="102">
        <f>328.41+132.788585*C171</f>
        <v>3581.7303325000003</v>
      </c>
      <c r="D172" s="101"/>
      <c r="E172" s="101"/>
      <c r="F172" s="101"/>
      <c r="G172" s="101"/>
      <c r="H172" s="101"/>
      <c r="I172" s="101"/>
      <c r="J172" s="101"/>
      <c r="K172" s="101"/>
      <c r="L172" s="101"/>
      <c r="M172" s="97"/>
    </row>
    <row r="173" spans="2:13" x14ac:dyDescent="0.2">
      <c r="B173" s="100" t="s">
        <v>67</v>
      </c>
      <c r="C173" s="102">
        <f>316.13+584.903132*C171</f>
        <v>14646.256734000001</v>
      </c>
      <c r="D173" s="101"/>
      <c r="E173" s="101"/>
      <c r="F173" s="101"/>
      <c r="G173" s="101"/>
      <c r="H173" s="101"/>
      <c r="I173" s="101"/>
      <c r="J173" s="101"/>
      <c r="K173" s="101"/>
      <c r="L173" s="101"/>
      <c r="M173" s="97"/>
    </row>
    <row r="174" spans="2:13" x14ac:dyDescent="0.2">
      <c r="B174" s="100" t="s">
        <v>66</v>
      </c>
      <c r="C174" s="102">
        <f>346.2 + 450.380738*C171</f>
        <v>11380.528081</v>
      </c>
      <c r="D174" s="101"/>
      <c r="E174" s="101"/>
      <c r="F174" s="101"/>
      <c r="G174" s="101"/>
      <c r="H174" s="101"/>
      <c r="I174" s="101"/>
      <c r="J174" s="101"/>
      <c r="K174" s="101"/>
      <c r="L174" s="101"/>
      <c r="M174" s="97"/>
    </row>
    <row r="175" spans="2:13" x14ac:dyDescent="0.2">
      <c r="B175" s="100" t="s">
        <v>87</v>
      </c>
      <c r="C175" s="102">
        <f>136.95+659.306737*C171</f>
        <v>16289.965056500001</v>
      </c>
      <c r="D175" s="101"/>
      <c r="E175" s="101"/>
      <c r="F175" s="101"/>
      <c r="G175" s="101"/>
      <c r="H175" s="101"/>
      <c r="I175" s="101"/>
      <c r="J175" s="101"/>
      <c r="K175" s="101"/>
      <c r="L175" s="101"/>
      <c r="M175" s="97"/>
    </row>
    <row r="176" spans="2:13" x14ac:dyDescent="0.2">
      <c r="B176" s="100" t="s">
        <v>68</v>
      </c>
      <c r="C176" s="102">
        <f>249.52+329.653368*C171</f>
        <v>8326.0275160000001</v>
      </c>
      <c r="D176" s="101"/>
      <c r="E176" s="101"/>
      <c r="F176" s="101"/>
      <c r="G176" s="101"/>
      <c r="H176" s="101"/>
      <c r="I176" s="101"/>
      <c r="J176" s="101"/>
      <c r="K176" s="101"/>
      <c r="L176" s="101"/>
      <c r="M176" s="97"/>
    </row>
    <row r="177" spans="2:13" x14ac:dyDescent="0.2">
      <c r="B177" s="100" t="s">
        <v>17</v>
      </c>
      <c r="C177" s="102">
        <f>-1.352*SIN(DR*C172)+0.061*SIN(DR*C173)+0.062*SIN(DR*C174)+0.029*SIN(DR*C175)+0.031*SIN(DR*C176)</f>
        <v>0.37902228837441942</v>
      </c>
      <c r="D177" s="101"/>
      <c r="E177" s="101"/>
      <c r="F177" s="101"/>
      <c r="G177" s="101"/>
      <c r="H177" s="101"/>
      <c r="I177" s="101"/>
      <c r="J177" s="101"/>
      <c r="K177" s="101"/>
      <c r="L177" s="101"/>
      <c r="M177" s="97"/>
    </row>
    <row r="178" spans="2:13" x14ac:dyDescent="0.2">
      <c r="B178" s="100" t="s">
        <v>85</v>
      </c>
      <c r="C178" s="106">
        <f>2451547.507+365.2596358*C171+0.0000000158*POWER(C171,2)+C177+0.5</f>
        <v>2460497.247108873</v>
      </c>
      <c r="D178" s="105"/>
      <c r="E178" s="101">
        <f>2451590.257+87.96934963*E171-0*POWER(E171,2)+0.5</f>
        <v>2460519.645987445</v>
      </c>
      <c r="F178" s="101">
        <f>2451738.233+244.7008187*F171-0.0000000327*POWER(F171,2)+0.5</f>
        <v>2461404.4152876297</v>
      </c>
      <c r="G178" s="101"/>
      <c r="H178" s="101">
        <f>2452195.026+686.9957843*H171-0.0000001187*POWER(H171,2)+0.5</f>
        <v>2460782.9732852033</v>
      </c>
      <c r="I178" s="101">
        <f>2455636.938+4332.89709*I171+0.0001368*POWER(I171,2)+0.5</f>
        <v>2462136.7839428</v>
      </c>
      <c r="J178" s="101">
        <f>2452830.11+10764.21731*J171+0.000826*POWER(J171,2)+0.5</f>
        <v>2468976.9378234996</v>
      </c>
      <c r="K178" s="101">
        <f>2470213.5+30694.8767*K171-0.00541*POWER(K171,2)+0.5</f>
        <v>2485561.4369974998</v>
      </c>
      <c r="L178" s="101">
        <f>2468895.7+60190.32*L171+0.03175*POWER(L171,2)+0.5</f>
        <v>2498991.3679375001</v>
      </c>
      <c r="M178" s="97"/>
    </row>
    <row r="179" spans="2:13" x14ac:dyDescent="0.2">
      <c r="B179" s="100" t="s">
        <v>64</v>
      </c>
      <c r="C179" s="99">
        <f>INT(C178)</f>
        <v>2460497</v>
      </c>
      <c r="D179" s="98"/>
      <c r="E179" s="98">
        <f>INT(E178)</f>
        <v>2460519</v>
      </c>
      <c r="F179" s="98">
        <f>INT(F178)</f>
        <v>2461404</v>
      </c>
      <c r="G179" s="98"/>
      <c r="H179" s="98">
        <f>INT(H178)</f>
        <v>2460782</v>
      </c>
      <c r="I179" s="98">
        <f>INT(I178)</f>
        <v>2462136</v>
      </c>
      <c r="J179" s="98">
        <f>INT(J178)</f>
        <v>2468976</v>
      </c>
      <c r="K179" s="98">
        <f>INT(K178)</f>
        <v>2485561</v>
      </c>
      <c r="L179" s="98">
        <f>INT(L178)</f>
        <v>2498991</v>
      </c>
      <c r="M179" s="97"/>
    </row>
    <row r="180" spans="2:13" x14ac:dyDescent="0.2">
      <c r="B180" s="100" t="s">
        <v>51</v>
      </c>
      <c r="C180" s="104">
        <f>C178-C179</f>
        <v>0.24710887297987938</v>
      </c>
      <c r="D180" s="103"/>
      <c r="E180" s="103">
        <f>E178-E179</f>
        <v>0.64598744502291083</v>
      </c>
      <c r="F180" s="103">
        <f>F178-F179</f>
        <v>0.41528762970119715</v>
      </c>
      <c r="G180" s="103"/>
      <c r="H180" s="103">
        <f>H178-H179</f>
        <v>0.97328520333394408</v>
      </c>
      <c r="I180" s="103">
        <f>I178-I179</f>
        <v>0.78394280001521111</v>
      </c>
      <c r="J180" s="103">
        <f>J178-J179</f>
        <v>0.93782349955290556</v>
      </c>
      <c r="K180" s="103">
        <f>K178-K179</f>
        <v>0.43699749978259206</v>
      </c>
      <c r="L180" s="103">
        <f>L178-L179</f>
        <v>0.36793750012293458</v>
      </c>
      <c r="M180" s="97"/>
    </row>
    <row r="181" spans="2:13" x14ac:dyDescent="0.2">
      <c r="B181" s="100" t="s">
        <v>126</v>
      </c>
      <c r="C181" s="102">
        <f>INT((C179-1867216.25)/36524.25)</f>
        <v>16</v>
      </c>
      <c r="D181" s="101"/>
      <c r="E181" s="101">
        <f>INT((E179-1867216.25)/36524.25)</f>
        <v>16</v>
      </c>
      <c r="F181" s="101">
        <f>INT((F179-1867216.25)/36524.25)</f>
        <v>16</v>
      </c>
      <c r="G181" s="101"/>
      <c r="H181" s="101">
        <f>INT((H179-1867216.25)/36524.25)</f>
        <v>16</v>
      </c>
      <c r="I181" s="101">
        <f>INT((I179-1867216.25)/36524.25)</f>
        <v>16</v>
      </c>
      <c r="J181" s="101">
        <f>INT((J179-1867216.25)/36524.25)</f>
        <v>16</v>
      </c>
      <c r="K181" s="101">
        <f>INT((K179-1867216.25)/36524.25)</f>
        <v>16</v>
      </c>
      <c r="L181" s="101">
        <f>INT((L179-1867216.25)/36524.25)</f>
        <v>17</v>
      </c>
      <c r="M181" s="97"/>
    </row>
    <row r="182" spans="2:13" x14ac:dyDescent="0.2">
      <c r="B182" s="100" t="s">
        <v>125</v>
      </c>
      <c r="C182" s="102">
        <f>IF(C179&lt;2299161,C179,C179+1+C181-INT(C181/4))</f>
        <v>2460510</v>
      </c>
      <c r="D182" s="101"/>
      <c r="E182" s="101">
        <f>IF(E179&lt;2299161,E179,E179+1+E181-INT(E181/4))</f>
        <v>2460532</v>
      </c>
      <c r="F182" s="101">
        <f>IF(F179&lt;2299161,F179,F179+1+F181-INT(F181/4))</f>
        <v>2461417</v>
      </c>
      <c r="G182" s="101"/>
      <c r="H182" s="101">
        <f>IF(H179&lt;2299161,H179,H179+1+H181-INT(H181/4))</f>
        <v>2460795</v>
      </c>
      <c r="I182" s="101">
        <f>IF(I179&lt;2299161,I179,I179+1+I181-INT(I181/4))</f>
        <v>2462149</v>
      </c>
      <c r="J182" s="101">
        <f>IF(J179&lt;2299161,J179,J179+1+J181-INT(J181/4))</f>
        <v>2468989</v>
      </c>
      <c r="K182" s="101">
        <f>IF(K179&lt;2299161,K179,K179+1+K181-INT(K181/4))</f>
        <v>2485574</v>
      </c>
      <c r="L182" s="101">
        <f>IF(L179&lt;2299161,L179,L179+1+L181-INT(L181/4))</f>
        <v>2499005</v>
      </c>
      <c r="M182" s="97"/>
    </row>
    <row r="183" spans="2:13" x14ac:dyDescent="0.2">
      <c r="B183" s="100" t="s">
        <v>48</v>
      </c>
      <c r="C183" s="102">
        <f>C182+1524</f>
        <v>2462034</v>
      </c>
      <c r="D183" s="101"/>
      <c r="E183" s="101">
        <f>E182+1524</f>
        <v>2462056</v>
      </c>
      <c r="F183" s="101">
        <f>F182+1524</f>
        <v>2462941</v>
      </c>
      <c r="G183" s="101"/>
      <c r="H183" s="101">
        <f>H182+1524</f>
        <v>2462319</v>
      </c>
      <c r="I183" s="101">
        <f>I182+1524</f>
        <v>2463673</v>
      </c>
      <c r="J183" s="101">
        <f>J182+1524</f>
        <v>2470513</v>
      </c>
      <c r="K183" s="101">
        <f>K182+1524</f>
        <v>2487098</v>
      </c>
      <c r="L183" s="101">
        <f>L182+1524</f>
        <v>2500529</v>
      </c>
      <c r="M183" s="97"/>
    </row>
    <row r="184" spans="2:13" x14ac:dyDescent="0.2">
      <c r="B184" s="100" t="s">
        <v>49</v>
      </c>
      <c r="C184" s="102">
        <f>INT((C183-122.1)/365.25)</f>
        <v>6740</v>
      </c>
      <c r="D184" s="101"/>
      <c r="E184" s="101">
        <f>INT((E183-122.1)/365.25)</f>
        <v>6740</v>
      </c>
      <c r="F184" s="101">
        <f>INT((F183-122.1)/365.25)</f>
        <v>6742</v>
      </c>
      <c r="G184" s="101"/>
      <c r="H184" s="101">
        <f>INT((H183-122.1)/365.25)</f>
        <v>6741</v>
      </c>
      <c r="I184" s="101">
        <f>INT((I183-122.1)/365.25)</f>
        <v>6744</v>
      </c>
      <c r="J184" s="101">
        <f>INT((J183-122.1)/365.25)</f>
        <v>6763</v>
      </c>
      <c r="K184" s="101">
        <f>INT((K183-122.1)/365.25)</f>
        <v>6808</v>
      </c>
      <c r="L184" s="101">
        <f>INT((L183-122.1)/365.25)</f>
        <v>6845</v>
      </c>
      <c r="M184" s="97"/>
    </row>
    <row r="185" spans="2:13" x14ac:dyDescent="0.2">
      <c r="B185" s="100" t="s">
        <v>54</v>
      </c>
      <c r="C185" s="102">
        <f>INT(365.25*C184)</f>
        <v>2461785</v>
      </c>
      <c r="D185" s="101"/>
      <c r="E185" s="101">
        <f>INT(365.25*E184)</f>
        <v>2461785</v>
      </c>
      <c r="F185" s="101">
        <f>INT(365.25*F184)</f>
        <v>2462515</v>
      </c>
      <c r="G185" s="101"/>
      <c r="H185" s="101">
        <f>INT(365.25*H184)</f>
        <v>2462150</v>
      </c>
      <c r="I185" s="101">
        <f>INT(365.25*I184)</f>
        <v>2463246</v>
      </c>
      <c r="J185" s="101">
        <f>INT(365.25*J184)</f>
        <v>2470185</v>
      </c>
      <c r="K185" s="101">
        <f>INT(365.25*K184)</f>
        <v>2486622</v>
      </c>
      <c r="L185" s="101">
        <f>INT(365.25*L184)</f>
        <v>2500136</v>
      </c>
      <c r="M185" s="97"/>
    </row>
    <row r="186" spans="2:13" x14ac:dyDescent="0.2">
      <c r="B186" s="100" t="s">
        <v>50</v>
      </c>
      <c r="C186" s="102">
        <f>INT((C183-C185)/30.6001)</f>
        <v>8</v>
      </c>
      <c r="D186" s="101"/>
      <c r="E186" s="101">
        <f>INT((E183-E185)/30.6001)</f>
        <v>8</v>
      </c>
      <c r="F186" s="101">
        <f>INT((F183-F185)/30.6001)</f>
        <v>13</v>
      </c>
      <c r="G186" s="101"/>
      <c r="H186" s="101">
        <f>INT((H183-H185)/30.6001)</f>
        <v>5</v>
      </c>
      <c r="I186" s="101">
        <f>INT((I183-I185)/30.6001)</f>
        <v>13</v>
      </c>
      <c r="J186" s="101">
        <f>INT((J183-J185)/30.6001)</f>
        <v>10</v>
      </c>
      <c r="K186" s="101">
        <f>INT((K183-K185)/30.6001)</f>
        <v>15</v>
      </c>
      <c r="L186" s="101">
        <f>INT((L183-L185)/30.6001)</f>
        <v>12</v>
      </c>
      <c r="M186" s="97"/>
    </row>
    <row r="187" spans="2:13" x14ac:dyDescent="0.2">
      <c r="B187" s="100" t="s">
        <v>124</v>
      </c>
      <c r="C187" s="104">
        <f>C183-C185-INT(30.6001*C186)+C180</f>
        <v>5.2471088729798794</v>
      </c>
      <c r="D187" s="103"/>
      <c r="E187" s="103">
        <f>E183-E185-INT(30.6001*E186)+E180</f>
        <v>27.645987445022911</v>
      </c>
      <c r="F187" s="103">
        <f>F183-F185-INT(30.6001*F186)+F180</f>
        <v>29.415287629701197</v>
      </c>
      <c r="G187" s="103"/>
      <c r="H187" s="103">
        <f>H183-H185-INT(30.6001*H186)+H180</f>
        <v>16.973285203333944</v>
      </c>
      <c r="I187" s="103">
        <f>I183-I185-INT(30.6001*I186)+I180</f>
        <v>30.783942800015211</v>
      </c>
      <c r="J187" s="103">
        <f>J183-J185-INT(30.6001*J186)+J180</f>
        <v>22.937823499552906</v>
      </c>
      <c r="K187" s="103">
        <f>K183-K185-INT(30.6001*K186)+K180</f>
        <v>17.436997499782592</v>
      </c>
      <c r="L187" s="103">
        <f>L183-L185-INT(30.6001*L186)+L180</f>
        <v>26.367937500122935</v>
      </c>
      <c r="M187" s="97"/>
    </row>
    <row r="188" spans="2:13" x14ac:dyDescent="0.2">
      <c r="B188" s="100" t="s">
        <v>2</v>
      </c>
      <c r="C188" s="99">
        <f>INT(C187)</f>
        <v>5</v>
      </c>
      <c r="D188" s="98"/>
      <c r="E188" s="98">
        <f>INT(E187)</f>
        <v>27</v>
      </c>
      <c r="F188" s="98">
        <f>INT(F187)</f>
        <v>29</v>
      </c>
      <c r="G188" s="98"/>
      <c r="H188" s="98">
        <f>INT(H187)</f>
        <v>16</v>
      </c>
      <c r="I188" s="98">
        <f>INT(I187)</f>
        <v>30</v>
      </c>
      <c r="J188" s="98">
        <f>INT(J187)</f>
        <v>22</v>
      </c>
      <c r="K188" s="98">
        <f>INT(K187)</f>
        <v>17</v>
      </c>
      <c r="L188" s="98">
        <f>INT(L187)</f>
        <v>26</v>
      </c>
      <c r="M188" s="97"/>
    </row>
    <row r="189" spans="2:13" x14ac:dyDescent="0.2">
      <c r="B189" s="100" t="s">
        <v>1</v>
      </c>
      <c r="C189" s="102">
        <f>IF(C186&lt;14,C186-1,C186-13)</f>
        <v>7</v>
      </c>
      <c r="D189" s="101"/>
      <c r="E189" s="101">
        <f>IF(E186&lt;14,E186-1,E186-13)</f>
        <v>7</v>
      </c>
      <c r="F189" s="101">
        <f>IF(F186&lt;14,F186-1,F186-13)</f>
        <v>12</v>
      </c>
      <c r="G189" s="101"/>
      <c r="H189" s="101">
        <f>IF(H186&lt;14,H186-1,H186-13)</f>
        <v>4</v>
      </c>
      <c r="I189" s="101">
        <f>IF(I186&lt;14,I186-1,I186-13)</f>
        <v>12</v>
      </c>
      <c r="J189" s="101">
        <f>IF(J186&lt;14,J186-1,J186-13)</f>
        <v>9</v>
      </c>
      <c r="K189" s="101">
        <f>IF(K186&lt;14,K186-1,K186-13)</f>
        <v>2</v>
      </c>
      <c r="L189" s="101">
        <f>IF(L186&lt;14,L186-1,L186-13)</f>
        <v>11</v>
      </c>
      <c r="M189" s="97"/>
    </row>
    <row r="190" spans="2:13" x14ac:dyDescent="0.2">
      <c r="B190" s="100" t="s">
        <v>0</v>
      </c>
      <c r="C190" s="99">
        <f>IF(C189&gt;2,C184-4716,C184-4715)</f>
        <v>2024</v>
      </c>
      <c r="D190" s="98"/>
      <c r="E190" s="98">
        <f>IF(E189&gt;2,E184-4716,E184-4715)</f>
        <v>2024</v>
      </c>
      <c r="F190" s="98">
        <f>IF(F189&gt;2,F184-4716,F184-4715)</f>
        <v>2026</v>
      </c>
      <c r="G190" s="98"/>
      <c r="H190" s="98">
        <f>IF(H189&gt;2,H184-4716,H184-4715)</f>
        <v>2025</v>
      </c>
      <c r="I190" s="98">
        <f>IF(I189&gt;2,I184-4716,I184-4715)</f>
        <v>2028</v>
      </c>
      <c r="J190" s="98">
        <f>IF(J189&gt;2,J184-4716,J184-4715)</f>
        <v>2047</v>
      </c>
      <c r="K190" s="98">
        <f>IF(K189&gt;2,K184-4716,K184-4715)</f>
        <v>2093</v>
      </c>
      <c r="L190" s="98">
        <f>IF(L189&gt;2,L184-4716,L184-4715)</f>
        <v>2129</v>
      </c>
      <c r="M190" s="97"/>
    </row>
    <row r="191" spans="2:13" x14ac:dyDescent="0.2">
      <c r="B191" s="96" t="s">
        <v>41</v>
      </c>
      <c r="C191" s="95" t="str">
        <f>CONCATENATE(TEXT(C188,"00"),".",TEXT(C189,"00"),".",TEXT(C190,"0000"))</f>
        <v>05.07.2024</v>
      </c>
      <c r="D191" s="94"/>
      <c r="E191" s="94" t="str">
        <f>CONCATENATE(TEXT(E188,"00"),".",TEXT(E189,"00"),".",TEXT(E190,"0000"))</f>
        <v>27.07.2024</v>
      </c>
      <c r="F191" s="94" t="str">
        <f>CONCATENATE(TEXT(F188,"00"),".",TEXT(F189,"00"),".",TEXT(F190,"0000"))</f>
        <v>29.12.2026</v>
      </c>
      <c r="G191" s="94"/>
      <c r="H191" s="94" t="str">
        <f>CONCATENATE(TEXT(H188,"00"),".",TEXT(H189,"00"),".",TEXT(H190,"0000"))</f>
        <v>16.04.2025</v>
      </c>
      <c r="I191" s="94" t="str">
        <f>CONCATENATE(TEXT(I188,"00"),".",TEXT(I189,"00"),".",TEXT(I190,"0000"))</f>
        <v>30.12.2028</v>
      </c>
      <c r="J191" s="94" t="str">
        <f>CONCATENATE(TEXT(J188,"00"),".",TEXT(J189,"00"),".",TEXT(J190,"0000"))</f>
        <v>22.09.2047</v>
      </c>
      <c r="K191" s="94" t="str">
        <f>CONCATENATE(TEXT(K188,"00"),".",TEXT(K189,"00"),".",TEXT(K190,"0000"))</f>
        <v>17.02.2093</v>
      </c>
      <c r="L191" s="94" t="str">
        <f>CONCATENATE(TEXT(L188,"00"),".",TEXT(L189,"00"),".",TEXT(L190,"0000"))</f>
        <v>26.11.2129</v>
      </c>
      <c r="M191" s="93"/>
    </row>
    <row r="192" spans="2:13" x14ac:dyDescent="0.2">
      <c r="C192" s="36"/>
      <c r="D192" s="36"/>
    </row>
    <row r="197" spans="2:6" ht="16" x14ac:dyDescent="0.2">
      <c r="B197" s="14" t="s">
        <v>13</v>
      </c>
      <c r="C197" s="15">
        <f>'Solar System'!I4</f>
        <v>238.91454221142828</v>
      </c>
      <c r="D197" s="16"/>
      <c r="E197" s="17"/>
      <c r="F197" s="18"/>
    </row>
    <row r="198" spans="2:6" x14ac:dyDescent="0.2">
      <c r="B198" s="19" t="s">
        <v>27</v>
      </c>
      <c r="C198" s="16">
        <v>200</v>
      </c>
      <c r="D198" s="16"/>
      <c r="E198" s="16" t="s">
        <v>28</v>
      </c>
      <c r="F198" s="20">
        <f>MOD(360-Calculations!C197+180,360)</f>
        <v>301.08545778857172</v>
      </c>
    </row>
    <row r="199" spans="2:6" x14ac:dyDescent="0.2">
      <c r="B199" s="21" t="s">
        <v>29</v>
      </c>
      <c r="C199" s="22">
        <f>2/C198</f>
        <v>0.01</v>
      </c>
      <c r="D199" s="22"/>
      <c r="E199" s="22" t="s">
        <v>30</v>
      </c>
      <c r="F199" s="23">
        <f>COS(RADIANS(F198))</f>
        <v>0.51631598353675801</v>
      </c>
    </row>
    <row r="200" spans="2:6" x14ac:dyDescent="0.2">
      <c r="B200" s="24"/>
      <c r="C200" s="25"/>
      <c r="D200" s="25"/>
      <c r="E200" s="25" t="s">
        <v>31</v>
      </c>
      <c r="F200" s="26">
        <f>ABS(F199)</f>
        <v>0.51631598353675801</v>
      </c>
    </row>
    <row r="201" spans="2:6" x14ac:dyDescent="0.2">
      <c r="B201" s="21"/>
      <c r="C201" s="22"/>
      <c r="D201" s="22"/>
      <c r="E201" s="22" t="s">
        <v>32</v>
      </c>
      <c r="F201" s="27">
        <v>1</v>
      </c>
    </row>
    <row r="202" spans="2:6" x14ac:dyDescent="0.2">
      <c r="B202" s="24"/>
      <c r="C202" s="25"/>
      <c r="D202" s="25"/>
      <c r="E202" s="25"/>
      <c r="F202" s="26"/>
    </row>
    <row r="203" spans="2:6" x14ac:dyDescent="0.2">
      <c r="B203" s="28" t="s">
        <v>3</v>
      </c>
      <c r="C203" s="29" t="s">
        <v>33</v>
      </c>
      <c r="D203" s="29" t="s">
        <v>34</v>
      </c>
      <c r="E203" s="29" t="s">
        <v>35</v>
      </c>
      <c r="F203" s="30" t="s">
        <v>36</v>
      </c>
    </row>
    <row r="204" spans="2:6" x14ac:dyDescent="0.2">
      <c r="B204" s="24">
        <v>-1</v>
      </c>
      <c r="C204" s="25">
        <f t="shared" ref="C204:C267" si="61">IFERROR(IF(SQRT(1-(B204*B204)/($F$200*$F$200))&lt;0.05,0,SQRT(1-(B204*B204)/($F$200*$F$200))),0)</f>
        <v>0</v>
      </c>
      <c r="D204" s="25">
        <f t="shared" ref="D204:D267" si="62">CHOOSE(MATCH($F$198,degrees),IF(B204&lt;0,IFERROR(1-C204,1),0),0,0,IF(B204&gt;0,IFERROR(1-C204,1),0))</f>
        <v>0</v>
      </c>
      <c r="E204" s="25">
        <f t="shared" ref="E204:E267" si="63">CHOOSE(MATCH($F$198,degrees),IF(B204&lt;0,2*C204,2),IF(B204&lt;0,0,1-C204),IF(B204&gt;0,0,1-C204),IF(B204&gt;0,2*C204,2))</f>
        <v>2</v>
      </c>
      <c r="F204" s="26">
        <f t="shared" ref="F204:F267" si="64">CHOOSE(MATCH($F$198,degrees),IF(B204&lt;0,C204+1,2),IF(B204&lt;0,2,2*C204),IF(B204&gt;0,2,2*C204),IF(B204&gt;0,C204+1,2))</f>
        <v>2</v>
      </c>
    </row>
    <row r="205" spans="2:6" x14ac:dyDescent="0.2">
      <c r="B205" s="24">
        <f t="shared" ref="B205:B236" si="65">B204+$C$199</f>
        <v>-0.99</v>
      </c>
      <c r="C205" s="25">
        <f t="shared" si="61"/>
        <v>0</v>
      </c>
      <c r="D205" s="25">
        <f t="shared" si="62"/>
        <v>0</v>
      </c>
      <c r="E205" s="25">
        <f t="shared" si="63"/>
        <v>2</v>
      </c>
      <c r="F205" s="26">
        <f t="shared" si="64"/>
        <v>2</v>
      </c>
    </row>
    <row r="206" spans="2:6" x14ac:dyDescent="0.2">
      <c r="B206" s="24">
        <f t="shared" si="65"/>
        <v>-0.98</v>
      </c>
      <c r="C206" s="25">
        <f t="shared" si="61"/>
        <v>0</v>
      </c>
      <c r="D206" s="25">
        <f t="shared" si="62"/>
        <v>0</v>
      </c>
      <c r="E206" s="25">
        <f t="shared" si="63"/>
        <v>2</v>
      </c>
      <c r="F206" s="26">
        <f t="shared" si="64"/>
        <v>2</v>
      </c>
    </row>
    <row r="207" spans="2:6" x14ac:dyDescent="0.2">
      <c r="B207" s="24">
        <f t="shared" si="65"/>
        <v>-0.97</v>
      </c>
      <c r="C207" s="25">
        <f t="shared" si="61"/>
        <v>0</v>
      </c>
      <c r="D207" s="25">
        <f t="shared" si="62"/>
        <v>0</v>
      </c>
      <c r="E207" s="25">
        <f t="shared" si="63"/>
        <v>2</v>
      </c>
      <c r="F207" s="26">
        <f t="shared" si="64"/>
        <v>2</v>
      </c>
    </row>
    <row r="208" spans="2:6" x14ac:dyDescent="0.2">
      <c r="B208" s="24">
        <f t="shared" si="65"/>
        <v>-0.96</v>
      </c>
      <c r="C208" s="25">
        <f t="shared" si="61"/>
        <v>0</v>
      </c>
      <c r="D208" s="25">
        <f t="shared" si="62"/>
        <v>0</v>
      </c>
      <c r="E208" s="25">
        <f t="shared" si="63"/>
        <v>2</v>
      </c>
      <c r="F208" s="26">
        <f t="shared" si="64"/>
        <v>2</v>
      </c>
    </row>
    <row r="209" spans="2:6" x14ac:dyDescent="0.2">
      <c r="B209" s="24">
        <f t="shared" si="65"/>
        <v>-0.95</v>
      </c>
      <c r="C209" s="25">
        <f t="shared" si="61"/>
        <v>0</v>
      </c>
      <c r="D209" s="25">
        <f t="shared" si="62"/>
        <v>0</v>
      </c>
      <c r="E209" s="25">
        <f t="shared" si="63"/>
        <v>2</v>
      </c>
      <c r="F209" s="26">
        <f t="shared" si="64"/>
        <v>2</v>
      </c>
    </row>
    <row r="210" spans="2:6" x14ac:dyDescent="0.2">
      <c r="B210" s="24">
        <f t="shared" si="65"/>
        <v>-0.94</v>
      </c>
      <c r="C210" s="25">
        <f t="shared" si="61"/>
        <v>0</v>
      </c>
      <c r="D210" s="25">
        <f t="shared" si="62"/>
        <v>0</v>
      </c>
      <c r="E210" s="25">
        <f t="shared" si="63"/>
        <v>2</v>
      </c>
      <c r="F210" s="26">
        <f t="shared" si="64"/>
        <v>2</v>
      </c>
    </row>
    <row r="211" spans="2:6" x14ac:dyDescent="0.2">
      <c r="B211" s="24">
        <f t="shared" si="65"/>
        <v>-0.92999999999999994</v>
      </c>
      <c r="C211" s="25">
        <f t="shared" si="61"/>
        <v>0</v>
      </c>
      <c r="D211" s="25">
        <f t="shared" si="62"/>
        <v>0</v>
      </c>
      <c r="E211" s="25">
        <f t="shared" si="63"/>
        <v>2</v>
      </c>
      <c r="F211" s="26">
        <f t="shared" si="64"/>
        <v>2</v>
      </c>
    </row>
    <row r="212" spans="2:6" x14ac:dyDescent="0.2">
      <c r="B212" s="24">
        <f t="shared" si="65"/>
        <v>-0.91999999999999993</v>
      </c>
      <c r="C212" s="25">
        <f t="shared" si="61"/>
        <v>0</v>
      </c>
      <c r="D212" s="25">
        <f t="shared" si="62"/>
        <v>0</v>
      </c>
      <c r="E212" s="25">
        <f t="shared" si="63"/>
        <v>2</v>
      </c>
      <c r="F212" s="26">
        <f t="shared" si="64"/>
        <v>2</v>
      </c>
    </row>
    <row r="213" spans="2:6" x14ac:dyDescent="0.2">
      <c r="B213" s="24">
        <f t="shared" si="65"/>
        <v>-0.90999999999999992</v>
      </c>
      <c r="C213" s="25">
        <f t="shared" si="61"/>
        <v>0</v>
      </c>
      <c r="D213" s="25">
        <f t="shared" si="62"/>
        <v>0</v>
      </c>
      <c r="E213" s="25">
        <f t="shared" si="63"/>
        <v>2</v>
      </c>
      <c r="F213" s="26">
        <f t="shared" si="64"/>
        <v>2</v>
      </c>
    </row>
    <row r="214" spans="2:6" x14ac:dyDescent="0.2">
      <c r="B214" s="24">
        <f t="shared" si="65"/>
        <v>-0.89999999999999991</v>
      </c>
      <c r="C214" s="25">
        <f t="shared" si="61"/>
        <v>0</v>
      </c>
      <c r="D214" s="25">
        <f t="shared" si="62"/>
        <v>0</v>
      </c>
      <c r="E214" s="25">
        <f t="shared" si="63"/>
        <v>2</v>
      </c>
      <c r="F214" s="26">
        <f t="shared" si="64"/>
        <v>2</v>
      </c>
    </row>
    <row r="215" spans="2:6" x14ac:dyDescent="0.2">
      <c r="B215" s="24">
        <f t="shared" si="65"/>
        <v>-0.8899999999999999</v>
      </c>
      <c r="C215" s="25">
        <f t="shared" si="61"/>
        <v>0</v>
      </c>
      <c r="D215" s="25">
        <f t="shared" si="62"/>
        <v>0</v>
      </c>
      <c r="E215" s="25">
        <f t="shared" si="63"/>
        <v>2</v>
      </c>
      <c r="F215" s="26">
        <f t="shared" si="64"/>
        <v>2</v>
      </c>
    </row>
    <row r="216" spans="2:6" x14ac:dyDescent="0.2">
      <c r="B216" s="24">
        <f t="shared" si="65"/>
        <v>-0.87999999999999989</v>
      </c>
      <c r="C216" s="25">
        <f t="shared" si="61"/>
        <v>0</v>
      </c>
      <c r="D216" s="25">
        <f t="shared" si="62"/>
        <v>0</v>
      </c>
      <c r="E216" s="25">
        <f t="shared" si="63"/>
        <v>2</v>
      </c>
      <c r="F216" s="26">
        <f t="shared" si="64"/>
        <v>2</v>
      </c>
    </row>
    <row r="217" spans="2:6" x14ac:dyDescent="0.2">
      <c r="B217" s="24">
        <f t="shared" si="65"/>
        <v>-0.86999999999999988</v>
      </c>
      <c r="C217" s="25">
        <f t="shared" si="61"/>
        <v>0</v>
      </c>
      <c r="D217" s="25">
        <f t="shared" si="62"/>
        <v>0</v>
      </c>
      <c r="E217" s="25">
        <f t="shared" si="63"/>
        <v>2</v>
      </c>
      <c r="F217" s="26">
        <f t="shared" si="64"/>
        <v>2</v>
      </c>
    </row>
    <row r="218" spans="2:6" x14ac:dyDescent="0.2">
      <c r="B218" s="24">
        <f t="shared" si="65"/>
        <v>-0.85999999999999988</v>
      </c>
      <c r="C218" s="25">
        <f t="shared" si="61"/>
        <v>0</v>
      </c>
      <c r="D218" s="25">
        <f t="shared" si="62"/>
        <v>0</v>
      </c>
      <c r="E218" s="25">
        <f t="shared" si="63"/>
        <v>2</v>
      </c>
      <c r="F218" s="26">
        <f t="shared" si="64"/>
        <v>2</v>
      </c>
    </row>
    <row r="219" spans="2:6" x14ac:dyDescent="0.2">
      <c r="B219" s="24">
        <f t="shared" si="65"/>
        <v>-0.84999999999999987</v>
      </c>
      <c r="C219" s="25">
        <f t="shared" si="61"/>
        <v>0</v>
      </c>
      <c r="D219" s="25">
        <f t="shared" si="62"/>
        <v>0</v>
      </c>
      <c r="E219" s="25">
        <f t="shared" si="63"/>
        <v>2</v>
      </c>
      <c r="F219" s="26">
        <f t="shared" si="64"/>
        <v>2</v>
      </c>
    </row>
    <row r="220" spans="2:6" x14ac:dyDescent="0.2">
      <c r="B220" s="24">
        <f t="shared" si="65"/>
        <v>-0.83999999999999986</v>
      </c>
      <c r="C220" s="25">
        <f t="shared" si="61"/>
        <v>0</v>
      </c>
      <c r="D220" s="25">
        <f t="shared" si="62"/>
        <v>0</v>
      </c>
      <c r="E220" s="25">
        <f t="shared" si="63"/>
        <v>2</v>
      </c>
      <c r="F220" s="26">
        <f t="shared" si="64"/>
        <v>2</v>
      </c>
    </row>
    <row r="221" spans="2:6" x14ac:dyDescent="0.2">
      <c r="B221" s="24">
        <f t="shared" si="65"/>
        <v>-0.82999999999999985</v>
      </c>
      <c r="C221" s="25">
        <f t="shared" si="61"/>
        <v>0</v>
      </c>
      <c r="D221" s="25">
        <f t="shared" si="62"/>
        <v>0</v>
      </c>
      <c r="E221" s="25">
        <f t="shared" si="63"/>
        <v>2</v>
      </c>
      <c r="F221" s="26">
        <f t="shared" si="64"/>
        <v>2</v>
      </c>
    </row>
    <row r="222" spans="2:6" x14ac:dyDescent="0.2">
      <c r="B222" s="24">
        <f t="shared" si="65"/>
        <v>-0.81999999999999984</v>
      </c>
      <c r="C222" s="25">
        <f t="shared" si="61"/>
        <v>0</v>
      </c>
      <c r="D222" s="25">
        <f t="shared" si="62"/>
        <v>0</v>
      </c>
      <c r="E222" s="25">
        <f t="shared" si="63"/>
        <v>2</v>
      </c>
      <c r="F222" s="26">
        <f t="shared" si="64"/>
        <v>2</v>
      </c>
    </row>
    <row r="223" spans="2:6" x14ac:dyDescent="0.2">
      <c r="B223" s="24">
        <f t="shared" si="65"/>
        <v>-0.80999999999999983</v>
      </c>
      <c r="C223" s="25">
        <f t="shared" si="61"/>
        <v>0</v>
      </c>
      <c r="D223" s="25">
        <f t="shared" si="62"/>
        <v>0</v>
      </c>
      <c r="E223" s="25">
        <f t="shared" si="63"/>
        <v>2</v>
      </c>
      <c r="F223" s="26">
        <f t="shared" si="64"/>
        <v>2</v>
      </c>
    </row>
    <row r="224" spans="2:6" x14ac:dyDescent="0.2">
      <c r="B224" s="24">
        <f t="shared" si="65"/>
        <v>-0.79999999999999982</v>
      </c>
      <c r="C224" s="25">
        <f t="shared" si="61"/>
        <v>0</v>
      </c>
      <c r="D224" s="25">
        <f t="shared" si="62"/>
        <v>0</v>
      </c>
      <c r="E224" s="25">
        <f t="shared" si="63"/>
        <v>2</v>
      </c>
      <c r="F224" s="26">
        <f t="shared" si="64"/>
        <v>2</v>
      </c>
    </row>
    <row r="225" spans="2:6" x14ac:dyDescent="0.2">
      <c r="B225" s="24">
        <f t="shared" si="65"/>
        <v>-0.78999999999999981</v>
      </c>
      <c r="C225" s="25">
        <f t="shared" si="61"/>
        <v>0</v>
      </c>
      <c r="D225" s="25">
        <f t="shared" si="62"/>
        <v>0</v>
      </c>
      <c r="E225" s="25">
        <f t="shared" si="63"/>
        <v>2</v>
      </c>
      <c r="F225" s="26">
        <f t="shared" si="64"/>
        <v>2</v>
      </c>
    </row>
    <row r="226" spans="2:6" x14ac:dyDescent="0.2">
      <c r="B226" s="24">
        <f t="shared" si="65"/>
        <v>-0.7799999999999998</v>
      </c>
      <c r="C226" s="25">
        <f t="shared" si="61"/>
        <v>0</v>
      </c>
      <c r="D226" s="25">
        <f t="shared" si="62"/>
        <v>0</v>
      </c>
      <c r="E226" s="25">
        <f t="shared" si="63"/>
        <v>2</v>
      </c>
      <c r="F226" s="26">
        <f t="shared" si="64"/>
        <v>2</v>
      </c>
    </row>
    <row r="227" spans="2:6" x14ac:dyDescent="0.2">
      <c r="B227" s="24">
        <f t="shared" si="65"/>
        <v>-0.7699999999999998</v>
      </c>
      <c r="C227" s="25">
        <f t="shared" si="61"/>
        <v>0</v>
      </c>
      <c r="D227" s="25">
        <f t="shared" si="62"/>
        <v>0</v>
      </c>
      <c r="E227" s="25">
        <f t="shared" si="63"/>
        <v>2</v>
      </c>
      <c r="F227" s="26">
        <f t="shared" si="64"/>
        <v>2</v>
      </c>
    </row>
    <row r="228" spans="2:6" x14ac:dyDescent="0.2">
      <c r="B228" s="24">
        <f t="shared" si="65"/>
        <v>-0.75999999999999979</v>
      </c>
      <c r="C228" s="25">
        <f t="shared" si="61"/>
        <v>0</v>
      </c>
      <c r="D228" s="25">
        <f t="shared" si="62"/>
        <v>0</v>
      </c>
      <c r="E228" s="25">
        <f t="shared" si="63"/>
        <v>2</v>
      </c>
      <c r="F228" s="26">
        <f t="shared" si="64"/>
        <v>2</v>
      </c>
    </row>
    <row r="229" spans="2:6" x14ac:dyDescent="0.2">
      <c r="B229" s="24">
        <f t="shared" si="65"/>
        <v>-0.74999999999999978</v>
      </c>
      <c r="C229" s="25">
        <f t="shared" si="61"/>
        <v>0</v>
      </c>
      <c r="D229" s="25">
        <f t="shared" si="62"/>
        <v>0</v>
      </c>
      <c r="E229" s="25">
        <f t="shared" si="63"/>
        <v>2</v>
      </c>
      <c r="F229" s="26">
        <f t="shared" si="64"/>
        <v>2</v>
      </c>
    </row>
    <row r="230" spans="2:6" x14ac:dyDescent="0.2">
      <c r="B230" s="24">
        <f t="shared" si="65"/>
        <v>-0.73999999999999977</v>
      </c>
      <c r="C230" s="25">
        <f t="shared" si="61"/>
        <v>0</v>
      </c>
      <c r="D230" s="25">
        <f t="shared" si="62"/>
        <v>0</v>
      </c>
      <c r="E230" s="25">
        <f t="shared" si="63"/>
        <v>2</v>
      </c>
      <c r="F230" s="26">
        <f t="shared" si="64"/>
        <v>2</v>
      </c>
    </row>
    <row r="231" spans="2:6" x14ac:dyDescent="0.2">
      <c r="B231" s="24">
        <f t="shared" si="65"/>
        <v>-0.72999999999999976</v>
      </c>
      <c r="C231" s="25">
        <f t="shared" si="61"/>
        <v>0</v>
      </c>
      <c r="D231" s="25">
        <f t="shared" si="62"/>
        <v>0</v>
      </c>
      <c r="E231" s="25">
        <f t="shared" si="63"/>
        <v>2</v>
      </c>
      <c r="F231" s="26">
        <f t="shared" si="64"/>
        <v>2</v>
      </c>
    </row>
    <row r="232" spans="2:6" x14ac:dyDescent="0.2">
      <c r="B232" s="24">
        <f t="shared" si="65"/>
        <v>-0.71999999999999975</v>
      </c>
      <c r="C232" s="25">
        <f t="shared" si="61"/>
        <v>0</v>
      </c>
      <c r="D232" s="25">
        <f t="shared" si="62"/>
        <v>0</v>
      </c>
      <c r="E232" s="25">
        <f t="shared" si="63"/>
        <v>2</v>
      </c>
      <c r="F232" s="26">
        <f t="shared" si="64"/>
        <v>2</v>
      </c>
    </row>
    <row r="233" spans="2:6" x14ac:dyDescent="0.2">
      <c r="B233" s="24">
        <f t="shared" si="65"/>
        <v>-0.70999999999999974</v>
      </c>
      <c r="C233" s="25">
        <f t="shared" si="61"/>
        <v>0</v>
      </c>
      <c r="D233" s="25">
        <f t="shared" si="62"/>
        <v>0</v>
      </c>
      <c r="E233" s="25">
        <f t="shared" si="63"/>
        <v>2</v>
      </c>
      <c r="F233" s="26">
        <f t="shared" si="64"/>
        <v>2</v>
      </c>
    </row>
    <row r="234" spans="2:6" x14ac:dyDescent="0.2">
      <c r="B234" s="24">
        <f t="shared" si="65"/>
        <v>-0.69999999999999973</v>
      </c>
      <c r="C234" s="25">
        <f t="shared" si="61"/>
        <v>0</v>
      </c>
      <c r="D234" s="25">
        <f t="shared" si="62"/>
        <v>0</v>
      </c>
      <c r="E234" s="25">
        <f t="shared" si="63"/>
        <v>2</v>
      </c>
      <c r="F234" s="26">
        <f t="shared" si="64"/>
        <v>2</v>
      </c>
    </row>
    <row r="235" spans="2:6" x14ac:dyDescent="0.2">
      <c r="B235" s="24">
        <f t="shared" si="65"/>
        <v>-0.68999999999999972</v>
      </c>
      <c r="C235" s="25">
        <f t="shared" si="61"/>
        <v>0</v>
      </c>
      <c r="D235" s="25">
        <f t="shared" si="62"/>
        <v>0</v>
      </c>
      <c r="E235" s="25">
        <f t="shared" si="63"/>
        <v>2</v>
      </c>
      <c r="F235" s="26">
        <f t="shared" si="64"/>
        <v>2</v>
      </c>
    </row>
    <row r="236" spans="2:6" x14ac:dyDescent="0.2">
      <c r="B236" s="24">
        <f t="shared" si="65"/>
        <v>-0.67999999999999972</v>
      </c>
      <c r="C236" s="25">
        <f t="shared" si="61"/>
        <v>0</v>
      </c>
      <c r="D236" s="25">
        <f t="shared" si="62"/>
        <v>0</v>
      </c>
      <c r="E236" s="25">
        <f t="shared" si="63"/>
        <v>2</v>
      </c>
      <c r="F236" s="26">
        <f t="shared" si="64"/>
        <v>2</v>
      </c>
    </row>
    <row r="237" spans="2:6" x14ac:dyDescent="0.2">
      <c r="B237" s="24">
        <f t="shared" ref="B237:B268" si="66">B236+$C$199</f>
        <v>-0.66999999999999971</v>
      </c>
      <c r="C237" s="25">
        <f t="shared" si="61"/>
        <v>0</v>
      </c>
      <c r="D237" s="25">
        <f t="shared" si="62"/>
        <v>0</v>
      </c>
      <c r="E237" s="25">
        <f t="shared" si="63"/>
        <v>2</v>
      </c>
      <c r="F237" s="26">
        <f t="shared" si="64"/>
        <v>2</v>
      </c>
    </row>
    <row r="238" spans="2:6" x14ac:dyDescent="0.2">
      <c r="B238" s="24">
        <f t="shared" si="66"/>
        <v>-0.6599999999999997</v>
      </c>
      <c r="C238" s="25">
        <f t="shared" si="61"/>
        <v>0</v>
      </c>
      <c r="D238" s="25">
        <f t="shared" si="62"/>
        <v>0</v>
      </c>
      <c r="E238" s="25">
        <f t="shared" si="63"/>
        <v>2</v>
      </c>
      <c r="F238" s="26">
        <f t="shared" si="64"/>
        <v>2</v>
      </c>
    </row>
    <row r="239" spans="2:6" x14ac:dyDescent="0.2">
      <c r="B239" s="24">
        <f t="shared" si="66"/>
        <v>-0.64999999999999969</v>
      </c>
      <c r="C239" s="25">
        <f t="shared" si="61"/>
        <v>0</v>
      </c>
      <c r="D239" s="25">
        <f t="shared" si="62"/>
        <v>0</v>
      </c>
      <c r="E239" s="25">
        <f t="shared" si="63"/>
        <v>2</v>
      </c>
      <c r="F239" s="26">
        <f t="shared" si="64"/>
        <v>2</v>
      </c>
    </row>
    <row r="240" spans="2:6" x14ac:dyDescent="0.2">
      <c r="B240" s="24">
        <f t="shared" si="66"/>
        <v>-0.63999999999999968</v>
      </c>
      <c r="C240" s="25">
        <f t="shared" si="61"/>
        <v>0</v>
      </c>
      <c r="D240" s="25">
        <f t="shared" si="62"/>
        <v>0</v>
      </c>
      <c r="E240" s="25">
        <f t="shared" si="63"/>
        <v>2</v>
      </c>
      <c r="F240" s="26">
        <f t="shared" si="64"/>
        <v>2</v>
      </c>
    </row>
    <row r="241" spans="2:6" x14ac:dyDescent="0.2">
      <c r="B241" s="24">
        <f t="shared" si="66"/>
        <v>-0.62999999999999967</v>
      </c>
      <c r="C241" s="25">
        <f t="shared" si="61"/>
        <v>0</v>
      </c>
      <c r="D241" s="25">
        <f t="shared" si="62"/>
        <v>0</v>
      </c>
      <c r="E241" s="25">
        <f t="shared" si="63"/>
        <v>2</v>
      </c>
      <c r="F241" s="26">
        <f t="shared" si="64"/>
        <v>2</v>
      </c>
    </row>
    <row r="242" spans="2:6" x14ac:dyDescent="0.2">
      <c r="B242" s="24">
        <f t="shared" si="66"/>
        <v>-0.61999999999999966</v>
      </c>
      <c r="C242" s="25">
        <f t="shared" si="61"/>
        <v>0</v>
      </c>
      <c r="D242" s="25">
        <f t="shared" si="62"/>
        <v>0</v>
      </c>
      <c r="E242" s="25">
        <f t="shared" si="63"/>
        <v>2</v>
      </c>
      <c r="F242" s="26">
        <f t="shared" si="64"/>
        <v>2</v>
      </c>
    </row>
    <row r="243" spans="2:6" x14ac:dyDescent="0.2">
      <c r="B243" s="24">
        <f t="shared" si="66"/>
        <v>-0.60999999999999965</v>
      </c>
      <c r="C243" s="25">
        <f t="shared" si="61"/>
        <v>0</v>
      </c>
      <c r="D243" s="25">
        <f t="shared" si="62"/>
        <v>0</v>
      </c>
      <c r="E243" s="25">
        <f t="shared" si="63"/>
        <v>2</v>
      </c>
      <c r="F243" s="26">
        <f t="shared" si="64"/>
        <v>2</v>
      </c>
    </row>
    <row r="244" spans="2:6" x14ac:dyDescent="0.2">
      <c r="B244" s="24">
        <f t="shared" si="66"/>
        <v>-0.59999999999999964</v>
      </c>
      <c r="C244" s="25">
        <f t="shared" si="61"/>
        <v>0</v>
      </c>
      <c r="D244" s="25">
        <f t="shared" si="62"/>
        <v>0</v>
      </c>
      <c r="E244" s="25">
        <f t="shared" si="63"/>
        <v>2</v>
      </c>
      <c r="F244" s="26">
        <f t="shared" si="64"/>
        <v>2</v>
      </c>
    </row>
    <row r="245" spans="2:6" x14ac:dyDescent="0.2">
      <c r="B245" s="24">
        <f t="shared" si="66"/>
        <v>-0.58999999999999964</v>
      </c>
      <c r="C245" s="25">
        <f t="shared" si="61"/>
        <v>0</v>
      </c>
      <c r="D245" s="25">
        <f t="shared" si="62"/>
        <v>0</v>
      </c>
      <c r="E245" s="25">
        <f t="shared" si="63"/>
        <v>2</v>
      </c>
      <c r="F245" s="26">
        <f t="shared" si="64"/>
        <v>2</v>
      </c>
    </row>
    <row r="246" spans="2:6" x14ac:dyDescent="0.2">
      <c r="B246" s="24">
        <f t="shared" si="66"/>
        <v>-0.57999999999999963</v>
      </c>
      <c r="C246" s="25">
        <f t="shared" si="61"/>
        <v>0</v>
      </c>
      <c r="D246" s="25">
        <f t="shared" si="62"/>
        <v>0</v>
      </c>
      <c r="E246" s="25">
        <f t="shared" si="63"/>
        <v>2</v>
      </c>
      <c r="F246" s="26">
        <f t="shared" si="64"/>
        <v>2</v>
      </c>
    </row>
    <row r="247" spans="2:6" x14ac:dyDescent="0.2">
      <c r="B247" s="24">
        <f t="shared" si="66"/>
        <v>-0.56999999999999962</v>
      </c>
      <c r="C247" s="25">
        <f t="shared" si="61"/>
        <v>0</v>
      </c>
      <c r="D247" s="25">
        <f t="shared" si="62"/>
        <v>0</v>
      </c>
      <c r="E247" s="25">
        <f t="shared" si="63"/>
        <v>2</v>
      </c>
      <c r="F247" s="26">
        <f t="shared" si="64"/>
        <v>2</v>
      </c>
    </row>
    <row r="248" spans="2:6" x14ac:dyDescent="0.2">
      <c r="B248" s="24">
        <f t="shared" si="66"/>
        <v>-0.55999999999999961</v>
      </c>
      <c r="C248" s="25">
        <f t="shared" si="61"/>
        <v>0</v>
      </c>
      <c r="D248" s="25">
        <f t="shared" si="62"/>
        <v>0</v>
      </c>
      <c r="E248" s="25">
        <f t="shared" si="63"/>
        <v>2</v>
      </c>
      <c r="F248" s="26">
        <f t="shared" si="64"/>
        <v>2</v>
      </c>
    </row>
    <row r="249" spans="2:6" x14ac:dyDescent="0.2">
      <c r="B249" s="24">
        <f t="shared" si="66"/>
        <v>-0.5499999999999996</v>
      </c>
      <c r="C249" s="25">
        <f t="shared" si="61"/>
        <v>0</v>
      </c>
      <c r="D249" s="25">
        <f t="shared" si="62"/>
        <v>0</v>
      </c>
      <c r="E249" s="25">
        <f t="shared" si="63"/>
        <v>2</v>
      </c>
      <c r="F249" s="26">
        <f t="shared" si="64"/>
        <v>2</v>
      </c>
    </row>
    <row r="250" spans="2:6" x14ac:dyDescent="0.2">
      <c r="B250" s="24">
        <f t="shared" si="66"/>
        <v>-0.53999999999999959</v>
      </c>
      <c r="C250" s="25">
        <f t="shared" si="61"/>
        <v>0</v>
      </c>
      <c r="D250" s="25">
        <f t="shared" si="62"/>
        <v>0</v>
      </c>
      <c r="E250" s="25">
        <f t="shared" si="63"/>
        <v>2</v>
      </c>
      <c r="F250" s="26">
        <f t="shared" si="64"/>
        <v>2</v>
      </c>
    </row>
    <row r="251" spans="2:6" x14ac:dyDescent="0.2">
      <c r="B251" s="24">
        <f t="shared" si="66"/>
        <v>-0.52999999999999958</v>
      </c>
      <c r="C251" s="25">
        <f t="shared" si="61"/>
        <v>0</v>
      </c>
      <c r="D251" s="25">
        <f t="shared" si="62"/>
        <v>0</v>
      </c>
      <c r="E251" s="25">
        <f t="shared" si="63"/>
        <v>2</v>
      </c>
      <c r="F251" s="26">
        <f t="shared" si="64"/>
        <v>2</v>
      </c>
    </row>
    <row r="252" spans="2:6" x14ac:dyDescent="0.2">
      <c r="B252" s="24">
        <f t="shared" si="66"/>
        <v>-0.51999999999999957</v>
      </c>
      <c r="C252" s="25">
        <f t="shared" si="61"/>
        <v>0</v>
      </c>
      <c r="D252" s="25">
        <f t="shared" si="62"/>
        <v>0</v>
      </c>
      <c r="E252" s="25">
        <f t="shared" si="63"/>
        <v>2</v>
      </c>
      <c r="F252" s="26">
        <f t="shared" si="64"/>
        <v>2</v>
      </c>
    </row>
    <row r="253" spans="2:6" x14ac:dyDescent="0.2">
      <c r="B253" s="24">
        <f t="shared" si="66"/>
        <v>-0.50999999999999956</v>
      </c>
      <c r="C253" s="25">
        <f t="shared" si="61"/>
        <v>0.15593567022715529</v>
      </c>
      <c r="D253" s="25">
        <f t="shared" si="62"/>
        <v>0</v>
      </c>
      <c r="E253" s="25">
        <f t="shared" si="63"/>
        <v>2</v>
      </c>
      <c r="F253" s="26">
        <f t="shared" si="64"/>
        <v>2</v>
      </c>
    </row>
    <row r="254" spans="2:6" x14ac:dyDescent="0.2">
      <c r="B254" s="24">
        <f t="shared" si="66"/>
        <v>-0.49999999999999956</v>
      </c>
      <c r="C254" s="25">
        <f t="shared" si="61"/>
        <v>0.24940516171042834</v>
      </c>
      <c r="D254" s="25">
        <f t="shared" si="62"/>
        <v>0</v>
      </c>
      <c r="E254" s="25">
        <f t="shared" si="63"/>
        <v>2</v>
      </c>
      <c r="F254" s="26">
        <f t="shared" si="64"/>
        <v>2</v>
      </c>
    </row>
    <row r="255" spans="2:6" x14ac:dyDescent="0.2">
      <c r="B255" s="24">
        <f t="shared" si="66"/>
        <v>-0.48999999999999955</v>
      </c>
      <c r="C255" s="25">
        <f t="shared" si="61"/>
        <v>0.31518200848742606</v>
      </c>
      <c r="D255" s="25">
        <f t="shared" si="62"/>
        <v>0</v>
      </c>
      <c r="E255" s="25">
        <f t="shared" si="63"/>
        <v>2</v>
      </c>
      <c r="F255" s="26">
        <f t="shared" si="64"/>
        <v>2</v>
      </c>
    </row>
    <row r="256" spans="2:6" x14ac:dyDescent="0.2">
      <c r="B256" s="24">
        <f t="shared" si="66"/>
        <v>-0.47999999999999954</v>
      </c>
      <c r="C256" s="25">
        <f t="shared" si="61"/>
        <v>0.36841040241594847</v>
      </c>
      <c r="D256" s="25">
        <f t="shared" si="62"/>
        <v>0</v>
      </c>
      <c r="E256" s="25">
        <f t="shared" si="63"/>
        <v>2</v>
      </c>
      <c r="F256" s="26">
        <f t="shared" si="64"/>
        <v>2</v>
      </c>
    </row>
    <row r="257" spans="2:6" x14ac:dyDescent="0.2">
      <c r="B257" s="24">
        <f t="shared" si="66"/>
        <v>-0.46999999999999953</v>
      </c>
      <c r="C257" s="25">
        <f t="shared" si="61"/>
        <v>0.41395955489654374</v>
      </c>
      <c r="D257" s="25">
        <f t="shared" si="62"/>
        <v>0</v>
      </c>
      <c r="E257" s="25">
        <f t="shared" si="63"/>
        <v>2</v>
      </c>
      <c r="F257" s="26">
        <f t="shared" si="64"/>
        <v>2</v>
      </c>
    </row>
    <row r="258" spans="2:6" x14ac:dyDescent="0.2">
      <c r="B258" s="24">
        <f t="shared" si="66"/>
        <v>-0.45999999999999952</v>
      </c>
      <c r="C258" s="25">
        <f t="shared" si="61"/>
        <v>0.45414597203956164</v>
      </c>
      <c r="D258" s="25">
        <f t="shared" si="62"/>
        <v>0</v>
      </c>
      <c r="E258" s="25">
        <f t="shared" si="63"/>
        <v>2</v>
      </c>
      <c r="F258" s="26">
        <f t="shared" si="64"/>
        <v>2</v>
      </c>
    </row>
    <row r="259" spans="2:6" x14ac:dyDescent="0.2">
      <c r="B259" s="24">
        <f t="shared" si="66"/>
        <v>-0.44999999999999951</v>
      </c>
      <c r="C259" s="25">
        <f t="shared" si="61"/>
        <v>0.49029009483888436</v>
      </c>
      <c r="D259" s="25">
        <f t="shared" si="62"/>
        <v>0</v>
      </c>
      <c r="E259" s="25">
        <f t="shared" si="63"/>
        <v>2</v>
      </c>
      <c r="F259" s="26">
        <f t="shared" si="64"/>
        <v>2</v>
      </c>
    </row>
    <row r="260" spans="2:6" x14ac:dyDescent="0.2">
      <c r="B260" s="24">
        <f t="shared" si="66"/>
        <v>-0.4399999999999995</v>
      </c>
      <c r="C260" s="25">
        <f t="shared" si="61"/>
        <v>0.52323030552734273</v>
      </c>
      <c r="D260" s="25">
        <f t="shared" si="62"/>
        <v>0</v>
      </c>
      <c r="E260" s="25">
        <f t="shared" si="63"/>
        <v>2</v>
      </c>
      <c r="F260" s="26">
        <f t="shared" si="64"/>
        <v>2</v>
      </c>
    </row>
    <row r="261" spans="2:6" x14ac:dyDescent="0.2">
      <c r="B261" s="24">
        <f t="shared" si="66"/>
        <v>-0.42999999999999949</v>
      </c>
      <c r="C261" s="25">
        <f t="shared" si="61"/>
        <v>0.55353887893724407</v>
      </c>
      <c r="D261" s="25">
        <f t="shared" si="62"/>
        <v>0</v>
      </c>
      <c r="E261" s="25">
        <f t="shared" si="63"/>
        <v>2</v>
      </c>
      <c r="F261" s="26">
        <f t="shared" si="64"/>
        <v>2</v>
      </c>
    </row>
    <row r="262" spans="2:6" x14ac:dyDescent="0.2">
      <c r="B262" s="24">
        <f t="shared" si="66"/>
        <v>-0.41999999999999948</v>
      </c>
      <c r="C262" s="25">
        <f t="shared" si="61"/>
        <v>0.58162736413937377</v>
      </c>
      <c r="D262" s="25">
        <f t="shared" si="62"/>
        <v>0</v>
      </c>
      <c r="E262" s="25">
        <f t="shared" si="63"/>
        <v>2</v>
      </c>
      <c r="F262" s="26">
        <f t="shared" si="64"/>
        <v>2</v>
      </c>
    </row>
    <row r="263" spans="2:6" x14ac:dyDescent="0.2">
      <c r="B263" s="24">
        <f t="shared" si="66"/>
        <v>-0.40999999999999948</v>
      </c>
      <c r="C263" s="25">
        <f t="shared" si="61"/>
        <v>0.60780363052887443</v>
      </c>
      <c r="D263" s="25">
        <f t="shared" si="62"/>
        <v>0</v>
      </c>
      <c r="E263" s="25">
        <f t="shared" si="63"/>
        <v>2</v>
      </c>
      <c r="F263" s="26">
        <f t="shared" si="64"/>
        <v>2</v>
      </c>
    </row>
    <row r="264" spans="2:6" x14ac:dyDescent="0.2">
      <c r="B264" s="24">
        <f t="shared" si="66"/>
        <v>-0.39999999999999947</v>
      </c>
      <c r="C264" s="25">
        <f t="shared" si="61"/>
        <v>0.63230520968927306</v>
      </c>
      <c r="D264" s="25">
        <f t="shared" si="62"/>
        <v>0</v>
      </c>
      <c r="E264" s="25">
        <f t="shared" si="63"/>
        <v>2</v>
      </c>
      <c r="F264" s="26">
        <f t="shared" si="64"/>
        <v>2</v>
      </c>
    </row>
    <row r="265" spans="2:6" x14ac:dyDescent="0.2">
      <c r="B265" s="24">
        <f t="shared" si="66"/>
        <v>-0.38999999999999946</v>
      </c>
      <c r="C265" s="25">
        <f t="shared" si="61"/>
        <v>0.6553199718183943</v>
      </c>
      <c r="D265" s="25">
        <f t="shared" si="62"/>
        <v>0</v>
      </c>
      <c r="E265" s="25">
        <f t="shared" si="63"/>
        <v>2</v>
      </c>
      <c r="F265" s="26">
        <f t="shared" si="64"/>
        <v>2</v>
      </c>
    </row>
    <row r="266" spans="2:6" x14ac:dyDescent="0.2">
      <c r="B266" s="24">
        <f t="shared" si="66"/>
        <v>-0.37999999999999945</v>
      </c>
      <c r="C266" s="25">
        <f t="shared" si="61"/>
        <v>0.67699956800257755</v>
      </c>
      <c r="D266" s="25">
        <f t="shared" si="62"/>
        <v>0</v>
      </c>
      <c r="E266" s="25">
        <f t="shared" si="63"/>
        <v>2</v>
      </c>
      <c r="F266" s="26">
        <f t="shared" si="64"/>
        <v>2</v>
      </c>
    </row>
    <row r="267" spans="2:6" x14ac:dyDescent="0.2">
      <c r="B267" s="24">
        <f t="shared" si="66"/>
        <v>-0.36999999999999944</v>
      </c>
      <c r="C267" s="25">
        <f t="shared" si="61"/>
        <v>0.6974685132929247</v>
      </c>
      <c r="D267" s="25">
        <f t="shared" si="62"/>
        <v>0</v>
      </c>
      <c r="E267" s="25">
        <f t="shared" si="63"/>
        <v>2</v>
      </c>
      <c r="F267" s="26">
        <f t="shared" si="64"/>
        <v>2</v>
      </c>
    </row>
    <row r="268" spans="2:6" x14ac:dyDescent="0.2">
      <c r="B268" s="24">
        <f t="shared" si="66"/>
        <v>-0.35999999999999943</v>
      </c>
      <c r="C268" s="25">
        <f t="shared" ref="C268:C331" si="67">IFERROR(IF(SQRT(1-(B268*B268)/($F$200*$F$200))&lt;0.05,0,SQRT(1-(B268*B268)/($F$200*$F$200))),0)</f>
        <v>0.71683052483983867</v>
      </c>
      <c r="D268" s="25">
        <f t="shared" ref="D268:D331" si="68">CHOOSE(MATCH($F$198,degrees),IF(B268&lt;0,IFERROR(1-C268,1),0),0,0,IF(B268&gt;0,IFERROR(1-C268,1),0))</f>
        <v>0</v>
      </c>
      <c r="E268" s="25">
        <f t="shared" ref="E268:E331" si="69">CHOOSE(MATCH($F$198,degrees),IF(B268&lt;0,2*C268,2),IF(B268&lt;0,0,1-C268),IF(B268&gt;0,0,1-C268),IF(B268&gt;0,2*C268,2))</f>
        <v>2</v>
      </c>
      <c r="F268" s="26">
        <f t="shared" ref="F268:F331" si="70">CHOOSE(MATCH($F$198,degrees),IF(B268&lt;0,C268+1,2),IF(B268&lt;0,2,2*C268),IF(B268&gt;0,2,2*C268),IF(B268&gt;0,C268+1,2))</f>
        <v>2</v>
      </c>
    </row>
    <row r="269" spans="2:6" x14ac:dyDescent="0.2">
      <c r="B269" s="24">
        <f t="shared" ref="B269:B300" si="71">B268+$C$199</f>
        <v>-0.34999999999999942</v>
      </c>
      <c r="C269" s="25">
        <f t="shared" si="67"/>
        <v>0.73517306669724036</v>
      </c>
      <c r="D269" s="25">
        <f t="shared" si="68"/>
        <v>0</v>
      </c>
      <c r="E269" s="25">
        <f t="shared" si="69"/>
        <v>2</v>
      </c>
      <c r="F269" s="26">
        <f t="shared" si="70"/>
        <v>2</v>
      </c>
    </row>
    <row r="270" spans="2:6" x14ac:dyDescent="0.2">
      <c r="B270" s="24">
        <f t="shared" si="71"/>
        <v>-0.33999999999999941</v>
      </c>
      <c r="C270" s="25">
        <f t="shared" si="67"/>
        <v>0.75257068571639285</v>
      </c>
      <c r="D270" s="25">
        <f t="shared" si="68"/>
        <v>0</v>
      </c>
      <c r="E270" s="25">
        <f t="shared" si="69"/>
        <v>2</v>
      </c>
      <c r="F270" s="26">
        <f t="shared" si="70"/>
        <v>2</v>
      </c>
    </row>
    <row r="271" spans="2:6" x14ac:dyDescent="0.2">
      <c r="B271" s="24">
        <f t="shared" si="71"/>
        <v>-0.3299999999999994</v>
      </c>
      <c r="C271" s="25">
        <f t="shared" si="67"/>
        <v>0.76908751020284327</v>
      </c>
      <c r="D271" s="25">
        <f t="shared" si="68"/>
        <v>0</v>
      </c>
      <c r="E271" s="25">
        <f t="shared" si="69"/>
        <v>2</v>
      </c>
      <c r="F271" s="26">
        <f t="shared" si="70"/>
        <v>2</v>
      </c>
    </row>
    <row r="272" spans="2:6" x14ac:dyDescent="0.2">
      <c r="B272" s="24">
        <f t="shared" si="71"/>
        <v>-0.3199999999999994</v>
      </c>
      <c r="C272" s="25">
        <f t="shared" si="67"/>
        <v>0.78477915495260553</v>
      </c>
      <c r="D272" s="25">
        <f t="shared" si="68"/>
        <v>0</v>
      </c>
      <c r="E272" s="25">
        <f t="shared" si="69"/>
        <v>2</v>
      </c>
      <c r="F272" s="26">
        <f t="shared" si="70"/>
        <v>2</v>
      </c>
    </row>
    <row r="273" spans="2:6" x14ac:dyDescent="0.2">
      <c r="B273" s="24">
        <f t="shared" si="71"/>
        <v>-0.30999999999999939</v>
      </c>
      <c r="C273" s="25">
        <f t="shared" si="67"/>
        <v>0.79969419661142538</v>
      </c>
      <c r="D273" s="25">
        <f t="shared" si="68"/>
        <v>0</v>
      </c>
      <c r="E273" s="25">
        <f t="shared" si="69"/>
        <v>2</v>
      </c>
      <c r="F273" s="26">
        <f t="shared" si="70"/>
        <v>2</v>
      </c>
    </row>
    <row r="274" spans="2:6" x14ac:dyDescent="0.2">
      <c r="B274" s="24">
        <f t="shared" si="71"/>
        <v>-0.29999999999999938</v>
      </c>
      <c r="C274" s="25">
        <f t="shared" si="67"/>
        <v>0.81387533227614817</v>
      </c>
      <c r="D274" s="25">
        <f t="shared" si="68"/>
        <v>0</v>
      </c>
      <c r="E274" s="25">
        <f t="shared" si="69"/>
        <v>2</v>
      </c>
      <c r="F274" s="26">
        <f t="shared" si="70"/>
        <v>2</v>
      </c>
    </row>
    <row r="275" spans="2:6" x14ac:dyDescent="0.2">
      <c r="B275" s="24">
        <f t="shared" si="71"/>
        <v>-0.28999999999999937</v>
      </c>
      <c r="C275" s="25">
        <f t="shared" si="67"/>
        <v>0.82736030073298683</v>
      </c>
      <c r="D275" s="25">
        <f t="shared" si="68"/>
        <v>0</v>
      </c>
      <c r="E275" s="25">
        <f t="shared" si="69"/>
        <v>2</v>
      </c>
      <c r="F275" s="26">
        <f t="shared" si="70"/>
        <v>2</v>
      </c>
    </row>
    <row r="276" spans="2:6" x14ac:dyDescent="0.2">
      <c r="B276" s="24">
        <f t="shared" si="71"/>
        <v>-0.27999999999999936</v>
      </c>
      <c r="C276" s="25">
        <f t="shared" si="67"/>
        <v>0.84018262319456272</v>
      </c>
      <c r="D276" s="25">
        <f t="shared" si="68"/>
        <v>0</v>
      </c>
      <c r="E276" s="25">
        <f t="shared" si="69"/>
        <v>2</v>
      </c>
      <c r="F276" s="26">
        <f t="shared" si="70"/>
        <v>2</v>
      </c>
    </row>
    <row r="277" spans="2:6" x14ac:dyDescent="0.2">
      <c r="B277" s="24">
        <f t="shared" si="71"/>
        <v>-0.26999999999999935</v>
      </c>
      <c r="C277" s="25">
        <f t="shared" si="67"/>
        <v>0.85237220494040322</v>
      </c>
      <c r="D277" s="25">
        <f t="shared" si="68"/>
        <v>0</v>
      </c>
      <c r="E277" s="25">
        <f t="shared" si="69"/>
        <v>2</v>
      </c>
      <c r="F277" s="26">
        <f t="shared" si="70"/>
        <v>2</v>
      </c>
    </row>
    <row r="278" spans="2:6" x14ac:dyDescent="0.2">
      <c r="B278" s="24">
        <f t="shared" si="71"/>
        <v>-0.25999999999999934</v>
      </c>
      <c r="C278" s="25">
        <f t="shared" si="67"/>
        <v>0.86395582846554331</v>
      </c>
      <c r="D278" s="25">
        <f t="shared" si="68"/>
        <v>0</v>
      </c>
      <c r="E278" s="25">
        <f t="shared" si="69"/>
        <v>2</v>
      </c>
      <c r="F278" s="26">
        <f t="shared" si="70"/>
        <v>2</v>
      </c>
    </row>
    <row r="279" spans="2:6" x14ac:dyDescent="0.2">
      <c r="B279" s="24">
        <f t="shared" si="71"/>
        <v>-0.24999999999999933</v>
      </c>
      <c r="C279" s="25">
        <f t="shared" si="67"/>
        <v>0.87495756106907951</v>
      </c>
      <c r="D279" s="25">
        <f t="shared" si="68"/>
        <v>0</v>
      </c>
      <c r="E279" s="25">
        <f t="shared" si="69"/>
        <v>2</v>
      </c>
      <c r="F279" s="26">
        <f t="shared" si="70"/>
        <v>2</v>
      </c>
    </row>
    <row r="280" spans="2:6" x14ac:dyDescent="0.2">
      <c r="B280" s="24">
        <f t="shared" si="71"/>
        <v>-0.23999999999999932</v>
      </c>
      <c r="C280" s="25">
        <f t="shared" si="67"/>
        <v>0.88539909428012809</v>
      </c>
      <c r="D280" s="25">
        <f t="shared" si="68"/>
        <v>0</v>
      </c>
      <c r="E280" s="25">
        <f t="shared" si="69"/>
        <v>2</v>
      </c>
      <c r="F280" s="26">
        <f t="shared" si="70"/>
        <v>2</v>
      </c>
    </row>
    <row r="281" spans="2:6" x14ac:dyDescent="0.2">
      <c r="B281" s="24">
        <f t="shared" si="71"/>
        <v>-0.22999999999999932</v>
      </c>
      <c r="C281" s="25">
        <f t="shared" si="67"/>
        <v>0.89530002847086987</v>
      </c>
      <c r="D281" s="25">
        <f t="shared" si="68"/>
        <v>0</v>
      </c>
      <c r="E281" s="25">
        <f t="shared" si="69"/>
        <v>2</v>
      </c>
      <c r="F281" s="26">
        <f t="shared" si="70"/>
        <v>2</v>
      </c>
    </row>
    <row r="282" spans="2:6" x14ac:dyDescent="0.2">
      <c r="B282" s="24">
        <f t="shared" si="71"/>
        <v>-0.21999999999999931</v>
      </c>
      <c r="C282" s="25">
        <f t="shared" si="67"/>
        <v>0.9046781130079139</v>
      </c>
      <c r="D282" s="25">
        <f t="shared" si="68"/>
        <v>0</v>
      </c>
      <c r="E282" s="25">
        <f t="shared" si="69"/>
        <v>2</v>
      </c>
      <c r="F282" s="26">
        <f t="shared" si="70"/>
        <v>2</v>
      </c>
    </row>
    <row r="283" spans="2:6" x14ac:dyDescent="0.2">
      <c r="B283" s="24">
        <f t="shared" si="71"/>
        <v>-0.2099999999999993</v>
      </c>
      <c r="C283" s="25">
        <f t="shared" si="67"/>
        <v>0.91354945004577037</v>
      </c>
      <c r="D283" s="25">
        <f t="shared" si="68"/>
        <v>0</v>
      </c>
      <c r="E283" s="25">
        <f t="shared" si="69"/>
        <v>2</v>
      </c>
      <c r="F283" s="26">
        <f t="shared" si="70"/>
        <v>2</v>
      </c>
    </row>
    <row r="284" spans="2:6" x14ac:dyDescent="0.2">
      <c r="B284" s="24">
        <f t="shared" si="71"/>
        <v>-0.19999999999999929</v>
      </c>
      <c r="C284" s="25">
        <f t="shared" si="67"/>
        <v>0.92192866836325771</v>
      </c>
      <c r="D284" s="25">
        <f t="shared" si="68"/>
        <v>0</v>
      </c>
      <c r="E284" s="25">
        <f t="shared" si="69"/>
        <v>2</v>
      </c>
      <c r="F284" s="26">
        <f t="shared" si="70"/>
        <v>2</v>
      </c>
    </row>
    <row r="285" spans="2:6" x14ac:dyDescent="0.2">
      <c r="B285" s="24">
        <f t="shared" si="71"/>
        <v>-0.18999999999999928</v>
      </c>
      <c r="C285" s="25">
        <f t="shared" si="67"/>
        <v>0.92982907234013712</v>
      </c>
      <c r="D285" s="25">
        <f t="shared" si="68"/>
        <v>0</v>
      </c>
      <c r="E285" s="25">
        <f t="shared" si="69"/>
        <v>2</v>
      </c>
      <c r="F285" s="26">
        <f t="shared" si="70"/>
        <v>2</v>
      </c>
    </row>
    <row r="286" spans="2:6" x14ac:dyDescent="0.2">
      <c r="B286" s="24">
        <f t="shared" si="71"/>
        <v>-0.17999999999999927</v>
      </c>
      <c r="C286" s="25">
        <f t="shared" si="67"/>
        <v>0.93726277016402415</v>
      </c>
      <c r="D286" s="25">
        <f t="shared" si="68"/>
        <v>0</v>
      </c>
      <c r="E286" s="25">
        <f t="shared" si="69"/>
        <v>2</v>
      </c>
      <c r="F286" s="26">
        <f t="shared" si="70"/>
        <v>2</v>
      </c>
    </row>
    <row r="287" spans="2:6" x14ac:dyDescent="0.2">
      <c r="B287" s="24">
        <f t="shared" si="71"/>
        <v>-0.16999999999999926</v>
      </c>
      <c r="C287" s="25">
        <f t="shared" si="67"/>
        <v>0.94424078457240501</v>
      </c>
      <c r="D287" s="25">
        <f t="shared" si="68"/>
        <v>0</v>
      </c>
      <c r="E287" s="25">
        <f t="shared" si="69"/>
        <v>2</v>
      </c>
      <c r="F287" s="26">
        <f t="shared" si="70"/>
        <v>2</v>
      </c>
    </row>
    <row r="288" spans="2:6" x14ac:dyDescent="0.2">
      <c r="B288" s="24">
        <f t="shared" si="71"/>
        <v>-0.15999999999999925</v>
      </c>
      <c r="C288" s="25">
        <f t="shared" si="67"/>
        <v>0.95077314881733588</v>
      </c>
      <c r="D288" s="25">
        <f t="shared" si="68"/>
        <v>0</v>
      </c>
      <c r="E288" s="25">
        <f t="shared" si="69"/>
        <v>2</v>
      </c>
      <c r="F288" s="26">
        <f t="shared" si="70"/>
        <v>2</v>
      </c>
    </row>
    <row r="289" spans="2:6" x14ac:dyDescent="0.2">
      <c r="B289" s="24">
        <f t="shared" si="71"/>
        <v>-0.14999999999999925</v>
      </c>
      <c r="C289" s="25">
        <f t="shared" si="67"/>
        <v>0.95686899005135662</v>
      </c>
      <c r="D289" s="25">
        <f t="shared" si="68"/>
        <v>0</v>
      </c>
      <c r="E289" s="25">
        <f t="shared" si="69"/>
        <v>2</v>
      </c>
      <c r="F289" s="26">
        <f t="shared" si="70"/>
        <v>2</v>
      </c>
    </row>
    <row r="290" spans="2:6" x14ac:dyDescent="0.2">
      <c r="B290" s="24">
        <f t="shared" si="71"/>
        <v>-0.13999999999999924</v>
      </c>
      <c r="C290" s="25">
        <f t="shared" si="67"/>
        <v>0.96253660194276491</v>
      </c>
      <c r="D290" s="25">
        <f t="shared" si="68"/>
        <v>0</v>
      </c>
      <c r="E290" s="25">
        <f t="shared" si="69"/>
        <v>2</v>
      </c>
      <c r="F290" s="26">
        <f t="shared" si="70"/>
        <v>2</v>
      </c>
    </row>
    <row r="291" spans="2:6" x14ac:dyDescent="0.2">
      <c r="B291" s="24">
        <f t="shared" si="71"/>
        <v>-0.12999999999999923</v>
      </c>
      <c r="C291" s="25">
        <f t="shared" si="67"/>
        <v>0.96778350801452295</v>
      </c>
      <c r="D291" s="25">
        <f t="shared" si="68"/>
        <v>0</v>
      </c>
      <c r="E291" s="25">
        <f t="shared" si="69"/>
        <v>2</v>
      </c>
      <c r="F291" s="26">
        <f t="shared" si="70"/>
        <v>2</v>
      </c>
    </row>
    <row r="292" spans="2:6" x14ac:dyDescent="0.2">
      <c r="B292" s="24">
        <f t="shared" si="71"/>
        <v>-0.11999999999999923</v>
      </c>
      <c r="C292" s="25">
        <f t="shared" si="67"/>
        <v>0.97261651694695073</v>
      </c>
      <c r="D292" s="25">
        <f t="shared" si="68"/>
        <v>0</v>
      </c>
      <c r="E292" s="25">
        <f t="shared" si="69"/>
        <v>2</v>
      </c>
      <c r="F292" s="26">
        <f t="shared" si="70"/>
        <v>2</v>
      </c>
    </row>
    <row r="293" spans="2:6" x14ac:dyDescent="0.2">
      <c r="B293" s="24">
        <f t="shared" si="71"/>
        <v>-0.10999999999999924</v>
      </c>
      <c r="C293" s="25">
        <f t="shared" si="67"/>
        <v>0.97704177087721811</v>
      </c>
      <c r="D293" s="25">
        <f t="shared" si="68"/>
        <v>0</v>
      </c>
      <c r="E293" s="25">
        <f t="shared" si="69"/>
        <v>2</v>
      </c>
      <c r="F293" s="26">
        <f t="shared" si="70"/>
        <v>2</v>
      </c>
    </row>
    <row r="294" spans="2:6" x14ac:dyDescent="0.2">
      <c r="B294" s="24">
        <f t="shared" si="71"/>
        <v>-9.9999999999999242E-2</v>
      </c>
      <c r="C294" s="25">
        <f t="shared" si="67"/>
        <v>0.981064787558657</v>
      </c>
      <c r="D294" s="25">
        <f t="shared" si="68"/>
        <v>0</v>
      </c>
      <c r="E294" s="25">
        <f t="shared" si="69"/>
        <v>2</v>
      </c>
      <c r="F294" s="26">
        <f t="shared" si="70"/>
        <v>2</v>
      </c>
    </row>
    <row r="295" spans="2:6" x14ac:dyDescent="0.2">
      <c r="B295" s="24">
        <f t="shared" si="71"/>
        <v>-8.9999999999999247E-2</v>
      </c>
      <c r="C295" s="25">
        <f t="shared" si="67"/>
        <v>0.98469049710245771</v>
      </c>
      <c r="D295" s="25">
        <f t="shared" si="68"/>
        <v>0</v>
      </c>
      <c r="E295" s="25">
        <f t="shared" si="69"/>
        <v>2</v>
      </c>
      <c r="F295" s="26">
        <f t="shared" si="70"/>
        <v>2</v>
      </c>
    </row>
    <row r="296" spans="2:6" x14ac:dyDescent="0.2">
      <c r="B296" s="24">
        <f t="shared" si="71"/>
        <v>-7.9999999999999252E-2</v>
      </c>
      <c r="C296" s="25">
        <f t="shared" si="67"/>
        <v>0.98792327390744683</v>
      </c>
      <c r="D296" s="25">
        <f t="shared" si="68"/>
        <v>0</v>
      </c>
      <c r="E296" s="25">
        <f t="shared" si="69"/>
        <v>2</v>
      </c>
      <c r="F296" s="26">
        <f t="shared" si="70"/>
        <v>2</v>
      </c>
    </row>
    <row r="297" spans="2:6" x14ac:dyDescent="0.2">
      <c r="B297" s="24">
        <f t="shared" si="71"/>
        <v>-6.9999999999999257E-2</v>
      </c>
      <c r="C297" s="25">
        <f t="shared" si="67"/>
        <v>0.99076696428568978</v>
      </c>
      <c r="D297" s="25">
        <f t="shared" si="68"/>
        <v>0</v>
      </c>
      <c r="E297" s="25">
        <f t="shared" si="69"/>
        <v>2</v>
      </c>
      <c r="F297" s="26">
        <f t="shared" si="70"/>
        <v>2</v>
      </c>
    </row>
    <row r="298" spans="2:6" x14ac:dyDescent="0.2">
      <c r="B298" s="24">
        <f t="shared" si="71"/>
        <v>-5.9999999999999255E-2</v>
      </c>
      <c r="C298" s="25">
        <f t="shared" si="67"/>
        <v>0.99322491020891368</v>
      </c>
      <c r="D298" s="25">
        <f t="shared" si="68"/>
        <v>0</v>
      </c>
      <c r="E298" s="25">
        <f t="shared" si="69"/>
        <v>2</v>
      </c>
      <c r="F298" s="26">
        <f t="shared" si="70"/>
        <v>2</v>
      </c>
    </row>
    <row r="299" spans="2:6" x14ac:dyDescent="0.2">
      <c r="B299" s="24">
        <f t="shared" si="71"/>
        <v>-4.9999999999999253E-2</v>
      </c>
      <c r="C299" s="25">
        <f t="shared" si="67"/>
        <v>0.9952999695302307</v>
      </c>
      <c r="D299" s="25">
        <f t="shared" si="68"/>
        <v>0</v>
      </c>
      <c r="E299" s="25">
        <f t="shared" si="69"/>
        <v>2</v>
      </c>
      <c r="F299" s="26">
        <f t="shared" si="70"/>
        <v>2</v>
      </c>
    </row>
    <row r="300" spans="2:6" x14ac:dyDescent="0.2">
      <c r="B300" s="24">
        <f t="shared" si="71"/>
        <v>-3.9999999999999251E-2</v>
      </c>
      <c r="C300" s="25">
        <f t="shared" si="67"/>
        <v>0.99699453297498186</v>
      </c>
      <c r="D300" s="25">
        <f t="shared" si="68"/>
        <v>0</v>
      </c>
      <c r="E300" s="25">
        <f t="shared" si="69"/>
        <v>2</v>
      </c>
      <c r="F300" s="26">
        <f t="shared" si="70"/>
        <v>2</v>
      </c>
    </row>
    <row r="301" spans="2:6" x14ac:dyDescent="0.2">
      <c r="B301" s="24">
        <f t="shared" ref="B301:B332" si="72">B300+$C$199</f>
        <v>-2.9999999999999249E-2</v>
      </c>
      <c r="C301" s="25">
        <f t="shared" si="67"/>
        <v>0.99831053814175297</v>
      </c>
      <c r="D301" s="25">
        <f t="shared" si="68"/>
        <v>0</v>
      </c>
      <c r="E301" s="25">
        <f t="shared" si="69"/>
        <v>2</v>
      </c>
      <c r="F301" s="26">
        <f t="shared" si="70"/>
        <v>2</v>
      </c>
    </row>
    <row r="302" spans="2:6" x14ac:dyDescent="0.2">
      <c r="B302" s="24">
        <f t="shared" si="72"/>
        <v>-1.9999999999999248E-2</v>
      </c>
      <c r="C302" s="25">
        <f t="shared" si="67"/>
        <v>0.99924948070814656</v>
      </c>
      <c r="D302" s="25">
        <f t="shared" si="68"/>
        <v>0</v>
      </c>
      <c r="E302" s="25">
        <f t="shared" si="69"/>
        <v>2</v>
      </c>
      <c r="F302" s="26">
        <f t="shared" si="70"/>
        <v>2</v>
      </c>
    </row>
    <row r="303" spans="2:6" x14ac:dyDescent="0.2">
      <c r="B303" s="24">
        <f t="shared" si="72"/>
        <v>-9.9999999999992473E-3</v>
      </c>
      <c r="C303" s="25">
        <f t="shared" si="67"/>
        <v>0.99981242299437101</v>
      </c>
      <c r="D303" s="25">
        <f t="shared" si="68"/>
        <v>0</v>
      </c>
      <c r="E303" s="25">
        <f t="shared" si="69"/>
        <v>2</v>
      </c>
      <c r="F303" s="26">
        <f t="shared" si="70"/>
        <v>2</v>
      </c>
    </row>
    <row r="304" spans="2:6" x14ac:dyDescent="0.2">
      <c r="B304" s="24">
        <f t="shared" si="72"/>
        <v>7.5286998857393428E-16</v>
      </c>
      <c r="C304" s="25">
        <f t="shared" si="67"/>
        <v>1</v>
      </c>
      <c r="D304" s="25">
        <f t="shared" si="68"/>
        <v>0</v>
      </c>
      <c r="E304" s="25">
        <f t="shared" si="69"/>
        <v>2</v>
      </c>
      <c r="F304" s="26">
        <f t="shared" si="70"/>
        <v>2</v>
      </c>
    </row>
    <row r="305" spans="2:6" x14ac:dyDescent="0.2">
      <c r="B305" s="24">
        <f t="shared" si="72"/>
        <v>1.0000000000000753E-2</v>
      </c>
      <c r="C305" s="25">
        <f t="shared" si="67"/>
        <v>0.99981242299437101</v>
      </c>
      <c r="D305" s="25">
        <f t="shared" si="68"/>
        <v>1.875770056289916E-4</v>
      </c>
      <c r="E305" s="25">
        <f t="shared" si="69"/>
        <v>1.999624845988742</v>
      </c>
      <c r="F305" s="26">
        <f t="shared" si="70"/>
        <v>1.999812422994371</v>
      </c>
    </row>
    <row r="306" spans="2:6" x14ac:dyDescent="0.2">
      <c r="B306" s="24">
        <f t="shared" si="72"/>
        <v>2.0000000000000753E-2</v>
      </c>
      <c r="C306" s="25">
        <f t="shared" si="67"/>
        <v>0.99924948070814645</v>
      </c>
      <c r="D306" s="25">
        <f t="shared" si="68"/>
        <v>7.5051929185354638E-4</v>
      </c>
      <c r="E306" s="25">
        <f t="shared" si="69"/>
        <v>1.9984989614162929</v>
      </c>
      <c r="F306" s="26">
        <f t="shared" si="70"/>
        <v>1.9992494807081465</v>
      </c>
    </row>
    <row r="307" spans="2:6" x14ac:dyDescent="0.2">
      <c r="B307" s="24">
        <f t="shared" si="72"/>
        <v>3.0000000000000755E-2</v>
      </c>
      <c r="C307" s="25">
        <f t="shared" si="67"/>
        <v>0.99831053814175275</v>
      </c>
      <c r="D307" s="25">
        <f t="shared" si="68"/>
        <v>1.6894618582472543E-3</v>
      </c>
      <c r="E307" s="25">
        <f t="shared" si="69"/>
        <v>1.9966210762835055</v>
      </c>
      <c r="F307" s="26">
        <f t="shared" si="70"/>
        <v>1.9983105381417527</v>
      </c>
    </row>
    <row r="308" spans="2:6" x14ac:dyDescent="0.2">
      <c r="B308" s="24">
        <f t="shared" si="72"/>
        <v>4.0000000000000757E-2</v>
      </c>
      <c r="C308" s="25">
        <f t="shared" si="67"/>
        <v>0.99699453297498164</v>
      </c>
      <c r="D308" s="25">
        <f t="shared" si="68"/>
        <v>3.0054670250183602E-3</v>
      </c>
      <c r="E308" s="25">
        <f t="shared" si="69"/>
        <v>1.9939890659499633</v>
      </c>
      <c r="F308" s="26">
        <f t="shared" si="70"/>
        <v>1.9969945329749816</v>
      </c>
    </row>
    <row r="309" spans="2:6" x14ac:dyDescent="0.2">
      <c r="B309" s="24">
        <f t="shared" si="72"/>
        <v>5.0000000000000759E-2</v>
      </c>
      <c r="C309" s="25">
        <f t="shared" si="67"/>
        <v>0.99529996953023048</v>
      </c>
      <c r="D309" s="25">
        <f t="shared" si="68"/>
        <v>4.7000304697695228E-3</v>
      </c>
      <c r="E309" s="25">
        <f t="shared" si="69"/>
        <v>1.990599939060461</v>
      </c>
      <c r="F309" s="26">
        <f t="shared" si="70"/>
        <v>1.9952999695302305</v>
      </c>
    </row>
    <row r="310" spans="2:6" x14ac:dyDescent="0.2">
      <c r="B310" s="24">
        <f t="shared" si="72"/>
        <v>6.0000000000000761E-2</v>
      </c>
      <c r="C310" s="25">
        <f t="shared" si="67"/>
        <v>0.99322491020891335</v>
      </c>
      <c r="D310" s="25">
        <f t="shared" si="68"/>
        <v>6.7750897910866525E-3</v>
      </c>
      <c r="E310" s="25">
        <f t="shared" si="69"/>
        <v>1.9864498204178267</v>
      </c>
      <c r="F310" s="26">
        <f t="shared" si="70"/>
        <v>1.9932249102089132</v>
      </c>
    </row>
    <row r="311" spans="2:6" x14ac:dyDescent="0.2">
      <c r="B311" s="24">
        <f t="shared" si="72"/>
        <v>7.0000000000000756E-2</v>
      </c>
      <c r="C311" s="25">
        <f t="shared" si="67"/>
        <v>0.99076696428568944</v>
      </c>
      <c r="D311" s="25">
        <f t="shared" si="68"/>
        <v>9.2330357143105557E-3</v>
      </c>
      <c r="E311" s="25">
        <f t="shared" si="69"/>
        <v>1.9815339285713789</v>
      </c>
      <c r="F311" s="26">
        <f t="shared" si="70"/>
        <v>1.9907669642856893</v>
      </c>
    </row>
    <row r="312" spans="2:6" x14ac:dyDescent="0.2">
      <c r="B312" s="24">
        <f t="shared" si="72"/>
        <v>8.0000000000000751E-2</v>
      </c>
      <c r="C312" s="25">
        <f t="shared" si="67"/>
        <v>0.98792327390744639</v>
      </c>
      <c r="D312" s="25">
        <f t="shared" si="68"/>
        <v>1.2076726092553614E-2</v>
      </c>
      <c r="E312" s="25">
        <f t="shared" si="69"/>
        <v>1.9758465478148928</v>
      </c>
      <c r="F312" s="26">
        <f t="shared" si="70"/>
        <v>1.9879232739074464</v>
      </c>
    </row>
    <row r="313" spans="2:6" x14ac:dyDescent="0.2">
      <c r="B313" s="24">
        <f t="shared" si="72"/>
        <v>9.0000000000000746E-2</v>
      </c>
      <c r="C313" s="25">
        <f t="shared" si="67"/>
        <v>0.98469049710245726</v>
      </c>
      <c r="D313" s="25">
        <f t="shared" si="68"/>
        <v>1.5309502897542737E-2</v>
      </c>
      <c r="E313" s="25">
        <f t="shared" si="69"/>
        <v>1.9693809942049145</v>
      </c>
      <c r="F313" s="26">
        <f t="shared" si="70"/>
        <v>1.9846904971024573</v>
      </c>
    </row>
    <row r="314" spans="2:6" x14ac:dyDescent="0.2">
      <c r="B314" s="24">
        <f t="shared" si="72"/>
        <v>0.10000000000000074</v>
      </c>
      <c r="C314" s="25">
        <f t="shared" si="67"/>
        <v>0.98106478755865645</v>
      </c>
      <c r="D314" s="25">
        <f t="shared" si="68"/>
        <v>1.8935212441343552E-2</v>
      </c>
      <c r="E314" s="25">
        <f t="shared" si="69"/>
        <v>1.9621295751173129</v>
      </c>
      <c r="F314" s="26">
        <f t="shared" si="70"/>
        <v>1.9810647875586564</v>
      </c>
    </row>
    <row r="315" spans="2:6" x14ac:dyDescent="0.2">
      <c r="B315" s="24">
        <f t="shared" si="72"/>
        <v>0.11000000000000074</v>
      </c>
      <c r="C315" s="25">
        <f t="shared" si="67"/>
        <v>0.97704177087721744</v>
      </c>
      <c r="D315" s="25">
        <f t="shared" si="68"/>
        <v>2.2958229122782559E-2</v>
      </c>
      <c r="E315" s="25">
        <f t="shared" si="69"/>
        <v>1.9540835417544349</v>
      </c>
      <c r="F315" s="26">
        <f t="shared" si="70"/>
        <v>1.9770417708772174</v>
      </c>
    </row>
    <row r="316" spans="2:6" x14ac:dyDescent="0.2">
      <c r="B316" s="24">
        <f t="shared" si="72"/>
        <v>0.12000000000000073</v>
      </c>
      <c r="C316" s="25">
        <f t="shared" si="67"/>
        <v>0.97261651694695006</v>
      </c>
      <c r="D316" s="25">
        <f t="shared" si="68"/>
        <v>2.738348305304994E-2</v>
      </c>
      <c r="E316" s="25">
        <f t="shared" si="69"/>
        <v>1.9452330338939001</v>
      </c>
      <c r="F316" s="26">
        <f t="shared" si="70"/>
        <v>1.9726165169469501</v>
      </c>
    </row>
    <row r="317" spans="2:6" x14ac:dyDescent="0.2">
      <c r="B317" s="24">
        <f t="shared" si="72"/>
        <v>0.13000000000000073</v>
      </c>
      <c r="C317" s="25">
        <f t="shared" si="67"/>
        <v>0.96778350801452218</v>
      </c>
      <c r="D317" s="25">
        <f t="shared" si="68"/>
        <v>3.2216491985477824E-2</v>
      </c>
      <c r="E317" s="25">
        <f t="shared" si="69"/>
        <v>1.9355670160290444</v>
      </c>
      <c r="F317" s="26">
        <f t="shared" si="70"/>
        <v>1.9677835080145223</v>
      </c>
    </row>
    <row r="318" spans="2:6" x14ac:dyDescent="0.2">
      <c r="B318" s="24">
        <f t="shared" si="72"/>
        <v>0.14000000000000073</v>
      </c>
      <c r="C318" s="25">
        <f t="shared" si="67"/>
        <v>0.96253660194276403</v>
      </c>
      <c r="D318" s="25">
        <f t="shared" si="68"/>
        <v>3.7463398057235975E-2</v>
      </c>
      <c r="E318" s="25">
        <f t="shared" si="69"/>
        <v>1.9250732038855281</v>
      </c>
      <c r="F318" s="26">
        <f t="shared" si="70"/>
        <v>1.9625366019427641</v>
      </c>
    </row>
    <row r="319" spans="2:6" x14ac:dyDescent="0.2">
      <c r="B319" s="24">
        <f t="shared" si="72"/>
        <v>0.15000000000000074</v>
      </c>
      <c r="C319" s="25">
        <f t="shared" si="67"/>
        <v>0.95686899005135573</v>
      </c>
      <c r="D319" s="25">
        <f t="shared" si="68"/>
        <v>4.3131009948644272E-2</v>
      </c>
      <c r="E319" s="25">
        <f t="shared" si="69"/>
        <v>1.9137379801027115</v>
      </c>
      <c r="F319" s="26">
        <f t="shared" si="70"/>
        <v>1.9568689900513556</v>
      </c>
    </row>
    <row r="320" spans="2:6" x14ac:dyDescent="0.2">
      <c r="B320" s="24">
        <f t="shared" si="72"/>
        <v>0.16000000000000075</v>
      </c>
      <c r="C320" s="25">
        <f t="shared" si="67"/>
        <v>0.95077314881733499</v>
      </c>
      <c r="D320" s="25">
        <f t="shared" si="68"/>
        <v>4.922685118266501E-2</v>
      </c>
      <c r="E320" s="25">
        <f t="shared" si="69"/>
        <v>1.90154629763467</v>
      </c>
      <c r="F320" s="26">
        <f t="shared" si="70"/>
        <v>1.950773148817335</v>
      </c>
    </row>
    <row r="321" spans="2:6" x14ac:dyDescent="0.2">
      <c r="B321" s="24">
        <f t="shared" si="72"/>
        <v>0.17000000000000076</v>
      </c>
      <c r="C321" s="25">
        <f t="shared" si="67"/>
        <v>0.94424078457240401</v>
      </c>
      <c r="D321" s="25">
        <f t="shared" si="68"/>
        <v>5.5759215427595987E-2</v>
      </c>
      <c r="E321" s="25">
        <f t="shared" si="69"/>
        <v>1.888481569144808</v>
      </c>
      <c r="F321" s="26">
        <f t="shared" si="70"/>
        <v>1.9442407845724041</v>
      </c>
    </row>
    <row r="322" spans="2:6" x14ac:dyDescent="0.2">
      <c r="B322" s="24">
        <f t="shared" si="72"/>
        <v>0.18000000000000077</v>
      </c>
      <c r="C322" s="25">
        <f t="shared" si="67"/>
        <v>0.93726277016402304</v>
      </c>
      <c r="D322" s="25">
        <f t="shared" si="68"/>
        <v>6.273722983597696E-2</v>
      </c>
      <c r="E322" s="25">
        <f t="shared" si="69"/>
        <v>1.8745255403280461</v>
      </c>
      <c r="F322" s="26">
        <f t="shared" si="70"/>
        <v>1.937262770164023</v>
      </c>
    </row>
    <row r="323" spans="2:6" x14ac:dyDescent="0.2">
      <c r="B323" s="24">
        <f t="shared" si="72"/>
        <v>0.19000000000000078</v>
      </c>
      <c r="C323" s="25">
        <f t="shared" si="67"/>
        <v>0.9298290723401359</v>
      </c>
      <c r="D323" s="25">
        <f t="shared" si="68"/>
        <v>7.0170927659864102E-2</v>
      </c>
      <c r="E323" s="25">
        <f t="shared" si="69"/>
        <v>1.8596581446802718</v>
      </c>
      <c r="F323" s="26">
        <f t="shared" si="70"/>
        <v>1.9298290723401359</v>
      </c>
    </row>
    <row r="324" spans="2:6" x14ac:dyDescent="0.2">
      <c r="B324" s="24">
        <f t="shared" si="72"/>
        <v>0.20000000000000079</v>
      </c>
      <c r="C324" s="25">
        <f t="shared" si="67"/>
        <v>0.92192866836325649</v>
      </c>
      <c r="D324" s="25">
        <f t="shared" si="68"/>
        <v>7.8071331636743513E-2</v>
      </c>
      <c r="E324" s="25">
        <f t="shared" si="69"/>
        <v>1.843857336726513</v>
      </c>
      <c r="F324" s="26">
        <f t="shared" si="70"/>
        <v>1.9219286683632566</v>
      </c>
    </row>
    <row r="325" spans="2:6" x14ac:dyDescent="0.2">
      <c r="B325" s="24">
        <f t="shared" si="72"/>
        <v>0.2100000000000008</v>
      </c>
      <c r="C325" s="25">
        <f t="shared" si="67"/>
        <v>0.91354945004576915</v>
      </c>
      <c r="D325" s="25">
        <f t="shared" si="68"/>
        <v>8.6450549954230849E-2</v>
      </c>
      <c r="E325" s="25">
        <f t="shared" si="69"/>
        <v>1.8270989000915383</v>
      </c>
      <c r="F325" s="26">
        <f t="shared" si="70"/>
        <v>1.9135494500457693</v>
      </c>
    </row>
    <row r="326" spans="2:6" x14ac:dyDescent="0.2">
      <c r="B326" s="24">
        <f t="shared" si="72"/>
        <v>0.22000000000000081</v>
      </c>
      <c r="C326" s="25">
        <f t="shared" si="67"/>
        <v>0.90467811300791257</v>
      </c>
      <c r="D326" s="25">
        <f t="shared" si="68"/>
        <v>9.5321886992087435E-2</v>
      </c>
      <c r="E326" s="25">
        <f t="shared" si="69"/>
        <v>1.8093562260158251</v>
      </c>
      <c r="F326" s="26">
        <f t="shared" si="70"/>
        <v>1.9046781130079125</v>
      </c>
    </row>
    <row r="327" spans="2:6" x14ac:dyDescent="0.2">
      <c r="B327" s="24">
        <f t="shared" si="72"/>
        <v>0.23000000000000081</v>
      </c>
      <c r="C327" s="25">
        <f t="shared" si="67"/>
        <v>0.89530002847086843</v>
      </c>
      <c r="D327" s="25">
        <f t="shared" si="68"/>
        <v>0.10469997152913157</v>
      </c>
      <c r="E327" s="25">
        <f t="shared" si="69"/>
        <v>1.7906000569417369</v>
      </c>
      <c r="F327" s="26">
        <f t="shared" si="70"/>
        <v>1.8953000284708685</v>
      </c>
    </row>
    <row r="328" spans="2:6" x14ac:dyDescent="0.2">
      <c r="B328" s="24">
        <f t="shared" si="72"/>
        <v>0.24000000000000082</v>
      </c>
      <c r="C328" s="25">
        <f t="shared" si="67"/>
        <v>0.88539909428012653</v>
      </c>
      <c r="D328" s="25">
        <f t="shared" si="68"/>
        <v>0.11460090571987347</v>
      </c>
      <c r="E328" s="25">
        <f t="shared" si="69"/>
        <v>1.7707981885602531</v>
      </c>
      <c r="F328" s="26">
        <f t="shared" si="70"/>
        <v>1.8853990942801264</v>
      </c>
    </row>
    <row r="329" spans="2:6" x14ac:dyDescent="0.2">
      <c r="B329" s="24">
        <f t="shared" si="72"/>
        <v>0.25000000000000083</v>
      </c>
      <c r="C329" s="25">
        <f t="shared" si="67"/>
        <v>0.87495756106907796</v>
      </c>
      <c r="D329" s="25">
        <f t="shared" si="68"/>
        <v>0.12504243893092204</v>
      </c>
      <c r="E329" s="25">
        <f t="shared" si="69"/>
        <v>1.7499151221381559</v>
      </c>
      <c r="F329" s="26">
        <f t="shared" si="70"/>
        <v>1.8749575610690781</v>
      </c>
    </row>
    <row r="330" spans="2:6" x14ac:dyDescent="0.2">
      <c r="B330" s="24">
        <f t="shared" si="72"/>
        <v>0.26000000000000084</v>
      </c>
      <c r="C330" s="25">
        <f t="shared" si="67"/>
        <v>0.86395582846554153</v>
      </c>
      <c r="D330" s="25">
        <f t="shared" si="68"/>
        <v>0.13604417153445847</v>
      </c>
      <c r="E330" s="25">
        <f t="shared" si="69"/>
        <v>1.7279116569310831</v>
      </c>
      <c r="F330" s="26">
        <f t="shared" si="70"/>
        <v>1.8639558284655415</v>
      </c>
    </row>
    <row r="331" spans="2:6" x14ac:dyDescent="0.2">
      <c r="B331" s="24">
        <f t="shared" si="72"/>
        <v>0.27000000000000085</v>
      </c>
      <c r="C331" s="25">
        <f t="shared" si="67"/>
        <v>0.85237220494040145</v>
      </c>
      <c r="D331" s="25">
        <f t="shared" si="68"/>
        <v>0.14762779505959855</v>
      </c>
      <c r="E331" s="25">
        <f t="shared" si="69"/>
        <v>1.7047444098808029</v>
      </c>
      <c r="F331" s="26">
        <f t="shared" si="70"/>
        <v>1.8523722049404014</v>
      </c>
    </row>
    <row r="332" spans="2:6" x14ac:dyDescent="0.2">
      <c r="B332" s="24">
        <f t="shared" si="72"/>
        <v>0.28000000000000086</v>
      </c>
      <c r="C332" s="25">
        <f t="shared" ref="C332:C395" si="73">IFERROR(IF(SQRT(1-(B332*B332)/($F$200*$F$200))&lt;0.05,0,SQRT(1-(B332*B332)/($F$200*$F$200))),0)</f>
        <v>0.84018262319456072</v>
      </c>
      <c r="D332" s="25">
        <f t="shared" ref="D332:D395" si="74">CHOOSE(MATCH($F$198,degrees),IF(B332&lt;0,IFERROR(1-C332,1),0),0,0,IF(B332&gt;0,IFERROR(1-C332,1),0))</f>
        <v>0.15981737680543928</v>
      </c>
      <c r="E332" s="25">
        <f t="shared" ref="E332:E395" si="75">CHOOSE(MATCH($F$198,degrees),IF(B332&lt;0,2*C332,2),IF(B332&lt;0,0,1-C332),IF(B332&gt;0,0,1-C332),IF(B332&gt;0,2*C332,2))</f>
        <v>1.6803652463891214</v>
      </c>
      <c r="F332" s="26">
        <f t="shared" ref="F332:F395" si="76">CHOOSE(MATCH($F$198,degrees),IF(B332&lt;0,C332+1,2),IF(B332&lt;0,2,2*C332),IF(B332&gt;0,2,2*C332),IF(B332&gt;0,C332+1,2))</f>
        <v>1.8401826231945608</v>
      </c>
    </row>
    <row r="333" spans="2:6" x14ac:dyDescent="0.2">
      <c r="B333" s="24">
        <f t="shared" ref="B333:B364" si="77">B332+$C$199</f>
        <v>0.29000000000000087</v>
      </c>
      <c r="C333" s="25">
        <f t="shared" si="73"/>
        <v>0.82736030073298483</v>
      </c>
      <c r="D333" s="25">
        <f t="shared" si="74"/>
        <v>0.17263969926701517</v>
      </c>
      <c r="E333" s="25">
        <f t="shared" si="75"/>
        <v>1.6547206014659697</v>
      </c>
      <c r="F333" s="26">
        <f t="shared" si="76"/>
        <v>1.8273603007329848</v>
      </c>
    </row>
    <row r="334" spans="2:6" x14ac:dyDescent="0.2">
      <c r="B334" s="24">
        <f t="shared" si="77"/>
        <v>0.30000000000000088</v>
      </c>
      <c r="C334" s="25">
        <f t="shared" si="73"/>
        <v>0.81387533227614617</v>
      </c>
      <c r="D334" s="25">
        <f t="shared" si="74"/>
        <v>0.18612466772385383</v>
      </c>
      <c r="E334" s="25">
        <f t="shared" si="75"/>
        <v>1.6277506645522923</v>
      </c>
      <c r="F334" s="26">
        <f t="shared" si="76"/>
        <v>1.8138753322761461</v>
      </c>
    </row>
    <row r="335" spans="2:6" x14ac:dyDescent="0.2">
      <c r="B335" s="24">
        <f t="shared" si="77"/>
        <v>0.31000000000000089</v>
      </c>
      <c r="C335" s="25">
        <f t="shared" si="73"/>
        <v>0.79969419661142316</v>
      </c>
      <c r="D335" s="25">
        <f t="shared" si="74"/>
        <v>0.20030580338857684</v>
      </c>
      <c r="E335" s="25">
        <f t="shared" si="75"/>
        <v>1.5993883932228463</v>
      </c>
      <c r="F335" s="26">
        <f t="shared" si="76"/>
        <v>1.7996941966114233</v>
      </c>
    </row>
    <row r="336" spans="2:6" x14ac:dyDescent="0.2">
      <c r="B336" s="24">
        <f t="shared" si="77"/>
        <v>0.32000000000000089</v>
      </c>
      <c r="C336" s="25">
        <f t="shared" si="73"/>
        <v>0.78477915495260331</v>
      </c>
      <c r="D336" s="25">
        <f t="shared" si="74"/>
        <v>0.21522084504739669</v>
      </c>
      <c r="E336" s="25">
        <f t="shared" si="75"/>
        <v>1.5695583099052066</v>
      </c>
      <c r="F336" s="26">
        <f t="shared" si="76"/>
        <v>1.7847791549526033</v>
      </c>
    </row>
    <row r="337" spans="2:6" x14ac:dyDescent="0.2">
      <c r="B337" s="24">
        <f t="shared" si="77"/>
        <v>0.3300000000000009</v>
      </c>
      <c r="C337" s="25">
        <f t="shared" si="73"/>
        <v>0.76908751020284083</v>
      </c>
      <c r="D337" s="25">
        <f t="shared" si="74"/>
        <v>0.23091248979715917</v>
      </c>
      <c r="E337" s="25">
        <f t="shared" si="75"/>
        <v>1.5381750204056817</v>
      </c>
      <c r="F337" s="26">
        <f t="shared" si="76"/>
        <v>1.7690875102028407</v>
      </c>
    </row>
    <row r="338" spans="2:6" x14ac:dyDescent="0.2">
      <c r="B338" s="24">
        <f t="shared" si="77"/>
        <v>0.34000000000000091</v>
      </c>
      <c r="C338" s="25">
        <f t="shared" si="73"/>
        <v>0.7525706857163903</v>
      </c>
      <c r="D338" s="25">
        <f t="shared" si="74"/>
        <v>0.2474293142836097</v>
      </c>
      <c r="E338" s="25">
        <f t="shared" si="75"/>
        <v>1.5051413714327806</v>
      </c>
      <c r="F338" s="26">
        <f t="shared" si="76"/>
        <v>1.7525706857163903</v>
      </c>
    </row>
    <row r="339" spans="2:6" x14ac:dyDescent="0.2">
      <c r="B339" s="24">
        <f t="shared" si="77"/>
        <v>0.35000000000000092</v>
      </c>
      <c r="C339" s="25">
        <f t="shared" si="73"/>
        <v>0.7351730666972377</v>
      </c>
      <c r="D339" s="25">
        <f t="shared" si="74"/>
        <v>0.2648269333027623</v>
      </c>
      <c r="E339" s="25">
        <f t="shared" si="75"/>
        <v>1.4703461333944754</v>
      </c>
      <c r="F339" s="26">
        <f t="shared" si="76"/>
        <v>1.7351730666972376</v>
      </c>
    </row>
    <row r="340" spans="2:6" x14ac:dyDescent="0.2">
      <c r="B340" s="24">
        <f t="shared" si="77"/>
        <v>0.36000000000000093</v>
      </c>
      <c r="C340" s="25">
        <f t="shared" si="73"/>
        <v>0.716830524839836</v>
      </c>
      <c r="D340" s="25">
        <f t="shared" si="74"/>
        <v>0.283169475160164</v>
      </c>
      <c r="E340" s="25">
        <f t="shared" si="75"/>
        <v>1.433661049679672</v>
      </c>
      <c r="F340" s="26">
        <f t="shared" si="76"/>
        <v>1.7168305248398359</v>
      </c>
    </row>
    <row r="341" spans="2:6" x14ac:dyDescent="0.2">
      <c r="B341" s="24">
        <f t="shared" si="77"/>
        <v>0.37000000000000094</v>
      </c>
      <c r="C341" s="25">
        <f t="shared" si="73"/>
        <v>0.6974685132929217</v>
      </c>
      <c r="D341" s="25">
        <f t="shared" si="74"/>
        <v>0.3025314867070783</v>
      </c>
      <c r="E341" s="25">
        <f t="shared" si="75"/>
        <v>1.3949370265858434</v>
      </c>
      <c r="F341" s="26">
        <f t="shared" si="76"/>
        <v>1.6974685132929217</v>
      </c>
    </row>
    <row r="342" spans="2:6" x14ac:dyDescent="0.2">
      <c r="B342" s="24">
        <f t="shared" si="77"/>
        <v>0.38000000000000095</v>
      </c>
      <c r="C342" s="25">
        <f t="shared" si="73"/>
        <v>0.67699956800257444</v>
      </c>
      <c r="D342" s="25">
        <f t="shared" si="74"/>
        <v>0.32300043199742556</v>
      </c>
      <c r="E342" s="25">
        <f t="shared" si="75"/>
        <v>1.3539991360051489</v>
      </c>
      <c r="F342" s="26">
        <f t="shared" si="76"/>
        <v>1.6769995680025744</v>
      </c>
    </row>
    <row r="343" spans="2:6" x14ac:dyDescent="0.2">
      <c r="B343" s="24">
        <f t="shared" si="77"/>
        <v>0.39000000000000096</v>
      </c>
      <c r="C343" s="25">
        <f t="shared" si="73"/>
        <v>0.65531997181839097</v>
      </c>
      <c r="D343" s="25">
        <f t="shared" si="74"/>
        <v>0.34468002818160903</v>
      </c>
      <c r="E343" s="25">
        <f t="shared" si="75"/>
        <v>1.3106399436367819</v>
      </c>
      <c r="F343" s="26">
        <f t="shared" si="76"/>
        <v>1.6553199718183911</v>
      </c>
    </row>
    <row r="344" spans="2:6" x14ac:dyDescent="0.2">
      <c r="B344" s="24">
        <f t="shared" si="77"/>
        <v>0.40000000000000097</v>
      </c>
      <c r="C344" s="25">
        <f t="shared" si="73"/>
        <v>0.63230520968926951</v>
      </c>
      <c r="D344" s="25">
        <f t="shared" si="74"/>
        <v>0.36769479031073049</v>
      </c>
      <c r="E344" s="25">
        <f t="shared" si="75"/>
        <v>1.264610419378539</v>
      </c>
      <c r="F344" s="26">
        <f t="shared" si="76"/>
        <v>1.6323052096892696</v>
      </c>
    </row>
    <row r="345" spans="2:6" x14ac:dyDescent="0.2">
      <c r="B345" s="24">
        <f t="shared" si="77"/>
        <v>0.41000000000000097</v>
      </c>
      <c r="C345" s="25">
        <f t="shared" si="73"/>
        <v>0.60780363052887054</v>
      </c>
      <c r="D345" s="25">
        <f t="shared" si="74"/>
        <v>0.39219636947112946</v>
      </c>
      <c r="E345" s="25">
        <f t="shared" si="75"/>
        <v>1.2156072610577411</v>
      </c>
      <c r="F345" s="26">
        <f t="shared" si="76"/>
        <v>1.6078036305288705</v>
      </c>
    </row>
    <row r="346" spans="2:6" x14ac:dyDescent="0.2">
      <c r="B346" s="24">
        <f t="shared" si="77"/>
        <v>0.42000000000000098</v>
      </c>
      <c r="C346" s="25">
        <f t="shared" si="73"/>
        <v>0.58162736413936966</v>
      </c>
      <c r="D346" s="25">
        <f t="shared" si="74"/>
        <v>0.41837263586063034</v>
      </c>
      <c r="E346" s="25">
        <f t="shared" si="75"/>
        <v>1.1632547282787393</v>
      </c>
      <c r="F346" s="26">
        <f t="shared" si="76"/>
        <v>1.5816273641393697</v>
      </c>
    </row>
    <row r="347" spans="2:6" x14ac:dyDescent="0.2">
      <c r="B347" s="24">
        <f t="shared" si="77"/>
        <v>0.43000000000000099</v>
      </c>
      <c r="C347" s="25">
        <f t="shared" si="73"/>
        <v>0.55353887893723974</v>
      </c>
      <c r="D347" s="25">
        <f t="shared" si="74"/>
        <v>0.44646112106276026</v>
      </c>
      <c r="E347" s="25">
        <f t="shared" si="75"/>
        <v>1.1070777578744795</v>
      </c>
      <c r="F347" s="26">
        <f t="shared" si="76"/>
        <v>1.5535388789372397</v>
      </c>
    </row>
    <row r="348" spans="2:6" x14ac:dyDescent="0.2">
      <c r="B348" s="24">
        <f t="shared" si="77"/>
        <v>0.440000000000001</v>
      </c>
      <c r="C348" s="25">
        <f t="shared" si="73"/>
        <v>0.52323030552733796</v>
      </c>
      <c r="D348" s="25">
        <f t="shared" si="74"/>
        <v>0.47676969447266204</v>
      </c>
      <c r="E348" s="25">
        <f t="shared" si="75"/>
        <v>1.0464606110546759</v>
      </c>
      <c r="F348" s="26">
        <f t="shared" si="76"/>
        <v>1.523230305527338</v>
      </c>
    </row>
    <row r="349" spans="2:6" x14ac:dyDescent="0.2">
      <c r="B349" s="24">
        <f t="shared" si="77"/>
        <v>0.45000000000000101</v>
      </c>
      <c r="C349" s="25">
        <f t="shared" si="73"/>
        <v>0.49029009483887931</v>
      </c>
      <c r="D349" s="25">
        <f t="shared" si="74"/>
        <v>0.50970990516112069</v>
      </c>
      <c r="E349" s="25">
        <f t="shared" si="75"/>
        <v>0.98058018967775862</v>
      </c>
      <c r="F349" s="26">
        <f t="shared" si="76"/>
        <v>1.4902900948388793</v>
      </c>
    </row>
    <row r="350" spans="2:6" x14ac:dyDescent="0.2">
      <c r="B350" s="24">
        <f t="shared" si="77"/>
        <v>0.46000000000000102</v>
      </c>
      <c r="C350" s="25">
        <f t="shared" si="73"/>
        <v>0.45414597203955603</v>
      </c>
      <c r="D350" s="25">
        <f t="shared" si="74"/>
        <v>0.54585402796044402</v>
      </c>
      <c r="E350" s="25">
        <f t="shared" si="75"/>
        <v>0.90829194407911207</v>
      </c>
      <c r="F350" s="26">
        <f t="shared" si="76"/>
        <v>1.454145972039556</v>
      </c>
    </row>
    <row r="351" spans="2:6" x14ac:dyDescent="0.2">
      <c r="B351" s="24">
        <f t="shared" si="77"/>
        <v>0.47000000000000103</v>
      </c>
      <c r="C351" s="25">
        <f t="shared" si="73"/>
        <v>0.41395955489653741</v>
      </c>
      <c r="D351" s="25">
        <f t="shared" si="74"/>
        <v>0.58604044510346265</v>
      </c>
      <c r="E351" s="25">
        <f t="shared" si="75"/>
        <v>0.82791910979307481</v>
      </c>
      <c r="F351" s="26">
        <f t="shared" si="76"/>
        <v>1.4139595548965374</v>
      </c>
    </row>
    <row r="352" spans="2:6" x14ac:dyDescent="0.2">
      <c r="B352" s="24">
        <f t="shared" si="77"/>
        <v>0.48000000000000104</v>
      </c>
      <c r="C352" s="25">
        <f t="shared" si="73"/>
        <v>0.36841040241594125</v>
      </c>
      <c r="D352" s="25">
        <f t="shared" si="74"/>
        <v>0.63158959758405875</v>
      </c>
      <c r="E352" s="25">
        <f t="shared" si="75"/>
        <v>0.7368208048318825</v>
      </c>
      <c r="F352" s="26">
        <f t="shared" si="76"/>
        <v>1.3684104024159414</v>
      </c>
    </row>
    <row r="353" spans="2:6" x14ac:dyDescent="0.2">
      <c r="B353" s="24">
        <f t="shared" si="77"/>
        <v>0.49000000000000105</v>
      </c>
      <c r="C353" s="25">
        <f t="shared" si="73"/>
        <v>0.31518200848741723</v>
      </c>
      <c r="D353" s="25">
        <f t="shared" si="74"/>
        <v>0.68481799151258271</v>
      </c>
      <c r="E353" s="25">
        <f t="shared" si="75"/>
        <v>0.63036401697483446</v>
      </c>
      <c r="F353" s="26">
        <f t="shared" si="76"/>
        <v>1.3151820084874173</v>
      </c>
    </row>
    <row r="354" spans="2:6" x14ac:dyDescent="0.2">
      <c r="B354" s="24">
        <f t="shared" si="77"/>
        <v>0.500000000000001</v>
      </c>
      <c r="C354" s="25">
        <f t="shared" si="73"/>
        <v>0.24940516171041743</v>
      </c>
      <c r="D354" s="25">
        <f t="shared" si="74"/>
        <v>0.75059483828958262</v>
      </c>
      <c r="E354" s="25">
        <f t="shared" si="75"/>
        <v>0.49881032342083487</v>
      </c>
      <c r="F354" s="26">
        <f t="shared" si="76"/>
        <v>1.2494051617104174</v>
      </c>
    </row>
    <row r="355" spans="2:6" x14ac:dyDescent="0.2">
      <c r="B355" s="24">
        <f t="shared" si="77"/>
        <v>0.51000000000000101</v>
      </c>
      <c r="C355" s="25">
        <f t="shared" si="73"/>
        <v>0.15593567022713747</v>
      </c>
      <c r="D355" s="25">
        <f t="shared" si="74"/>
        <v>0.8440643297728625</v>
      </c>
      <c r="E355" s="25">
        <f t="shared" si="75"/>
        <v>0.31187134045427495</v>
      </c>
      <c r="F355" s="26">
        <f t="shared" si="76"/>
        <v>1.1559356702271375</v>
      </c>
    </row>
    <row r="356" spans="2:6" x14ac:dyDescent="0.2">
      <c r="B356" s="24">
        <f t="shared" si="77"/>
        <v>0.52000000000000102</v>
      </c>
      <c r="C356" s="25">
        <f t="shared" si="73"/>
        <v>0</v>
      </c>
      <c r="D356" s="25">
        <f t="shared" si="74"/>
        <v>1</v>
      </c>
      <c r="E356" s="25">
        <f t="shared" si="75"/>
        <v>0</v>
      </c>
      <c r="F356" s="26">
        <f t="shared" si="76"/>
        <v>1</v>
      </c>
    </row>
    <row r="357" spans="2:6" x14ac:dyDescent="0.2">
      <c r="B357" s="24">
        <f t="shared" si="77"/>
        <v>0.53000000000000103</v>
      </c>
      <c r="C357" s="25">
        <f t="shared" si="73"/>
        <v>0</v>
      </c>
      <c r="D357" s="25">
        <f t="shared" si="74"/>
        <v>1</v>
      </c>
      <c r="E357" s="25">
        <f t="shared" si="75"/>
        <v>0</v>
      </c>
      <c r="F357" s="26">
        <f t="shared" si="76"/>
        <v>1</v>
      </c>
    </row>
    <row r="358" spans="2:6" x14ac:dyDescent="0.2">
      <c r="B358" s="24">
        <f t="shared" si="77"/>
        <v>0.54000000000000103</v>
      </c>
      <c r="C358" s="25">
        <f t="shared" si="73"/>
        <v>0</v>
      </c>
      <c r="D358" s="25">
        <f t="shared" si="74"/>
        <v>1</v>
      </c>
      <c r="E358" s="25">
        <f t="shared" si="75"/>
        <v>0</v>
      </c>
      <c r="F358" s="26">
        <f t="shared" si="76"/>
        <v>1</v>
      </c>
    </row>
    <row r="359" spans="2:6" x14ac:dyDescent="0.2">
      <c r="B359" s="24">
        <f t="shared" si="77"/>
        <v>0.55000000000000104</v>
      </c>
      <c r="C359" s="25">
        <f t="shared" si="73"/>
        <v>0</v>
      </c>
      <c r="D359" s="25">
        <f t="shared" si="74"/>
        <v>1</v>
      </c>
      <c r="E359" s="25">
        <f t="shared" si="75"/>
        <v>0</v>
      </c>
      <c r="F359" s="26">
        <f t="shared" si="76"/>
        <v>1</v>
      </c>
    </row>
    <row r="360" spans="2:6" x14ac:dyDescent="0.2">
      <c r="B360" s="24">
        <f t="shared" si="77"/>
        <v>0.56000000000000105</v>
      </c>
      <c r="C360" s="25">
        <f t="shared" si="73"/>
        <v>0</v>
      </c>
      <c r="D360" s="25">
        <f t="shared" si="74"/>
        <v>1</v>
      </c>
      <c r="E360" s="25">
        <f t="shared" si="75"/>
        <v>0</v>
      </c>
      <c r="F360" s="26">
        <f t="shared" si="76"/>
        <v>1</v>
      </c>
    </row>
    <row r="361" spans="2:6" x14ac:dyDescent="0.2">
      <c r="B361" s="24">
        <f t="shared" si="77"/>
        <v>0.57000000000000106</v>
      </c>
      <c r="C361" s="25">
        <f t="shared" si="73"/>
        <v>0</v>
      </c>
      <c r="D361" s="25">
        <f t="shared" si="74"/>
        <v>1</v>
      </c>
      <c r="E361" s="25">
        <f t="shared" si="75"/>
        <v>0</v>
      </c>
      <c r="F361" s="26">
        <f t="shared" si="76"/>
        <v>1</v>
      </c>
    </row>
    <row r="362" spans="2:6" x14ac:dyDescent="0.2">
      <c r="B362" s="24">
        <f t="shared" si="77"/>
        <v>0.58000000000000107</v>
      </c>
      <c r="C362" s="25">
        <f t="shared" si="73"/>
        <v>0</v>
      </c>
      <c r="D362" s="25">
        <f t="shared" si="74"/>
        <v>1</v>
      </c>
      <c r="E362" s="25">
        <f t="shared" si="75"/>
        <v>0</v>
      </c>
      <c r="F362" s="26">
        <f t="shared" si="76"/>
        <v>1</v>
      </c>
    </row>
    <row r="363" spans="2:6" x14ac:dyDescent="0.2">
      <c r="B363" s="24">
        <f t="shared" si="77"/>
        <v>0.59000000000000108</v>
      </c>
      <c r="C363" s="25">
        <f t="shared" si="73"/>
        <v>0</v>
      </c>
      <c r="D363" s="25">
        <f t="shared" si="74"/>
        <v>1</v>
      </c>
      <c r="E363" s="25">
        <f t="shared" si="75"/>
        <v>0</v>
      </c>
      <c r="F363" s="26">
        <f t="shared" si="76"/>
        <v>1</v>
      </c>
    </row>
    <row r="364" spans="2:6" x14ac:dyDescent="0.2">
      <c r="B364" s="24">
        <f t="shared" si="77"/>
        <v>0.60000000000000109</v>
      </c>
      <c r="C364" s="25">
        <f t="shared" si="73"/>
        <v>0</v>
      </c>
      <c r="D364" s="25">
        <f t="shared" si="74"/>
        <v>1</v>
      </c>
      <c r="E364" s="25">
        <f t="shared" si="75"/>
        <v>0</v>
      </c>
      <c r="F364" s="26">
        <f t="shared" si="76"/>
        <v>1</v>
      </c>
    </row>
    <row r="365" spans="2:6" x14ac:dyDescent="0.2">
      <c r="B365" s="24">
        <f t="shared" ref="B365:B396" si="78">B364+$C$199</f>
        <v>0.6100000000000011</v>
      </c>
      <c r="C365" s="25">
        <f t="shared" si="73"/>
        <v>0</v>
      </c>
      <c r="D365" s="25">
        <f t="shared" si="74"/>
        <v>1</v>
      </c>
      <c r="E365" s="25">
        <f t="shared" si="75"/>
        <v>0</v>
      </c>
      <c r="F365" s="26">
        <f t="shared" si="76"/>
        <v>1</v>
      </c>
    </row>
    <row r="366" spans="2:6" x14ac:dyDescent="0.2">
      <c r="B366" s="24">
        <f t="shared" si="78"/>
        <v>0.62000000000000111</v>
      </c>
      <c r="C366" s="25">
        <f t="shared" si="73"/>
        <v>0</v>
      </c>
      <c r="D366" s="25">
        <f t="shared" si="74"/>
        <v>1</v>
      </c>
      <c r="E366" s="25">
        <f t="shared" si="75"/>
        <v>0</v>
      </c>
      <c r="F366" s="26">
        <f t="shared" si="76"/>
        <v>1</v>
      </c>
    </row>
    <row r="367" spans="2:6" x14ac:dyDescent="0.2">
      <c r="B367" s="24">
        <f t="shared" si="78"/>
        <v>0.63000000000000111</v>
      </c>
      <c r="C367" s="25">
        <f t="shared" si="73"/>
        <v>0</v>
      </c>
      <c r="D367" s="25">
        <f t="shared" si="74"/>
        <v>1</v>
      </c>
      <c r="E367" s="25">
        <f t="shared" si="75"/>
        <v>0</v>
      </c>
      <c r="F367" s="26">
        <f t="shared" si="76"/>
        <v>1</v>
      </c>
    </row>
    <row r="368" spans="2:6" x14ac:dyDescent="0.2">
      <c r="B368" s="24">
        <f t="shared" si="78"/>
        <v>0.64000000000000112</v>
      </c>
      <c r="C368" s="25">
        <f t="shared" si="73"/>
        <v>0</v>
      </c>
      <c r="D368" s="25">
        <f t="shared" si="74"/>
        <v>1</v>
      </c>
      <c r="E368" s="25">
        <f t="shared" si="75"/>
        <v>0</v>
      </c>
      <c r="F368" s="26">
        <f t="shared" si="76"/>
        <v>1</v>
      </c>
    </row>
    <row r="369" spans="2:6" x14ac:dyDescent="0.2">
      <c r="B369" s="24">
        <f t="shared" si="78"/>
        <v>0.65000000000000113</v>
      </c>
      <c r="C369" s="25">
        <f t="shared" si="73"/>
        <v>0</v>
      </c>
      <c r="D369" s="25">
        <f t="shared" si="74"/>
        <v>1</v>
      </c>
      <c r="E369" s="25">
        <f t="shared" si="75"/>
        <v>0</v>
      </c>
      <c r="F369" s="26">
        <f t="shared" si="76"/>
        <v>1</v>
      </c>
    </row>
    <row r="370" spans="2:6" x14ac:dyDescent="0.2">
      <c r="B370" s="24">
        <f t="shared" si="78"/>
        <v>0.66000000000000114</v>
      </c>
      <c r="C370" s="25">
        <f t="shared" si="73"/>
        <v>0</v>
      </c>
      <c r="D370" s="25">
        <f t="shared" si="74"/>
        <v>1</v>
      </c>
      <c r="E370" s="25">
        <f t="shared" si="75"/>
        <v>0</v>
      </c>
      <c r="F370" s="26">
        <f t="shared" si="76"/>
        <v>1</v>
      </c>
    </row>
    <row r="371" spans="2:6" x14ac:dyDescent="0.2">
      <c r="B371" s="24">
        <f t="shared" si="78"/>
        <v>0.67000000000000115</v>
      </c>
      <c r="C371" s="25">
        <f t="shared" si="73"/>
        <v>0</v>
      </c>
      <c r="D371" s="25">
        <f t="shared" si="74"/>
        <v>1</v>
      </c>
      <c r="E371" s="25">
        <f t="shared" si="75"/>
        <v>0</v>
      </c>
      <c r="F371" s="26">
        <f t="shared" si="76"/>
        <v>1</v>
      </c>
    </row>
    <row r="372" spans="2:6" x14ac:dyDescent="0.2">
      <c r="B372" s="24">
        <f t="shared" si="78"/>
        <v>0.68000000000000116</v>
      </c>
      <c r="C372" s="25">
        <f t="shared" si="73"/>
        <v>0</v>
      </c>
      <c r="D372" s="25">
        <f t="shared" si="74"/>
        <v>1</v>
      </c>
      <c r="E372" s="25">
        <f t="shared" si="75"/>
        <v>0</v>
      </c>
      <c r="F372" s="26">
        <f t="shared" si="76"/>
        <v>1</v>
      </c>
    </row>
    <row r="373" spans="2:6" x14ac:dyDescent="0.2">
      <c r="B373" s="24">
        <f t="shared" si="78"/>
        <v>0.69000000000000117</v>
      </c>
      <c r="C373" s="25">
        <f t="shared" si="73"/>
        <v>0</v>
      </c>
      <c r="D373" s="25">
        <f t="shared" si="74"/>
        <v>1</v>
      </c>
      <c r="E373" s="25">
        <f t="shared" si="75"/>
        <v>0</v>
      </c>
      <c r="F373" s="26">
        <f t="shared" si="76"/>
        <v>1</v>
      </c>
    </row>
    <row r="374" spans="2:6" x14ac:dyDescent="0.2">
      <c r="B374" s="24">
        <f t="shared" si="78"/>
        <v>0.70000000000000118</v>
      </c>
      <c r="C374" s="25">
        <f t="shared" si="73"/>
        <v>0</v>
      </c>
      <c r="D374" s="25">
        <f t="shared" si="74"/>
        <v>1</v>
      </c>
      <c r="E374" s="25">
        <f t="shared" si="75"/>
        <v>0</v>
      </c>
      <c r="F374" s="26">
        <f t="shared" si="76"/>
        <v>1</v>
      </c>
    </row>
    <row r="375" spans="2:6" x14ac:dyDescent="0.2">
      <c r="B375" s="24">
        <f t="shared" si="78"/>
        <v>0.71000000000000119</v>
      </c>
      <c r="C375" s="25">
        <f t="shared" si="73"/>
        <v>0</v>
      </c>
      <c r="D375" s="25">
        <f t="shared" si="74"/>
        <v>1</v>
      </c>
      <c r="E375" s="25">
        <f t="shared" si="75"/>
        <v>0</v>
      </c>
      <c r="F375" s="26">
        <f t="shared" si="76"/>
        <v>1</v>
      </c>
    </row>
    <row r="376" spans="2:6" x14ac:dyDescent="0.2">
      <c r="B376" s="24">
        <f t="shared" si="78"/>
        <v>0.72000000000000119</v>
      </c>
      <c r="C376" s="25">
        <f t="shared" si="73"/>
        <v>0</v>
      </c>
      <c r="D376" s="25">
        <f t="shared" si="74"/>
        <v>1</v>
      </c>
      <c r="E376" s="25">
        <f t="shared" si="75"/>
        <v>0</v>
      </c>
      <c r="F376" s="26">
        <f t="shared" si="76"/>
        <v>1</v>
      </c>
    </row>
    <row r="377" spans="2:6" x14ac:dyDescent="0.2">
      <c r="B377" s="24">
        <f t="shared" si="78"/>
        <v>0.7300000000000012</v>
      </c>
      <c r="C377" s="25">
        <f t="shared" si="73"/>
        <v>0</v>
      </c>
      <c r="D377" s="25">
        <f t="shared" si="74"/>
        <v>1</v>
      </c>
      <c r="E377" s="25">
        <f t="shared" si="75"/>
        <v>0</v>
      </c>
      <c r="F377" s="26">
        <f t="shared" si="76"/>
        <v>1</v>
      </c>
    </row>
    <row r="378" spans="2:6" x14ac:dyDescent="0.2">
      <c r="B378" s="24">
        <f t="shared" si="78"/>
        <v>0.74000000000000121</v>
      </c>
      <c r="C378" s="25">
        <f t="shared" si="73"/>
        <v>0</v>
      </c>
      <c r="D378" s="25">
        <f t="shared" si="74"/>
        <v>1</v>
      </c>
      <c r="E378" s="25">
        <f t="shared" si="75"/>
        <v>0</v>
      </c>
      <c r="F378" s="26">
        <f t="shared" si="76"/>
        <v>1</v>
      </c>
    </row>
    <row r="379" spans="2:6" x14ac:dyDescent="0.2">
      <c r="B379" s="24">
        <f t="shared" si="78"/>
        <v>0.75000000000000122</v>
      </c>
      <c r="C379" s="25">
        <f t="shared" si="73"/>
        <v>0</v>
      </c>
      <c r="D379" s="25">
        <f t="shared" si="74"/>
        <v>1</v>
      </c>
      <c r="E379" s="25">
        <f t="shared" si="75"/>
        <v>0</v>
      </c>
      <c r="F379" s="26">
        <f t="shared" si="76"/>
        <v>1</v>
      </c>
    </row>
    <row r="380" spans="2:6" x14ac:dyDescent="0.2">
      <c r="B380" s="24">
        <f t="shared" si="78"/>
        <v>0.76000000000000123</v>
      </c>
      <c r="C380" s="25">
        <f t="shared" si="73"/>
        <v>0</v>
      </c>
      <c r="D380" s="25">
        <f t="shared" si="74"/>
        <v>1</v>
      </c>
      <c r="E380" s="25">
        <f t="shared" si="75"/>
        <v>0</v>
      </c>
      <c r="F380" s="26">
        <f t="shared" si="76"/>
        <v>1</v>
      </c>
    </row>
    <row r="381" spans="2:6" x14ac:dyDescent="0.2">
      <c r="B381" s="24">
        <f t="shared" si="78"/>
        <v>0.77000000000000124</v>
      </c>
      <c r="C381" s="25">
        <f t="shared" si="73"/>
        <v>0</v>
      </c>
      <c r="D381" s="25">
        <f t="shared" si="74"/>
        <v>1</v>
      </c>
      <c r="E381" s="25">
        <f t="shared" si="75"/>
        <v>0</v>
      </c>
      <c r="F381" s="26">
        <f t="shared" si="76"/>
        <v>1</v>
      </c>
    </row>
    <row r="382" spans="2:6" x14ac:dyDescent="0.2">
      <c r="B382" s="24">
        <f t="shared" si="78"/>
        <v>0.78000000000000125</v>
      </c>
      <c r="C382" s="25">
        <f t="shared" si="73"/>
        <v>0</v>
      </c>
      <c r="D382" s="25">
        <f t="shared" si="74"/>
        <v>1</v>
      </c>
      <c r="E382" s="25">
        <f t="shared" si="75"/>
        <v>0</v>
      </c>
      <c r="F382" s="26">
        <f t="shared" si="76"/>
        <v>1</v>
      </c>
    </row>
    <row r="383" spans="2:6" x14ac:dyDescent="0.2">
      <c r="B383" s="24">
        <f t="shared" si="78"/>
        <v>0.79000000000000126</v>
      </c>
      <c r="C383" s="25">
        <f t="shared" si="73"/>
        <v>0</v>
      </c>
      <c r="D383" s="25">
        <f t="shared" si="74"/>
        <v>1</v>
      </c>
      <c r="E383" s="25">
        <f t="shared" si="75"/>
        <v>0</v>
      </c>
      <c r="F383" s="26">
        <f t="shared" si="76"/>
        <v>1</v>
      </c>
    </row>
    <row r="384" spans="2:6" x14ac:dyDescent="0.2">
      <c r="B384" s="24">
        <f t="shared" si="78"/>
        <v>0.80000000000000127</v>
      </c>
      <c r="C384" s="25">
        <f t="shared" si="73"/>
        <v>0</v>
      </c>
      <c r="D384" s="25">
        <f t="shared" si="74"/>
        <v>1</v>
      </c>
      <c r="E384" s="25">
        <f t="shared" si="75"/>
        <v>0</v>
      </c>
      <c r="F384" s="26">
        <f t="shared" si="76"/>
        <v>1</v>
      </c>
    </row>
    <row r="385" spans="2:6" x14ac:dyDescent="0.2">
      <c r="B385" s="24">
        <f t="shared" si="78"/>
        <v>0.81000000000000127</v>
      </c>
      <c r="C385" s="25">
        <f t="shared" si="73"/>
        <v>0</v>
      </c>
      <c r="D385" s="25">
        <f t="shared" si="74"/>
        <v>1</v>
      </c>
      <c r="E385" s="25">
        <f t="shared" si="75"/>
        <v>0</v>
      </c>
      <c r="F385" s="26">
        <f t="shared" si="76"/>
        <v>1</v>
      </c>
    </row>
    <row r="386" spans="2:6" x14ac:dyDescent="0.2">
      <c r="B386" s="24">
        <f t="shared" si="78"/>
        <v>0.82000000000000128</v>
      </c>
      <c r="C386" s="25">
        <f t="shared" si="73"/>
        <v>0</v>
      </c>
      <c r="D386" s="25">
        <f t="shared" si="74"/>
        <v>1</v>
      </c>
      <c r="E386" s="25">
        <f t="shared" si="75"/>
        <v>0</v>
      </c>
      <c r="F386" s="26">
        <f t="shared" si="76"/>
        <v>1</v>
      </c>
    </row>
    <row r="387" spans="2:6" x14ac:dyDescent="0.2">
      <c r="B387" s="24">
        <f t="shared" si="78"/>
        <v>0.83000000000000129</v>
      </c>
      <c r="C387" s="25">
        <f t="shared" si="73"/>
        <v>0</v>
      </c>
      <c r="D387" s="25">
        <f t="shared" si="74"/>
        <v>1</v>
      </c>
      <c r="E387" s="25">
        <f t="shared" si="75"/>
        <v>0</v>
      </c>
      <c r="F387" s="26">
        <f t="shared" si="76"/>
        <v>1</v>
      </c>
    </row>
    <row r="388" spans="2:6" x14ac:dyDescent="0.2">
      <c r="B388" s="24">
        <f t="shared" si="78"/>
        <v>0.8400000000000013</v>
      </c>
      <c r="C388" s="25">
        <f t="shared" si="73"/>
        <v>0</v>
      </c>
      <c r="D388" s="25">
        <f t="shared" si="74"/>
        <v>1</v>
      </c>
      <c r="E388" s="25">
        <f t="shared" si="75"/>
        <v>0</v>
      </c>
      <c r="F388" s="26">
        <f t="shared" si="76"/>
        <v>1</v>
      </c>
    </row>
    <row r="389" spans="2:6" x14ac:dyDescent="0.2">
      <c r="B389" s="24">
        <f t="shared" si="78"/>
        <v>0.85000000000000131</v>
      </c>
      <c r="C389" s="25">
        <f t="shared" si="73"/>
        <v>0</v>
      </c>
      <c r="D389" s="25">
        <f t="shared" si="74"/>
        <v>1</v>
      </c>
      <c r="E389" s="25">
        <f t="shared" si="75"/>
        <v>0</v>
      </c>
      <c r="F389" s="26">
        <f t="shared" si="76"/>
        <v>1</v>
      </c>
    </row>
    <row r="390" spans="2:6" x14ac:dyDescent="0.2">
      <c r="B390" s="24">
        <f t="shared" si="78"/>
        <v>0.86000000000000132</v>
      </c>
      <c r="C390" s="25">
        <f t="shared" si="73"/>
        <v>0</v>
      </c>
      <c r="D390" s="25">
        <f t="shared" si="74"/>
        <v>1</v>
      </c>
      <c r="E390" s="25">
        <f t="shared" si="75"/>
        <v>0</v>
      </c>
      <c r="F390" s="26">
        <f t="shared" si="76"/>
        <v>1</v>
      </c>
    </row>
    <row r="391" spans="2:6" x14ac:dyDescent="0.2">
      <c r="B391" s="24">
        <f t="shared" si="78"/>
        <v>0.87000000000000133</v>
      </c>
      <c r="C391" s="25">
        <f t="shared" si="73"/>
        <v>0</v>
      </c>
      <c r="D391" s="25">
        <f t="shared" si="74"/>
        <v>1</v>
      </c>
      <c r="E391" s="25">
        <f t="shared" si="75"/>
        <v>0</v>
      </c>
      <c r="F391" s="26">
        <f t="shared" si="76"/>
        <v>1</v>
      </c>
    </row>
    <row r="392" spans="2:6" x14ac:dyDescent="0.2">
      <c r="B392" s="24">
        <f t="shared" si="78"/>
        <v>0.88000000000000134</v>
      </c>
      <c r="C392" s="25">
        <f t="shared" si="73"/>
        <v>0</v>
      </c>
      <c r="D392" s="25">
        <f t="shared" si="74"/>
        <v>1</v>
      </c>
      <c r="E392" s="25">
        <f t="shared" si="75"/>
        <v>0</v>
      </c>
      <c r="F392" s="26">
        <f t="shared" si="76"/>
        <v>1</v>
      </c>
    </row>
    <row r="393" spans="2:6" x14ac:dyDescent="0.2">
      <c r="B393" s="24">
        <f t="shared" si="78"/>
        <v>0.89000000000000135</v>
      </c>
      <c r="C393" s="25">
        <f t="shared" si="73"/>
        <v>0</v>
      </c>
      <c r="D393" s="25">
        <f t="shared" si="74"/>
        <v>1</v>
      </c>
      <c r="E393" s="25">
        <f t="shared" si="75"/>
        <v>0</v>
      </c>
      <c r="F393" s="26">
        <f t="shared" si="76"/>
        <v>1</v>
      </c>
    </row>
    <row r="394" spans="2:6" x14ac:dyDescent="0.2">
      <c r="B394" s="24">
        <f t="shared" si="78"/>
        <v>0.90000000000000135</v>
      </c>
      <c r="C394" s="25">
        <f t="shared" si="73"/>
        <v>0</v>
      </c>
      <c r="D394" s="25">
        <f t="shared" si="74"/>
        <v>1</v>
      </c>
      <c r="E394" s="25">
        <f t="shared" si="75"/>
        <v>0</v>
      </c>
      <c r="F394" s="26">
        <f t="shared" si="76"/>
        <v>1</v>
      </c>
    </row>
    <row r="395" spans="2:6" x14ac:dyDescent="0.2">
      <c r="B395" s="24">
        <f t="shared" si="78"/>
        <v>0.91000000000000136</v>
      </c>
      <c r="C395" s="25">
        <f t="shared" si="73"/>
        <v>0</v>
      </c>
      <c r="D395" s="25">
        <f t="shared" si="74"/>
        <v>1</v>
      </c>
      <c r="E395" s="25">
        <f t="shared" si="75"/>
        <v>0</v>
      </c>
      <c r="F395" s="26">
        <f t="shared" si="76"/>
        <v>1</v>
      </c>
    </row>
    <row r="396" spans="2:6" x14ac:dyDescent="0.2">
      <c r="B396" s="24">
        <f t="shared" si="78"/>
        <v>0.92000000000000137</v>
      </c>
      <c r="C396" s="25">
        <f t="shared" ref="C396:C404" si="79">IFERROR(IF(SQRT(1-(B396*B396)/($F$200*$F$200))&lt;0.05,0,SQRT(1-(B396*B396)/($F$200*$F$200))),0)</f>
        <v>0</v>
      </c>
      <c r="D396" s="25">
        <f t="shared" ref="D396:D404" si="80">CHOOSE(MATCH($F$198,degrees),IF(B396&lt;0,IFERROR(1-C396,1),0),0,0,IF(B396&gt;0,IFERROR(1-C396,1),0))</f>
        <v>1</v>
      </c>
      <c r="E396" s="25">
        <f t="shared" ref="E396:E404" si="81">CHOOSE(MATCH($F$198,degrees),IF(B396&lt;0,2*C396,2),IF(B396&lt;0,0,1-C396),IF(B396&gt;0,0,1-C396),IF(B396&gt;0,2*C396,2))</f>
        <v>0</v>
      </c>
      <c r="F396" s="26">
        <f t="shared" ref="F396:F404" si="82">CHOOSE(MATCH($F$198,degrees),IF(B396&lt;0,C396+1,2),IF(B396&lt;0,2,2*C396),IF(B396&gt;0,2,2*C396),IF(B396&gt;0,C396+1,2))</f>
        <v>1</v>
      </c>
    </row>
    <row r="397" spans="2:6" x14ac:dyDescent="0.2">
      <c r="B397" s="24">
        <f t="shared" ref="B397:B404" si="83">B396+$C$199</f>
        <v>0.93000000000000138</v>
      </c>
      <c r="C397" s="25">
        <f t="shared" si="79"/>
        <v>0</v>
      </c>
      <c r="D397" s="25">
        <f t="shared" si="80"/>
        <v>1</v>
      </c>
      <c r="E397" s="25">
        <f t="shared" si="81"/>
        <v>0</v>
      </c>
      <c r="F397" s="26">
        <f t="shared" si="82"/>
        <v>1</v>
      </c>
    </row>
    <row r="398" spans="2:6" x14ac:dyDescent="0.2">
      <c r="B398" s="24">
        <f t="shared" si="83"/>
        <v>0.94000000000000139</v>
      </c>
      <c r="C398" s="25">
        <f t="shared" si="79"/>
        <v>0</v>
      </c>
      <c r="D398" s="25">
        <f t="shared" si="80"/>
        <v>1</v>
      </c>
      <c r="E398" s="25">
        <f t="shared" si="81"/>
        <v>0</v>
      </c>
      <c r="F398" s="26">
        <f t="shared" si="82"/>
        <v>1</v>
      </c>
    </row>
    <row r="399" spans="2:6" x14ac:dyDescent="0.2">
      <c r="B399" s="24">
        <f t="shared" si="83"/>
        <v>0.9500000000000014</v>
      </c>
      <c r="C399" s="25">
        <f t="shared" si="79"/>
        <v>0</v>
      </c>
      <c r="D399" s="25">
        <f t="shared" si="80"/>
        <v>1</v>
      </c>
      <c r="E399" s="25">
        <f t="shared" si="81"/>
        <v>0</v>
      </c>
      <c r="F399" s="26">
        <f t="shared" si="82"/>
        <v>1</v>
      </c>
    </row>
    <row r="400" spans="2:6" x14ac:dyDescent="0.2">
      <c r="B400" s="24">
        <f t="shared" si="83"/>
        <v>0.96000000000000141</v>
      </c>
      <c r="C400" s="25">
        <f t="shared" si="79"/>
        <v>0</v>
      </c>
      <c r="D400" s="25">
        <f t="shared" si="80"/>
        <v>1</v>
      </c>
      <c r="E400" s="25">
        <f t="shared" si="81"/>
        <v>0</v>
      </c>
      <c r="F400" s="26">
        <f t="shared" si="82"/>
        <v>1</v>
      </c>
    </row>
    <row r="401" spans="2:6" x14ac:dyDescent="0.2">
      <c r="B401" s="24">
        <f t="shared" si="83"/>
        <v>0.97000000000000142</v>
      </c>
      <c r="C401" s="25">
        <f t="shared" si="79"/>
        <v>0</v>
      </c>
      <c r="D401" s="25">
        <f t="shared" si="80"/>
        <v>1</v>
      </c>
      <c r="E401" s="25">
        <f t="shared" si="81"/>
        <v>0</v>
      </c>
      <c r="F401" s="26">
        <f t="shared" si="82"/>
        <v>1</v>
      </c>
    </row>
    <row r="402" spans="2:6" x14ac:dyDescent="0.2">
      <c r="B402" s="24">
        <f t="shared" si="83"/>
        <v>0.98000000000000143</v>
      </c>
      <c r="C402" s="25">
        <f t="shared" si="79"/>
        <v>0</v>
      </c>
      <c r="D402" s="25">
        <f t="shared" si="80"/>
        <v>1</v>
      </c>
      <c r="E402" s="25">
        <f t="shared" si="81"/>
        <v>0</v>
      </c>
      <c r="F402" s="26">
        <f t="shared" si="82"/>
        <v>1</v>
      </c>
    </row>
    <row r="403" spans="2:6" x14ac:dyDescent="0.2">
      <c r="B403" s="24">
        <f t="shared" si="83"/>
        <v>0.99000000000000143</v>
      </c>
      <c r="C403" s="25">
        <f t="shared" si="79"/>
        <v>0</v>
      </c>
      <c r="D403" s="25">
        <f t="shared" si="80"/>
        <v>1</v>
      </c>
      <c r="E403" s="25">
        <f t="shared" si="81"/>
        <v>0</v>
      </c>
      <c r="F403" s="26">
        <f t="shared" si="82"/>
        <v>1</v>
      </c>
    </row>
    <row r="404" spans="2:6" x14ac:dyDescent="0.2">
      <c r="B404" s="21">
        <f t="shared" si="83"/>
        <v>1.0000000000000013</v>
      </c>
      <c r="C404" s="22">
        <f t="shared" si="79"/>
        <v>0</v>
      </c>
      <c r="D404" s="22">
        <f t="shared" si="80"/>
        <v>1</v>
      </c>
      <c r="E404" s="22">
        <f t="shared" si="81"/>
        <v>0</v>
      </c>
      <c r="F404" s="27">
        <f t="shared" si="82"/>
        <v>1</v>
      </c>
    </row>
  </sheetData>
  <sheetProtection sheet="1" objects="1" scenarios="1"/>
  <hyperlinks>
    <hyperlink ref="B2" r:id="rId1" display="1. Orbital Elements (Paul Schlyter)" xr:uid="{67FA4905-ED79-C747-9ABE-BB07185C0E40}"/>
  </hyperlinks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7D1B3-AFB9-3B49-934D-0DBB4A5EFA27}">
  <dimension ref="B2:X121"/>
  <sheetViews>
    <sheetView showGridLines="0" topLeftCell="A84" workbookViewId="0">
      <selection activeCell="F132" sqref="F132"/>
    </sheetView>
  </sheetViews>
  <sheetFormatPr baseColWidth="10" defaultColWidth="8.83203125" defaultRowHeight="15" x14ac:dyDescent="0.2"/>
  <cols>
    <col min="1" max="1" width="8.83203125" style="1"/>
    <col min="2" max="3" width="13.33203125" style="1" customWidth="1"/>
    <col min="4" max="4" width="16.33203125" style="1" customWidth="1"/>
    <col min="5" max="12" width="13.33203125" style="1" customWidth="1"/>
    <col min="13" max="13" width="11.6640625" style="1" bestFit="1" customWidth="1"/>
    <col min="14" max="14" width="8.83203125" style="1"/>
    <col min="15" max="15" width="11.6640625" style="1" bestFit="1" customWidth="1"/>
    <col min="16" max="16384" width="8.83203125" style="1"/>
  </cols>
  <sheetData>
    <row r="2" spans="2:6" ht="16" x14ac:dyDescent="0.2">
      <c r="B2" s="218" t="s">
        <v>261</v>
      </c>
      <c r="C2" s="239"/>
      <c r="D2" s="250"/>
    </row>
    <row r="3" spans="2:6" x14ac:dyDescent="0.2">
      <c r="B3" s="102"/>
      <c r="C3" s="249" t="s">
        <v>95</v>
      </c>
      <c r="D3" s="217"/>
    </row>
    <row r="4" spans="2:6" x14ac:dyDescent="0.2">
      <c r="B4" s="212" t="s">
        <v>122</v>
      </c>
      <c r="C4" s="248">
        <f>'Solar System'!C6</f>
        <v>0.875</v>
      </c>
      <c r="D4" s="247"/>
    </row>
    <row r="5" spans="2:6" x14ac:dyDescent="0.2">
      <c r="B5" s="102" t="s">
        <v>44</v>
      </c>
      <c r="C5" s="101">
        <f>HOUR(C4)</f>
        <v>21</v>
      </c>
      <c r="D5" s="118"/>
    </row>
    <row r="6" spans="2:6" x14ac:dyDescent="0.2">
      <c r="B6" s="102" t="s">
        <v>45</v>
      </c>
      <c r="C6" s="101">
        <f>MINUTE(C4)</f>
        <v>0</v>
      </c>
      <c r="D6" s="118"/>
    </row>
    <row r="7" spans="2:6" x14ac:dyDescent="0.2">
      <c r="B7" s="102" t="s">
        <v>43</v>
      </c>
      <c r="C7" s="101">
        <f>SECOND(C4)</f>
        <v>0</v>
      </c>
      <c r="D7" s="118"/>
    </row>
    <row r="8" spans="2:6" x14ac:dyDescent="0.2">
      <c r="B8" s="102" t="s">
        <v>258</v>
      </c>
      <c r="C8" s="245">
        <f>C5*3600+C6*60+C7</f>
        <v>75600</v>
      </c>
      <c r="D8" s="118"/>
    </row>
    <row r="9" spans="2:6" x14ac:dyDescent="0.2">
      <c r="B9" s="102"/>
      <c r="C9" s="101"/>
      <c r="D9" s="118"/>
    </row>
    <row r="10" spans="2:6" x14ac:dyDescent="0.2">
      <c r="B10" s="246" t="s">
        <v>42</v>
      </c>
      <c r="C10" s="251">
        <f>'Solar System'!C9</f>
        <v>7.4428999999999998</v>
      </c>
      <c r="D10" s="244"/>
    </row>
    <row r="11" spans="2:6" x14ac:dyDescent="0.2">
      <c r="B11" s="102" t="s">
        <v>259</v>
      </c>
      <c r="C11" s="101">
        <f>-(ROUND((60*C10/15),0))</f>
        <v>-30</v>
      </c>
      <c r="D11" s="118"/>
    </row>
    <row r="12" spans="2:6" x14ac:dyDescent="0.2">
      <c r="B12" s="102" t="s">
        <v>259</v>
      </c>
      <c r="C12" s="245">
        <f>(C11/60)*3600</f>
        <v>-1800</v>
      </c>
      <c r="D12" s="244"/>
    </row>
    <row r="13" spans="2:6" x14ac:dyDescent="0.2">
      <c r="B13" s="102"/>
      <c r="C13" s="101"/>
      <c r="D13" s="118"/>
    </row>
    <row r="14" spans="2:6" x14ac:dyDescent="0.2">
      <c r="B14" s="102" t="s">
        <v>258</v>
      </c>
      <c r="C14" s="245">
        <f>C8+C12</f>
        <v>73800</v>
      </c>
      <c r="D14" s="244"/>
      <c r="F14" s="133"/>
    </row>
    <row r="15" spans="2:6" x14ac:dyDescent="0.2">
      <c r="B15" s="102" t="s">
        <v>44</v>
      </c>
      <c r="C15" s="98">
        <f>INT(C14/3600)</f>
        <v>20</v>
      </c>
      <c r="D15" s="232"/>
    </row>
    <row r="16" spans="2:6" x14ac:dyDescent="0.2">
      <c r="B16" s="102" t="s">
        <v>45</v>
      </c>
      <c r="C16" s="101">
        <f>INT((C14-3600*C15)/60)</f>
        <v>30</v>
      </c>
      <c r="D16" s="118"/>
    </row>
    <row r="17" spans="2:4" x14ac:dyDescent="0.2">
      <c r="B17" s="102" t="s">
        <v>43</v>
      </c>
      <c r="C17" s="101">
        <f>INT(C14-3600*C15-60*C16)</f>
        <v>0</v>
      </c>
      <c r="D17" s="118"/>
    </row>
    <row r="18" spans="2:4" x14ac:dyDescent="0.2">
      <c r="B18" s="243" t="s">
        <v>257</v>
      </c>
      <c r="C18" s="242">
        <f>TIME(INT(C15+24),C16,C17)</f>
        <v>0.85416666666666674</v>
      </c>
      <c r="D18" s="241" t="str">
        <f>IF(C14&gt;SD,"next day",IF(C14&lt;0,"previous day","same day"))</f>
        <v>same day</v>
      </c>
    </row>
    <row r="20" spans="2:4" ht="16" x14ac:dyDescent="0.2">
      <c r="B20" s="218" t="s">
        <v>260</v>
      </c>
      <c r="C20" s="239"/>
      <c r="D20" s="250"/>
    </row>
    <row r="21" spans="2:4" x14ac:dyDescent="0.2">
      <c r="B21" s="102"/>
      <c r="C21" s="249" t="s">
        <v>95</v>
      </c>
      <c r="D21" s="217"/>
    </row>
    <row r="22" spans="2:4" x14ac:dyDescent="0.2">
      <c r="B22" s="212" t="s">
        <v>122</v>
      </c>
      <c r="C22" s="248">
        <f>'Solar System'!C6</f>
        <v>0.875</v>
      </c>
      <c r="D22" s="247"/>
    </row>
    <row r="23" spans="2:4" x14ac:dyDescent="0.2">
      <c r="B23" s="102" t="s">
        <v>44</v>
      </c>
      <c r="C23" s="101">
        <f>HOUR(C22)</f>
        <v>21</v>
      </c>
      <c r="D23" s="118"/>
    </row>
    <row r="24" spans="2:4" x14ac:dyDescent="0.2">
      <c r="B24" s="102" t="s">
        <v>45</v>
      </c>
      <c r="C24" s="101">
        <f>MINUTE(C22)</f>
        <v>0</v>
      </c>
      <c r="D24" s="118"/>
    </row>
    <row r="25" spans="2:4" x14ac:dyDescent="0.2">
      <c r="B25" s="102" t="s">
        <v>43</v>
      </c>
      <c r="C25" s="101">
        <f>SECOND(C22)</f>
        <v>0</v>
      </c>
      <c r="D25" s="118"/>
    </row>
    <row r="26" spans="2:4" x14ac:dyDescent="0.2">
      <c r="B26" s="102" t="s">
        <v>258</v>
      </c>
      <c r="C26" s="245">
        <f>C23*3600+C24*60+C25</f>
        <v>75600</v>
      </c>
      <c r="D26" s="118"/>
    </row>
    <row r="27" spans="2:4" x14ac:dyDescent="0.2">
      <c r="B27" s="102"/>
      <c r="C27" s="101"/>
      <c r="D27" s="118"/>
    </row>
    <row r="28" spans="2:4" x14ac:dyDescent="0.2">
      <c r="B28" s="246" t="s">
        <v>117</v>
      </c>
      <c r="C28" s="98">
        <f>'Solar System'!C10</f>
        <v>1</v>
      </c>
      <c r="D28" s="232"/>
    </row>
    <row r="29" spans="2:4" x14ac:dyDescent="0.2">
      <c r="B29" s="102" t="s">
        <v>259</v>
      </c>
      <c r="C29" s="245">
        <f>C28*3600</f>
        <v>3600</v>
      </c>
      <c r="D29" s="118"/>
    </row>
    <row r="30" spans="2:4" x14ac:dyDescent="0.2">
      <c r="B30" s="102"/>
      <c r="C30" s="245"/>
      <c r="D30" s="118"/>
    </row>
    <row r="31" spans="2:4" x14ac:dyDescent="0.2">
      <c r="B31" s="102" t="s">
        <v>258</v>
      </c>
      <c r="C31" s="245">
        <f>C26-C29</f>
        <v>72000</v>
      </c>
      <c r="D31" s="244"/>
    </row>
    <row r="32" spans="2:4" x14ac:dyDescent="0.2">
      <c r="B32" s="102" t="s">
        <v>44</v>
      </c>
      <c r="C32" s="98">
        <f>INT(C31/3600)</f>
        <v>20</v>
      </c>
      <c r="D32" s="232"/>
    </row>
    <row r="33" spans="2:24" x14ac:dyDescent="0.2">
      <c r="B33" s="102" t="s">
        <v>45</v>
      </c>
      <c r="C33" s="101">
        <f>INT((C31-3600*C32)/60)</f>
        <v>0</v>
      </c>
      <c r="D33" s="118"/>
    </row>
    <row r="34" spans="2:24" x14ac:dyDescent="0.2">
      <c r="B34" s="102" t="s">
        <v>43</v>
      </c>
      <c r="C34" s="101">
        <f>INT(C31-3600*C32-60*C33)</f>
        <v>0</v>
      </c>
      <c r="D34" s="118"/>
    </row>
    <row r="35" spans="2:24" x14ac:dyDescent="0.2">
      <c r="B35" s="243" t="s">
        <v>257</v>
      </c>
      <c r="C35" s="242">
        <f>TIME(INT(C32+24),C33,C34)</f>
        <v>0.83333333333333326</v>
      </c>
      <c r="D35" s="241" t="str">
        <f>IF(C31&gt;SD,"next day",IF(C31&lt;0,"previous day","same day"))</f>
        <v>same day</v>
      </c>
    </row>
    <row r="37" spans="2:24" ht="16" x14ac:dyDescent="0.2">
      <c r="B37" s="240" t="s">
        <v>256</v>
      </c>
      <c r="C37" s="239"/>
      <c r="D37" s="239"/>
      <c r="E37" s="268" t="s">
        <v>255</v>
      </c>
      <c r="F37" s="269"/>
      <c r="G37" s="269"/>
      <c r="H37" s="269"/>
      <c r="I37" s="269"/>
      <c r="J37" s="269"/>
      <c r="K37" s="269"/>
      <c r="L37" s="270"/>
    </row>
    <row r="38" spans="2:24" x14ac:dyDescent="0.2">
      <c r="B38" s="102"/>
      <c r="C38" s="101"/>
      <c r="D38" s="101"/>
      <c r="E38" s="102"/>
      <c r="F38" s="101"/>
      <c r="G38" s="101"/>
      <c r="H38" s="101"/>
      <c r="I38" s="101"/>
      <c r="J38" s="101"/>
      <c r="K38" s="101"/>
      <c r="L38" s="118"/>
    </row>
    <row r="39" spans="2:24" x14ac:dyDescent="0.2">
      <c r="B39" s="212" t="s">
        <v>0</v>
      </c>
      <c r="C39" s="237">
        <f>YEAR('Solar System'!C4)</f>
        <v>2024</v>
      </c>
      <c r="D39" s="236"/>
      <c r="E39" s="212" t="s">
        <v>6</v>
      </c>
      <c r="F39" s="234">
        <f>'Solar System'!G10</f>
        <v>2460389.6268457165</v>
      </c>
      <c r="G39" s="236" t="s">
        <v>6</v>
      </c>
      <c r="H39" s="234">
        <f>'Solar System'!G11</f>
        <v>2460482.3666967135</v>
      </c>
      <c r="I39" s="236" t="s">
        <v>6</v>
      </c>
      <c r="J39" s="234">
        <f>'Solar System'!G12</f>
        <v>2460576.0255074548</v>
      </c>
      <c r="K39" s="236" t="s">
        <v>6</v>
      </c>
      <c r="L39" s="238">
        <f>'Solar System'!G13</f>
        <v>2460665.8852558024</v>
      </c>
      <c r="P39" s="267"/>
      <c r="Q39" s="267"/>
      <c r="R39" s="267"/>
      <c r="S39" s="267"/>
      <c r="T39" s="267"/>
      <c r="U39" s="267"/>
      <c r="V39" s="267"/>
      <c r="W39" s="267"/>
      <c r="X39" s="267"/>
    </row>
    <row r="40" spans="2:24" ht="17" x14ac:dyDescent="0.25">
      <c r="B40" s="212"/>
      <c r="C40" s="236"/>
      <c r="D40" s="236"/>
      <c r="E40" s="215" t="s">
        <v>254</v>
      </c>
      <c r="F40" s="175">
        <f>IF(F39-INT(F39)&gt;= 0.5,INT(F39+1),INT(F39))</f>
        <v>2460390</v>
      </c>
      <c r="G40" s="192" t="s">
        <v>254</v>
      </c>
      <c r="H40" s="175">
        <f>IF(H39-INT(H39)&gt;= 0.5,INT(H39+1),INT(H39))</f>
        <v>2460482</v>
      </c>
      <c r="I40" s="192" t="s">
        <v>254</v>
      </c>
      <c r="J40" s="175">
        <f>IF(J39-INT(J39)&gt;= 0.5,INT(J39+1),INT(J39))</f>
        <v>2460576</v>
      </c>
      <c r="K40" s="192" t="s">
        <v>254</v>
      </c>
      <c r="L40" s="174">
        <f>IF(L39-INT(L39)&gt;= 0.5,INT(L39+1),INT(L39))</f>
        <v>2460666</v>
      </c>
      <c r="P40" s="267"/>
      <c r="Q40" s="267"/>
      <c r="R40" s="267"/>
      <c r="S40" s="267"/>
      <c r="T40" s="267"/>
      <c r="U40" s="267"/>
      <c r="V40" s="267"/>
      <c r="W40" s="267"/>
      <c r="X40" s="267"/>
    </row>
    <row r="41" spans="2:24" x14ac:dyDescent="0.2">
      <c r="B41" s="212" t="s">
        <v>1</v>
      </c>
      <c r="C41" s="236">
        <f>MONTH('Solar System'!C4)</f>
        <v>4</v>
      </c>
      <c r="D41" s="236"/>
      <c r="E41" s="212" t="s">
        <v>0</v>
      </c>
      <c r="F41" s="237">
        <f>INT(F48/1461)-4716+INT((12+2-F42)/12)</f>
        <v>2024</v>
      </c>
      <c r="G41" s="236" t="s">
        <v>0</v>
      </c>
      <c r="H41" s="237">
        <f>INT(H48/1461)-4716+INT((12+2-H42)/12)</f>
        <v>2024</v>
      </c>
      <c r="I41" s="236" t="s">
        <v>0</v>
      </c>
      <c r="J41" s="237">
        <f>INT(J48/1461)-4716+INT((12+2-J42)/12)</f>
        <v>2024</v>
      </c>
      <c r="K41" s="236" t="s">
        <v>0</v>
      </c>
      <c r="L41" s="235">
        <f>INT(L48/1461)-4716+INT((12+2-L42)/12)</f>
        <v>2024</v>
      </c>
    </row>
    <row r="42" spans="2:24" x14ac:dyDescent="0.2">
      <c r="B42" s="212" t="s">
        <v>2</v>
      </c>
      <c r="C42" s="236">
        <f>DAY('Solar System'!C4)</f>
        <v>30</v>
      </c>
      <c r="D42" s="236"/>
      <c r="E42" s="212" t="s">
        <v>1</v>
      </c>
      <c r="F42" s="237">
        <f>MOD(INT((F50/F60)+F61),F62)+1</f>
        <v>3</v>
      </c>
      <c r="G42" s="236" t="s">
        <v>1</v>
      </c>
      <c r="H42" s="237">
        <f>MOD(INT((H50/H60)+H61),H62)+1</f>
        <v>6</v>
      </c>
      <c r="I42" s="236" t="s">
        <v>1</v>
      </c>
      <c r="J42" s="237">
        <f>MOD(INT((J50/J60)+J61),J62)+1</f>
        <v>9</v>
      </c>
      <c r="K42" s="236" t="s">
        <v>1</v>
      </c>
      <c r="L42" s="235">
        <f>MOD(INT((L50/L60)+L61),L62)+1</f>
        <v>12</v>
      </c>
    </row>
    <row r="43" spans="2:24" x14ac:dyDescent="0.2">
      <c r="B43" s="212" t="s">
        <v>5</v>
      </c>
      <c r="C43" s="236">
        <f>HOUR('Solar System'!C6)</f>
        <v>21</v>
      </c>
      <c r="D43" s="236"/>
      <c r="E43" s="212" t="s">
        <v>94</v>
      </c>
      <c r="F43" s="237">
        <f>INT(MOD(F50,F60)/F58)+1</f>
        <v>20</v>
      </c>
      <c r="G43" s="236" t="s">
        <v>94</v>
      </c>
      <c r="H43" s="237">
        <f>INT(MOD(H50,H60)/H58)+1</f>
        <v>20</v>
      </c>
      <c r="I43" s="236" t="s">
        <v>94</v>
      </c>
      <c r="J43" s="237">
        <f>INT(MOD(J50,J60)/J58)+1</f>
        <v>22</v>
      </c>
      <c r="K43" s="236" t="s">
        <v>94</v>
      </c>
      <c r="L43" s="235">
        <f>INT(MOD(L50,L60)/L58)+1</f>
        <v>21</v>
      </c>
    </row>
    <row r="44" spans="2:24" x14ac:dyDescent="0.2">
      <c r="B44" s="212" t="s">
        <v>93</v>
      </c>
      <c r="C44" s="236">
        <f>MINUTE('Solar System'!C6)</f>
        <v>0</v>
      </c>
      <c r="D44" s="236"/>
      <c r="E44" s="212" t="s">
        <v>5</v>
      </c>
      <c r="F44" s="237">
        <f>INT(F63*24)</f>
        <v>3</v>
      </c>
      <c r="G44" s="236" t="s">
        <v>5</v>
      </c>
      <c r="H44" s="237">
        <f>INT(H63*24)</f>
        <v>20</v>
      </c>
      <c r="I44" s="236" t="s">
        <v>5</v>
      </c>
      <c r="J44" s="237">
        <f>INT(J63*24)</f>
        <v>12</v>
      </c>
      <c r="K44" s="236" t="s">
        <v>5</v>
      </c>
      <c r="L44" s="235">
        <f>INT(L63*24)</f>
        <v>9</v>
      </c>
    </row>
    <row r="45" spans="2:24" x14ac:dyDescent="0.2">
      <c r="B45" s="212" t="s">
        <v>92</v>
      </c>
      <c r="C45" s="236">
        <f>SECOND('Solar System'!C6)</f>
        <v>0</v>
      </c>
      <c r="D45" s="236"/>
      <c r="E45" s="212" t="s">
        <v>93</v>
      </c>
      <c r="F45" s="237">
        <f>INT((3600*24*F63-3600*F44)/60)</f>
        <v>2</v>
      </c>
      <c r="G45" s="236" t="s">
        <v>93</v>
      </c>
      <c r="H45" s="237">
        <f>INT((3600*24*H63-3600*H44)/60)</f>
        <v>48</v>
      </c>
      <c r="I45" s="236" t="s">
        <v>93</v>
      </c>
      <c r="J45" s="237">
        <f>INT((3600*24*J63-3600*J44)/60)</f>
        <v>36</v>
      </c>
      <c r="K45" s="236" t="s">
        <v>93</v>
      </c>
      <c r="L45" s="235">
        <f>INT((3600*24*L63-3600*L44)/60)</f>
        <v>14</v>
      </c>
    </row>
    <row r="46" spans="2:24" x14ac:dyDescent="0.2">
      <c r="B46" s="215"/>
      <c r="C46" s="192"/>
      <c r="D46" s="192"/>
      <c r="E46" s="212" t="s">
        <v>92</v>
      </c>
      <c r="F46" s="237">
        <f>INT(MOD(F63*3600*24,60))</f>
        <v>39</v>
      </c>
      <c r="G46" s="236" t="s">
        <v>92</v>
      </c>
      <c r="H46" s="237">
        <f>INT(MOD(H63*3600*24,60))</f>
        <v>2</v>
      </c>
      <c r="I46" s="236" t="s">
        <v>92</v>
      </c>
      <c r="J46" s="237">
        <f>INT(MOD(J63*3600*24,60))</f>
        <v>43</v>
      </c>
      <c r="K46" s="236" t="s">
        <v>92</v>
      </c>
      <c r="L46" s="235">
        <f>INT(MOD(L63*3600*24,60))</f>
        <v>46</v>
      </c>
    </row>
    <row r="47" spans="2:24" x14ac:dyDescent="0.2">
      <c r="B47" s="102" t="s">
        <v>25</v>
      </c>
      <c r="C47" s="101">
        <f>(3600*C43+60*C44+C45)/SD</f>
        <v>0.875</v>
      </c>
      <c r="D47" s="101"/>
      <c r="E47" s="102" t="s">
        <v>39</v>
      </c>
      <c r="F47" s="101">
        <f>INT(F40+F52+(INT(INT((4*F40+F53)/146097)*3)/4)+F54)</f>
        <v>2461804</v>
      </c>
      <c r="G47" s="101" t="s">
        <v>39</v>
      </c>
      <c r="H47" s="101">
        <f>INT(H40+H52+(INT(INT((4*H40+H53)/146097)*3)/4)+H54)</f>
        <v>2461896</v>
      </c>
      <c r="I47" s="101" t="s">
        <v>39</v>
      </c>
      <c r="J47" s="101">
        <f>INT(J40+J52+(INT(INT((4*J40+J53)/146097)*3)/4)+J54)</f>
        <v>2461990</v>
      </c>
      <c r="K47" s="101" t="s">
        <v>39</v>
      </c>
      <c r="L47" s="118">
        <f>INT(L40+L52+(INT(INT((4*L40+L53)/146097)*3)/4)+L54)</f>
        <v>2462080</v>
      </c>
    </row>
    <row r="48" spans="2:24" x14ac:dyDescent="0.2">
      <c r="B48" s="102"/>
      <c r="C48" s="101"/>
      <c r="D48" s="101"/>
      <c r="E48" s="102" t="s">
        <v>38</v>
      </c>
      <c r="F48" s="101">
        <f>F55*F47+F56</f>
        <v>9847219</v>
      </c>
      <c r="G48" s="101" t="s">
        <v>38</v>
      </c>
      <c r="H48" s="101">
        <f>H55*H47+H56</f>
        <v>9847587</v>
      </c>
      <c r="I48" s="101" t="s">
        <v>38</v>
      </c>
      <c r="J48" s="101">
        <f>J55*J47+J56</f>
        <v>9847963</v>
      </c>
      <c r="K48" s="101" t="s">
        <v>38</v>
      </c>
      <c r="L48" s="118">
        <f>L55*L47+L56</f>
        <v>9848323</v>
      </c>
    </row>
    <row r="49" spans="2:12" x14ac:dyDescent="0.2">
      <c r="B49" s="102" t="s">
        <v>52</v>
      </c>
      <c r="C49" s="101">
        <f>IF(C41&gt;2,C39,C39-1)</f>
        <v>2024</v>
      </c>
      <c r="D49" s="101"/>
      <c r="E49" s="102" t="s">
        <v>62</v>
      </c>
      <c r="F49" s="101">
        <f>INT(MOD(F48,F57)/F55)</f>
        <v>19</v>
      </c>
      <c r="G49" s="101" t="s">
        <v>62</v>
      </c>
      <c r="H49" s="101">
        <f>INT(MOD(H48,H57)/H55)</f>
        <v>111</v>
      </c>
      <c r="I49" s="101" t="s">
        <v>62</v>
      </c>
      <c r="J49" s="101">
        <f>INT(MOD(J48,J57)/J55)</f>
        <v>205</v>
      </c>
      <c r="K49" s="101" t="s">
        <v>62</v>
      </c>
      <c r="L49" s="118">
        <f>INT(MOD(L48,L57)/L55)</f>
        <v>295</v>
      </c>
    </row>
    <row r="50" spans="2:12" x14ac:dyDescent="0.2">
      <c r="B50" s="102" t="s">
        <v>53</v>
      </c>
      <c r="C50" s="101">
        <f>IF(C41&gt;2,C41,C41+12)</f>
        <v>4</v>
      </c>
      <c r="D50" s="101"/>
      <c r="E50" s="102" t="s">
        <v>91</v>
      </c>
      <c r="F50" s="101">
        <f>F58*F49+F59</f>
        <v>97</v>
      </c>
      <c r="G50" s="101" t="s">
        <v>91</v>
      </c>
      <c r="H50" s="101">
        <f>H58*H49+H59</f>
        <v>557</v>
      </c>
      <c r="I50" s="101" t="s">
        <v>91</v>
      </c>
      <c r="J50" s="101">
        <f>J58*J49+J59</f>
        <v>1027</v>
      </c>
      <c r="K50" s="101" t="s">
        <v>91</v>
      </c>
      <c r="L50" s="118">
        <f>L58*L49+L59</f>
        <v>1477</v>
      </c>
    </row>
    <row r="51" spans="2:12" x14ac:dyDescent="0.2">
      <c r="B51" s="102" t="s">
        <v>46</v>
      </c>
      <c r="C51" s="101">
        <f>INT(C49/100)</f>
        <v>20</v>
      </c>
      <c r="D51" s="101"/>
      <c r="E51" s="102"/>
      <c r="F51" s="101"/>
      <c r="G51" s="101"/>
      <c r="H51" s="101"/>
      <c r="I51" s="101"/>
      <c r="J51" s="101"/>
      <c r="K51" s="101"/>
      <c r="L51" s="118"/>
    </row>
    <row r="52" spans="2:12" x14ac:dyDescent="0.2">
      <c r="B52" s="102" t="s">
        <v>48</v>
      </c>
      <c r="C52" s="101">
        <f>INT(C51/4)</f>
        <v>5</v>
      </c>
      <c r="D52" s="101"/>
      <c r="E52" s="102" t="s">
        <v>55</v>
      </c>
      <c r="F52" s="101">
        <v>1401</v>
      </c>
      <c r="G52" s="101" t="s">
        <v>55</v>
      </c>
      <c r="H52" s="101">
        <v>1401</v>
      </c>
      <c r="I52" s="101" t="s">
        <v>55</v>
      </c>
      <c r="J52" s="101">
        <v>1401</v>
      </c>
      <c r="K52" s="101" t="s">
        <v>55</v>
      </c>
      <c r="L52" s="118">
        <v>1401</v>
      </c>
    </row>
    <row r="53" spans="2:12" x14ac:dyDescent="0.2">
      <c r="B53" s="102" t="s">
        <v>49</v>
      </c>
      <c r="C53" s="101">
        <f>2-C51+C52</f>
        <v>-13</v>
      </c>
      <c r="D53" s="101"/>
      <c r="E53" s="102" t="s">
        <v>48</v>
      </c>
      <c r="F53" s="101">
        <v>274277</v>
      </c>
      <c r="G53" s="101" t="s">
        <v>48</v>
      </c>
      <c r="H53" s="101">
        <v>274277</v>
      </c>
      <c r="I53" s="101" t="s">
        <v>48</v>
      </c>
      <c r="J53" s="101">
        <v>274277</v>
      </c>
      <c r="K53" s="101" t="s">
        <v>48</v>
      </c>
      <c r="L53" s="118">
        <v>274277</v>
      </c>
    </row>
    <row r="54" spans="2:12" x14ac:dyDescent="0.2">
      <c r="B54" s="102" t="s">
        <v>54</v>
      </c>
      <c r="C54" s="101">
        <f>C42</f>
        <v>30</v>
      </c>
      <c r="D54" s="101"/>
      <c r="E54" s="102" t="s">
        <v>49</v>
      </c>
      <c r="F54" s="101">
        <v>-38</v>
      </c>
      <c r="G54" s="101" t="s">
        <v>49</v>
      </c>
      <c r="H54" s="101">
        <v>-38</v>
      </c>
      <c r="I54" s="101" t="s">
        <v>49</v>
      </c>
      <c r="J54" s="101">
        <v>-38</v>
      </c>
      <c r="K54" s="101" t="s">
        <v>49</v>
      </c>
      <c r="L54" s="118">
        <v>-38</v>
      </c>
    </row>
    <row r="55" spans="2:12" x14ac:dyDescent="0.2">
      <c r="B55" s="102" t="s">
        <v>50</v>
      </c>
      <c r="C55" s="101">
        <f>INT(365.25*(C49+4716))</f>
        <v>2461785</v>
      </c>
      <c r="D55" s="101"/>
      <c r="E55" s="102" t="s">
        <v>18</v>
      </c>
      <c r="F55" s="98">
        <v>4</v>
      </c>
      <c r="G55" s="101" t="s">
        <v>18</v>
      </c>
      <c r="H55" s="98">
        <v>4</v>
      </c>
      <c r="I55" s="101" t="s">
        <v>18</v>
      </c>
      <c r="J55" s="98">
        <v>4</v>
      </c>
      <c r="K55" s="101" t="s">
        <v>18</v>
      </c>
      <c r="L55" s="232">
        <v>4</v>
      </c>
    </row>
    <row r="56" spans="2:12" x14ac:dyDescent="0.2">
      <c r="B56" s="102" t="s">
        <v>51</v>
      </c>
      <c r="C56" s="101">
        <f>INT(30.6001*(C50+1))</f>
        <v>153</v>
      </c>
      <c r="D56" s="101"/>
      <c r="E56" s="102" t="s">
        <v>56</v>
      </c>
      <c r="F56" s="101">
        <v>3</v>
      </c>
      <c r="G56" s="101" t="s">
        <v>56</v>
      </c>
      <c r="H56" s="101">
        <v>3</v>
      </c>
      <c r="I56" s="101" t="s">
        <v>56</v>
      </c>
      <c r="J56" s="101">
        <v>3</v>
      </c>
      <c r="K56" s="101" t="s">
        <v>56</v>
      </c>
      <c r="L56" s="118">
        <v>3</v>
      </c>
    </row>
    <row r="57" spans="2:12" x14ac:dyDescent="0.2">
      <c r="B57" s="212" t="s">
        <v>6</v>
      </c>
      <c r="C57" s="234">
        <f>C53+C54+C55+C56-1524.5+C47</f>
        <v>2460431.375</v>
      </c>
      <c r="D57" s="233"/>
      <c r="E57" s="102" t="s">
        <v>57</v>
      </c>
      <c r="F57" s="98">
        <v>1461</v>
      </c>
      <c r="G57" s="101" t="s">
        <v>57</v>
      </c>
      <c r="H57" s="98">
        <v>1461</v>
      </c>
      <c r="I57" s="101" t="s">
        <v>57</v>
      </c>
      <c r="J57" s="98">
        <v>1461</v>
      </c>
      <c r="K57" s="101" t="s">
        <v>57</v>
      </c>
      <c r="L57" s="232">
        <v>1461</v>
      </c>
    </row>
    <row r="58" spans="2:12" x14ac:dyDescent="0.2">
      <c r="B58" s="215"/>
      <c r="C58" s="192"/>
      <c r="D58" s="192"/>
      <c r="E58" s="102" t="s">
        <v>40</v>
      </c>
      <c r="F58" s="101">
        <v>5</v>
      </c>
      <c r="G58" s="101" t="s">
        <v>40</v>
      </c>
      <c r="H58" s="101">
        <v>5</v>
      </c>
      <c r="I58" s="101" t="s">
        <v>40</v>
      </c>
      <c r="J58" s="101">
        <v>5</v>
      </c>
      <c r="K58" s="101" t="s">
        <v>40</v>
      </c>
      <c r="L58" s="118">
        <v>5</v>
      </c>
    </row>
    <row r="59" spans="2:12" x14ac:dyDescent="0.2">
      <c r="B59" s="215"/>
      <c r="C59" s="192"/>
      <c r="D59" s="192"/>
      <c r="E59" s="102" t="s">
        <v>58</v>
      </c>
      <c r="F59" s="101">
        <v>2</v>
      </c>
      <c r="G59" s="101" t="s">
        <v>58</v>
      </c>
      <c r="H59" s="101">
        <v>2</v>
      </c>
      <c r="I59" s="101" t="s">
        <v>58</v>
      </c>
      <c r="J59" s="101">
        <v>2</v>
      </c>
      <c r="K59" s="101" t="s">
        <v>58</v>
      </c>
      <c r="L59" s="118">
        <v>2</v>
      </c>
    </row>
    <row r="60" spans="2:12" x14ac:dyDescent="0.2">
      <c r="B60" s="215"/>
      <c r="C60" s="192"/>
      <c r="D60" s="192"/>
      <c r="E60" s="102" t="s">
        <v>90</v>
      </c>
      <c r="F60" s="98">
        <v>153</v>
      </c>
      <c r="G60" s="101" t="s">
        <v>90</v>
      </c>
      <c r="H60" s="98">
        <v>153</v>
      </c>
      <c r="I60" s="101" t="s">
        <v>90</v>
      </c>
      <c r="J60" s="98">
        <v>153</v>
      </c>
      <c r="K60" s="101" t="s">
        <v>90</v>
      </c>
      <c r="L60" s="232">
        <v>153</v>
      </c>
    </row>
    <row r="61" spans="2:12" x14ac:dyDescent="0.2">
      <c r="B61" s="215"/>
      <c r="C61" s="192"/>
      <c r="D61" s="192"/>
      <c r="E61" s="102" t="s">
        <v>59</v>
      </c>
      <c r="F61" s="98">
        <v>2</v>
      </c>
      <c r="G61" s="101" t="s">
        <v>59</v>
      </c>
      <c r="H61" s="98">
        <v>2</v>
      </c>
      <c r="I61" s="101" t="s">
        <v>59</v>
      </c>
      <c r="J61" s="98">
        <v>2</v>
      </c>
      <c r="K61" s="101" t="s">
        <v>59</v>
      </c>
      <c r="L61" s="232">
        <v>2</v>
      </c>
    </row>
    <row r="62" spans="2:12" x14ac:dyDescent="0.2">
      <c r="B62" s="215"/>
      <c r="C62" s="192"/>
      <c r="D62" s="192"/>
      <c r="E62" s="102" t="s">
        <v>60</v>
      </c>
      <c r="F62" s="98">
        <v>12</v>
      </c>
      <c r="G62" s="101" t="s">
        <v>60</v>
      </c>
      <c r="H62" s="98">
        <v>12</v>
      </c>
      <c r="I62" s="101" t="s">
        <v>60</v>
      </c>
      <c r="J62" s="98">
        <v>12</v>
      </c>
      <c r="K62" s="101" t="s">
        <v>60</v>
      </c>
      <c r="L62" s="232">
        <v>12</v>
      </c>
    </row>
    <row r="63" spans="2:12" x14ac:dyDescent="0.2">
      <c r="B63" s="209"/>
      <c r="C63" s="178"/>
      <c r="D63" s="178"/>
      <c r="E63" s="117" t="s">
        <v>25</v>
      </c>
      <c r="F63" s="231">
        <f>MOD(F39-INT(F39)+0.5,1)</f>
        <v>0.12684571649879217</v>
      </c>
      <c r="G63" s="116" t="s">
        <v>25</v>
      </c>
      <c r="H63" s="231">
        <f>MOD(H39-INT(H39)+0.5,1)</f>
        <v>0.86669671349227428</v>
      </c>
      <c r="I63" s="116" t="s">
        <v>25</v>
      </c>
      <c r="J63" s="231">
        <f>MOD(J39-INT(J39)+0.5,1)</f>
        <v>0.52550745476037264</v>
      </c>
      <c r="K63" s="116" t="s">
        <v>25</v>
      </c>
      <c r="L63" s="230">
        <f>MOD(L39-INT(L39)+0.5,1)</f>
        <v>0.38525580242276192</v>
      </c>
    </row>
    <row r="65" spans="2:5" ht="16" x14ac:dyDescent="0.2">
      <c r="B65" s="218" t="s">
        <v>89</v>
      </c>
      <c r="C65" s="229"/>
      <c r="D65" s="228" t="s">
        <v>9</v>
      </c>
      <c r="E65" s="227" t="s">
        <v>10</v>
      </c>
    </row>
    <row r="66" spans="2:5" x14ac:dyDescent="0.2">
      <c r="B66" s="102"/>
      <c r="C66" s="200"/>
      <c r="D66" s="222">
        <v>1</v>
      </c>
      <c r="E66" s="221">
        <v>0</v>
      </c>
    </row>
    <row r="67" spans="2:5" x14ac:dyDescent="0.2">
      <c r="B67" s="102" t="s">
        <v>0</v>
      </c>
      <c r="C67" s="225">
        <f>YEAR('Solar System'!C4)</f>
        <v>2024</v>
      </c>
      <c r="D67" s="222">
        <f t="shared" ref="D67:D77" si="0">D66+1</f>
        <v>2</v>
      </c>
      <c r="E67" s="221">
        <v>31</v>
      </c>
    </row>
    <row r="68" spans="2:5" x14ac:dyDescent="0.2">
      <c r="B68" s="102" t="s">
        <v>80</v>
      </c>
      <c r="C68" s="226" t="str">
        <f>IF(MOD(C67,4)=0,IF(MOD(C67,400)&gt;0,"Y","N"),"N")</f>
        <v>Y</v>
      </c>
      <c r="D68" s="222">
        <f t="shared" si="0"/>
        <v>3</v>
      </c>
      <c r="E68" s="221">
        <f>59+IF(C68="Y",1,0)</f>
        <v>60</v>
      </c>
    </row>
    <row r="69" spans="2:5" x14ac:dyDescent="0.2">
      <c r="B69" s="102" t="s">
        <v>1</v>
      </c>
      <c r="C69" s="225">
        <f>MONTH('Solar System'!C4)</f>
        <v>4</v>
      </c>
      <c r="D69" s="222">
        <f t="shared" si="0"/>
        <v>4</v>
      </c>
      <c r="E69" s="221">
        <f>90+IF(C68="Y",1,0)</f>
        <v>91</v>
      </c>
    </row>
    <row r="70" spans="2:5" x14ac:dyDescent="0.2">
      <c r="B70" s="102" t="s">
        <v>2</v>
      </c>
      <c r="C70" s="225">
        <f>DAY('Solar System'!C4)</f>
        <v>30</v>
      </c>
      <c r="D70" s="222">
        <f t="shared" si="0"/>
        <v>5</v>
      </c>
      <c r="E70" s="221">
        <f>120+IF(C68="Y",1,0)</f>
        <v>121</v>
      </c>
    </row>
    <row r="71" spans="2:5" x14ac:dyDescent="0.2">
      <c r="B71" s="212" t="s">
        <v>78</v>
      </c>
      <c r="C71" s="224">
        <f>LOOKUP(C69,D66:D77,E66:E77)+C70</f>
        <v>121</v>
      </c>
      <c r="D71" s="222">
        <f t="shared" si="0"/>
        <v>6</v>
      </c>
      <c r="E71" s="221">
        <f>151+IF(C68="Y",1,0)</f>
        <v>152</v>
      </c>
    </row>
    <row r="72" spans="2:5" x14ac:dyDescent="0.2">
      <c r="B72" s="102" t="s">
        <v>47</v>
      </c>
      <c r="C72" s="223">
        <f>E77+31</f>
        <v>366</v>
      </c>
      <c r="D72" s="222">
        <f t="shared" si="0"/>
        <v>7</v>
      </c>
      <c r="E72" s="221">
        <f>181+IF(C68="Y",1,0)</f>
        <v>182</v>
      </c>
    </row>
    <row r="73" spans="2:5" x14ac:dyDescent="0.2">
      <c r="B73" s="102"/>
      <c r="C73" s="101"/>
      <c r="D73" s="222">
        <f t="shared" si="0"/>
        <v>8</v>
      </c>
      <c r="E73" s="221">
        <f>212+IF(C68="Y",1,0)</f>
        <v>213</v>
      </c>
    </row>
    <row r="74" spans="2:5" x14ac:dyDescent="0.2">
      <c r="B74" s="102"/>
      <c r="C74" s="101"/>
      <c r="D74" s="222">
        <f t="shared" si="0"/>
        <v>9</v>
      </c>
      <c r="E74" s="221">
        <f>243+IF(C68="Y",1,0)</f>
        <v>244</v>
      </c>
    </row>
    <row r="75" spans="2:5" x14ac:dyDescent="0.2">
      <c r="B75" s="102"/>
      <c r="C75" s="101"/>
      <c r="D75" s="222">
        <f t="shared" si="0"/>
        <v>10</v>
      </c>
      <c r="E75" s="221">
        <f>273+IF(C68="Y",1,0)</f>
        <v>274</v>
      </c>
    </row>
    <row r="76" spans="2:5" x14ac:dyDescent="0.2">
      <c r="B76" s="102"/>
      <c r="C76" s="101"/>
      <c r="D76" s="222">
        <f t="shared" si="0"/>
        <v>11</v>
      </c>
      <c r="E76" s="221">
        <f>304+IF(C68="Y",1,0)</f>
        <v>305</v>
      </c>
    </row>
    <row r="77" spans="2:5" x14ac:dyDescent="0.2">
      <c r="B77" s="117"/>
      <c r="C77" s="116"/>
      <c r="D77" s="220">
        <f t="shared" si="0"/>
        <v>12</v>
      </c>
      <c r="E77" s="219">
        <f>334+IF(C68="Y",1,0)</f>
        <v>335</v>
      </c>
    </row>
    <row r="79" spans="2:5" ht="16" x14ac:dyDescent="0.2">
      <c r="B79" s="218" t="s">
        <v>253</v>
      </c>
      <c r="C79" s="107"/>
    </row>
    <row r="80" spans="2:5" x14ac:dyDescent="0.2">
      <c r="B80" s="102"/>
      <c r="C80" s="97"/>
    </row>
    <row r="81" spans="2:6" x14ac:dyDescent="0.2">
      <c r="B81" s="102"/>
      <c r="C81" s="217" t="s">
        <v>95</v>
      </c>
      <c r="F81" s="216"/>
    </row>
    <row r="82" spans="2:6" x14ac:dyDescent="0.2">
      <c r="B82" s="212" t="s">
        <v>115</v>
      </c>
      <c r="C82" s="211">
        <f>'Solar System'!C11</f>
        <v>2460431.375</v>
      </c>
      <c r="E82" s="196"/>
      <c r="F82" s="210"/>
    </row>
    <row r="83" spans="2:6" x14ac:dyDescent="0.2">
      <c r="B83" s="215" t="s">
        <v>117</v>
      </c>
      <c r="C83" s="214">
        <f>'Solar System'!C10</f>
        <v>1</v>
      </c>
      <c r="F83" s="213"/>
    </row>
    <row r="84" spans="2:6" x14ac:dyDescent="0.2">
      <c r="B84" s="212" t="s">
        <v>82</v>
      </c>
      <c r="C84" s="211">
        <f>C82-(C83/24)</f>
        <v>2460431.3333333335</v>
      </c>
      <c r="E84" s="196"/>
      <c r="F84" s="210"/>
    </row>
    <row r="85" spans="2:6" x14ac:dyDescent="0.2">
      <c r="B85" s="209"/>
      <c r="C85" s="93"/>
    </row>
    <row r="89" spans="2:6" ht="19" x14ac:dyDescent="0.25">
      <c r="B89" s="114" t="s">
        <v>252</v>
      </c>
    </row>
    <row r="90" spans="2:6" ht="19" x14ac:dyDescent="0.25">
      <c r="B90" s="114"/>
    </row>
    <row r="91" spans="2:6" x14ac:dyDescent="0.2">
      <c r="B91" s="109" t="s">
        <v>88</v>
      </c>
      <c r="C91" s="108">
        <f>180/PI()</f>
        <v>57.295779513082323</v>
      </c>
      <c r="D91" s="208"/>
      <c r="E91" s="37" t="s">
        <v>251</v>
      </c>
    </row>
    <row r="92" spans="2:6" x14ac:dyDescent="0.2">
      <c r="B92" s="102" t="s">
        <v>250</v>
      </c>
      <c r="C92" s="101">
        <f>PI()/180</f>
        <v>1.7453292519943295E-2</v>
      </c>
      <c r="D92" s="118"/>
      <c r="E92" s="37" t="s">
        <v>249</v>
      </c>
    </row>
    <row r="93" spans="2:6" x14ac:dyDescent="0.2">
      <c r="B93" s="102" t="s">
        <v>248</v>
      </c>
      <c r="C93" s="101">
        <v>149597870.69100001</v>
      </c>
      <c r="D93" s="118" t="s">
        <v>37</v>
      </c>
      <c r="E93" s="37" t="s">
        <v>247</v>
      </c>
    </row>
    <row r="94" spans="2:6" x14ac:dyDescent="0.2">
      <c r="B94" s="102" t="s">
        <v>246</v>
      </c>
      <c r="C94" s="101">
        <v>6378.1</v>
      </c>
      <c r="D94" s="118" t="s">
        <v>37</v>
      </c>
      <c r="E94" s="37" t="s">
        <v>245</v>
      </c>
    </row>
    <row r="95" spans="2:6" x14ac:dyDescent="0.2">
      <c r="B95" s="102" t="s">
        <v>244</v>
      </c>
      <c r="C95" s="101">
        <f>24*60*60</f>
        <v>86400</v>
      </c>
      <c r="D95" s="118"/>
      <c r="E95" s="37" t="s">
        <v>243</v>
      </c>
    </row>
    <row r="96" spans="2:6" x14ac:dyDescent="0.2">
      <c r="B96" s="117" t="s">
        <v>140</v>
      </c>
      <c r="C96" s="207">
        <v>-0.83299999999999996</v>
      </c>
      <c r="D96" s="115"/>
      <c r="E96" s="37" t="s">
        <v>242</v>
      </c>
    </row>
    <row r="98" spans="2:5" ht="19" x14ac:dyDescent="0.25">
      <c r="B98" s="114" t="s">
        <v>241</v>
      </c>
    </row>
    <row r="100" spans="2:5" x14ac:dyDescent="0.2">
      <c r="B100" s="206" t="s">
        <v>13</v>
      </c>
      <c r="C100" s="205" t="s">
        <v>240</v>
      </c>
      <c r="D100" s="204" t="s">
        <v>239</v>
      </c>
      <c r="E100" s="203"/>
    </row>
    <row r="101" spans="2:5" x14ac:dyDescent="0.2">
      <c r="B101" s="201">
        <v>0</v>
      </c>
      <c r="C101" s="200" t="s">
        <v>227</v>
      </c>
      <c r="D101" s="202" t="s">
        <v>76</v>
      </c>
      <c r="E101" s="118"/>
    </row>
    <row r="102" spans="2:5" x14ac:dyDescent="0.2">
      <c r="B102" s="201">
        <v>10</v>
      </c>
      <c r="C102" s="200" t="s">
        <v>238</v>
      </c>
      <c r="D102" s="202" t="s">
        <v>237</v>
      </c>
      <c r="E102" s="118"/>
    </row>
    <row r="103" spans="2:5" x14ac:dyDescent="0.2">
      <c r="B103" s="201">
        <v>80</v>
      </c>
      <c r="C103" s="200" t="s">
        <v>236</v>
      </c>
      <c r="D103" s="202" t="s">
        <v>81</v>
      </c>
      <c r="E103" s="118"/>
    </row>
    <row r="104" spans="2:5" x14ac:dyDescent="0.2">
      <c r="B104" s="201">
        <v>100</v>
      </c>
      <c r="C104" s="200" t="s">
        <v>235</v>
      </c>
      <c r="D104" s="202" t="s">
        <v>234</v>
      </c>
      <c r="E104" s="118"/>
    </row>
    <row r="105" spans="2:5" x14ac:dyDescent="0.2">
      <c r="B105" s="201">
        <v>170</v>
      </c>
      <c r="C105" s="200" t="s">
        <v>233</v>
      </c>
      <c r="D105" s="202" t="s">
        <v>79</v>
      </c>
      <c r="E105" s="118"/>
    </row>
    <row r="106" spans="2:5" x14ac:dyDescent="0.2">
      <c r="B106" s="201">
        <v>190</v>
      </c>
      <c r="C106" s="200" t="s">
        <v>232</v>
      </c>
      <c r="D106" s="202" t="s">
        <v>231</v>
      </c>
      <c r="E106" s="118"/>
    </row>
    <row r="107" spans="2:5" x14ac:dyDescent="0.2">
      <c r="B107" s="201">
        <v>260</v>
      </c>
      <c r="C107" s="200" t="s">
        <v>230</v>
      </c>
      <c r="D107" s="101" t="s">
        <v>77</v>
      </c>
      <c r="E107" s="118"/>
    </row>
    <row r="108" spans="2:5" x14ac:dyDescent="0.2">
      <c r="B108" s="201">
        <v>280</v>
      </c>
      <c r="C108" s="200" t="s">
        <v>229</v>
      </c>
      <c r="D108" s="101" t="s">
        <v>228</v>
      </c>
      <c r="E108" s="118"/>
    </row>
    <row r="109" spans="2:5" x14ac:dyDescent="0.2">
      <c r="B109" s="199">
        <v>350</v>
      </c>
      <c r="C109" s="198" t="s">
        <v>227</v>
      </c>
      <c r="D109" s="197" t="s">
        <v>76</v>
      </c>
      <c r="E109" s="115"/>
    </row>
    <row r="111" spans="2:5" ht="19" x14ac:dyDescent="0.25">
      <c r="B111" s="114" t="s">
        <v>226</v>
      </c>
    </row>
    <row r="112" spans="2:5" x14ac:dyDescent="0.2">
      <c r="B112" s="196"/>
      <c r="C112" s="196"/>
      <c r="D112" s="196"/>
      <c r="E112" s="196"/>
    </row>
    <row r="113" spans="2:6" x14ac:dyDescent="0.2">
      <c r="B113" s="195" t="s">
        <v>140</v>
      </c>
      <c r="C113" s="194" t="s">
        <v>225</v>
      </c>
      <c r="D113" s="194"/>
      <c r="E113" s="194"/>
      <c r="F113" s="107"/>
    </row>
    <row r="114" spans="2:6" x14ac:dyDescent="0.2">
      <c r="B114" s="193">
        <v>0</v>
      </c>
      <c r="C114" s="192" t="s">
        <v>224</v>
      </c>
      <c r="D114" s="192"/>
      <c r="E114" s="192"/>
      <c r="F114" s="97"/>
    </row>
    <row r="115" spans="2:6" x14ac:dyDescent="0.2">
      <c r="B115" s="193">
        <v>-0.25</v>
      </c>
      <c r="C115" s="192" t="s">
        <v>223</v>
      </c>
      <c r="D115" s="192"/>
      <c r="E115" s="192"/>
      <c r="F115" s="97"/>
    </row>
    <row r="116" spans="2:6" x14ac:dyDescent="0.2">
      <c r="B116" s="193">
        <v>-0.58299999999999996</v>
      </c>
      <c r="C116" s="192" t="s">
        <v>222</v>
      </c>
      <c r="D116" s="192"/>
      <c r="E116" s="192"/>
      <c r="F116" s="97"/>
    </row>
    <row r="117" spans="2:6" x14ac:dyDescent="0.2">
      <c r="B117" s="193">
        <v>-0.83299999999999996</v>
      </c>
      <c r="C117" s="192" t="s">
        <v>221</v>
      </c>
      <c r="D117" s="192"/>
      <c r="E117" s="192"/>
      <c r="F117" s="97"/>
    </row>
    <row r="118" spans="2:6" x14ac:dyDescent="0.2">
      <c r="B118" s="193">
        <v>-6</v>
      </c>
      <c r="C118" s="192" t="s">
        <v>220</v>
      </c>
      <c r="D118" s="192"/>
      <c r="E118" s="192"/>
      <c r="F118" s="97"/>
    </row>
    <row r="119" spans="2:6" x14ac:dyDescent="0.2">
      <c r="B119" s="193">
        <v>-12</v>
      </c>
      <c r="C119" s="192" t="s">
        <v>219</v>
      </c>
      <c r="D119" s="192"/>
      <c r="E119" s="192"/>
      <c r="F119" s="97"/>
    </row>
    <row r="120" spans="2:6" x14ac:dyDescent="0.2">
      <c r="B120" s="193">
        <v>-15</v>
      </c>
      <c r="C120" s="192" t="s">
        <v>218</v>
      </c>
      <c r="D120" s="192"/>
      <c r="E120" s="192"/>
      <c r="F120" s="97"/>
    </row>
    <row r="121" spans="2:6" x14ac:dyDescent="0.2">
      <c r="B121" s="191">
        <v>-18</v>
      </c>
      <c r="C121" s="178" t="s">
        <v>217</v>
      </c>
      <c r="D121" s="178"/>
      <c r="E121" s="178"/>
      <c r="F121" s="93"/>
    </row>
  </sheetData>
  <sheetProtection sheet="1" objects="1" scenarios="1"/>
  <mergeCells count="2">
    <mergeCell ref="P39:X40"/>
    <mergeCell ref="E37:L37"/>
  </mergeCells>
  <dataValidations count="1">
    <dataValidation type="list" allowBlank="1" showInputMessage="1" showErrorMessage="1" sqref="C96" xr:uid="{FDF1B8A5-806A-804A-B041-3CA49D923251}">
      <formula1>$B$26:$B$33</formula1>
    </dataValidation>
  </dataValidations>
  <hyperlinks>
    <hyperlink ref="B37" r:id="rId1" display="Gregorian Date -&gt; JD" xr:uid="{D458DF9A-D9F1-0546-AD0B-EB604C864358}"/>
  </hyperlinks>
  <pageMargins left="0.7" right="0.7" top="0.75" bottom="0.75" header="0.3" footer="0.3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Introduction</vt:lpstr>
      <vt:lpstr>Solar System</vt:lpstr>
      <vt:lpstr>Planet Fact Sheet</vt:lpstr>
      <vt:lpstr>Calculations</vt:lpstr>
      <vt:lpstr>Conversion</vt:lpstr>
      <vt:lpstr>AU</vt:lpstr>
      <vt:lpstr>DR</vt:lpstr>
      <vt:lpstr>ER</vt:lpstr>
      <vt:lpstr>MoonPhaseTable</vt:lpstr>
      <vt:lpstr>RD</vt:lpstr>
      <vt:lpstr>RSA</vt:lpstr>
      <vt:lpstr>Calculations!SD</vt:lpstr>
      <vt:lpstr>Conversion!SD</vt:lpstr>
      <vt:lpstr>Introduction!SD</vt:lpstr>
      <vt:lpstr>'Solar System'!SD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Anton Viola</cp:lastModifiedBy>
  <dcterms:created xsi:type="dcterms:W3CDTF">2016-06-12T12:50:56Z</dcterms:created>
  <dcterms:modified xsi:type="dcterms:W3CDTF">2024-04-26T12:41:31Z</dcterms:modified>
  <cp:category/>
</cp:coreProperties>
</file>