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4"/>
  <workbookPr codeName="ThisWorkbook" autoCompressPictures="0"/>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86926C2A-4D1A-9D4B-A159-2EBC0028B23F}" xr6:coauthVersionLast="47" xr6:coauthVersionMax="47" xr10:uidLastSave="{00000000-0000-0000-0000-000000000000}"/>
  <bookViews>
    <workbookView xWindow="2460" yWindow="4080" windowWidth="35420" windowHeight="18440" xr2:uid="{00000000-000D-0000-FFFF-FFFF00000000}"/>
  </bookViews>
  <sheets>
    <sheet name="Introduction" sheetId="9" r:id="rId1"/>
    <sheet name="Visibility (Required)" sheetId="16" r:id="rId2"/>
    <sheet name="Visibility (Optional)" sheetId="21" r:id="rId3"/>
    <sheet name="Illumination (VR)" sheetId="22" r:id="rId4"/>
    <sheet name="Illumination (VO)" sheetId="23" r:id="rId5"/>
    <sheet name="Background" sheetId="17" r:id="rId6"/>
  </sheets>
  <definedNames>
    <definedName name="degrees">{0;90;180;270}</definedName>
    <definedName name="_xlnm.Print_Area" localSheetId="2">'Visibility (Optional)'!$V$2:$AI$42</definedName>
    <definedName name="_xlnm.Print_Area" localSheetId="1">'Visibility (Required)'!$X$2:$AL$42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36" i="21" l="1"/>
  <c r="C20" i="23"/>
  <c r="C3" i="23"/>
  <c r="L24" i="23"/>
  <c r="M24" i="23" s="1"/>
  <c r="B24" i="23"/>
  <c r="B25" i="23" s="1"/>
  <c r="M20" i="23"/>
  <c r="D20" i="23"/>
  <c r="P11" i="23"/>
  <c r="P12" i="23" s="1"/>
  <c r="P13" i="23" s="1"/>
  <c r="P10" i="23"/>
  <c r="F10" i="23"/>
  <c r="F11" i="23" s="1"/>
  <c r="Q4" i="23"/>
  <c r="G4" i="23"/>
  <c r="M3" i="23"/>
  <c r="M2" i="23"/>
  <c r="C2" i="23"/>
  <c r="C20" i="22"/>
  <c r="AI5" i="16"/>
  <c r="AI4" i="16"/>
  <c r="E10" i="16"/>
  <c r="E11" i="16"/>
  <c r="E12" i="16"/>
  <c r="E13" i="16"/>
  <c r="E14" i="16"/>
  <c r="E15" i="16"/>
  <c r="E16" i="16"/>
  <c r="E17" i="16"/>
  <c r="E18" i="16"/>
  <c r="E19" i="16"/>
  <c r="E20" i="16"/>
  <c r="E21" i="16"/>
  <c r="E22" i="16"/>
  <c r="E23" i="16"/>
  <c r="E24" i="16"/>
  <c r="E25" i="16"/>
  <c r="E26" i="16"/>
  <c r="E27" i="16"/>
  <c r="E28" i="16"/>
  <c r="E29" i="16"/>
  <c r="E30" i="16"/>
  <c r="E31" i="16"/>
  <c r="E32" i="16"/>
  <c r="E33" i="16"/>
  <c r="E34" i="16"/>
  <c r="E35" i="16"/>
  <c r="E36" i="16"/>
  <c r="E37" i="16"/>
  <c r="E38" i="16"/>
  <c r="E39" i="16"/>
  <c r="E40" i="16"/>
  <c r="E41" i="16"/>
  <c r="E42" i="16"/>
  <c r="E9" i="16"/>
  <c r="E10" i="21"/>
  <c r="E11" i="21"/>
  <c r="E12" i="21"/>
  <c r="E13" i="21"/>
  <c r="E14" i="21"/>
  <c r="E15" i="21"/>
  <c r="E16" i="21"/>
  <c r="E17" i="21"/>
  <c r="E18" i="21"/>
  <c r="E19" i="21"/>
  <c r="E20" i="21"/>
  <c r="E21" i="21"/>
  <c r="E22" i="21"/>
  <c r="E23" i="21"/>
  <c r="E24" i="21"/>
  <c r="E25" i="21"/>
  <c r="E26" i="21"/>
  <c r="E27" i="21"/>
  <c r="E28" i="21"/>
  <c r="E29" i="21"/>
  <c r="E30" i="21"/>
  <c r="E31" i="21"/>
  <c r="E32" i="21"/>
  <c r="E33" i="21"/>
  <c r="E34" i="21"/>
  <c r="E35" i="21"/>
  <c r="E36" i="21"/>
  <c r="E37" i="21"/>
  <c r="E38" i="21"/>
  <c r="E39" i="21"/>
  <c r="E40" i="21"/>
  <c r="E41" i="21"/>
  <c r="E42" i="21"/>
  <c r="E43" i="21"/>
  <c r="E44" i="21"/>
  <c r="E45" i="21"/>
  <c r="E46" i="21"/>
  <c r="E47" i="21"/>
  <c r="E48" i="21"/>
  <c r="E49" i="21"/>
  <c r="E50" i="21"/>
  <c r="E51" i="21"/>
  <c r="E52" i="21"/>
  <c r="E53" i="21"/>
  <c r="E54" i="21"/>
  <c r="E55" i="21"/>
  <c r="E56" i="21"/>
  <c r="E57" i="21"/>
  <c r="E58" i="21"/>
  <c r="E59" i="21"/>
  <c r="E60" i="21"/>
  <c r="E61" i="21"/>
  <c r="E62" i="21"/>
  <c r="E63" i="21"/>
  <c r="E64" i="21"/>
  <c r="E65" i="21"/>
  <c r="E66" i="21"/>
  <c r="E67" i="21"/>
  <c r="E68" i="21"/>
  <c r="E69" i="21"/>
  <c r="E70" i="21"/>
  <c r="E71" i="21"/>
  <c r="E72" i="21"/>
  <c r="E73" i="21"/>
  <c r="E74" i="21"/>
  <c r="E75" i="21"/>
  <c r="E76" i="21"/>
  <c r="E77" i="21"/>
  <c r="E78" i="21"/>
  <c r="E79" i="21"/>
  <c r="E80" i="21"/>
  <c r="E81" i="21"/>
  <c r="E82" i="21"/>
  <c r="E83" i="21"/>
  <c r="E84" i="21"/>
  <c r="E85" i="21"/>
  <c r="E86" i="21"/>
  <c r="E87" i="21"/>
  <c r="E88" i="21"/>
  <c r="E89" i="21"/>
  <c r="E90" i="21"/>
  <c r="E91" i="21"/>
  <c r="E92" i="21"/>
  <c r="E93" i="21"/>
  <c r="E94" i="21"/>
  <c r="E95" i="21"/>
  <c r="E96" i="21"/>
  <c r="E97" i="21"/>
  <c r="E98" i="21"/>
  <c r="E99" i="21"/>
  <c r="E100" i="21"/>
  <c r="E101" i="21"/>
  <c r="E102" i="21"/>
  <c r="E103" i="21"/>
  <c r="E9" i="21"/>
  <c r="L27" i="22"/>
  <c r="L28" i="22" s="1"/>
  <c r="M28" i="22" s="1"/>
  <c r="L25" i="22"/>
  <c r="L26" i="22" s="1"/>
  <c r="M26" i="22" s="1"/>
  <c r="L24" i="22"/>
  <c r="M24" i="22" s="1"/>
  <c r="P10" i="22"/>
  <c r="Q4" i="22"/>
  <c r="M2" i="22"/>
  <c r="B25" i="22"/>
  <c r="B24" i="22"/>
  <c r="C24" i="22" s="1"/>
  <c r="F10" i="22"/>
  <c r="G4" i="22"/>
  <c r="C2" i="22"/>
  <c r="C14" i="21"/>
  <c r="C13" i="21"/>
  <c r="V4" i="21" s="1"/>
  <c r="C14" i="16"/>
  <c r="C13" i="16"/>
  <c r="S105" i="21"/>
  <c r="C15" i="21"/>
  <c r="W7" i="21"/>
  <c r="G7" i="21"/>
  <c r="C7" i="21"/>
  <c r="C8" i="21" s="1"/>
  <c r="C10" i="21" s="1"/>
  <c r="V5" i="21"/>
  <c r="V3" i="21"/>
  <c r="Y7" i="16"/>
  <c r="X5" i="16"/>
  <c r="G7" i="16"/>
  <c r="X3" i="16"/>
  <c r="P14" i="23" l="1"/>
  <c r="C25" i="23"/>
  <c r="B26" i="23"/>
  <c r="C24" i="23"/>
  <c r="N20" i="23"/>
  <c r="F12" i="23"/>
  <c r="M5" i="23"/>
  <c r="M6" i="23"/>
  <c r="M4" i="23"/>
  <c r="C4" i="23"/>
  <c r="C6" i="23"/>
  <c r="C5" i="23"/>
  <c r="L25" i="23"/>
  <c r="AF4" i="21"/>
  <c r="M20" i="22"/>
  <c r="M3" i="22"/>
  <c r="M6" i="22" s="1"/>
  <c r="M27" i="22"/>
  <c r="L29" i="22"/>
  <c r="P11" i="22"/>
  <c r="N20" i="22"/>
  <c r="M25" i="22"/>
  <c r="B26" i="22"/>
  <c r="C25" i="22"/>
  <c r="F11" i="22"/>
  <c r="X4" i="16"/>
  <c r="C9" i="21"/>
  <c r="C11" i="21"/>
  <c r="C16" i="21" s="1"/>
  <c r="T44" i="16"/>
  <c r="C15" i="16"/>
  <c r="C7" i="16"/>
  <c r="C8" i="16" s="1"/>
  <c r="C10" i="16" s="1"/>
  <c r="C7" i="23" l="1"/>
  <c r="C8" i="23" s="1"/>
  <c r="C21" i="23" s="1"/>
  <c r="G2" i="23" s="1"/>
  <c r="J3" i="23" s="1"/>
  <c r="J4" i="23"/>
  <c r="J5" i="23" s="1"/>
  <c r="G12" i="23" s="1"/>
  <c r="H12" i="23" s="1"/>
  <c r="F13" i="23"/>
  <c r="M25" i="23"/>
  <c r="L26" i="23"/>
  <c r="M7" i="23"/>
  <c r="M8" i="23" s="1"/>
  <c r="M21" i="23" s="1"/>
  <c r="Q2" i="23" s="1"/>
  <c r="T3" i="23" s="1"/>
  <c r="C26" i="23"/>
  <c r="B27" i="23"/>
  <c r="P15" i="23"/>
  <c r="M4" i="22"/>
  <c r="D20" i="22"/>
  <c r="C3" i="22"/>
  <c r="M5" i="22"/>
  <c r="M7" i="22" s="1"/>
  <c r="M8" i="22" s="1"/>
  <c r="AF3" i="21" s="1"/>
  <c r="P12" i="22"/>
  <c r="L30" i="22"/>
  <c r="M29" i="22"/>
  <c r="F12" i="22"/>
  <c r="C26" i="22"/>
  <c r="B27" i="22"/>
  <c r="S56" i="21"/>
  <c r="S72" i="21"/>
  <c r="S88" i="21"/>
  <c r="S83" i="21"/>
  <c r="S84" i="21"/>
  <c r="S85" i="21"/>
  <c r="S57" i="21"/>
  <c r="S73" i="21"/>
  <c r="S89" i="21"/>
  <c r="S95" i="21"/>
  <c r="S50" i="21"/>
  <c r="S82" i="21"/>
  <c r="S52" i="21"/>
  <c r="S68" i="21"/>
  <c r="S100" i="21"/>
  <c r="S69" i="21"/>
  <c r="S70" i="21"/>
  <c r="S58" i="21"/>
  <c r="S74" i="21"/>
  <c r="S90" i="21"/>
  <c r="S46" i="21"/>
  <c r="S78" i="21"/>
  <c r="S43" i="21"/>
  <c r="S59" i="21"/>
  <c r="S75" i="21"/>
  <c r="S91" i="21"/>
  <c r="S62" i="21"/>
  <c r="S94" i="21"/>
  <c r="S47" i="21"/>
  <c r="S63" i="21"/>
  <c r="S79" i="21"/>
  <c r="S44" i="21"/>
  <c r="S60" i="21"/>
  <c r="S76" i="21"/>
  <c r="S92" i="21"/>
  <c r="S45" i="21"/>
  <c r="S61" i="21"/>
  <c r="S77" i="21"/>
  <c r="S93" i="21"/>
  <c r="S54" i="21"/>
  <c r="S86" i="21"/>
  <c r="S48" i="21"/>
  <c r="S64" i="21"/>
  <c r="S80" i="21"/>
  <c r="S96" i="21"/>
  <c r="S53" i="21"/>
  <c r="S71" i="21"/>
  <c r="S49" i="21"/>
  <c r="S65" i="21"/>
  <c r="S81" i="21"/>
  <c r="S97" i="21"/>
  <c r="S66" i="21"/>
  <c r="S98" i="21"/>
  <c r="S51" i="21"/>
  <c r="S67" i="21"/>
  <c r="S99" i="21"/>
  <c r="S101" i="21"/>
  <c r="S102" i="21"/>
  <c r="S55" i="21"/>
  <c r="S103" i="21"/>
  <c r="S87" i="21"/>
  <c r="S28" i="21"/>
  <c r="S12" i="21"/>
  <c r="S31" i="21"/>
  <c r="S23" i="21"/>
  <c r="S9" i="21"/>
  <c r="S15" i="21"/>
  <c r="S42" i="21"/>
  <c r="S38" i="21"/>
  <c r="S34" i="21"/>
  <c r="S30" i="21"/>
  <c r="S26" i="21"/>
  <c r="S22" i="21"/>
  <c r="S18" i="21"/>
  <c r="S14" i="21"/>
  <c r="S37" i="21"/>
  <c r="S25" i="21"/>
  <c r="S17" i="21"/>
  <c r="S13" i="21"/>
  <c r="S36" i="21"/>
  <c r="S32" i="21"/>
  <c r="S24" i="21"/>
  <c r="S20" i="21"/>
  <c r="S16" i="21"/>
  <c r="S35" i="21"/>
  <c r="S27" i="21"/>
  <c r="S19" i="21"/>
  <c r="S11" i="21"/>
  <c r="S10" i="21"/>
  <c r="S33" i="21"/>
  <c r="S29" i="21"/>
  <c r="S21" i="21"/>
  <c r="S41" i="21"/>
  <c r="S40" i="21"/>
  <c r="S39" i="21"/>
  <c r="C9" i="16"/>
  <c r="C11" i="16"/>
  <c r="C16" i="16" s="1"/>
  <c r="M26" i="23" l="1"/>
  <c r="L27" i="23"/>
  <c r="I12" i="23"/>
  <c r="G9" i="23"/>
  <c r="G11" i="23"/>
  <c r="G10" i="23"/>
  <c r="F14" i="23"/>
  <c r="G13" i="23"/>
  <c r="H13" i="23"/>
  <c r="P16" i="23"/>
  <c r="J12" i="23"/>
  <c r="B28" i="23"/>
  <c r="C27" i="23"/>
  <c r="J13" i="23"/>
  <c r="T4" i="23"/>
  <c r="T5" i="23" s="1"/>
  <c r="Q15" i="23" s="1"/>
  <c r="I13" i="23"/>
  <c r="C6" i="22"/>
  <c r="C4" i="22"/>
  <c r="C5" i="22"/>
  <c r="I43" i="21"/>
  <c r="H43" i="21" s="1"/>
  <c r="I84" i="21"/>
  <c r="H84" i="21" s="1"/>
  <c r="I99" i="21"/>
  <c r="H99" i="21" s="1"/>
  <c r="I46" i="21"/>
  <c r="H46" i="21" s="1"/>
  <c r="I59" i="21"/>
  <c r="H59" i="21" s="1"/>
  <c r="I67" i="21"/>
  <c r="H67" i="21" s="1"/>
  <c r="I57" i="21"/>
  <c r="H57" i="21"/>
  <c r="I51" i="21"/>
  <c r="H51" i="21" s="1"/>
  <c r="I61" i="21"/>
  <c r="H61" i="21" s="1"/>
  <c r="I66" i="21"/>
  <c r="H66" i="21" s="1"/>
  <c r="I90" i="21"/>
  <c r="H90" i="21" s="1"/>
  <c r="I97" i="21"/>
  <c r="H97" i="21" s="1"/>
  <c r="I74" i="21"/>
  <c r="H74" i="21"/>
  <c r="I88" i="21"/>
  <c r="H88" i="21" s="1"/>
  <c r="I81" i="21"/>
  <c r="I72" i="21"/>
  <c r="H72" i="21" s="1"/>
  <c r="I65" i="21"/>
  <c r="I78" i="21"/>
  <c r="H78" i="21" s="1"/>
  <c r="I58" i="21"/>
  <c r="H58" i="21" s="1"/>
  <c r="I53" i="21"/>
  <c r="H53" i="21" s="1"/>
  <c r="I93" i="21"/>
  <c r="H93" i="21" s="1"/>
  <c r="I98" i="21"/>
  <c r="I45" i="21"/>
  <c r="H45" i="21"/>
  <c r="I92" i="21"/>
  <c r="H92" i="21"/>
  <c r="I56" i="21"/>
  <c r="H56" i="21" s="1"/>
  <c r="I68" i="21"/>
  <c r="H68" i="21" s="1"/>
  <c r="I54" i="21"/>
  <c r="H54" i="21"/>
  <c r="I73" i="21"/>
  <c r="H73" i="21" s="1"/>
  <c r="I77" i="21"/>
  <c r="H77" i="21" s="1"/>
  <c r="I85" i="21"/>
  <c r="H85" i="21"/>
  <c r="I83" i="21"/>
  <c r="H83" i="21"/>
  <c r="I76" i="21"/>
  <c r="H76" i="21"/>
  <c r="I60" i="21"/>
  <c r="H60" i="21" s="1"/>
  <c r="I70" i="21"/>
  <c r="I49" i="21"/>
  <c r="H49" i="21" s="1"/>
  <c r="I44" i="21"/>
  <c r="I69" i="21"/>
  <c r="H69" i="21"/>
  <c r="H12" i="21"/>
  <c r="I71" i="21"/>
  <c r="H71" i="21"/>
  <c r="I79" i="21"/>
  <c r="H79" i="21" s="1"/>
  <c r="I100" i="21"/>
  <c r="H100" i="21"/>
  <c r="I63" i="21"/>
  <c r="H63" i="21"/>
  <c r="I87" i="21"/>
  <c r="I96" i="21"/>
  <c r="H96" i="21" s="1"/>
  <c r="I47" i="21"/>
  <c r="H47" i="21"/>
  <c r="I52" i="21"/>
  <c r="H52" i="21" s="1"/>
  <c r="I103" i="21"/>
  <c r="H103" i="21" s="1"/>
  <c r="I80" i="21"/>
  <c r="H80" i="21" s="1"/>
  <c r="I94" i="21"/>
  <c r="H94" i="21"/>
  <c r="I82" i="21"/>
  <c r="H82" i="21" s="1"/>
  <c r="I55" i="21"/>
  <c r="H55" i="21" s="1"/>
  <c r="I64" i="21"/>
  <c r="I62" i="21"/>
  <c r="H62" i="21"/>
  <c r="I50" i="21"/>
  <c r="H50" i="21" s="1"/>
  <c r="I102" i="21"/>
  <c r="H102" i="21" s="1"/>
  <c r="I48" i="21"/>
  <c r="H48" i="21" s="1"/>
  <c r="I91" i="21"/>
  <c r="H91" i="21"/>
  <c r="I95" i="21"/>
  <c r="H95" i="21"/>
  <c r="I101" i="21"/>
  <c r="H101" i="21" s="1"/>
  <c r="I86" i="21"/>
  <c r="H86" i="21" s="1"/>
  <c r="I75" i="21"/>
  <c r="H75" i="21" s="1"/>
  <c r="I89" i="21"/>
  <c r="H89" i="21"/>
  <c r="M21" i="22"/>
  <c r="Q2" i="22" s="1"/>
  <c r="T3" i="22" s="1"/>
  <c r="L31" i="22"/>
  <c r="M31" i="22" s="1"/>
  <c r="M30" i="22"/>
  <c r="P13" i="22"/>
  <c r="F13" i="22"/>
  <c r="B28" i="22"/>
  <c r="C27" i="22"/>
  <c r="I41" i="21"/>
  <c r="H41" i="21" s="1"/>
  <c r="I29" i="21"/>
  <c r="H29" i="21" s="1"/>
  <c r="I26" i="21"/>
  <c r="H26" i="21" s="1"/>
  <c r="I20" i="21"/>
  <c r="H20" i="21" s="1"/>
  <c r="I25" i="21"/>
  <c r="H25" i="21" s="1"/>
  <c r="I14" i="21"/>
  <c r="H14" i="21" s="1"/>
  <c r="I22" i="21"/>
  <c r="H22" i="21" s="1"/>
  <c r="I27" i="21"/>
  <c r="H27" i="21" s="1"/>
  <c r="I31" i="21"/>
  <c r="H31" i="21" s="1"/>
  <c r="I21" i="21"/>
  <c r="H21" i="21" s="1"/>
  <c r="I33" i="21"/>
  <c r="H33" i="21" s="1"/>
  <c r="I10" i="21"/>
  <c r="H10" i="21" s="1"/>
  <c r="I30" i="21"/>
  <c r="H30" i="21" s="1"/>
  <c r="I42" i="21"/>
  <c r="H42" i="21" s="1"/>
  <c r="I12" i="21"/>
  <c r="I37" i="21"/>
  <c r="H37" i="21" s="1"/>
  <c r="I18" i="21"/>
  <c r="H18" i="21" s="1"/>
  <c r="I11" i="21"/>
  <c r="H11" i="21" s="1"/>
  <c r="I19" i="21"/>
  <c r="H19" i="21" s="1"/>
  <c r="I34" i="21"/>
  <c r="H34" i="21" s="1"/>
  <c r="I35" i="21"/>
  <c r="H35" i="21" s="1"/>
  <c r="I38" i="21"/>
  <c r="H38" i="21" s="1"/>
  <c r="I16" i="21"/>
  <c r="H16" i="21" s="1"/>
  <c r="I15" i="21"/>
  <c r="H15" i="21" s="1"/>
  <c r="I24" i="21"/>
  <c r="H24" i="21" s="1"/>
  <c r="I9" i="21"/>
  <c r="H9" i="21" s="1"/>
  <c r="I32" i="21"/>
  <c r="H32" i="21" s="1"/>
  <c r="I23" i="21"/>
  <c r="H23" i="21" s="1"/>
  <c r="I36" i="21"/>
  <c r="H36" i="21" s="1"/>
  <c r="I39" i="21"/>
  <c r="H39" i="21" s="1"/>
  <c r="I13" i="21"/>
  <c r="H13" i="21" s="1"/>
  <c r="I40" i="21"/>
  <c r="H40" i="21" s="1"/>
  <c r="I17" i="21"/>
  <c r="H17" i="21" s="1"/>
  <c r="I28" i="21"/>
  <c r="H28" i="21" s="1"/>
  <c r="T38" i="16"/>
  <c r="T22" i="16"/>
  <c r="T41" i="16"/>
  <c r="T25" i="16"/>
  <c r="T16" i="16"/>
  <c r="T21" i="16"/>
  <c r="T15" i="16"/>
  <c r="T19" i="16"/>
  <c r="T10" i="16"/>
  <c r="T39" i="16"/>
  <c r="T14" i="16"/>
  <c r="T11" i="16"/>
  <c r="T28" i="16"/>
  <c r="T40" i="16"/>
  <c r="T24" i="16"/>
  <c r="T42" i="16"/>
  <c r="T31" i="16"/>
  <c r="T13" i="16"/>
  <c r="T34" i="16"/>
  <c r="T12" i="16"/>
  <c r="T37" i="16"/>
  <c r="T27" i="16"/>
  <c r="T20" i="16"/>
  <c r="T18" i="16"/>
  <c r="T9" i="16"/>
  <c r="T26" i="16"/>
  <c r="T29" i="16"/>
  <c r="T30" i="16"/>
  <c r="T17" i="16"/>
  <c r="T33" i="16"/>
  <c r="T32" i="16"/>
  <c r="T35" i="16"/>
  <c r="T36" i="16"/>
  <c r="T23" i="16"/>
  <c r="R15" i="23" l="1"/>
  <c r="S15" i="23"/>
  <c r="T15" i="23"/>
  <c r="B29" i="23"/>
  <c r="C28" i="23"/>
  <c r="P17" i="23"/>
  <c r="Q16" i="23"/>
  <c r="G14" i="23"/>
  <c r="F15" i="23"/>
  <c r="J14" i="23"/>
  <c r="I14" i="23"/>
  <c r="H14" i="23"/>
  <c r="Q9" i="23"/>
  <c r="Q13" i="23"/>
  <c r="Q11" i="23"/>
  <c r="Q10" i="23"/>
  <c r="Q12" i="23"/>
  <c r="Q14" i="23"/>
  <c r="I10" i="23"/>
  <c r="H10" i="23"/>
  <c r="J10" i="23"/>
  <c r="I11" i="23"/>
  <c r="J11" i="23"/>
  <c r="H11" i="23"/>
  <c r="J9" i="23"/>
  <c r="H9" i="23"/>
  <c r="I9" i="23"/>
  <c r="M27" i="23"/>
  <c r="L28" i="23"/>
  <c r="I37" i="16"/>
  <c r="H37" i="16"/>
  <c r="I12" i="16"/>
  <c r="H12" i="16"/>
  <c r="I15" i="16"/>
  <c r="H15" i="16"/>
  <c r="I16" i="16"/>
  <c r="H16" i="16" s="1"/>
  <c r="I35" i="16"/>
  <c r="H35" i="16"/>
  <c r="I23" i="16"/>
  <c r="H23" i="16" s="1"/>
  <c r="I41" i="16"/>
  <c r="H41" i="16"/>
  <c r="I38" i="16"/>
  <c r="H38" i="16"/>
  <c r="I28" i="16"/>
  <c r="H28" i="16"/>
  <c r="I11" i="16"/>
  <c r="H11" i="16"/>
  <c r="I19" i="16"/>
  <c r="H19" i="16"/>
  <c r="I21" i="16"/>
  <c r="H21" i="16" s="1"/>
  <c r="I22" i="16"/>
  <c r="H22" i="16" s="1"/>
  <c r="I24" i="16"/>
  <c r="H24" i="16"/>
  <c r="I29" i="16"/>
  <c r="H29" i="16"/>
  <c r="I14" i="16"/>
  <c r="H14" i="16" s="1"/>
  <c r="I18" i="16"/>
  <c r="H18" i="16"/>
  <c r="I20" i="16"/>
  <c r="H20" i="16"/>
  <c r="I34" i="16"/>
  <c r="H34" i="16"/>
  <c r="I13" i="16"/>
  <c r="H13" i="16"/>
  <c r="I36" i="16"/>
  <c r="H36" i="16"/>
  <c r="I32" i="16"/>
  <c r="H32" i="16"/>
  <c r="I33" i="16"/>
  <c r="H33" i="16" s="1"/>
  <c r="I17" i="16"/>
  <c r="H17" i="16"/>
  <c r="I30" i="16"/>
  <c r="H30" i="16"/>
  <c r="I26" i="16"/>
  <c r="H26" i="16"/>
  <c r="I39" i="16"/>
  <c r="H39" i="16" s="1"/>
  <c r="C7" i="22"/>
  <c r="C8" i="22" s="1"/>
  <c r="I27" i="16"/>
  <c r="H27" i="16"/>
  <c r="I25" i="16"/>
  <c r="H25" i="16" s="1"/>
  <c r="I31" i="16"/>
  <c r="H31" i="16" s="1"/>
  <c r="I42" i="16"/>
  <c r="H42" i="16" s="1"/>
  <c r="I40" i="16"/>
  <c r="H40" i="16" s="1"/>
  <c r="H81" i="21"/>
  <c r="H64" i="21"/>
  <c r="T4" i="22"/>
  <c r="T5" i="22" s="1"/>
  <c r="R114" i="22"/>
  <c r="R118" i="22"/>
  <c r="R122" i="22"/>
  <c r="R126" i="22"/>
  <c r="R130" i="22"/>
  <c r="R134" i="22"/>
  <c r="R138" i="22"/>
  <c r="R142" i="22"/>
  <c r="R146" i="22"/>
  <c r="R150" i="22"/>
  <c r="R154" i="22"/>
  <c r="R158" i="22"/>
  <c r="R162" i="22"/>
  <c r="R166" i="22"/>
  <c r="R170" i="22"/>
  <c r="R174" i="22"/>
  <c r="R178" i="22"/>
  <c r="R182" i="22"/>
  <c r="R186" i="22"/>
  <c r="R190" i="22"/>
  <c r="R194" i="22"/>
  <c r="R198" i="22"/>
  <c r="R202" i="22"/>
  <c r="R206" i="22"/>
  <c r="R110" i="22"/>
  <c r="R167" i="22"/>
  <c r="R195" i="22"/>
  <c r="R196" i="22"/>
  <c r="R125" i="22"/>
  <c r="R159" i="22"/>
  <c r="R183" i="22"/>
  <c r="R199" i="22"/>
  <c r="R180" i="22"/>
  <c r="R113" i="22"/>
  <c r="R171" i="22"/>
  <c r="R187" i="22"/>
  <c r="R203" i="22"/>
  <c r="R188" i="22"/>
  <c r="R133" i="22"/>
  <c r="R115" i="22"/>
  <c r="R119" i="22"/>
  <c r="R123" i="22"/>
  <c r="R127" i="22"/>
  <c r="R131" i="22"/>
  <c r="R135" i="22"/>
  <c r="R139" i="22"/>
  <c r="R143" i="22"/>
  <c r="R147" i="22"/>
  <c r="R151" i="22"/>
  <c r="R155" i="22"/>
  <c r="R163" i="22"/>
  <c r="R175" i="22"/>
  <c r="R179" i="22"/>
  <c r="R191" i="22"/>
  <c r="R207" i="22"/>
  <c r="R184" i="22"/>
  <c r="R208" i="22"/>
  <c r="R129" i="22"/>
  <c r="R157" i="22"/>
  <c r="R111" i="22"/>
  <c r="R204" i="22"/>
  <c r="R121" i="22"/>
  <c r="R200" i="22"/>
  <c r="R117" i="22"/>
  <c r="R153" i="22"/>
  <c r="R141" i="22"/>
  <c r="R116" i="22"/>
  <c r="R120" i="22"/>
  <c r="R124" i="22"/>
  <c r="R128" i="22"/>
  <c r="R132" i="22"/>
  <c r="R136" i="22"/>
  <c r="R140" i="22"/>
  <c r="R144" i="22"/>
  <c r="R148" i="22"/>
  <c r="R152" i="22"/>
  <c r="R156" i="22"/>
  <c r="R160" i="22"/>
  <c r="R164" i="22"/>
  <c r="R168" i="22"/>
  <c r="R172" i="22"/>
  <c r="R176" i="22"/>
  <c r="R192" i="22"/>
  <c r="R145" i="22"/>
  <c r="R112" i="22"/>
  <c r="R137" i="22"/>
  <c r="R161" i="22"/>
  <c r="R177" i="22"/>
  <c r="R193" i="22"/>
  <c r="R209" i="22"/>
  <c r="R165" i="22"/>
  <c r="R181" i="22"/>
  <c r="R197" i="22"/>
  <c r="R109" i="22"/>
  <c r="R169" i="22"/>
  <c r="R185" i="22"/>
  <c r="R149" i="22"/>
  <c r="R201" i="22"/>
  <c r="R173" i="22"/>
  <c r="R189" i="22"/>
  <c r="R205" i="22"/>
  <c r="H87" i="21"/>
  <c r="H44" i="21"/>
  <c r="H98" i="21"/>
  <c r="H70" i="21"/>
  <c r="H65" i="21"/>
  <c r="P14" i="22"/>
  <c r="C28" i="22"/>
  <c r="B29" i="22"/>
  <c r="F14" i="22"/>
  <c r="I10" i="16"/>
  <c r="H10" i="16" s="1"/>
  <c r="I9" i="16"/>
  <c r="H9" i="16" s="1"/>
  <c r="T10" i="23" l="1"/>
  <c r="S10" i="23"/>
  <c r="R10" i="23"/>
  <c r="S11" i="23"/>
  <c r="R11" i="23"/>
  <c r="T11" i="23"/>
  <c r="S13" i="23"/>
  <c r="R13" i="23"/>
  <c r="T13" i="23"/>
  <c r="L29" i="23"/>
  <c r="M28" i="23"/>
  <c r="S9" i="23"/>
  <c r="R9" i="23"/>
  <c r="T9" i="23"/>
  <c r="G15" i="23"/>
  <c r="I15" i="23" s="1"/>
  <c r="F16" i="23"/>
  <c r="T16" i="23"/>
  <c r="R16" i="23"/>
  <c r="S16" i="23"/>
  <c r="Q17" i="23"/>
  <c r="P18" i="23"/>
  <c r="T17" i="23"/>
  <c r="R17" i="23"/>
  <c r="S17" i="23"/>
  <c r="C29" i="23"/>
  <c r="B30" i="23"/>
  <c r="S14" i="23"/>
  <c r="T14" i="23"/>
  <c r="R14" i="23"/>
  <c r="S12" i="23"/>
  <c r="R12" i="23"/>
  <c r="T12" i="23"/>
  <c r="B35" i="16"/>
  <c r="AI3" i="16"/>
  <c r="C21" i="22"/>
  <c r="G2" i="22" s="1"/>
  <c r="J3" i="22" s="1"/>
  <c r="J4" i="22" s="1"/>
  <c r="J5" i="22" s="1"/>
  <c r="G14" i="22" s="1"/>
  <c r="I14" i="22" s="1"/>
  <c r="Q10" i="22"/>
  <c r="Q14" i="22"/>
  <c r="Q18" i="22"/>
  <c r="Q22" i="22"/>
  <c r="Q26" i="22"/>
  <c r="Q30" i="22"/>
  <c r="Q34" i="22"/>
  <c r="Q38" i="22"/>
  <c r="Q42" i="22"/>
  <c r="Q46" i="22"/>
  <c r="Q50" i="22"/>
  <c r="Q54" i="22"/>
  <c r="Q58" i="22"/>
  <c r="Q62" i="22"/>
  <c r="Q66" i="22"/>
  <c r="Q70" i="22"/>
  <c r="Q74" i="22"/>
  <c r="Q78" i="22"/>
  <c r="Q82" i="22"/>
  <c r="Q86" i="22"/>
  <c r="Q90" i="22"/>
  <c r="Q94" i="22"/>
  <c r="Q98" i="22"/>
  <c r="Q102" i="22"/>
  <c r="Q106" i="22"/>
  <c r="Q110" i="22"/>
  <c r="Q135" i="22"/>
  <c r="Q163" i="22"/>
  <c r="Q179" i="22"/>
  <c r="Q195" i="22"/>
  <c r="Q207" i="22"/>
  <c r="Q200" i="22"/>
  <c r="Q145" i="22"/>
  <c r="Q173" i="22"/>
  <c r="Q209" i="22"/>
  <c r="Q41" i="22"/>
  <c r="Q89" i="22"/>
  <c r="Q9" i="22"/>
  <c r="Q119" i="22"/>
  <c r="Q127" i="22"/>
  <c r="Q139" i="22"/>
  <c r="Q151" i="22"/>
  <c r="Q159" i="22"/>
  <c r="Q171" i="22"/>
  <c r="Q183" i="22"/>
  <c r="Q191" i="22"/>
  <c r="Q203" i="22"/>
  <c r="Q125" i="22"/>
  <c r="Q153" i="22"/>
  <c r="Q181" i="22"/>
  <c r="Q21" i="22"/>
  <c r="Q73" i="22"/>
  <c r="Q115" i="22"/>
  <c r="Q123" i="22"/>
  <c r="Q131" i="22"/>
  <c r="Q143" i="22"/>
  <c r="Q147" i="22"/>
  <c r="Q155" i="22"/>
  <c r="Q167" i="22"/>
  <c r="Q175" i="22"/>
  <c r="Q187" i="22"/>
  <c r="Q199" i="22"/>
  <c r="Q196" i="22"/>
  <c r="Q117" i="22"/>
  <c r="Q149" i="22"/>
  <c r="Q185" i="22"/>
  <c r="Q17" i="22"/>
  <c r="Q49" i="22"/>
  <c r="Q53" i="22"/>
  <c r="Q57" i="22"/>
  <c r="Q65" i="22"/>
  <c r="Q101" i="22"/>
  <c r="Q11" i="22"/>
  <c r="Q15" i="22"/>
  <c r="Q19" i="22"/>
  <c r="Q23" i="22"/>
  <c r="Q27" i="22"/>
  <c r="Q31" i="22"/>
  <c r="Q35" i="22"/>
  <c r="Q39" i="22"/>
  <c r="Q43" i="22"/>
  <c r="Q47" i="22"/>
  <c r="Q51" i="22"/>
  <c r="Q55" i="22"/>
  <c r="Q59" i="22"/>
  <c r="Q63" i="22"/>
  <c r="Q67" i="22"/>
  <c r="Q71" i="22"/>
  <c r="Q75" i="22"/>
  <c r="Q79" i="22"/>
  <c r="Q83" i="22"/>
  <c r="Q87" i="22"/>
  <c r="Q91" i="22"/>
  <c r="Q95" i="22"/>
  <c r="Q99" i="22"/>
  <c r="Q103" i="22"/>
  <c r="Q107" i="22"/>
  <c r="Q111" i="22"/>
  <c r="Q184" i="22"/>
  <c r="Q133" i="22"/>
  <c r="Q165" i="22"/>
  <c r="Q189" i="22"/>
  <c r="Q13" i="22"/>
  <c r="Q61" i="22"/>
  <c r="Q77" i="22"/>
  <c r="Q109" i="22"/>
  <c r="Q192" i="22"/>
  <c r="Q137" i="22"/>
  <c r="Q169" i="22"/>
  <c r="Q201" i="22"/>
  <c r="Q33" i="22"/>
  <c r="Q85" i="22"/>
  <c r="Q204" i="22"/>
  <c r="Q121" i="22"/>
  <c r="Q157" i="22"/>
  <c r="Q197" i="22"/>
  <c r="Q29" i="22"/>
  <c r="Q81" i="22"/>
  <c r="Q116" i="22"/>
  <c r="Q120" i="22"/>
  <c r="Q124" i="22"/>
  <c r="Q128" i="22"/>
  <c r="Q132" i="22"/>
  <c r="Q136" i="22"/>
  <c r="Q140" i="22"/>
  <c r="Q144" i="22"/>
  <c r="Q148" i="22"/>
  <c r="Q152" i="22"/>
  <c r="Q156" i="22"/>
  <c r="Q160" i="22"/>
  <c r="Q164" i="22"/>
  <c r="Q168" i="22"/>
  <c r="Q172" i="22"/>
  <c r="Q176" i="22"/>
  <c r="Q180" i="22"/>
  <c r="Q188" i="22"/>
  <c r="Q208" i="22"/>
  <c r="Q129" i="22"/>
  <c r="Q161" i="22"/>
  <c r="Q193" i="22"/>
  <c r="Q25" i="22"/>
  <c r="Q93" i="22"/>
  <c r="Q12" i="22"/>
  <c r="Q16" i="22"/>
  <c r="Q20" i="22"/>
  <c r="Q24" i="22"/>
  <c r="Q28" i="22"/>
  <c r="Q32" i="22"/>
  <c r="Q36" i="22"/>
  <c r="Q40" i="22"/>
  <c r="Q44" i="22"/>
  <c r="Q48" i="22"/>
  <c r="Q52" i="22"/>
  <c r="Q56" i="22"/>
  <c r="Q60" i="22"/>
  <c r="Q64" i="22"/>
  <c r="Q68" i="22"/>
  <c r="Q72" i="22"/>
  <c r="Q76" i="22"/>
  <c r="Q80" i="22"/>
  <c r="Q84" i="22"/>
  <c r="Q88" i="22"/>
  <c r="Q92" i="22"/>
  <c r="Q96" i="22"/>
  <c r="Q100" i="22"/>
  <c r="Q104" i="22"/>
  <c r="Q108" i="22"/>
  <c r="Q112" i="22"/>
  <c r="Q141" i="22"/>
  <c r="Q205" i="22"/>
  <c r="Q45" i="22"/>
  <c r="Q69" i="22"/>
  <c r="Q105" i="22"/>
  <c r="Q113" i="22"/>
  <c r="Q177" i="22"/>
  <c r="Q37" i="22"/>
  <c r="Q97" i="22"/>
  <c r="Q118" i="22"/>
  <c r="Q142" i="22"/>
  <c r="Q122" i="22"/>
  <c r="Q162" i="22"/>
  <c r="Q178" i="22"/>
  <c r="Q194" i="22"/>
  <c r="Q146" i="22"/>
  <c r="Q126" i="22"/>
  <c r="Q182" i="22"/>
  <c r="Q150" i="22"/>
  <c r="Q166" i="22"/>
  <c r="Q130" i="22"/>
  <c r="Q198" i="22"/>
  <c r="Q206" i="22"/>
  <c r="Q158" i="22"/>
  <c r="Q170" i="22"/>
  <c r="Q114" i="22"/>
  <c r="Q174" i="22"/>
  <c r="Q186" i="22"/>
  <c r="Q134" i="22"/>
  <c r="Q190" i="22"/>
  <c r="Q138" i="22"/>
  <c r="Q202" i="22"/>
  <c r="Q154" i="22"/>
  <c r="P15" i="22"/>
  <c r="F15" i="22"/>
  <c r="B30" i="22"/>
  <c r="C29" i="22"/>
  <c r="U9" i="21" a="1"/>
  <c r="M29" i="23" l="1"/>
  <c r="L30" i="23"/>
  <c r="F17" i="23"/>
  <c r="G16" i="23"/>
  <c r="J16" i="23" s="1"/>
  <c r="I16" i="23"/>
  <c r="P19" i="23"/>
  <c r="Q18" i="23"/>
  <c r="S18" i="23"/>
  <c r="R18" i="23"/>
  <c r="T18" i="23"/>
  <c r="J15" i="23"/>
  <c r="H15" i="23"/>
  <c r="C30" i="23"/>
  <c r="B31" i="23"/>
  <c r="C31" i="23" s="1"/>
  <c r="U9" i="21"/>
  <c r="AF5" i="21"/>
  <c r="G9" i="22"/>
  <c r="G11" i="22"/>
  <c r="G10" i="22"/>
  <c r="G13" i="22"/>
  <c r="G12" i="22"/>
  <c r="S37" i="22"/>
  <c r="T37" i="22"/>
  <c r="R37" i="22"/>
  <c r="T62" i="22"/>
  <c r="R62" i="22"/>
  <c r="S62" i="22"/>
  <c r="R87" i="22"/>
  <c r="S87" i="22"/>
  <c r="T87" i="22"/>
  <c r="R23" i="22"/>
  <c r="S23" i="22"/>
  <c r="T23" i="22"/>
  <c r="T54" i="22"/>
  <c r="R54" i="22"/>
  <c r="S54" i="22"/>
  <c r="R99" i="22"/>
  <c r="S99" i="22"/>
  <c r="T99" i="22"/>
  <c r="R83" i="22"/>
  <c r="S83" i="22"/>
  <c r="T83" i="22"/>
  <c r="R19" i="22"/>
  <c r="S19" i="22"/>
  <c r="T19" i="22"/>
  <c r="T50" i="22"/>
  <c r="R50" i="22"/>
  <c r="S50" i="22"/>
  <c r="R39" i="22"/>
  <c r="S39" i="22"/>
  <c r="T39" i="22"/>
  <c r="R33" i="22"/>
  <c r="T33" i="22"/>
  <c r="S33" i="22"/>
  <c r="R95" i="22"/>
  <c r="S95" i="22"/>
  <c r="T95" i="22"/>
  <c r="R46" i="22"/>
  <c r="S46" i="22"/>
  <c r="T46" i="22"/>
  <c r="S93" i="22"/>
  <c r="T93" i="22"/>
  <c r="R93" i="22"/>
  <c r="S105" i="22"/>
  <c r="T105" i="22"/>
  <c r="R105" i="22"/>
  <c r="R64" i="22"/>
  <c r="S64" i="22"/>
  <c r="T64" i="22"/>
  <c r="R106" i="22"/>
  <c r="S106" i="22"/>
  <c r="T106" i="22"/>
  <c r="R42" i="22"/>
  <c r="S42" i="22"/>
  <c r="T42" i="22"/>
  <c r="S80" i="22"/>
  <c r="T80" i="22"/>
  <c r="R80" i="22"/>
  <c r="R25" i="22"/>
  <c r="S25" i="22"/>
  <c r="T25" i="22"/>
  <c r="R69" i="22"/>
  <c r="S69" i="22"/>
  <c r="T69" i="22"/>
  <c r="R79" i="22"/>
  <c r="S79" i="22"/>
  <c r="T79" i="22"/>
  <c r="S101" i="22"/>
  <c r="T101" i="22"/>
  <c r="R101" i="22"/>
  <c r="R102" i="22"/>
  <c r="S102" i="22"/>
  <c r="T102" i="22"/>
  <c r="R38" i="22"/>
  <c r="S38" i="22"/>
  <c r="T38" i="22"/>
  <c r="R85" i="22"/>
  <c r="T85" i="22"/>
  <c r="S85" i="22"/>
  <c r="R35" i="22"/>
  <c r="S35" i="22"/>
  <c r="T35" i="22"/>
  <c r="S68" i="22"/>
  <c r="T68" i="22"/>
  <c r="R68" i="22"/>
  <c r="S108" i="22"/>
  <c r="R108" i="22"/>
  <c r="T108" i="22"/>
  <c r="R98" i="22"/>
  <c r="S98" i="22"/>
  <c r="T98" i="22"/>
  <c r="R34" i="22"/>
  <c r="S34" i="22"/>
  <c r="T34" i="22"/>
  <c r="S16" i="22"/>
  <c r="T16" i="22"/>
  <c r="R16" i="22"/>
  <c r="T66" i="22"/>
  <c r="S66" i="22"/>
  <c r="R66" i="22"/>
  <c r="T56" i="22"/>
  <c r="S56" i="22"/>
  <c r="R56" i="22"/>
  <c r="S75" i="22"/>
  <c r="T75" i="22"/>
  <c r="R75" i="22"/>
  <c r="T9" i="22"/>
  <c r="R9" i="22"/>
  <c r="S9" i="22"/>
  <c r="R94" i="22"/>
  <c r="S94" i="22"/>
  <c r="T94" i="22"/>
  <c r="R30" i="22"/>
  <c r="S30" i="22"/>
  <c r="T30" i="22"/>
  <c r="R103" i="22"/>
  <c r="S103" i="22"/>
  <c r="T103" i="22"/>
  <c r="S12" i="22"/>
  <c r="T12" i="22"/>
  <c r="R12" i="22"/>
  <c r="T60" i="22"/>
  <c r="R60" i="22"/>
  <c r="S60" i="22"/>
  <c r="S48" i="22"/>
  <c r="R48" i="22"/>
  <c r="T48" i="22"/>
  <c r="T89" i="22"/>
  <c r="R89" i="22"/>
  <c r="S89" i="22"/>
  <c r="R90" i="22"/>
  <c r="S90" i="22"/>
  <c r="T90" i="22"/>
  <c r="R26" i="22"/>
  <c r="S26" i="22"/>
  <c r="T26" i="22"/>
  <c r="R91" i="22"/>
  <c r="S91" i="22"/>
  <c r="T91" i="22"/>
  <c r="T52" i="22"/>
  <c r="R52" i="22"/>
  <c r="S52" i="22"/>
  <c r="R71" i="22"/>
  <c r="T71" i="22"/>
  <c r="S71" i="22"/>
  <c r="R44" i="22"/>
  <c r="S44" i="22"/>
  <c r="T44" i="22"/>
  <c r="T67" i="22"/>
  <c r="R67" i="22"/>
  <c r="S67" i="22"/>
  <c r="S104" i="22"/>
  <c r="T104" i="22"/>
  <c r="R104" i="22"/>
  <c r="R63" i="22"/>
  <c r="S63" i="22"/>
  <c r="T63" i="22"/>
  <c r="T36" i="22"/>
  <c r="R36" i="22"/>
  <c r="S36" i="22"/>
  <c r="R59" i="22"/>
  <c r="S59" i="22"/>
  <c r="T59" i="22"/>
  <c r="R96" i="22"/>
  <c r="T96" i="22"/>
  <c r="S96" i="22"/>
  <c r="T32" i="22"/>
  <c r="R32" i="22"/>
  <c r="S32" i="22"/>
  <c r="S55" i="22"/>
  <c r="T55" i="22"/>
  <c r="R55" i="22"/>
  <c r="R49" i="22"/>
  <c r="S49" i="22"/>
  <c r="T49" i="22"/>
  <c r="R73" i="22"/>
  <c r="S73" i="22"/>
  <c r="T73" i="22"/>
  <c r="S41" i="22"/>
  <c r="T41" i="22"/>
  <c r="R41" i="22"/>
  <c r="S86" i="22"/>
  <c r="T86" i="22"/>
  <c r="R86" i="22"/>
  <c r="S22" i="22"/>
  <c r="T22" i="22"/>
  <c r="R22" i="22"/>
  <c r="T58" i="22"/>
  <c r="R58" i="22"/>
  <c r="S58" i="22"/>
  <c r="R45" i="22"/>
  <c r="S45" i="22"/>
  <c r="T45" i="22"/>
  <c r="S77" i="22"/>
  <c r="R77" i="22"/>
  <c r="T77" i="22"/>
  <c r="R61" i="22"/>
  <c r="S61" i="22"/>
  <c r="T61" i="22"/>
  <c r="S13" i="22"/>
  <c r="T13" i="22"/>
  <c r="R13" i="22"/>
  <c r="R40" i="22"/>
  <c r="S40" i="22"/>
  <c r="T40" i="22"/>
  <c r="T100" i="22"/>
  <c r="S100" i="22"/>
  <c r="R100" i="22"/>
  <c r="R92" i="22"/>
  <c r="T92" i="22"/>
  <c r="S92" i="22"/>
  <c r="R28" i="22"/>
  <c r="T28" i="22"/>
  <c r="S28" i="22"/>
  <c r="T51" i="22"/>
  <c r="S51" i="22"/>
  <c r="R51" i="22"/>
  <c r="S17" i="22"/>
  <c r="R17" i="22"/>
  <c r="T17" i="22"/>
  <c r="R21" i="22"/>
  <c r="S21" i="22"/>
  <c r="T21" i="22"/>
  <c r="S82" i="22"/>
  <c r="R82" i="22"/>
  <c r="T82" i="22"/>
  <c r="S18" i="22"/>
  <c r="R18" i="22"/>
  <c r="T18" i="22"/>
  <c r="T70" i="22"/>
  <c r="S70" i="22"/>
  <c r="R70" i="22"/>
  <c r="T76" i="22"/>
  <c r="S76" i="22"/>
  <c r="R76" i="22"/>
  <c r="R31" i="22"/>
  <c r="S31" i="22"/>
  <c r="T31" i="22"/>
  <c r="R27" i="22"/>
  <c r="S27" i="22"/>
  <c r="T27" i="22"/>
  <c r="R15" i="22"/>
  <c r="S15" i="22"/>
  <c r="T15" i="22"/>
  <c r="R65" i="22"/>
  <c r="S65" i="22"/>
  <c r="T65" i="22"/>
  <c r="R81" i="22"/>
  <c r="S81" i="22"/>
  <c r="T81" i="22"/>
  <c r="R53" i="22"/>
  <c r="S53" i="22"/>
  <c r="T53" i="22"/>
  <c r="R88" i="22"/>
  <c r="T88" i="22"/>
  <c r="S88" i="22"/>
  <c r="R24" i="22"/>
  <c r="T24" i="22"/>
  <c r="S24" i="22"/>
  <c r="R47" i="22"/>
  <c r="S47" i="22"/>
  <c r="T47" i="22"/>
  <c r="S78" i="22"/>
  <c r="T78" i="22"/>
  <c r="R78" i="22"/>
  <c r="S14" i="22"/>
  <c r="T14" i="22"/>
  <c r="R14" i="22"/>
  <c r="T72" i="22"/>
  <c r="S72" i="22"/>
  <c r="R72" i="22"/>
  <c r="R11" i="22"/>
  <c r="S11" i="22"/>
  <c r="T11" i="22"/>
  <c r="T57" i="22"/>
  <c r="R57" i="22"/>
  <c r="S57" i="22"/>
  <c r="T29" i="22"/>
  <c r="S29" i="22"/>
  <c r="R29" i="22"/>
  <c r="S97" i="22"/>
  <c r="T97" i="22"/>
  <c r="R97" i="22"/>
  <c r="S84" i="22"/>
  <c r="R84" i="22"/>
  <c r="T84" i="22"/>
  <c r="R20" i="22"/>
  <c r="T20" i="22"/>
  <c r="S20" i="22"/>
  <c r="R107" i="22"/>
  <c r="S107" i="22"/>
  <c r="T107" i="22"/>
  <c r="R43" i="22"/>
  <c r="S43" i="22"/>
  <c r="T43" i="22"/>
  <c r="S74" i="22"/>
  <c r="T74" i="22"/>
  <c r="R74" i="22"/>
  <c r="S10" i="22"/>
  <c r="T10" i="22"/>
  <c r="R10" i="22"/>
  <c r="S206" i="22"/>
  <c r="T206" i="22"/>
  <c r="T196" i="22"/>
  <c r="S196" i="22"/>
  <c r="S201" i="22"/>
  <c r="T201" i="22"/>
  <c r="S137" i="22"/>
  <c r="T137" i="22"/>
  <c r="T132" i="22"/>
  <c r="S132" i="22"/>
  <c r="S155" i="22"/>
  <c r="T155" i="22"/>
  <c r="T198" i="22"/>
  <c r="S198" i="22"/>
  <c r="S163" i="22"/>
  <c r="T163" i="22"/>
  <c r="S167" i="22"/>
  <c r="T167" i="22"/>
  <c r="S208" i="22"/>
  <c r="T208" i="22"/>
  <c r="T200" i="22"/>
  <c r="S200" i="22"/>
  <c r="S144" i="22"/>
  <c r="T144" i="22"/>
  <c r="T179" i="22"/>
  <c r="S179" i="22"/>
  <c r="T136" i="22"/>
  <c r="S136" i="22"/>
  <c r="T192" i="22"/>
  <c r="S192" i="22"/>
  <c r="T190" i="22"/>
  <c r="S190" i="22"/>
  <c r="S199" i="22"/>
  <c r="T199" i="22"/>
  <c r="S171" i="22"/>
  <c r="T171" i="22"/>
  <c r="T128" i="22"/>
  <c r="S128" i="22"/>
  <c r="S180" i="22"/>
  <c r="T180" i="22"/>
  <c r="T125" i="22"/>
  <c r="S125" i="22"/>
  <c r="T177" i="22"/>
  <c r="S177" i="22"/>
  <c r="T203" i="22"/>
  <c r="S203" i="22"/>
  <c r="T195" i="22"/>
  <c r="S195" i="22"/>
  <c r="T187" i="22"/>
  <c r="S187" i="22"/>
  <c r="S182" i="22"/>
  <c r="T182" i="22"/>
  <c r="S109" i="22"/>
  <c r="T109" i="22"/>
  <c r="T154" i="22"/>
  <c r="S154" i="22"/>
  <c r="T124" i="22"/>
  <c r="S124" i="22"/>
  <c r="S188" i="22"/>
  <c r="T188" i="22"/>
  <c r="T131" i="22"/>
  <c r="S131" i="22"/>
  <c r="S168" i="22"/>
  <c r="T168" i="22"/>
  <c r="T113" i="22"/>
  <c r="S113" i="22"/>
  <c r="S169" i="22"/>
  <c r="T169" i="22"/>
  <c r="T150" i="22"/>
  <c r="S150" i="22"/>
  <c r="T135" i="22"/>
  <c r="S135" i="22"/>
  <c r="S151" i="22"/>
  <c r="T151" i="22"/>
  <c r="T126" i="22"/>
  <c r="S126" i="22"/>
  <c r="T139" i="22"/>
  <c r="S139" i="22"/>
  <c r="S112" i="22"/>
  <c r="T112" i="22"/>
  <c r="S120" i="22"/>
  <c r="T120" i="22"/>
  <c r="T194" i="22"/>
  <c r="S194" i="22"/>
  <c r="T178" i="22"/>
  <c r="S178" i="22"/>
  <c r="T162" i="22"/>
  <c r="S162" i="22"/>
  <c r="T172" i="22"/>
  <c r="S172" i="22"/>
  <c r="T186" i="22"/>
  <c r="S186" i="22"/>
  <c r="S157" i="22"/>
  <c r="T157" i="22"/>
  <c r="T184" i="22"/>
  <c r="S184" i="22"/>
  <c r="T209" i="22"/>
  <c r="S209" i="22"/>
  <c r="S148" i="22"/>
  <c r="T148" i="22"/>
  <c r="T191" i="22"/>
  <c r="S191" i="22"/>
  <c r="T130" i="22"/>
  <c r="S130" i="22"/>
  <c r="T140" i="22"/>
  <c r="S140" i="22"/>
  <c r="T166" i="22"/>
  <c r="S166" i="22"/>
  <c r="S161" i="22"/>
  <c r="T161" i="22"/>
  <c r="T205" i="22"/>
  <c r="S205" i="22"/>
  <c r="S147" i="22"/>
  <c r="T147" i="22"/>
  <c r="T202" i="22"/>
  <c r="S202" i="22"/>
  <c r="S143" i="22"/>
  <c r="T143" i="22"/>
  <c r="T138" i="22"/>
  <c r="S138" i="22"/>
  <c r="S116" i="22"/>
  <c r="T116" i="22"/>
  <c r="T119" i="22"/>
  <c r="S119" i="22"/>
  <c r="T176" i="22"/>
  <c r="S176" i="22"/>
  <c r="T134" i="22"/>
  <c r="S134" i="22"/>
  <c r="S165" i="22"/>
  <c r="T165" i="22"/>
  <c r="T115" i="22"/>
  <c r="S115" i="22"/>
  <c r="T133" i="22"/>
  <c r="S133" i="22"/>
  <c r="T118" i="22"/>
  <c r="S118" i="22"/>
  <c r="S160" i="22"/>
  <c r="T160" i="22"/>
  <c r="S121" i="22"/>
  <c r="T121" i="22"/>
  <c r="T111" i="22"/>
  <c r="S111" i="22"/>
  <c r="S185" i="22"/>
  <c r="T185" i="22"/>
  <c r="S181" i="22"/>
  <c r="T181" i="22"/>
  <c r="S173" i="22"/>
  <c r="T173" i="22"/>
  <c r="T158" i="22"/>
  <c r="S158" i="22"/>
  <c r="S152" i="22"/>
  <c r="T152" i="22"/>
  <c r="S117" i="22"/>
  <c r="T117" i="22"/>
  <c r="S207" i="22"/>
  <c r="T207" i="22"/>
  <c r="T183" i="22"/>
  <c r="S183" i="22"/>
  <c r="T193" i="22"/>
  <c r="S193" i="22"/>
  <c r="S175" i="22"/>
  <c r="T175" i="22"/>
  <c r="S159" i="22"/>
  <c r="T159" i="22"/>
  <c r="S129" i="22"/>
  <c r="T129" i="22"/>
  <c r="S110" i="22"/>
  <c r="T110" i="22"/>
  <c r="T141" i="22"/>
  <c r="S141" i="22"/>
  <c r="S146" i="22"/>
  <c r="T146" i="22"/>
  <c r="T127" i="22"/>
  <c r="S127" i="22"/>
  <c r="S189" i="22"/>
  <c r="T189" i="22"/>
  <c r="T123" i="22"/>
  <c r="S123" i="22"/>
  <c r="T122" i="22"/>
  <c r="S122" i="22"/>
  <c r="S197" i="22"/>
  <c r="T197" i="22"/>
  <c r="T174" i="22"/>
  <c r="S174" i="22"/>
  <c r="S142" i="22"/>
  <c r="T142" i="22"/>
  <c r="T164" i="22"/>
  <c r="S164" i="22"/>
  <c r="T114" i="22"/>
  <c r="S114" i="22"/>
  <c r="T170" i="22"/>
  <c r="S170" i="22"/>
  <c r="S156" i="22"/>
  <c r="T156" i="22"/>
  <c r="T204" i="22"/>
  <c r="S204" i="22"/>
  <c r="T149" i="22"/>
  <c r="S149" i="22"/>
  <c r="T153" i="22"/>
  <c r="S153" i="22"/>
  <c r="T145" i="22"/>
  <c r="S145" i="22"/>
  <c r="J14" i="22"/>
  <c r="H14" i="22"/>
  <c r="P16" i="22"/>
  <c r="B31" i="22"/>
  <c r="C31" i="22" s="1"/>
  <c r="C30" i="22"/>
  <c r="G15" i="22"/>
  <c r="H15" i="22" s="1"/>
  <c r="F16" i="22"/>
  <c r="W9" i="16" a="1"/>
  <c r="W9" i="16" s="1"/>
  <c r="V9" i="16" a="1"/>
  <c r="V9" i="16" s="1"/>
  <c r="H16" i="23" l="1"/>
  <c r="Q19" i="23"/>
  <c r="P20" i="23"/>
  <c r="T19" i="23"/>
  <c r="S19" i="23"/>
  <c r="R19" i="23"/>
  <c r="G17" i="23"/>
  <c r="I17" i="23" s="1"/>
  <c r="F18" i="23"/>
  <c r="L31" i="23"/>
  <c r="M31" i="23" s="1"/>
  <c r="M30" i="23"/>
  <c r="H12" i="22"/>
  <c r="J12" i="22"/>
  <c r="I12" i="22"/>
  <c r="H13" i="22"/>
  <c r="I13" i="22"/>
  <c r="J13" i="22"/>
  <c r="J10" i="22"/>
  <c r="I10" i="22"/>
  <c r="H10" i="22"/>
  <c r="I11" i="22"/>
  <c r="J11" i="22"/>
  <c r="H11" i="22"/>
  <c r="J9" i="22"/>
  <c r="I9" i="22"/>
  <c r="H9" i="22"/>
  <c r="I15" i="22"/>
  <c r="J15" i="22"/>
  <c r="P17" i="22"/>
  <c r="F17" i="22"/>
  <c r="G16" i="22"/>
  <c r="H16" i="22" s="1"/>
  <c r="H17" i="23" l="1"/>
  <c r="J17" i="23"/>
  <c r="P21" i="23"/>
  <c r="Q20" i="23"/>
  <c r="S20" i="23" s="1"/>
  <c r="F19" i="23"/>
  <c r="G18" i="23"/>
  <c r="I18" i="23" s="1"/>
  <c r="I16" i="22"/>
  <c r="J16" i="22"/>
  <c r="P18" i="22"/>
  <c r="G17" i="22"/>
  <c r="F18" i="22"/>
  <c r="I17" i="22"/>
  <c r="H17" i="22"/>
  <c r="J17" i="22"/>
  <c r="Q21" i="23" l="1"/>
  <c r="P22" i="23"/>
  <c r="S21" i="23"/>
  <c r="T21" i="23"/>
  <c r="R21" i="23"/>
  <c r="H18" i="23"/>
  <c r="J18" i="23"/>
  <c r="G19" i="23"/>
  <c r="F20" i="23"/>
  <c r="H19" i="23"/>
  <c r="J19" i="23"/>
  <c r="I19" i="23"/>
  <c r="R20" i="23"/>
  <c r="T20" i="23"/>
  <c r="P19" i="22"/>
  <c r="G18" i="22"/>
  <c r="J18" i="22" s="1"/>
  <c r="F19" i="22"/>
  <c r="G20" i="23" l="1"/>
  <c r="F21" i="23"/>
  <c r="I20" i="23"/>
  <c r="H20" i="23"/>
  <c r="J20" i="23"/>
  <c r="P23" i="23"/>
  <c r="Q22" i="23"/>
  <c r="S22" i="23" s="1"/>
  <c r="T22" i="23"/>
  <c r="R22" i="23"/>
  <c r="H18" i="22"/>
  <c r="I18" i="22"/>
  <c r="P20" i="22"/>
  <c r="F20" i="22"/>
  <c r="G19" i="22"/>
  <c r="I19" i="22" s="1"/>
  <c r="H19" i="22"/>
  <c r="G21" i="23" l="1"/>
  <c r="F22" i="23"/>
  <c r="H21" i="23"/>
  <c r="J21" i="23"/>
  <c r="I21" i="23"/>
  <c r="P24" i="23"/>
  <c r="Q23" i="23"/>
  <c r="S23" i="23"/>
  <c r="T23" i="23"/>
  <c r="R23" i="23"/>
  <c r="J19" i="22"/>
  <c r="P21" i="22"/>
  <c r="F21" i="22"/>
  <c r="G20" i="22"/>
  <c r="J20" i="22" s="1"/>
  <c r="I20" i="22"/>
  <c r="H20" i="22"/>
  <c r="F23" i="23" l="1"/>
  <c r="G22" i="23"/>
  <c r="H22" i="23" s="1"/>
  <c r="J22" i="23"/>
  <c r="P25" i="23"/>
  <c r="Q24" i="23"/>
  <c r="S24" i="23"/>
  <c r="T24" i="23"/>
  <c r="R24" i="23"/>
  <c r="P22" i="22"/>
  <c r="F22" i="22"/>
  <c r="G21" i="22"/>
  <c r="H21" i="22"/>
  <c r="J21" i="22"/>
  <c r="I21" i="22"/>
  <c r="Q25" i="23" l="1"/>
  <c r="P26" i="23"/>
  <c r="T25" i="23"/>
  <c r="S25" i="23"/>
  <c r="R25" i="23"/>
  <c r="I22" i="23"/>
  <c r="G23" i="23"/>
  <c r="I23" i="23" s="1"/>
  <c r="F24" i="23"/>
  <c r="P23" i="22"/>
  <c r="F23" i="22"/>
  <c r="G22" i="22"/>
  <c r="H22" i="22" s="1"/>
  <c r="J23" i="23" l="1"/>
  <c r="H23" i="23"/>
  <c r="Q26" i="23"/>
  <c r="P27" i="23"/>
  <c r="T26" i="23"/>
  <c r="S26" i="23"/>
  <c r="R26" i="23"/>
  <c r="G24" i="23"/>
  <c r="J24" i="23" s="1"/>
  <c r="F25" i="23"/>
  <c r="H24" i="23"/>
  <c r="I24" i="23"/>
  <c r="J22" i="22"/>
  <c r="I22" i="22"/>
  <c r="P24" i="22"/>
  <c r="G23" i="22"/>
  <c r="J23" i="22" s="1"/>
  <c r="F24" i="22"/>
  <c r="F26" i="23" l="1"/>
  <c r="G25" i="23"/>
  <c r="I25" i="23"/>
  <c r="H25" i="23"/>
  <c r="J25" i="23"/>
  <c r="Q27" i="23"/>
  <c r="R27" i="23" s="1"/>
  <c r="P28" i="23"/>
  <c r="T27" i="23"/>
  <c r="I23" i="22"/>
  <c r="H23" i="22"/>
  <c r="P25" i="22"/>
  <c r="F25" i="22"/>
  <c r="G24" i="22"/>
  <c r="J24" i="22"/>
  <c r="I24" i="22"/>
  <c r="H24" i="22"/>
  <c r="S27" i="23" l="1"/>
  <c r="P29" i="23"/>
  <c r="Q28" i="23"/>
  <c r="R28" i="23"/>
  <c r="T28" i="23"/>
  <c r="S28" i="23"/>
  <c r="G26" i="23"/>
  <c r="H26" i="23" s="1"/>
  <c r="F27" i="23"/>
  <c r="J26" i="23"/>
  <c r="I26" i="23"/>
  <c r="P26" i="22"/>
  <c r="F26" i="22"/>
  <c r="G25" i="22"/>
  <c r="H25" i="22" s="1"/>
  <c r="J25" i="22"/>
  <c r="F28" i="23" l="1"/>
  <c r="G27" i="23"/>
  <c r="I27" i="23" s="1"/>
  <c r="H27" i="23"/>
  <c r="Q29" i="23"/>
  <c r="P30" i="23"/>
  <c r="T29" i="23"/>
  <c r="S29" i="23"/>
  <c r="R29" i="23"/>
  <c r="I25" i="22"/>
  <c r="P27" i="22"/>
  <c r="G26" i="22"/>
  <c r="J26" i="22" s="1"/>
  <c r="F27" i="22"/>
  <c r="H26" i="22"/>
  <c r="P31" i="23" l="1"/>
  <c r="Q30" i="23"/>
  <c r="R30" i="23"/>
  <c r="S30" i="23"/>
  <c r="T30" i="23"/>
  <c r="J27" i="23"/>
  <c r="F29" i="23"/>
  <c r="G28" i="23"/>
  <c r="J28" i="23" s="1"/>
  <c r="H28" i="23"/>
  <c r="I26" i="22"/>
  <c r="P28" i="22"/>
  <c r="G27" i="22"/>
  <c r="H27" i="22" s="1"/>
  <c r="F28" i="22"/>
  <c r="I28" i="23" l="1"/>
  <c r="F30" i="23"/>
  <c r="G29" i="23"/>
  <c r="I29" i="23" s="1"/>
  <c r="P32" i="23"/>
  <c r="Q31" i="23"/>
  <c r="S31" i="23"/>
  <c r="T31" i="23"/>
  <c r="R31" i="23"/>
  <c r="J27" i="22"/>
  <c r="I27" i="22"/>
  <c r="P29" i="22"/>
  <c r="G28" i="22"/>
  <c r="J28" i="22" s="1"/>
  <c r="F29" i="22"/>
  <c r="H28" i="22"/>
  <c r="J29" i="23" l="1"/>
  <c r="H29" i="23"/>
  <c r="Q32" i="23"/>
  <c r="P33" i="23"/>
  <c r="T32" i="23"/>
  <c r="S32" i="23"/>
  <c r="R32" i="23"/>
  <c r="G30" i="23"/>
  <c r="F31" i="23"/>
  <c r="H30" i="23"/>
  <c r="J30" i="23"/>
  <c r="I30" i="23"/>
  <c r="I28" i="22"/>
  <c r="P30" i="22"/>
  <c r="F30" i="22"/>
  <c r="G29" i="22"/>
  <c r="H29" i="22" s="1"/>
  <c r="G31" i="23" l="1"/>
  <c r="F32" i="23"/>
  <c r="I31" i="23"/>
  <c r="J31" i="23"/>
  <c r="H31" i="23"/>
  <c r="P34" i="23"/>
  <c r="Q33" i="23"/>
  <c r="S33" i="23"/>
  <c r="T33" i="23"/>
  <c r="R33" i="23"/>
  <c r="I29" i="22"/>
  <c r="J29" i="22"/>
  <c r="P31" i="22"/>
  <c r="G30" i="22"/>
  <c r="F31" i="22"/>
  <c r="I30" i="22"/>
  <c r="J30" i="22"/>
  <c r="H30" i="22"/>
  <c r="P35" i="23" l="1"/>
  <c r="Q34" i="23"/>
  <c r="S34" i="23" s="1"/>
  <c r="T34" i="23"/>
  <c r="R34" i="23"/>
  <c r="F33" i="23"/>
  <c r="G32" i="23"/>
  <c r="I32" i="23" s="1"/>
  <c r="H32" i="23"/>
  <c r="J32" i="23"/>
  <c r="P32" i="22"/>
  <c r="F32" i="22"/>
  <c r="G31" i="22"/>
  <c r="J31" i="22"/>
  <c r="H31" i="22"/>
  <c r="I31" i="22"/>
  <c r="G33" i="23" l="1"/>
  <c r="F34" i="23"/>
  <c r="H33" i="23"/>
  <c r="I33" i="23"/>
  <c r="J33" i="23"/>
  <c r="P36" i="23"/>
  <c r="Q35" i="23"/>
  <c r="S35" i="23"/>
  <c r="T35" i="23"/>
  <c r="R35" i="23"/>
  <c r="P33" i="22"/>
  <c r="F33" i="22"/>
  <c r="G32" i="22"/>
  <c r="H32" i="22" s="1"/>
  <c r="G34" i="23" l="1"/>
  <c r="F35" i="23"/>
  <c r="H34" i="23"/>
  <c r="I34" i="23"/>
  <c r="J34" i="23"/>
  <c r="Q36" i="23"/>
  <c r="P37" i="23"/>
  <c r="T36" i="23"/>
  <c r="R36" i="23"/>
  <c r="S36" i="23"/>
  <c r="I32" i="22"/>
  <c r="J32" i="22"/>
  <c r="P34" i="22"/>
  <c r="G33" i="22"/>
  <c r="H33" i="22" s="1"/>
  <c r="F34" i="22"/>
  <c r="J33" i="22"/>
  <c r="I33" i="22"/>
  <c r="F36" i="23" l="1"/>
  <c r="G35" i="23"/>
  <c r="H35" i="23" s="1"/>
  <c r="I35" i="23"/>
  <c r="J35" i="23"/>
  <c r="Q37" i="23"/>
  <c r="P38" i="23"/>
  <c r="R37" i="23"/>
  <c r="S37" i="23"/>
  <c r="T37" i="23"/>
  <c r="P35" i="22"/>
  <c r="F35" i="22"/>
  <c r="G34" i="22"/>
  <c r="H34" i="22" s="1"/>
  <c r="I34" i="22"/>
  <c r="J34" i="22"/>
  <c r="P39" i="23" l="1"/>
  <c r="Q38" i="23"/>
  <c r="T38" i="23" s="1"/>
  <c r="R38" i="23"/>
  <c r="G36" i="23"/>
  <c r="J36" i="23" s="1"/>
  <c r="F37" i="23"/>
  <c r="P36" i="22"/>
  <c r="G35" i="22"/>
  <c r="F36" i="22"/>
  <c r="I35" i="22"/>
  <c r="J35" i="22"/>
  <c r="H35" i="22"/>
  <c r="H36" i="23" l="1"/>
  <c r="I36" i="23"/>
  <c r="F38" i="23"/>
  <c r="G37" i="23"/>
  <c r="J37" i="23" s="1"/>
  <c r="H37" i="23"/>
  <c r="I37" i="23"/>
  <c r="S38" i="23"/>
  <c r="Q39" i="23"/>
  <c r="S39" i="23" s="1"/>
  <c r="P40" i="23"/>
  <c r="P37" i="22"/>
  <c r="F37" i="22"/>
  <c r="G36" i="22"/>
  <c r="I36" i="22" s="1"/>
  <c r="R39" i="23" l="1"/>
  <c r="T39" i="23"/>
  <c r="P41" i="23"/>
  <c r="Q40" i="23"/>
  <c r="S40" i="23" s="1"/>
  <c r="R40" i="23"/>
  <c r="T40" i="23"/>
  <c r="G38" i="23"/>
  <c r="J38" i="23" s="1"/>
  <c r="F39" i="23"/>
  <c r="H38" i="23"/>
  <c r="I38" i="23"/>
  <c r="H36" i="22"/>
  <c r="J36" i="22"/>
  <c r="P38" i="22"/>
  <c r="F38" i="22"/>
  <c r="G37" i="22"/>
  <c r="H37" i="22" s="1"/>
  <c r="P42" i="23" l="1"/>
  <c r="Q41" i="23"/>
  <c r="S41" i="23" s="1"/>
  <c r="R41" i="23"/>
  <c r="F40" i="23"/>
  <c r="G39" i="23"/>
  <c r="I39" i="23"/>
  <c r="J39" i="23"/>
  <c r="H39" i="23"/>
  <c r="I37" i="22"/>
  <c r="J37" i="22"/>
  <c r="P39" i="22"/>
  <c r="F39" i="22"/>
  <c r="G38" i="22"/>
  <c r="H38" i="22" s="1"/>
  <c r="I38" i="22"/>
  <c r="F41" i="23" l="1"/>
  <c r="G40" i="23"/>
  <c r="J40" i="23" s="1"/>
  <c r="T41" i="23"/>
  <c r="P43" i="23"/>
  <c r="Q42" i="23"/>
  <c r="R42" i="23"/>
  <c r="S42" i="23"/>
  <c r="T42" i="23"/>
  <c r="J38" i="22"/>
  <c r="P40" i="22"/>
  <c r="F40" i="22"/>
  <c r="G39" i="22"/>
  <c r="I39" i="22" s="1"/>
  <c r="Q43" i="23" l="1"/>
  <c r="P44" i="23"/>
  <c r="T43" i="23"/>
  <c r="R43" i="23"/>
  <c r="S43" i="23"/>
  <c r="I40" i="23"/>
  <c r="H40" i="23"/>
  <c r="G41" i="23"/>
  <c r="F42" i="23"/>
  <c r="H41" i="23"/>
  <c r="I41" i="23"/>
  <c r="J41" i="23"/>
  <c r="H39" i="22"/>
  <c r="J39" i="22"/>
  <c r="P41" i="22"/>
  <c r="G40" i="22"/>
  <c r="I40" i="22" s="1"/>
  <c r="F41" i="22"/>
  <c r="F43" i="23" l="1"/>
  <c r="G42" i="23"/>
  <c r="H42" i="23" s="1"/>
  <c r="J42" i="23"/>
  <c r="Q44" i="23"/>
  <c r="R44" i="23" s="1"/>
  <c r="P45" i="23"/>
  <c r="J40" i="22"/>
  <c r="H40" i="22"/>
  <c r="P42" i="22"/>
  <c r="F42" i="22"/>
  <c r="G41" i="22"/>
  <c r="I41" i="22" s="1"/>
  <c r="T44" i="23" l="1"/>
  <c r="S44" i="23"/>
  <c r="P46" i="23"/>
  <c r="Q45" i="23"/>
  <c r="S45" i="23"/>
  <c r="T45" i="23"/>
  <c r="R45" i="23"/>
  <c r="I42" i="23"/>
  <c r="F44" i="23"/>
  <c r="G43" i="23"/>
  <c r="J43" i="23" s="1"/>
  <c r="H41" i="22"/>
  <c r="J41" i="22"/>
  <c r="P43" i="22"/>
  <c r="G42" i="22"/>
  <c r="H42" i="22" s="1"/>
  <c r="F43" i="22"/>
  <c r="J42" i="22"/>
  <c r="I43" i="23" l="1"/>
  <c r="H43" i="23"/>
  <c r="P47" i="23"/>
  <c r="Q46" i="23"/>
  <c r="T46" i="23" s="1"/>
  <c r="G44" i="23"/>
  <c r="J44" i="23" s="1"/>
  <c r="F45" i="23"/>
  <c r="H44" i="23"/>
  <c r="I44" i="23"/>
  <c r="I42" i="22"/>
  <c r="P44" i="22"/>
  <c r="G43" i="22"/>
  <c r="H43" i="22" s="1"/>
  <c r="F44" i="22"/>
  <c r="G45" i="23" l="1"/>
  <c r="F46" i="23"/>
  <c r="J45" i="23"/>
  <c r="I45" i="23"/>
  <c r="H45" i="23"/>
  <c r="R46" i="23"/>
  <c r="S46" i="23"/>
  <c r="Q47" i="23"/>
  <c r="T47" i="23" s="1"/>
  <c r="P48" i="23"/>
  <c r="J43" i="22"/>
  <c r="I43" i="22"/>
  <c r="P45" i="22"/>
  <c r="F45" i="22"/>
  <c r="G44" i="22"/>
  <c r="J44" i="22" s="1"/>
  <c r="I44" i="22"/>
  <c r="R47" i="23" l="1"/>
  <c r="P49" i="23"/>
  <c r="Q48" i="23"/>
  <c r="R48" i="23"/>
  <c r="S48" i="23"/>
  <c r="T48" i="23"/>
  <c r="S47" i="23"/>
  <c r="F47" i="23"/>
  <c r="G46" i="23"/>
  <c r="H46" i="23" s="1"/>
  <c r="J46" i="23"/>
  <c r="I46" i="23"/>
  <c r="H44" i="22"/>
  <c r="P46" i="22"/>
  <c r="F46" i="22"/>
  <c r="G45" i="22"/>
  <c r="I45" i="22" s="1"/>
  <c r="J45" i="22"/>
  <c r="G47" i="23" l="1"/>
  <c r="F48" i="23"/>
  <c r="I47" i="23"/>
  <c r="J47" i="23"/>
  <c r="H47" i="23"/>
  <c r="P50" i="23"/>
  <c r="Q49" i="23"/>
  <c r="T49" i="23" s="1"/>
  <c r="H45" i="22"/>
  <c r="P47" i="22"/>
  <c r="G46" i="22"/>
  <c r="F47" i="22"/>
  <c r="I46" i="22"/>
  <c r="H46" i="22"/>
  <c r="J46" i="22"/>
  <c r="S49" i="23" l="1"/>
  <c r="R49" i="23"/>
  <c r="F49" i="23"/>
  <c r="G48" i="23"/>
  <c r="H48" i="23" s="1"/>
  <c r="Q50" i="23"/>
  <c r="P51" i="23"/>
  <c r="T50" i="23"/>
  <c r="R50" i="23"/>
  <c r="S50" i="23"/>
  <c r="P48" i="22"/>
  <c r="F48" i="22"/>
  <c r="G47" i="22"/>
  <c r="H47" i="22"/>
  <c r="J47" i="22"/>
  <c r="I47" i="22"/>
  <c r="Q51" i="23" l="1"/>
  <c r="P52" i="23"/>
  <c r="R51" i="23"/>
  <c r="S51" i="23"/>
  <c r="T51" i="23"/>
  <c r="J48" i="23"/>
  <c r="G49" i="23"/>
  <c r="H49" i="23" s="1"/>
  <c r="F50" i="23"/>
  <c r="I48" i="23"/>
  <c r="P49" i="22"/>
  <c r="F49" i="22"/>
  <c r="G48" i="22"/>
  <c r="H48" i="22"/>
  <c r="J48" i="22"/>
  <c r="I48" i="22"/>
  <c r="I49" i="23" l="1"/>
  <c r="J49" i="23"/>
  <c r="P53" i="23"/>
  <c r="Q52" i="23"/>
  <c r="S52" i="23"/>
  <c r="R52" i="23"/>
  <c r="T52" i="23"/>
  <c r="G50" i="23"/>
  <c r="F51" i="23"/>
  <c r="I50" i="23"/>
  <c r="J50" i="23"/>
  <c r="H50" i="23"/>
  <c r="P50" i="22"/>
  <c r="G49" i="22"/>
  <c r="J49" i="22" s="1"/>
  <c r="F50" i="22"/>
  <c r="F52" i="23" l="1"/>
  <c r="G51" i="23"/>
  <c r="H51" i="23"/>
  <c r="J51" i="23"/>
  <c r="I51" i="23"/>
  <c r="Q53" i="23"/>
  <c r="T53" i="23" s="1"/>
  <c r="P54" i="23"/>
  <c r="S53" i="23"/>
  <c r="R53" i="23"/>
  <c r="I49" i="22"/>
  <c r="H49" i="22"/>
  <c r="P51" i="22"/>
  <c r="F51" i="22"/>
  <c r="G50" i="22"/>
  <c r="H50" i="22" s="1"/>
  <c r="P55" i="23" l="1"/>
  <c r="Q54" i="23"/>
  <c r="T54" i="23"/>
  <c r="R54" i="23"/>
  <c r="S54" i="23"/>
  <c r="G52" i="23"/>
  <c r="F53" i="23"/>
  <c r="I52" i="23"/>
  <c r="J52" i="23"/>
  <c r="H52" i="23"/>
  <c r="J50" i="22"/>
  <c r="I50" i="22"/>
  <c r="P52" i="22"/>
  <c r="G51" i="22"/>
  <c r="I51" i="22" s="1"/>
  <c r="F52" i="22"/>
  <c r="F54" i="23" l="1"/>
  <c r="G53" i="23"/>
  <c r="J53" i="23" s="1"/>
  <c r="P56" i="23"/>
  <c r="Q55" i="23"/>
  <c r="T55" i="23"/>
  <c r="S55" i="23"/>
  <c r="R55" i="23"/>
  <c r="J51" i="22"/>
  <c r="H51" i="22"/>
  <c r="P53" i="22"/>
  <c r="F53" i="22"/>
  <c r="G52" i="22"/>
  <c r="J52" i="22" s="1"/>
  <c r="I52" i="22"/>
  <c r="H53" i="23" l="1"/>
  <c r="P57" i="23"/>
  <c r="Q56" i="23"/>
  <c r="R56" i="23"/>
  <c r="S56" i="23"/>
  <c r="T56" i="23"/>
  <c r="I53" i="23"/>
  <c r="G54" i="23"/>
  <c r="I54" i="23" s="1"/>
  <c r="F55" i="23"/>
  <c r="H52" i="22"/>
  <c r="P54" i="22"/>
  <c r="F54" i="22"/>
  <c r="G53" i="22"/>
  <c r="H53" i="22"/>
  <c r="I53" i="22"/>
  <c r="J53" i="22"/>
  <c r="J54" i="23" l="1"/>
  <c r="H54" i="23"/>
  <c r="P58" i="23"/>
  <c r="Q57" i="23"/>
  <c r="T57" i="23"/>
  <c r="R57" i="23"/>
  <c r="S57" i="23"/>
  <c r="F56" i="23"/>
  <c r="G55" i="23"/>
  <c r="I55" i="23" s="1"/>
  <c r="P55" i="22"/>
  <c r="F55" i="22"/>
  <c r="G54" i="22"/>
  <c r="J54" i="22"/>
  <c r="H54" i="22"/>
  <c r="I54" i="22"/>
  <c r="H55" i="23" l="1"/>
  <c r="J55" i="23"/>
  <c r="Q58" i="23"/>
  <c r="P59" i="23"/>
  <c r="S58" i="23"/>
  <c r="R58" i="23"/>
  <c r="T58" i="23"/>
  <c r="F57" i="23"/>
  <c r="G56" i="23"/>
  <c r="I56" i="23" s="1"/>
  <c r="J56" i="23"/>
  <c r="H56" i="23"/>
  <c r="P56" i="22"/>
  <c r="F56" i="22"/>
  <c r="G55" i="22"/>
  <c r="I55" i="22"/>
  <c r="H55" i="22"/>
  <c r="J55" i="22"/>
  <c r="P60" i="23" l="1"/>
  <c r="Q59" i="23"/>
  <c r="S59" i="23" s="1"/>
  <c r="T59" i="23"/>
  <c r="G57" i="23"/>
  <c r="F58" i="23"/>
  <c r="H57" i="23"/>
  <c r="I57" i="23"/>
  <c r="J57" i="23"/>
  <c r="P57" i="22"/>
  <c r="G56" i="22"/>
  <c r="F57" i="22"/>
  <c r="I56" i="22"/>
  <c r="H56" i="22"/>
  <c r="J56" i="22"/>
  <c r="G58" i="23" l="1"/>
  <c r="F59" i="23"/>
  <c r="I58" i="23"/>
  <c r="J58" i="23"/>
  <c r="H58" i="23"/>
  <c r="R59" i="23"/>
  <c r="P61" i="23"/>
  <c r="Q60" i="23"/>
  <c r="S60" i="23" s="1"/>
  <c r="R60" i="23"/>
  <c r="T60" i="23"/>
  <c r="P58" i="22"/>
  <c r="F58" i="22"/>
  <c r="G57" i="22"/>
  <c r="H57" i="22"/>
  <c r="J57" i="22"/>
  <c r="I57" i="22"/>
  <c r="Q61" i="23" l="1"/>
  <c r="P62" i="23"/>
  <c r="T61" i="23"/>
  <c r="S61" i="23"/>
  <c r="R61" i="23"/>
  <c r="F60" i="23"/>
  <c r="G59" i="23"/>
  <c r="I59" i="23" s="1"/>
  <c r="J59" i="23"/>
  <c r="H59" i="23"/>
  <c r="P59" i="22"/>
  <c r="F59" i="22"/>
  <c r="G58" i="22"/>
  <c r="I58" i="22" s="1"/>
  <c r="J58" i="22"/>
  <c r="G60" i="23" l="1"/>
  <c r="F61" i="23"/>
  <c r="I60" i="23"/>
  <c r="J60" i="23"/>
  <c r="H60" i="23"/>
  <c r="P63" i="23"/>
  <c r="Q62" i="23"/>
  <c r="T62" i="23"/>
  <c r="S62" i="23"/>
  <c r="R62" i="23"/>
  <c r="H58" i="22"/>
  <c r="P60" i="22"/>
  <c r="G59" i="22"/>
  <c r="J59" i="22" s="1"/>
  <c r="F60" i="22"/>
  <c r="I59" i="22"/>
  <c r="P64" i="23" l="1"/>
  <c r="Q63" i="23"/>
  <c r="S63" i="23" s="1"/>
  <c r="R63" i="23"/>
  <c r="T63" i="23"/>
  <c r="F62" i="23"/>
  <c r="G61" i="23"/>
  <c r="H61" i="23"/>
  <c r="I61" i="23"/>
  <c r="J61" i="23"/>
  <c r="H59" i="22"/>
  <c r="P61" i="22"/>
  <c r="F61" i="22"/>
  <c r="G60" i="22"/>
  <c r="I60" i="22" s="1"/>
  <c r="J60" i="22"/>
  <c r="H60" i="22"/>
  <c r="G62" i="23" l="1"/>
  <c r="F63" i="23"/>
  <c r="H62" i="23"/>
  <c r="J62" i="23"/>
  <c r="I62" i="23"/>
  <c r="P65" i="23"/>
  <c r="Q64" i="23"/>
  <c r="R64" i="23" s="1"/>
  <c r="S64" i="23"/>
  <c r="T64" i="23"/>
  <c r="P62" i="22"/>
  <c r="F62" i="22"/>
  <c r="G61" i="22"/>
  <c r="I61" i="22"/>
  <c r="H61" i="22"/>
  <c r="J61" i="22"/>
  <c r="F64" i="23" l="1"/>
  <c r="G63" i="23"/>
  <c r="I63" i="23" s="1"/>
  <c r="J63" i="23"/>
  <c r="H63" i="23"/>
  <c r="P66" i="23"/>
  <c r="Q65" i="23"/>
  <c r="S65" i="23"/>
  <c r="R65" i="23"/>
  <c r="T65" i="23"/>
  <c r="P63" i="22"/>
  <c r="G62" i="22"/>
  <c r="F63" i="22"/>
  <c r="I62" i="22"/>
  <c r="H62" i="22"/>
  <c r="J62" i="22"/>
  <c r="Q66" i="23" l="1"/>
  <c r="P67" i="23"/>
  <c r="R66" i="23"/>
  <c r="S66" i="23"/>
  <c r="T66" i="23"/>
  <c r="F65" i="23"/>
  <c r="G64" i="23"/>
  <c r="H64" i="23"/>
  <c r="J64" i="23"/>
  <c r="I64" i="23"/>
  <c r="P64" i="22"/>
  <c r="F64" i="22"/>
  <c r="G63" i="22"/>
  <c r="J63" i="22"/>
  <c r="H63" i="22"/>
  <c r="I63" i="22"/>
  <c r="P68" i="23" l="1"/>
  <c r="Q67" i="23"/>
  <c r="T67" i="23" s="1"/>
  <c r="R67" i="23"/>
  <c r="G65" i="23"/>
  <c r="F66" i="23"/>
  <c r="I65" i="23"/>
  <c r="J65" i="23"/>
  <c r="H65" i="23"/>
  <c r="P65" i="22"/>
  <c r="F65" i="22"/>
  <c r="G64" i="22"/>
  <c r="J64" i="22"/>
  <c r="I64" i="22"/>
  <c r="H64" i="22"/>
  <c r="G66" i="23" l="1"/>
  <c r="F67" i="23"/>
  <c r="H66" i="23"/>
  <c r="J66" i="23"/>
  <c r="I66" i="23"/>
  <c r="S67" i="23"/>
  <c r="Q68" i="23"/>
  <c r="S68" i="23" s="1"/>
  <c r="P69" i="23"/>
  <c r="T68" i="23"/>
  <c r="P66" i="22"/>
  <c r="G65" i="22"/>
  <c r="F66" i="22"/>
  <c r="I65" i="22"/>
  <c r="H65" i="22"/>
  <c r="J65" i="22"/>
  <c r="R68" i="23" l="1"/>
  <c r="F68" i="23"/>
  <c r="G67" i="23"/>
  <c r="H67" i="23"/>
  <c r="I67" i="23"/>
  <c r="J67" i="23"/>
  <c r="Q69" i="23"/>
  <c r="P70" i="23"/>
  <c r="T69" i="23"/>
  <c r="S69" i="23"/>
  <c r="R69" i="23"/>
  <c r="P67" i="22"/>
  <c r="F67" i="22"/>
  <c r="G66" i="22"/>
  <c r="I66" i="22"/>
  <c r="J66" i="22"/>
  <c r="H66" i="22"/>
  <c r="P71" i="23" l="1"/>
  <c r="Q70" i="23"/>
  <c r="S70" i="23" s="1"/>
  <c r="T70" i="23"/>
  <c r="R70" i="23"/>
  <c r="G68" i="23"/>
  <c r="J68" i="23" s="1"/>
  <c r="F69" i="23"/>
  <c r="H68" i="23"/>
  <c r="P68" i="22"/>
  <c r="F68" i="22"/>
  <c r="G67" i="22"/>
  <c r="J67" i="22"/>
  <c r="H67" i="22"/>
  <c r="I67" i="22"/>
  <c r="I68" i="23" l="1"/>
  <c r="G69" i="23"/>
  <c r="H69" i="23" s="1"/>
  <c r="F70" i="23"/>
  <c r="I69" i="23"/>
  <c r="P72" i="23"/>
  <c r="Q71" i="23"/>
  <c r="R71" i="23" s="1"/>
  <c r="T71" i="23"/>
  <c r="S71" i="23"/>
  <c r="P69" i="22"/>
  <c r="F69" i="22"/>
  <c r="G68" i="22"/>
  <c r="H68" i="22" s="1"/>
  <c r="J69" i="23" l="1"/>
  <c r="Q72" i="23"/>
  <c r="P73" i="23"/>
  <c r="S72" i="23"/>
  <c r="T72" i="23"/>
  <c r="R72" i="23"/>
  <c r="F71" i="23"/>
  <c r="G70" i="23"/>
  <c r="J70" i="23" s="1"/>
  <c r="I68" i="22"/>
  <c r="J68" i="22"/>
  <c r="P70" i="22"/>
  <c r="F70" i="22"/>
  <c r="G69" i="22"/>
  <c r="H69" i="22" s="1"/>
  <c r="J69" i="22"/>
  <c r="I70" i="23" l="1"/>
  <c r="P74" i="23"/>
  <c r="Q73" i="23"/>
  <c r="R73" i="23" s="1"/>
  <c r="T73" i="23"/>
  <c r="H70" i="23"/>
  <c r="F72" i="23"/>
  <c r="G71" i="23"/>
  <c r="I71" i="23" s="1"/>
  <c r="I69" i="22"/>
  <c r="P71" i="22"/>
  <c r="F71" i="22"/>
  <c r="G70" i="22"/>
  <c r="I70" i="22" s="1"/>
  <c r="H70" i="22"/>
  <c r="J70" i="22"/>
  <c r="H71" i="23" l="1"/>
  <c r="J71" i="23"/>
  <c r="S73" i="23"/>
  <c r="F73" i="23"/>
  <c r="G72" i="23"/>
  <c r="I72" i="23" s="1"/>
  <c r="J72" i="23"/>
  <c r="Q74" i="23"/>
  <c r="P75" i="23"/>
  <c r="R74" i="23"/>
  <c r="S74" i="23"/>
  <c r="T74" i="23"/>
  <c r="P72" i="22"/>
  <c r="F72" i="22"/>
  <c r="G71" i="22"/>
  <c r="I71" i="22"/>
  <c r="H71" i="22"/>
  <c r="J71" i="22"/>
  <c r="H72" i="23" l="1"/>
  <c r="G73" i="23"/>
  <c r="F74" i="23"/>
  <c r="H73" i="23"/>
  <c r="J73" i="23"/>
  <c r="I73" i="23"/>
  <c r="P76" i="23"/>
  <c r="Q75" i="23"/>
  <c r="S75" i="23"/>
  <c r="R75" i="23"/>
  <c r="T75" i="23"/>
  <c r="P73" i="22"/>
  <c r="G72" i="22"/>
  <c r="F73" i="22"/>
  <c r="H72" i="22"/>
  <c r="I72" i="22"/>
  <c r="J72" i="22"/>
  <c r="P77" i="23" l="1"/>
  <c r="Q76" i="23"/>
  <c r="R76" i="23" s="1"/>
  <c r="S76" i="23"/>
  <c r="F75" i="23"/>
  <c r="G74" i="23"/>
  <c r="J74" i="23" s="1"/>
  <c r="I74" i="23"/>
  <c r="H74" i="23"/>
  <c r="P74" i="22"/>
  <c r="F74" i="22"/>
  <c r="G73" i="22"/>
  <c r="I73" i="22" s="1"/>
  <c r="G75" i="23" l="1"/>
  <c r="F76" i="23"/>
  <c r="H75" i="23"/>
  <c r="J75" i="23"/>
  <c r="I75" i="23"/>
  <c r="T76" i="23"/>
  <c r="Q77" i="23"/>
  <c r="P78" i="23"/>
  <c r="R77" i="23"/>
  <c r="S77" i="23"/>
  <c r="T77" i="23"/>
  <c r="H73" i="22"/>
  <c r="J73" i="22"/>
  <c r="P75" i="22"/>
  <c r="F75" i="22"/>
  <c r="G74" i="22"/>
  <c r="H74" i="22" s="1"/>
  <c r="I74" i="22"/>
  <c r="P79" i="23" l="1"/>
  <c r="Q78" i="23"/>
  <c r="R78" i="23" s="1"/>
  <c r="T78" i="23"/>
  <c r="S78" i="23"/>
  <c r="G76" i="23"/>
  <c r="F77" i="23"/>
  <c r="I76" i="23"/>
  <c r="J76" i="23"/>
  <c r="H76" i="23"/>
  <c r="J74" i="22"/>
  <c r="P76" i="22"/>
  <c r="G75" i="22"/>
  <c r="J75" i="22" s="1"/>
  <c r="F76" i="22"/>
  <c r="F78" i="23" l="1"/>
  <c r="G77" i="23"/>
  <c r="H77" i="23" s="1"/>
  <c r="J77" i="23"/>
  <c r="I77" i="23"/>
  <c r="Q79" i="23"/>
  <c r="P80" i="23"/>
  <c r="S79" i="23"/>
  <c r="R79" i="23"/>
  <c r="T79" i="23"/>
  <c r="I75" i="22"/>
  <c r="H75" i="22"/>
  <c r="P77" i="22"/>
  <c r="F77" i="22"/>
  <c r="G76" i="22"/>
  <c r="J76" i="22" s="1"/>
  <c r="I76" i="22"/>
  <c r="P81" i="23" l="1"/>
  <c r="Q80" i="23"/>
  <c r="S80" i="23" s="1"/>
  <c r="R80" i="23"/>
  <c r="G78" i="23"/>
  <c r="F79" i="23"/>
  <c r="J78" i="23"/>
  <c r="I78" i="23"/>
  <c r="H78" i="23"/>
  <c r="H76" i="22"/>
  <c r="P78" i="22"/>
  <c r="F78" i="22"/>
  <c r="G77" i="22"/>
  <c r="I77" i="22" s="1"/>
  <c r="F80" i="23" l="1"/>
  <c r="G79" i="23"/>
  <c r="J79" i="23" s="1"/>
  <c r="T80" i="23"/>
  <c r="Q81" i="23"/>
  <c r="P82" i="23"/>
  <c r="R81" i="23"/>
  <c r="T81" i="23"/>
  <c r="S81" i="23"/>
  <c r="H77" i="22"/>
  <c r="J77" i="22"/>
  <c r="P79" i="22"/>
  <c r="G78" i="22"/>
  <c r="I78" i="22" s="1"/>
  <c r="F79" i="22"/>
  <c r="P83" i="23" l="1"/>
  <c r="Q82" i="23"/>
  <c r="S82" i="23"/>
  <c r="T82" i="23"/>
  <c r="R82" i="23"/>
  <c r="I79" i="23"/>
  <c r="H79" i="23"/>
  <c r="G80" i="23"/>
  <c r="H80" i="23" s="1"/>
  <c r="F81" i="23"/>
  <c r="H78" i="22"/>
  <c r="J78" i="22"/>
  <c r="P80" i="22"/>
  <c r="F80" i="22"/>
  <c r="G79" i="22"/>
  <c r="I79" i="22" s="1"/>
  <c r="H79" i="22"/>
  <c r="I80" i="23" l="1"/>
  <c r="J80" i="23"/>
  <c r="F82" i="23"/>
  <c r="G81" i="23"/>
  <c r="J81" i="23"/>
  <c r="H81" i="23"/>
  <c r="I81" i="23"/>
  <c r="Q83" i="23"/>
  <c r="P84" i="23"/>
  <c r="S83" i="23"/>
  <c r="R83" i="23"/>
  <c r="T83" i="23"/>
  <c r="J79" i="22"/>
  <c r="P81" i="22"/>
  <c r="F81" i="22"/>
  <c r="G80" i="22"/>
  <c r="I80" i="22" s="1"/>
  <c r="F83" i="23" l="1"/>
  <c r="G82" i="23"/>
  <c r="J82" i="23" s="1"/>
  <c r="H82" i="23"/>
  <c r="P85" i="23"/>
  <c r="Q84" i="23"/>
  <c r="R84" i="23"/>
  <c r="T84" i="23"/>
  <c r="S84" i="23"/>
  <c r="H80" i="22"/>
  <c r="J80" i="22"/>
  <c r="P82" i="22"/>
  <c r="G81" i="22"/>
  <c r="H81" i="22" s="1"/>
  <c r="F82" i="22"/>
  <c r="P86" i="23" l="1"/>
  <c r="Q85" i="23"/>
  <c r="T85" i="23" s="1"/>
  <c r="R85" i="23"/>
  <c r="I82" i="23"/>
  <c r="G83" i="23"/>
  <c r="J83" i="23" s="1"/>
  <c r="F84" i="23"/>
  <c r="H83" i="23"/>
  <c r="I81" i="22"/>
  <c r="J81" i="22"/>
  <c r="P83" i="22"/>
  <c r="F83" i="22"/>
  <c r="G82" i="22"/>
  <c r="I82" i="22" s="1"/>
  <c r="I83" i="23" l="1"/>
  <c r="F85" i="23"/>
  <c r="G84" i="23"/>
  <c r="J84" i="23"/>
  <c r="H84" i="23"/>
  <c r="I84" i="23"/>
  <c r="S85" i="23"/>
  <c r="Q86" i="23"/>
  <c r="T86" i="23" s="1"/>
  <c r="P87" i="23"/>
  <c r="J82" i="22"/>
  <c r="H82" i="22"/>
  <c r="P84" i="22"/>
  <c r="F84" i="22"/>
  <c r="G83" i="22"/>
  <c r="H83" i="22" s="1"/>
  <c r="R86" i="23" l="1"/>
  <c r="S86" i="23"/>
  <c r="Q87" i="23"/>
  <c r="T87" i="23" s="1"/>
  <c r="P88" i="23"/>
  <c r="R87" i="23"/>
  <c r="S87" i="23"/>
  <c r="G85" i="23"/>
  <c r="I85" i="23" s="1"/>
  <c r="F86" i="23"/>
  <c r="H85" i="23"/>
  <c r="J85" i="23"/>
  <c r="J83" i="22"/>
  <c r="I83" i="22"/>
  <c r="P85" i="22"/>
  <c r="F85" i="22"/>
  <c r="G84" i="22"/>
  <c r="H84" i="22" s="1"/>
  <c r="F87" i="23" l="1"/>
  <c r="G86" i="23"/>
  <c r="H86" i="23" s="1"/>
  <c r="J86" i="23"/>
  <c r="P89" i="23"/>
  <c r="Q88" i="23"/>
  <c r="R88" i="23"/>
  <c r="T88" i="23"/>
  <c r="S88" i="23"/>
  <c r="J84" i="22"/>
  <c r="I84" i="22"/>
  <c r="P86" i="22"/>
  <c r="F86" i="22"/>
  <c r="G85" i="22"/>
  <c r="J85" i="22" s="1"/>
  <c r="Q89" i="23" l="1"/>
  <c r="P90" i="23"/>
  <c r="T89" i="23"/>
  <c r="R89" i="23"/>
  <c r="S89" i="23"/>
  <c r="I86" i="23"/>
  <c r="F88" i="23"/>
  <c r="G87" i="23"/>
  <c r="H87" i="23" s="1"/>
  <c r="I87" i="23"/>
  <c r="I85" i="22"/>
  <c r="H85" i="22"/>
  <c r="P87" i="22"/>
  <c r="F87" i="22"/>
  <c r="G86" i="22"/>
  <c r="I86" i="22" s="1"/>
  <c r="J87" i="23" l="1"/>
  <c r="P91" i="23"/>
  <c r="Q90" i="23"/>
  <c r="T90" i="23" s="1"/>
  <c r="R90" i="23"/>
  <c r="S90" i="23"/>
  <c r="G88" i="23"/>
  <c r="F89" i="23"/>
  <c r="J88" i="23"/>
  <c r="H88" i="23"/>
  <c r="I88" i="23"/>
  <c r="H86" i="22"/>
  <c r="J86" i="22"/>
  <c r="P88" i="22"/>
  <c r="F88" i="22"/>
  <c r="G87" i="22"/>
  <c r="I87" i="22" s="1"/>
  <c r="F90" i="23" l="1"/>
  <c r="G89" i="23"/>
  <c r="H89" i="23" s="1"/>
  <c r="P92" i="23"/>
  <c r="Q91" i="23"/>
  <c r="T91" i="23"/>
  <c r="R91" i="23"/>
  <c r="S91" i="23"/>
  <c r="J87" i="22"/>
  <c r="H87" i="22"/>
  <c r="P89" i="22"/>
  <c r="G88" i="22"/>
  <c r="J88" i="22" s="1"/>
  <c r="F89" i="22"/>
  <c r="Q92" i="23" l="1"/>
  <c r="P93" i="23"/>
  <c r="R92" i="23"/>
  <c r="T92" i="23"/>
  <c r="S92" i="23"/>
  <c r="I89" i="23"/>
  <c r="J89" i="23"/>
  <c r="F91" i="23"/>
  <c r="G90" i="23"/>
  <c r="J90" i="23"/>
  <c r="H90" i="23"/>
  <c r="I90" i="23"/>
  <c r="H88" i="22"/>
  <c r="I88" i="22"/>
  <c r="P90" i="22"/>
  <c r="F90" i="22"/>
  <c r="G89" i="22"/>
  <c r="I89" i="22" s="1"/>
  <c r="F92" i="23" l="1"/>
  <c r="G91" i="23"/>
  <c r="J91" i="23" s="1"/>
  <c r="P94" i="23"/>
  <c r="Q93" i="23"/>
  <c r="T93" i="23"/>
  <c r="R93" i="23"/>
  <c r="S93" i="23"/>
  <c r="J89" i="22"/>
  <c r="H89" i="22"/>
  <c r="P91" i="22"/>
  <c r="F91" i="22"/>
  <c r="G90" i="22"/>
  <c r="H90" i="22" s="1"/>
  <c r="I91" i="23" l="1"/>
  <c r="Q94" i="23"/>
  <c r="P95" i="23"/>
  <c r="S94" i="23"/>
  <c r="T94" i="23"/>
  <c r="R94" i="23"/>
  <c r="H91" i="23"/>
  <c r="F93" i="23"/>
  <c r="G92" i="23"/>
  <c r="I92" i="23" s="1"/>
  <c r="H92" i="23"/>
  <c r="J92" i="23"/>
  <c r="I90" i="22"/>
  <c r="J90" i="22"/>
  <c r="P92" i="22"/>
  <c r="G91" i="22"/>
  <c r="I91" i="22" s="1"/>
  <c r="F92" i="22"/>
  <c r="J91" i="22"/>
  <c r="P96" i="23" l="1"/>
  <c r="Q95" i="23"/>
  <c r="R95" i="23"/>
  <c r="S95" i="23"/>
  <c r="T95" i="23"/>
  <c r="G93" i="23"/>
  <c r="F94" i="23"/>
  <c r="H93" i="23"/>
  <c r="I93" i="23"/>
  <c r="J93" i="23"/>
  <c r="H91" i="22"/>
  <c r="P93" i="22"/>
  <c r="F93" i="22"/>
  <c r="G92" i="22"/>
  <c r="I92" i="22" s="1"/>
  <c r="G94" i="23" l="1"/>
  <c r="F95" i="23"/>
  <c r="I94" i="23"/>
  <c r="H94" i="23"/>
  <c r="J94" i="23"/>
  <c r="Q96" i="23"/>
  <c r="T96" i="23" s="1"/>
  <c r="P97" i="23"/>
  <c r="R96" i="23"/>
  <c r="S96" i="23"/>
  <c r="J92" i="22"/>
  <c r="H92" i="22"/>
  <c r="P94" i="22"/>
  <c r="F94" i="22"/>
  <c r="G93" i="22"/>
  <c r="J93" i="22" s="1"/>
  <c r="F96" i="23" l="1"/>
  <c r="G95" i="23"/>
  <c r="H95" i="23" s="1"/>
  <c r="Q97" i="23"/>
  <c r="P98" i="23"/>
  <c r="T97" i="23"/>
  <c r="R97" i="23"/>
  <c r="S97" i="23"/>
  <c r="H93" i="22"/>
  <c r="I93" i="22"/>
  <c r="P95" i="22"/>
  <c r="G94" i="22"/>
  <c r="J94" i="22" s="1"/>
  <c r="F95" i="22"/>
  <c r="I94" i="22"/>
  <c r="H94" i="22"/>
  <c r="P99" i="23" l="1"/>
  <c r="Q98" i="23"/>
  <c r="R98" i="23"/>
  <c r="T98" i="23"/>
  <c r="S98" i="23"/>
  <c r="J95" i="23"/>
  <c r="I95" i="23"/>
  <c r="G96" i="23"/>
  <c r="H96" i="23" s="1"/>
  <c r="F97" i="23"/>
  <c r="P96" i="22"/>
  <c r="F96" i="22"/>
  <c r="G95" i="22"/>
  <c r="H95" i="22"/>
  <c r="I95" i="22"/>
  <c r="J95" i="22"/>
  <c r="I96" i="23" l="1"/>
  <c r="J96" i="23"/>
  <c r="G97" i="23"/>
  <c r="F98" i="23"/>
  <c r="H97" i="23"/>
  <c r="I97" i="23"/>
  <c r="J97" i="23"/>
  <c r="P100" i="23"/>
  <c r="Q99" i="23"/>
  <c r="S99" i="23"/>
  <c r="T99" i="23"/>
  <c r="R99" i="23"/>
  <c r="P97" i="22"/>
  <c r="F97" i="22"/>
  <c r="G96" i="22"/>
  <c r="I96" i="22"/>
  <c r="H96" i="22"/>
  <c r="J96" i="22"/>
  <c r="P101" i="23" l="1"/>
  <c r="Q100" i="23"/>
  <c r="R100" i="23" s="1"/>
  <c r="S100" i="23"/>
  <c r="G98" i="23"/>
  <c r="F99" i="23"/>
  <c r="I98" i="23"/>
  <c r="H98" i="23"/>
  <c r="J98" i="23"/>
  <c r="P98" i="22"/>
  <c r="G97" i="22"/>
  <c r="F98" i="22"/>
  <c r="H97" i="22"/>
  <c r="J97" i="22"/>
  <c r="I97" i="22"/>
  <c r="F100" i="23" l="1"/>
  <c r="G99" i="23"/>
  <c r="J99" i="23" s="1"/>
  <c r="I99" i="23"/>
  <c r="T100" i="23"/>
  <c r="P102" i="23"/>
  <c r="Q101" i="23"/>
  <c r="R101" i="23"/>
  <c r="T101" i="23"/>
  <c r="S101" i="23"/>
  <c r="P99" i="22"/>
  <c r="G98" i="22"/>
  <c r="I98" i="22" s="1"/>
  <c r="F99" i="22"/>
  <c r="Q102" i="23" l="1"/>
  <c r="P103" i="23"/>
  <c r="T102" i="23"/>
  <c r="R102" i="23"/>
  <c r="S102" i="23"/>
  <c r="H99" i="23"/>
  <c r="F101" i="23"/>
  <c r="G100" i="23"/>
  <c r="J100" i="23" s="1"/>
  <c r="I100" i="23"/>
  <c r="J98" i="22"/>
  <c r="H98" i="22"/>
  <c r="P100" i="22"/>
  <c r="F100" i="22"/>
  <c r="G99" i="22"/>
  <c r="J99" i="22" s="1"/>
  <c r="I99" i="22"/>
  <c r="H100" i="23" l="1"/>
  <c r="G101" i="23"/>
  <c r="I101" i="23" s="1"/>
  <c r="F102" i="23"/>
  <c r="J101" i="23"/>
  <c r="H101" i="23"/>
  <c r="P104" i="23"/>
  <c r="Q103" i="23"/>
  <c r="T103" i="23"/>
  <c r="S103" i="23"/>
  <c r="R103" i="23"/>
  <c r="H99" i="22"/>
  <c r="P101" i="22"/>
  <c r="F101" i="22"/>
  <c r="G100" i="22"/>
  <c r="H100" i="22" s="1"/>
  <c r="G102" i="23" l="1"/>
  <c r="F103" i="23"/>
  <c r="H102" i="23"/>
  <c r="J102" i="23"/>
  <c r="I102" i="23"/>
  <c r="Q104" i="23"/>
  <c r="P105" i="23"/>
  <c r="T104" i="23"/>
  <c r="S104" i="23"/>
  <c r="R104" i="23"/>
  <c r="J100" i="22"/>
  <c r="I100" i="22"/>
  <c r="P102" i="22"/>
  <c r="F102" i="22"/>
  <c r="G101" i="22"/>
  <c r="J101" i="22" s="1"/>
  <c r="Q105" i="23" l="1"/>
  <c r="P106" i="23"/>
  <c r="T105" i="23"/>
  <c r="R105" i="23"/>
  <c r="S105" i="23"/>
  <c r="F104" i="23"/>
  <c r="G103" i="23"/>
  <c r="H103" i="23"/>
  <c r="I103" i="23"/>
  <c r="J103" i="23"/>
  <c r="H101" i="22"/>
  <c r="I101" i="22"/>
  <c r="P103" i="22"/>
  <c r="F103" i="22"/>
  <c r="G102" i="22"/>
  <c r="J102" i="22" s="1"/>
  <c r="P107" i="23" l="1"/>
  <c r="Q106" i="23"/>
  <c r="T106" i="23" s="1"/>
  <c r="R106" i="23"/>
  <c r="G104" i="23"/>
  <c r="F105" i="23"/>
  <c r="J104" i="23"/>
  <c r="H104" i="23"/>
  <c r="I104" i="23"/>
  <c r="H102" i="22"/>
  <c r="I102" i="22"/>
  <c r="P104" i="22"/>
  <c r="F104" i="22"/>
  <c r="G103" i="22"/>
  <c r="H103" i="22" s="1"/>
  <c r="F106" i="23" l="1"/>
  <c r="G105" i="23"/>
  <c r="H105" i="23"/>
  <c r="I105" i="23"/>
  <c r="J105" i="23"/>
  <c r="S106" i="23"/>
  <c r="P108" i="23"/>
  <c r="Q107" i="23"/>
  <c r="R107" i="23"/>
  <c r="T107" i="23"/>
  <c r="S107" i="23"/>
  <c r="I103" i="22"/>
  <c r="J103" i="22"/>
  <c r="P105" i="22"/>
  <c r="G104" i="22"/>
  <c r="J104" i="22" s="1"/>
  <c r="F105" i="22"/>
  <c r="Q108" i="23" l="1"/>
  <c r="P109" i="23"/>
  <c r="T108" i="23"/>
  <c r="S108" i="23"/>
  <c r="R108" i="23"/>
  <c r="F107" i="23"/>
  <c r="G106" i="23"/>
  <c r="I106" i="23"/>
  <c r="H106" i="23"/>
  <c r="J106" i="23"/>
  <c r="I104" i="22"/>
  <c r="H104" i="22"/>
  <c r="P106" i="22"/>
  <c r="F106" i="22"/>
  <c r="G105" i="22"/>
  <c r="J105" i="22" s="1"/>
  <c r="G107" i="23" l="1"/>
  <c r="F108" i="23"/>
  <c r="I107" i="23"/>
  <c r="J107" i="23"/>
  <c r="H107" i="23"/>
  <c r="P110" i="23"/>
  <c r="Q109" i="23"/>
  <c r="S109" i="23"/>
  <c r="R109" i="23"/>
  <c r="T109" i="23"/>
  <c r="I105" i="22"/>
  <c r="H105" i="22"/>
  <c r="P107" i="22"/>
  <c r="F107" i="22"/>
  <c r="G106" i="22"/>
  <c r="I106" i="22" s="1"/>
  <c r="Q110" i="23" l="1"/>
  <c r="P111" i="23"/>
  <c r="R110" i="23"/>
  <c r="T110" i="23"/>
  <c r="S110" i="23"/>
  <c r="F109" i="23"/>
  <c r="G108" i="23"/>
  <c r="H108" i="23"/>
  <c r="J108" i="23"/>
  <c r="I108" i="23"/>
  <c r="J106" i="22"/>
  <c r="H106" i="22"/>
  <c r="P108" i="22"/>
  <c r="G107" i="22"/>
  <c r="I107" i="22" s="1"/>
  <c r="F108" i="22"/>
  <c r="P112" i="23" l="1"/>
  <c r="Q111" i="23"/>
  <c r="R111" i="23"/>
  <c r="S111" i="23"/>
  <c r="T111" i="23"/>
  <c r="G109" i="23"/>
  <c r="F110" i="23"/>
  <c r="I109" i="23"/>
  <c r="J109" i="23"/>
  <c r="H109" i="23"/>
  <c r="J107" i="22"/>
  <c r="H107" i="22"/>
  <c r="P109" i="22"/>
  <c r="F109" i="22"/>
  <c r="G108" i="22"/>
  <c r="H108" i="22"/>
  <c r="J108" i="22"/>
  <c r="I108" i="22"/>
  <c r="F111" i="23" l="1"/>
  <c r="G110" i="23"/>
  <c r="I110" i="23"/>
  <c r="J110" i="23"/>
  <c r="H110" i="23"/>
  <c r="Q112" i="23"/>
  <c r="P113" i="23"/>
  <c r="S112" i="23"/>
  <c r="T112" i="23"/>
  <c r="R112" i="23"/>
  <c r="P110" i="22"/>
  <c r="F110" i="22"/>
  <c r="G109" i="22"/>
  <c r="I109" i="22"/>
  <c r="J109" i="22"/>
  <c r="H109" i="22"/>
  <c r="Q113" i="23" l="1"/>
  <c r="P114" i="23"/>
  <c r="T113" i="23"/>
  <c r="R113" i="23"/>
  <c r="S113" i="23"/>
  <c r="F112" i="23"/>
  <c r="G111" i="23"/>
  <c r="J111" i="23"/>
  <c r="I111" i="23"/>
  <c r="H111" i="23"/>
  <c r="P111" i="22"/>
  <c r="G110" i="22"/>
  <c r="F111" i="22"/>
  <c r="I110" i="22"/>
  <c r="H110" i="22"/>
  <c r="J110" i="22"/>
  <c r="G112" i="23" l="1"/>
  <c r="F113" i="23"/>
  <c r="J112" i="23"/>
  <c r="H112" i="23"/>
  <c r="I112" i="23"/>
  <c r="P115" i="23"/>
  <c r="Q114" i="23"/>
  <c r="S114" i="23"/>
  <c r="R114" i="23"/>
  <c r="T114" i="23"/>
  <c r="P112" i="22"/>
  <c r="F112" i="22"/>
  <c r="G111" i="22"/>
  <c r="H111" i="22" s="1"/>
  <c r="I111" i="22"/>
  <c r="J111" i="22"/>
  <c r="Q115" i="23" l="1"/>
  <c r="P116" i="23"/>
  <c r="R115" i="23"/>
  <c r="S115" i="23"/>
  <c r="T115" i="23"/>
  <c r="G113" i="23"/>
  <c r="F114" i="23"/>
  <c r="I113" i="23"/>
  <c r="H113" i="23"/>
  <c r="J113" i="23"/>
  <c r="P113" i="22"/>
  <c r="F113" i="22"/>
  <c r="G112" i="22"/>
  <c r="I112" i="22" s="1"/>
  <c r="J112" i="22"/>
  <c r="F115" i="23" l="1"/>
  <c r="G114" i="23"/>
  <c r="H114" i="23"/>
  <c r="J114" i="23"/>
  <c r="I114" i="23"/>
  <c r="P117" i="23"/>
  <c r="Q116" i="23"/>
  <c r="T116" i="23"/>
  <c r="S116" i="23"/>
  <c r="R116" i="23"/>
  <c r="H112" i="22"/>
  <c r="P114" i="22"/>
  <c r="G113" i="22"/>
  <c r="F114" i="22"/>
  <c r="H113" i="22"/>
  <c r="J113" i="22"/>
  <c r="I113" i="22"/>
  <c r="P118" i="23" l="1"/>
  <c r="Q117" i="23"/>
  <c r="T117" i="23"/>
  <c r="R117" i="23"/>
  <c r="S117" i="23"/>
  <c r="G115" i="23"/>
  <c r="F116" i="23"/>
  <c r="J115" i="23"/>
  <c r="H115" i="23"/>
  <c r="I115" i="23"/>
  <c r="P115" i="22"/>
  <c r="G114" i="22"/>
  <c r="H114" i="22" s="1"/>
  <c r="F115" i="22"/>
  <c r="I114" i="22"/>
  <c r="J114" i="22"/>
  <c r="F117" i="23" l="1"/>
  <c r="G116" i="23"/>
  <c r="I116" i="23"/>
  <c r="J116" i="23"/>
  <c r="H116" i="23"/>
  <c r="Q118" i="23"/>
  <c r="P119" i="23"/>
  <c r="T118" i="23"/>
  <c r="R118" i="23"/>
  <c r="S118" i="23"/>
  <c r="P116" i="22"/>
  <c r="F116" i="22"/>
  <c r="G115" i="22"/>
  <c r="H115" i="22"/>
  <c r="I115" i="22"/>
  <c r="J115" i="22"/>
  <c r="Q119" i="23" l="1"/>
  <c r="P120" i="23"/>
  <c r="S119" i="23"/>
  <c r="T119" i="23"/>
  <c r="R119" i="23"/>
  <c r="G117" i="23"/>
  <c r="F118" i="23"/>
  <c r="I117" i="23"/>
  <c r="H117" i="23"/>
  <c r="J117" i="23"/>
  <c r="P117" i="22"/>
  <c r="F117" i="22"/>
  <c r="G116" i="22"/>
  <c r="I116" i="22" s="1"/>
  <c r="J116" i="22"/>
  <c r="H116" i="22"/>
  <c r="P121" i="23" l="1"/>
  <c r="Q120" i="23"/>
  <c r="T120" i="23"/>
  <c r="R120" i="23"/>
  <c r="S120" i="23"/>
  <c r="F119" i="23"/>
  <c r="G118" i="23"/>
  <c r="I118" i="23"/>
  <c r="J118" i="23"/>
  <c r="H118" i="23"/>
  <c r="P118" i="22"/>
  <c r="F118" i="22"/>
  <c r="G117" i="22"/>
  <c r="H117" i="22" s="1"/>
  <c r="I117" i="22"/>
  <c r="F120" i="23" l="1"/>
  <c r="G119" i="23"/>
  <c r="I119" i="23"/>
  <c r="J119" i="23"/>
  <c r="H119" i="23"/>
  <c r="Q121" i="23"/>
  <c r="P122" i="23"/>
  <c r="T121" i="23"/>
  <c r="R121" i="23"/>
  <c r="S121" i="23"/>
  <c r="J117" i="22"/>
  <c r="P119" i="22"/>
  <c r="F119" i="22"/>
  <c r="G118" i="22"/>
  <c r="H118" i="22" s="1"/>
  <c r="I118" i="22"/>
  <c r="P123" i="23" l="1"/>
  <c r="Q122" i="23"/>
  <c r="T122" i="23"/>
  <c r="R122" i="23"/>
  <c r="S122" i="23"/>
  <c r="G120" i="23"/>
  <c r="F121" i="23"/>
  <c r="H120" i="23"/>
  <c r="J120" i="23"/>
  <c r="I120" i="23"/>
  <c r="J118" i="22"/>
  <c r="P120" i="22"/>
  <c r="F120" i="22"/>
  <c r="G119" i="22"/>
  <c r="J119" i="22"/>
  <c r="I119" i="22"/>
  <c r="H119" i="22"/>
  <c r="F122" i="23" l="1"/>
  <c r="G121" i="23"/>
  <c r="H121" i="23"/>
  <c r="J121" i="23"/>
  <c r="I121" i="23"/>
  <c r="P124" i="23"/>
  <c r="Q123" i="23"/>
  <c r="S123" i="23"/>
  <c r="T123" i="23"/>
  <c r="R123" i="23"/>
  <c r="P121" i="22"/>
  <c r="G120" i="22"/>
  <c r="F121" i="22"/>
  <c r="J120" i="22"/>
  <c r="I120" i="22"/>
  <c r="H120" i="22"/>
  <c r="Q124" i="23" l="1"/>
  <c r="P125" i="23"/>
  <c r="T124" i="23"/>
  <c r="S124" i="23"/>
  <c r="R124" i="23"/>
  <c r="G122" i="23"/>
  <c r="F123" i="23"/>
  <c r="J122" i="23"/>
  <c r="I122" i="23"/>
  <c r="H122" i="23"/>
  <c r="P122" i="22"/>
  <c r="F122" i="22"/>
  <c r="G121" i="22"/>
  <c r="H121" i="22"/>
  <c r="I121" i="22"/>
  <c r="J121" i="22"/>
  <c r="P126" i="23" l="1"/>
  <c r="Q125" i="23"/>
  <c r="S125" i="23"/>
  <c r="T125" i="23"/>
  <c r="R125" i="23"/>
  <c r="F124" i="23"/>
  <c r="G123" i="23"/>
  <c r="J123" i="23"/>
  <c r="H123" i="23"/>
  <c r="I123" i="23"/>
  <c r="P123" i="22"/>
  <c r="G122" i="22"/>
  <c r="H122" i="22" s="1"/>
  <c r="F123" i="22"/>
  <c r="I122" i="22"/>
  <c r="F125" i="23" l="1"/>
  <c r="G124" i="23"/>
  <c r="J124" i="23"/>
  <c r="H124" i="23"/>
  <c r="I124" i="23"/>
  <c r="Q126" i="23"/>
  <c r="P127" i="23"/>
  <c r="R126" i="23"/>
  <c r="S126" i="23"/>
  <c r="T126" i="23"/>
  <c r="J122" i="22"/>
  <c r="P124" i="22"/>
  <c r="G123" i="22"/>
  <c r="F124" i="22"/>
  <c r="I123" i="22"/>
  <c r="J123" i="22"/>
  <c r="H123" i="22"/>
  <c r="Q127" i="23" l="1"/>
  <c r="P128" i="23"/>
  <c r="S127" i="23"/>
  <c r="T127" i="23"/>
  <c r="R127" i="23"/>
  <c r="G125" i="23"/>
  <c r="F126" i="23"/>
  <c r="I125" i="23"/>
  <c r="H125" i="23"/>
  <c r="J125" i="23"/>
  <c r="P125" i="22"/>
  <c r="F125" i="22"/>
  <c r="G124" i="22"/>
  <c r="I124" i="22" s="1"/>
  <c r="H124" i="22"/>
  <c r="J124" i="22"/>
  <c r="P129" i="23" l="1"/>
  <c r="Q128" i="23"/>
  <c r="S128" i="23"/>
  <c r="R128" i="23"/>
  <c r="T128" i="23"/>
  <c r="F127" i="23"/>
  <c r="G126" i="23"/>
  <c r="H126" i="23"/>
  <c r="J126" i="23"/>
  <c r="I126" i="23"/>
  <c r="P126" i="22"/>
  <c r="F126" i="22"/>
  <c r="G125" i="22"/>
  <c r="I125" i="22"/>
  <c r="J125" i="22"/>
  <c r="H125" i="22"/>
  <c r="F128" i="23" l="1"/>
  <c r="G127" i="23"/>
  <c r="I127" i="23"/>
  <c r="J127" i="23"/>
  <c r="H127" i="23"/>
  <c r="Q129" i="23"/>
  <c r="P130" i="23"/>
  <c r="T129" i="23"/>
  <c r="R129" i="23"/>
  <c r="S129" i="23"/>
  <c r="P127" i="22"/>
  <c r="G126" i="22"/>
  <c r="F127" i="22"/>
  <c r="I126" i="22"/>
  <c r="J126" i="22"/>
  <c r="H126" i="22"/>
  <c r="P131" i="23" l="1"/>
  <c r="Q130" i="23"/>
  <c r="T130" i="23"/>
  <c r="S130" i="23"/>
  <c r="R130" i="23"/>
  <c r="G128" i="23"/>
  <c r="F129" i="23"/>
  <c r="H128" i="23"/>
  <c r="J128" i="23"/>
  <c r="I128" i="23"/>
  <c r="P128" i="22"/>
  <c r="F128" i="22"/>
  <c r="G127" i="22"/>
  <c r="J127" i="22"/>
  <c r="H127" i="22"/>
  <c r="I127" i="22"/>
  <c r="F130" i="23" l="1"/>
  <c r="G129" i="23"/>
  <c r="J129" i="23"/>
  <c r="H129" i="23"/>
  <c r="I129" i="23"/>
  <c r="Q131" i="23"/>
  <c r="P132" i="23"/>
  <c r="R131" i="23"/>
  <c r="T131" i="23"/>
  <c r="S131" i="23"/>
  <c r="P129" i="22"/>
  <c r="F129" i="22"/>
  <c r="G128" i="22"/>
  <c r="J128" i="22"/>
  <c r="H128" i="22"/>
  <c r="I128" i="22"/>
  <c r="Q132" i="23" l="1"/>
  <c r="P133" i="23"/>
  <c r="T132" i="23"/>
  <c r="S132" i="23"/>
  <c r="R132" i="23"/>
  <c r="G130" i="23"/>
  <c r="F131" i="23"/>
  <c r="H130" i="23"/>
  <c r="J130" i="23"/>
  <c r="I130" i="23"/>
  <c r="P130" i="22"/>
  <c r="G129" i="22"/>
  <c r="F130" i="22"/>
  <c r="H129" i="22"/>
  <c r="J129" i="22"/>
  <c r="I129" i="22"/>
  <c r="G131" i="23" l="1"/>
  <c r="F132" i="23"/>
  <c r="J131" i="23"/>
  <c r="H131" i="23"/>
  <c r="I131" i="23"/>
  <c r="P134" i="23"/>
  <c r="Q133" i="23"/>
  <c r="T133" i="23"/>
  <c r="S133" i="23"/>
  <c r="R133" i="23"/>
  <c r="P131" i="22"/>
  <c r="F131" i="22"/>
  <c r="G130" i="22"/>
  <c r="I130" i="22"/>
  <c r="H130" i="22"/>
  <c r="J130" i="22"/>
  <c r="Q134" i="23" l="1"/>
  <c r="P135" i="23"/>
  <c r="R134" i="23"/>
  <c r="T134" i="23"/>
  <c r="S134" i="23"/>
  <c r="F133" i="23"/>
  <c r="G132" i="23"/>
  <c r="H132" i="23"/>
  <c r="J132" i="23"/>
  <c r="I132" i="23"/>
  <c r="P132" i="22"/>
  <c r="F132" i="22"/>
  <c r="G131" i="22"/>
  <c r="I131" i="22" s="1"/>
  <c r="P136" i="23" l="1"/>
  <c r="Q135" i="23"/>
  <c r="T135" i="23"/>
  <c r="S135" i="23"/>
  <c r="R135" i="23"/>
  <c r="G133" i="23"/>
  <c r="F134" i="23"/>
  <c r="H133" i="23"/>
  <c r="I133" i="23"/>
  <c r="J133" i="23"/>
  <c r="H131" i="22"/>
  <c r="J131" i="22"/>
  <c r="P133" i="22"/>
  <c r="F133" i="22"/>
  <c r="G132" i="22"/>
  <c r="J132" i="22" s="1"/>
  <c r="H132" i="22"/>
  <c r="G134" i="23" l="1"/>
  <c r="F135" i="23"/>
  <c r="J134" i="23"/>
  <c r="H134" i="23"/>
  <c r="I134" i="23"/>
  <c r="Q136" i="23"/>
  <c r="P137" i="23"/>
  <c r="T136" i="23"/>
  <c r="R136" i="23"/>
  <c r="S136" i="23"/>
  <c r="I132" i="22"/>
  <c r="P134" i="22"/>
  <c r="F134" i="22"/>
  <c r="G133" i="22"/>
  <c r="H133" i="22" s="1"/>
  <c r="Q137" i="23" l="1"/>
  <c r="P138" i="23"/>
  <c r="T137" i="23"/>
  <c r="R137" i="23"/>
  <c r="S137" i="23"/>
  <c r="F136" i="23"/>
  <c r="G135" i="23"/>
  <c r="J135" i="23"/>
  <c r="H135" i="23"/>
  <c r="I135" i="23"/>
  <c r="J133" i="22"/>
  <c r="I133" i="22"/>
  <c r="P135" i="22"/>
  <c r="F135" i="22"/>
  <c r="G134" i="22"/>
  <c r="J134" i="22" s="1"/>
  <c r="H134" i="22"/>
  <c r="I134" i="22"/>
  <c r="P139" i="23" l="1"/>
  <c r="Q138" i="23"/>
  <c r="R138" i="23"/>
  <c r="S138" i="23"/>
  <c r="T138" i="23"/>
  <c r="G136" i="23"/>
  <c r="F137" i="23"/>
  <c r="J136" i="23"/>
  <c r="H136" i="23"/>
  <c r="I136" i="23"/>
  <c r="P136" i="22"/>
  <c r="F136" i="22"/>
  <c r="G135" i="22"/>
  <c r="I135" i="22"/>
  <c r="H135" i="22"/>
  <c r="J135" i="22"/>
  <c r="F138" i="23" l="1"/>
  <c r="G137" i="23"/>
  <c r="J137" i="23"/>
  <c r="I137" i="23"/>
  <c r="H137" i="23"/>
  <c r="P140" i="23"/>
  <c r="Q139" i="23"/>
  <c r="T139" i="23"/>
  <c r="R139" i="23"/>
  <c r="S139" i="23"/>
  <c r="P137" i="22"/>
  <c r="G136" i="22"/>
  <c r="F137" i="22"/>
  <c r="J136" i="22"/>
  <c r="I136" i="22"/>
  <c r="H136" i="22"/>
  <c r="Q140" i="23" l="1"/>
  <c r="P141" i="23"/>
  <c r="T140" i="23"/>
  <c r="R140" i="23"/>
  <c r="S140" i="23"/>
  <c r="F139" i="23"/>
  <c r="G138" i="23"/>
  <c r="H138" i="23"/>
  <c r="J138" i="23"/>
  <c r="I138" i="23"/>
  <c r="P138" i="22"/>
  <c r="F138" i="22"/>
  <c r="G137" i="22"/>
  <c r="J137" i="22" s="1"/>
  <c r="G139" i="23" l="1"/>
  <c r="F140" i="23"/>
  <c r="J139" i="23"/>
  <c r="H139" i="23"/>
  <c r="I139" i="23"/>
  <c r="P142" i="23"/>
  <c r="Q141" i="23"/>
  <c r="T141" i="23"/>
  <c r="S141" i="23"/>
  <c r="R141" i="23"/>
  <c r="I137" i="22"/>
  <c r="H137" i="22"/>
  <c r="P139" i="22"/>
  <c r="F139" i="22"/>
  <c r="G138" i="22"/>
  <c r="H138" i="22" s="1"/>
  <c r="J138" i="22"/>
  <c r="I138" i="22"/>
  <c r="F141" i="23" l="1"/>
  <c r="G140" i="23"/>
  <c r="J140" i="23"/>
  <c r="H140" i="23"/>
  <c r="I140" i="23"/>
  <c r="Q142" i="23"/>
  <c r="P143" i="23"/>
  <c r="R142" i="23"/>
  <c r="T142" i="23"/>
  <c r="S142" i="23"/>
  <c r="P140" i="22"/>
  <c r="G139" i="22"/>
  <c r="F140" i="22"/>
  <c r="H139" i="22"/>
  <c r="I139" i="22"/>
  <c r="J139" i="22"/>
  <c r="P144" i="23" l="1"/>
  <c r="Q143" i="23"/>
  <c r="R143" i="23"/>
  <c r="S143" i="23"/>
  <c r="T143" i="23"/>
  <c r="G141" i="23"/>
  <c r="F142" i="23"/>
  <c r="J141" i="23"/>
  <c r="H141" i="23"/>
  <c r="I141" i="23"/>
  <c r="P141" i="22"/>
  <c r="F141" i="22"/>
  <c r="G140" i="22"/>
  <c r="H140" i="22"/>
  <c r="I140" i="22"/>
  <c r="J140" i="22"/>
  <c r="F143" i="23" l="1"/>
  <c r="G142" i="23"/>
  <c r="J142" i="23"/>
  <c r="I142" i="23"/>
  <c r="H142" i="23"/>
  <c r="Q144" i="23"/>
  <c r="P145" i="23"/>
  <c r="T144" i="23"/>
  <c r="R144" i="23"/>
  <c r="S144" i="23"/>
  <c r="P142" i="22"/>
  <c r="F142" i="22"/>
  <c r="G141" i="22"/>
  <c r="I141" i="22"/>
  <c r="J141" i="22"/>
  <c r="H141" i="22"/>
  <c r="Q145" i="23" l="1"/>
  <c r="P146" i="23"/>
  <c r="S145" i="23"/>
  <c r="T145" i="23"/>
  <c r="R145" i="23"/>
  <c r="F144" i="23"/>
  <c r="G143" i="23"/>
  <c r="H143" i="23"/>
  <c r="I143" i="23"/>
  <c r="J143" i="23"/>
  <c r="P143" i="22"/>
  <c r="G142" i="22"/>
  <c r="F143" i="22"/>
  <c r="J142" i="22"/>
  <c r="I142" i="22"/>
  <c r="H142" i="22"/>
  <c r="P147" i="23" l="1"/>
  <c r="Q146" i="23"/>
  <c r="R146" i="23"/>
  <c r="T146" i="23"/>
  <c r="S146" i="23"/>
  <c r="G144" i="23"/>
  <c r="F145" i="23"/>
  <c r="H144" i="23"/>
  <c r="I144" i="23"/>
  <c r="J144" i="23"/>
  <c r="P144" i="22"/>
  <c r="F144" i="22"/>
  <c r="G143" i="22"/>
  <c r="H143" i="22"/>
  <c r="I143" i="22"/>
  <c r="J143" i="22"/>
  <c r="G145" i="23" l="1"/>
  <c r="F146" i="23"/>
  <c r="H145" i="23"/>
  <c r="I145" i="23"/>
  <c r="J145" i="23"/>
  <c r="Q147" i="23"/>
  <c r="P148" i="23"/>
  <c r="S147" i="23"/>
  <c r="R147" i="23"/>
  <c r="T147" i="23"/>
  <c r="P145" i="22"/>
  <c r="F145" i="22"/>
  <c r="G144" i="22"/>
  <c r="H144" i="22"/>
  <c r="I144" i="22"/>
  <c r="J144" i="22"/>
  <c r="P149" i="23" l="1"/>
  <c r="Q148" i="23"/>
  <c r="S148" i="23"/>
  <c r="R148" i="23"/>
  <c r="T148" i="23"/>
  <c r="F147" i="23"/>
  <c r="G146" i="23"/>
  <c r="I146" i="23"/>
  <c r="J146" i="23"/>
  <c r="H146" i="23"/>
  <c r="P146" i="22"/>
  <c r="G145" i="22"/>
  <c r="F146" i="22"/>
  <c r="J145" i="22"/>
  <c r="I145" i="22"/>
  <c r="H145" i="22"/>
  <c r="G147" i="23" l="1"/>
  <c r="F148" i="23"/>
  <c r="I147" i="23"/>
  <c r="J147" i="23"/>
  <c r="H147" i="23"/>
  <c r="P150" i="23"/>
  <c r="Q149" i="23"/>
  <c r="R149" i="23"/>
  <c r="T149" i="23"/>
  <c r="S149" i="23"/>
  <c r="P147" i="22"/>
  <c r="F147" i="22"/>
  <c r="G146" i="22"/>
  <c r="H146" i="22"/>
  <c r="I146" i="22"/>
  <c r="J146" i="22"/>
  <c r="Q150" i="23" l="1"/>
  <c r="P151" i="23"/>
  <c r="T150" i="23"/>
  <c r="S150" i="23"/>
  <c r="R150" i="23"/>
  <c r="F149" i="23"/>
  <c r="G148" i="23"/>
  <c r="J148" i="23"/>
  <c r="I148" i="23"/>
  <c r="H148" i="23"/>
  <c r="P148" i="22"/>
  <c r="F148" i="22"/>
  <c r="G147" i="22"/>
  <c r="I147" i="22"/>
  <c r="J147" i="22"/>
  <c r="H147" i="22"/>
  <c r="Q151" i="23" l="1"/>
  <c r="P152" i="23"/>
  <c r="R151" i="23"/>
  <c r="T151" i="23"/>
  <c r="S151" i="23"/>
  <c r="G149" i="23"/>
  <c r="F150" i="23"/>
  <c r="J149" i="23"/>
  <c r="H149" i="23"/>
  <c r="I149" i="23"/>
  <c r="P149" i="22"/>
  <c r="F149" i="22"/>
  <c r="G148" i="22"/>
  <c r="J148" i="22" s="1"/>
  <c r="I148" i="22"/>
  <c r="G150" i="23" l="1"/>
  <c r="F151" i="23"/>
  <c r="H150" i="23"/>
  <c r="I150" i="23"/>
  <c r="J150" i="23"/>
  <c r="P153" i="23"/>
  <c r="Q152" i="23"/>
  <c r="T152" i="23"/>
  <c r="R152" i="23"/>
  <c r="S152" i="23"/>
  <c r="H148" i="22"/>
  <c r="P150" i="22"/>
  <c r="G149" i="22"/>
  <c r="F150" i="22"/>
  <c r="H149" i="22"/>
  <c r="J149" i="22"/>
  <c r="I149" i="22"/>
  <c r="Q153" i="23" l="1"/>
  <c r="P154" i="23"/>
  <c r="S153" i="23"/>
  <c r="T153" i="23"/>
  <c r="R153" i="23"/>
  <c r="F152" i="23"/>
  <c r="G151" i="23"/>
  <c r="J151" i="23"/>
  <c r="H151" i="23"/>
  <c r="I151" i="23"/>
  <c r="P151" i="22"/>
  <c r="F151" i="22"/>
  <c r="G150" i="22"/>
  <c r="I150" i="22"/>
  <c r="J150" i="22"/>
  <c r="H150" i="22"/>
  <c r="G152" i="23" l="1"/>
  <c r="F153" i="23"/>
  <c r="I152" i="23"/>
  <c r="J152" i="23"/>
  <c r="H152" i="23"/>
  <c r="P155" i="23"/>
  <c r="Q154" i="23"/>
  <c r="R154" i="23"/>
  <c r="S154" i="23"/>
  <c r="T154" i="23"/>
  <c r="P152" i="22"/>
  <c r="F152" i="22"/>
  <c r="G151" i="22"/>
  <c r="I151" i="22"/>
  <c r="H151" i="22"/>
  <c r="J151" i="22"/>
  <c r="Q155" i="23" l="1"/>
  <c r="P156" i="23"/>
  <c r="T155" i="23"/>
  <c r="R155" i="23"/>
  <c r="S155" i="23"/>
  <c r="F154" i="23"/>
  <c r="G153" i="23"/>
  <c r="I153" i="23"/>
  <c r="H153" i="23"/>
  <c r="J153" i="23"/>
  <c r="P153" i="22"/>
  <c r="G152" i="22"/>
  <c r="I152" i="22" s="1"/>
  <c r="F153" i="22"/>
  <c r="J152" i="22"/>
  <c r="H152" i="22"/>
  <c r="Q156" i="23" l="1"/>
  <c r="P157" i="23"/>
  <c r="S156" i="23"/>
  <c r="R156" i="23"/>
  <c r="T156" i="23"/>
  <c r="G154" i="23"/>
  <c r="F155" i="23"/>
  <c r="H154" i="23"/>
  <c r="I154" i="23"/>
  <c r="J154" i="23"/>
  <c r="P154" i="22"/>
  <c r="F154" i="22"/>
  <c r="G153" i="22"/>
  <c r="H153" i="22"/>
  <c r="J153" i="22"/>
  <c r="I153" i="22"/>
  <c r="P158" i="23" l="1"/>
  <c r="Q157" i="23"/>
  <c r="T157" i="23"/>
  <c r="R157" i="23"/>
  <c r="S157" i="23"/>
  <c r="F156" i="23"/>
  <c r="G155" i="23"/>
  <c r="I155" i="23"/>
  <c r="J155" i="23"/>
  <c r="H155" i="23"/>
  <c r="P155" i="22"/>
  <c r="F155" i="22"/>
  <c r="G154" i="22"/>
  <c r="H154" i="22"/>
  <c r="J154" i="22"/>
  <c r="I154" i="22"/>
  <c r="F157" i="23" l="1"/>
  <c r="G156" i="23"/>
  <c r="J156" i="23"/>
  <c r="H156" i="23"/>
  <c r="I156" i="23"/>
  <c r="Q158" i="23"/>
  <c r="P159" i="23"/>
  <c r="T158" i="23"/>
  <c r="S158" i="23"/>
  <c r="R158" i="23"/>
  <c r="P156" i="22"/>
  <c r="G155" i="22"/>
  <c r="F156" i="22"/>
  <c r="I155" i="22"/>
  <c r="J155" i="22"/>
  <c r="H155" i="22"/>
  <c r="Q159" i="23" l="1"/>
  <c r="P160" i="23"/>
  <c r="T159" i="23"/>
  <c r="R159" i="23"/>
  <c r="S159" i="23"/>
  <c r="G157" i="23"/>
  <c r="F158" i="23"/>
  <c r="J157" i="23"/>
  <c r="H157" i="23"/>
  <c r="I157" i="23"/>
  <c r="P157" i="22"/>
  <c r="F157" i="22"/>
  <c r="G156" i="22"/>
  <c r="I156" i="22"/>
  <c r="J156" i="22"/>
  <c r="H156" i="22"/>
  <c r="F159" i="23" l="1"/>
  <c r="G158" i="23"/>
  <c r="H158" i="23"/>
  <c r="I158" i="23"/>
  <c r="J158" i="23"/>
  <c r="Q160" i="23"/>
  <c r="P161" i="23"/>
  <c r="R160" i="23"/>
  <c r="S160" i="23"/>
  <c r="T160" i="23"/>
  <c r="P158" i="22"/>
  <c r="F158" i="22"/>
  <c r="G157" i="22"/>
  <c r="H157" i="22"/>
  <c r="I157" i="22"/>
  <c r="J157" i="22"/>
  <c r="Q161" i="23" l="1"/>
  <c r="P162" i="23"/>
  <c r="S161" i="23"/>
  <c r="T161" i="23"/>
  <c r="R161" i="23"/>
  <c r="F160" i="23"/>
  <c r="G159" i="23"/>
  <c r="I159" i="23"/>
  <c r="J159" i="23"/>
  <c r="H159" i="23"/>
  <c r="P159" i="22"/>
  <c r="G158" i="22"/>
  <c r="J158" i="22" s="1"/>
  <c r="F159" i="22"/>
  <c r="I158" i="22"/>
  <c r="H158" i="22"/>
  <c r="G160" i="23" l="1"/>
  <c r="F161" i="23"/>
  <c r="H160" i="23"/>
  <c r="J160" i="23"/>
  <c r="I160" i="23"/>
  <c r="P163" i="23"/>
  <c r="Q162" i="23"/>
  <c r="R162" i="23"/>
  <c r="T162" i="23"/>
  <c r="S162" i="23"/>
  <c r="P160" i="22"/>
  <c r="F160" i="22"/>
  <c r="G159" i="22"/>
  <c r="H159" i="22" s="1"/>
  <c r="I159" i="22"/>
  <c r="J159" i="22"/>
  <c r="F162" i="23" l="1"/>
  <c r="G161" i="23"/>
  <c r="J161" i="23"/>
  <c r="I161" i="23"/>
  <c r="H161" i="23"/>
  <c r="P164" i="23"/>
  <c r="Q163" i="23"/>
  <c r="S163" i="23"/>
  <c r="T163" i="23"/>
  <c r="R163" i="23"/>
  <c r="P161" i="22"/>
  <c r="F161" i="22"/>
  <c r="G160" i="22"/>
  <c r="J160" i="22"/>
  <c r="I160" i="22"/>
  <c r="H160" i="22"/>
  <c r="P165" i="23" l="1"/>
  <c r="Q164" i="23"/>
  <c r="S164" i="23"/>
  <c r="T164" i="23"/>
  <c r="R164" i="23"/>
  <c r="G162" i="23"/>
  <c r="F163" i="23"/>
  <c r="J162" i="23"/>
  <c r="I162" i="23"/>
  <c r="H162" i="23"/>
  <c r="P162" i="22"/>
  <c r="G161" i="22"/>
  <c r="F162" i="22"/>
  <c r="H161" i="22"/>
  <c r="J161" i="22"/>
  <c r="I161" i="22"/>
  <c r="F164" i="23" l="1"/>
  <c r="G163" i="23"/>
  <c r="I163" i="23"/>
  <c r="J163" i="23"/>
  <c r="H163" i="23"/>
  <c r="P166" i="23"/>
  <c r="Q165" i="23"/>
  <c r="S165" i="23"/>
  <c r="R165" i="23"/>
  <c r="T165" i="23"/>
  <c r="P163" i="22"/>
  <c r="F163" i="22"/>
  <c r="G162" i="22"/>
  <c r="I162" i="22"/>
  <c r="H162" i="22"/>
  <c r="J162" i="22"/>
  <c r="Q166" i="23" l="1"/>
  <c r="P167" i="23"/>
  <c r="T166" i="23"/>
  <c r="S166" i="23"/>
  <c r="R166" i="23"/>
  <c r="F165" i="23"/>
  <c r="G164" i="23"/>
  <c r="J164" i="23"/>
  <c r="I164" i="23"/>
  <c r="H164" i="23"/>
  <c r="P164" i="22"/>
  <c r="F164" i="22"/>
  <c r="G163" i="22"/>
  <c r="J163" i="22"/>
  <c r="H163" i="22"/>
  <c r="I163" i="22"/>
  <c r="P168" i="23" l="1"/>
  <c r="Q167" i="23"/>
  <c r="R167" i="23"/>
  <c r="S167" i="23"/>
  <c r="T167" i="23"/>
  <c r="G165" i="23"/>
  <c r="F166" i="23"/>
  <c r="J165" i="23"/>
  <c r="I165" i="23"/>
  <c r="H165" i="23"/>
  <c r="P165" i="22"/>
  <c r="F165" i="22"/>
  <c r="G164" i="22"/>
  <c r="H164" i="22" s="1"/>
  <c r="G166" i="23" l="1"/>
  <c r="F167" i="23"/>
  <c r="H166" i="23"/>
  <c r="I166" i="23"/>
  <c r="J166" i="23"/>
  <c r="P169" i="23"/>
  <c r="Q168" i="23"/>
  <c r="R168" i="23"/>
  <c r="S168" i="23"/>
  <c r="T168" i="23"/>
  <c r="I164" i="22"/>
  <c r="P166" i="22"/>
  <c r="J164" i="22"/>
  <c r="G165" i="22"/>
  <c r="I165" i="22" s="1"/>
  <c r="F166" i="22"/>
  <c r="H165" i="22"/>
  <c r="F168" i="23" l="1"/>
  <c r="G167" i="23"/>
  <c r="J167" i="23"/>
  <c r="I167" i="23"/>
  <c r="H167" i="23"/>
  <c r="Q169" i="23"/>
  <c r="P170" i="23"/>
  <c r="S169" i="23"/>
  <c r="T169" i="23"/>
  <c r="R169" i="23"/>
  <c r="P167" i="22"/>
  <c r="J165" i="22"/>
  <c r="F167" i="22"/>
  <c r="G166" i="22"/>
  <c r="I166" i="22"/>
  <c r="J166" i="22"/>
  <c r="H166" i="22"/>
  <c r="P171" i="23" l="1"/>
  <c r="Q170" i="23"/>
  <c r="S170" i="23"/>
  <c r="T170" i="23"/>
  <c r="R170" i="23"/>
  <c r="G168" i="23"/>
  <c r="F169" i="23"/>
  <c r="I168" i="23"/>
  <c r="H168" i="23"/>
  <c r="J168" i="23"/>
  <c r="P168" i="22"/>
  <c r="F168" i="22"/>
  <c r="G167" i="22"/>
  <c r="I167" i="22"/>
  <c r="H167" i="22"/>
  <c r="J167" i="22"/>
  <c r="G169" i="23" l="1"/>
  <c r="F170" i="23"/>
  <c r="I169" i="23"/>
  <c r="J169" i="23"/>
  <c r="H169" i="23"/>
  <c r="P172" i="23"/>
  <c r="Q171" i="23"/>
  <c r="S171" i="23"/>
  <c r="T171" i="23"/>
  <c r="R171" i="23"/>
  <c r="P169" i="22"/>
  <c r="G168" i="22"/>
  <c r="F169" i="22"/>
  <c r="I168" i="22"/>
  <c r="H168" i="22"/>
  <c r="J168" i="22"/>
  <c r="F171" i="23" l="1"/>
  <c r="G170" i="23"/>
  <c r="H170" i="23"/>
  <c r="I170" i="23"/>
  <c r="J170" i="23"/>
  <c r="Q172" i="23"/>
  <c r="P173" i="23"/>
  <c r="S172" i="23"/>
  <c r="T172" i="23"/>
  <c r="R172" i="23"/>
  <c r="P170" i="22"/>
  <c r="F170" i="22"/>
  <c r="G169" i="22"/>
  <c r="H169" i="22"/>
  <c r="J169" i="22"/>
  <c r="I169" i="22"/>
  <c r="P174" i="23" l="1"/>
  <c r="Q173" i="23"/>
  <c r="S173" i="23"/>
  <c r="T173" i="23"/>
  <c r="R173" i="23"/>
  <c r="G171" i="23"/>
  <c r="F172" i="23"/>
  <c r="I171" i="23"/>
  <c r="J171" i="23"/>
  <c r="H171" i="23"/>
  <c r="P171" i="22"/>
  <c r="F171" i="22"/>
  <c r="G170" i="22"/>
  <c r="J170" i="22" s="1"/>
  <c r="I170" i="22"/>
  <c r="F173" i="23" l="1"/>
  <c r="G172" i="23"/>
  <c r="H172" i="23"/>
  <c r="J172" i="23"/>
  <c r="I172" i="23"/>
  <c r="Q174" i="23"/>
  <c r="P175" i="23"/>
  <c r="S174" i="23"/>
  <c r="T174" i="23"/>
  <c r="R174" i="23"/>
  <c r="H170" i="22"/>
  <c r="P172" i="22"/>
  <c r="G171" i="22"/>
  <c r="F172" i="22"/>
  <c r="I171" i="22"/>
  <c r="H171" i="22"/>
  <c r="J171" i="22"/>
  <c r="P176" i="23" l="1"/>
  <c r="Q175" i="23"/>
  <c r="R175" i="23"/>
  <c r="T175" i="23"/>
  <c r="S175" i="23"/>
  <c r="G173" i="23"/>
  <c r="F174" i="23"/>
  <c r="I173" i="23"/>
  <c r="J173" i="23"/>
  <c r="H173" i="23"/>
  <c r="P173" i="22"/>
  <c r="F173" i="22"/>
  <c r="G172" i="22"/>
  <c r="J172" i="22" s="1"/>
  <c r="I172" i="22"/>
  <c r="H172" i="22"/>
  <c r="G174" i="23" l="1"/>
  <c r="F175" i="23"/>
  <c r="H174" i="23"/>
  <c r="I174" i="23"/>
  <c r="J174" i="23"/>
  <c r="P177" i="23"/>
  <c r="Q176" i="23"/>
  <c r="T176" i="23"/>
  <c r="R176" i="23"/>
  <c r="S176" i="23"/>
  <c r="P174" i="22"/>
  <c r="F174" i="22"/>
  <c r="G173" i="22"/>
  <c r="I173" i="22"/>
  <c r="H173" i="22"/>
  <c r="J173" i="22"/>
  <c r="Q177" i="23" l="1"/>
  <c r="P178" i="23"/>
  <c r="S177" i="23"/>
  <c r="T177" i="23"/>
  <c r="R177" i="23"/>
  <c r="F176" i="23"/>
  <c r="G175" i="23"/>
  <c r="I175" i="23"/>
  <c r="J175" i="23"/>
  <c r="H175" i="23"/>
  <c r="P175" i="22"/>
  <c r="G174" i="22"/>
  <c r="F175" i="22"/>
  <c r="I174" i="22"/>
  <c r="H174" i="22"/>
  <c r="J174" i="22"/>
  <c r="P179" i="23" l="1"/>
  <c r="Q178" i="23"/>
  <c r="R178" i="23"/>
  <c r="T178" i="23"/>
  <c r="S178" i="23"/>
  <c r="G176" i="23"/>
  <c r="F177" i="23"/>
  <c r="J176" i="23"/>
  <c r="I176" i="23"/>
  <c r="H176" i="23"/>
  <c r="P176" i="22"/>
  <c r="F176" i="22"/>
  <c r="G175" i="22"/>
  <c r="J175" i="22"/>
  <c r="H175" i="22"/>
  <c r="I175" i="22"/>
  <c r="F178" i="23" l="1"/>
  <c r="G177" i="23"/>
  <c r="I177" i="23"/>
  <c r="H177" i="23"/>
  <c r="J177" i="23"/>
  <c r="P180" i="23"/>
  <c r="Q179" i="23"/>
  <c r="T179" i="23"/>
  <c r="R179" i="23"/>
  <c r="S179" i="23"/>
  <c r="P177" i="22"/>
  <c r="F177" i="22"/>
  <c r="G176" i="22"/>
  <c r="J176" i="22"/>
  <c r="H176" i="22"/>
  <c r="I176" i="22"/>
  <c r="Q180" i="23" l="1"/>
  <c r="P181" i="23"/>
  <c r="S180" i="23"/>
  <c r="T180" i="23"/>
  <c r="R180" i="23"/>
  <c r="F179" i="23"/>
  <c r="G178" i="23"/>
  <c r="H178" i="23"/>
  <c r="J178" i="23"/>
  <c r="I178" i="23"/>
  <c r="P178" i="22"/>
  <c r="G177" i="22"/>
  <c r="H177" i="22" s="1"/>
  <c r="F178" i="22"/>
  <c r="I177" i="22"/>
  <c r="P182" i="23" l="1"/>
  <c r="Q181" i="23"/>
  <c r="R181" i="23"/>
  <c r="T181" i="23"/>
  <c r="S181" i="23"/>
  <c r="G179" i="23"/>
  <c r="F180" i="23"/>
  <c r="I179" i="23"/>
  <c r="J179" i="23"/>
  <c r="H179" i="23"/>
  <c r="J177" i="22"/>
  <c r="P179" i="22"/>
  <c r="F179" i="22"/>
  <c r="G178" i="22"/>
  <c r="I178" i="22" s="1"/>
  <c r="F181" i="23" l="1"/>
  <c r="G180" i="23"/>
  <c r="I180" i="23"/>
  <c r="J180" i="23"/>
  <c r="H180" i="23"/>
  <c r="Q182" i="23"/>
  <c r="P183" i="23"/>
  <c r="T182" i="23"/>
  <c r="R182" i="23"/>
  <c r="S182" i="23"/>
  <c r="J178" i="22"/>
  <c r="H178" i="22"/>
  <c r="P180" i="22"/>
  <c r="F180" i="22"/>
  <c r="G179" i="22"/>
  <c r="H179" i="22" s="1"/>
  <c r="P184" i="23" l="1"/>
  <c r="Q183" i="23"/>
  <c r="R183" i="23"/>
  <c r="T183" i="23"/>
  <c r="S183" i="23"/>
  <c r="G181" i="23"/>
  <c r="F182" i="23"/>
  <c r="H181" i="23"/>
  <c r="I181" i="23"/>
  <c r="J181" i="23"/>
  <c r="I179" i="22"/>
  <c r="J179" i="22"/>
  <c r="P181" i="22"/>
  <c r="F181" i="22"/>
  <c r="G180" i="22"/>
  <c r="H180" i="22" s="1"/>
  <c r="J180" i="22"/>
  <c r="G182" i="23" l="1"/>
  <c r="F183" i="23"/>
  <c r="I182" i="23"/>
  <c r="J182" i="23"/>
  <c r="H182" i="23"/>
  <c r="P185" i="23"/>
  <c r="Q184" i="23"/>
  <c r="R184" i="23"/>
  <c r="T184" i="23"/>
  <c r="S184" i="23"/>
  <c r="I180" i="22"/>
  <c r="P182" i="22"/>
  <c r="F182" i="22"/>
  <c r="G181" i="22"/>
  <c r="J181" i="22" s="1"/>
  <c r="Q185" i="23" l="1"/>
  <c r="P186" i="23"/>
  <c r="S185" i="23"/>
  <c r="T185" i="23"/>
  <c r="R185" i="23"/>
  <c r="F184" i="23"/>
  <c r="G183" i="23"/>
  <c r="J183" i="23"/>
  <c r="I183" i="23"/>
  <c r="H183" i="23"/>
  <c r="I181" i="22"/>
  <c r="H181" i="22"/>
  <c r="P183" i="22"/>
  <c r="F183" i="22"/>
  <c r="G182" i="22"/>
  <c r="H182" i="22" s="1"/>
  <c r="J182" i="22"/>
  <c r="P187" i="23" l="1"/>
  <c r="Q186" i="23"/>
  <c r="T186" i="23"/>
  <c r="R186" i="23"/>
  <c r="S186" i="23"/>
  <c r="G184" i="23"/>
  <c r="F185" i="23"/>
  <c r="I184" i="23"/>
  <c r="J184" i="23"/>
  <c r="H184" i="23"/>
  <c r="I182" i="22"/>
  <c r="P184" i="22"/>
  <c r="F184" i="22"/>
  <c r="G183" i="22"/>
  <c r="H183" i="22" s="1"/>
  <c r="I183" i="22"/>
  <c r="J183" i="22"/>
  <c r="G185" i="23" l="1"/>
  <c r="F186" i="23"/>
  <c r="I185" i="23"/>
  <c r="J185" i="23"/>
  <c r="H185" i="23"/>
  <c r="P188" i="23"/>
  <c r="Q187" i="23"/>
  <c r="S187" i="23"/>
  <c r="T187" i="23"/>
  <c r="R187" i="23"/>
  <c r="P185" i="22"/>
  <c r="G184" i="22"/>
  <c r="F185" i="22"/>
  <c r="J184" i="22"/>
  <c r="H184" i="22"/>
  <c r="I184" i="22"/>
  <c r="Q188" i="23" l="1"/>
  <c r="P189" i="23"/>
  <c r="S188" i="23"/>
  <c r="T188" i="23"/>
  <c r="R188" i="23"/>
  <c r="F187" i="23"/>
  <c r="G186" i="23"/>
  <c r="I186" i="23"/>
  <c r="J186" i="23"/>
  <c r="H186" i="23"/>
  <c r="P186" i="22"/>
  <c r="F186" i="22"/>
  <c r="G185" i="22"/>
  <c r="J185" i="22"/>
  <c r="I185" i="22"/>
  <c r="H185" i="22"/>
  <c r="P190" i="23" l="1"/>
  <c r="Q189" i="23"/>
  <c r="S189" i="23"/>
  <c r="R189" i="23"/>
  <c r="T189" i="23"/>
  <c r="G187" i="23"/>
  <c r="F188" i="23"/>
  <c r="I187" i="23"/>
  <c r="J187" i="23"/>
  <c r="H187" i="23"/>
  <c r="P187" i="22"/>
  <c r="F187" i="22"/>
  <c r="G186" i="22"/>
  <c r="I186" i="22"/>
  <c r="H186" i="22"/>
  <c r="J186" i="22"/>
  <c r="F189" i="23" l="1"/>
  <c r="G188" i="23"/>
  <c r="H188" i="23"/>
  <c r="I188" i="23"/>
  <c r="J188" i="23"/>
  <c r="Q190" i="23"/>
  <c r="P191" i="23"/>
  <c r="T190" i="23"/>
  <c r="R190" i="23"/>
  <c r="S190" i="23"/>
  <c r="P188" i="22"/>
  <c r="G187" i="22"/>
  <c r="J187" i="22" s="1"/>
  <c r="F188" i="22"/>
  <c r="H187" i="22"/>
  <c r="I187" i="22"/>
  <c r="Q191" i="23" l="1"/>
  <c r="P192" i="23"/>
  <c r="R191" i="23"/>
  <c r="T191" i="23"/>
  <c r="S191" i="23"/>
  <c r="G189" i="23"/>
  <c r="F190" i="23"/>
  <c r="J189" i="23"/>
  <c r="H189" i="23"/>
  <c r="I189" i="23"/>
  <c r="P189" i="22"/>
  <c r="F189" i="22"/>
  <c r="G188" i="22"/>
  <c r="J188" i="22" s="1"/>
  <c r="G190" i="23" l="1"/>
  <c r="F191" i="23"/>
  <c r="J190" i="23"/>
  <c r="I190" i="23"/>
  <c r="H190" i="23"/>
  <c r="P193" i="23"/>
  <c r="Q192" i="23"/>
  <c r="R192" i="23"/>
  <c r="S192" i="23"/>
  <c r="T192" i="23"/>
  <c r="I188" i="22"/>
  <c r="H188" i="22"/>
  <c r="P190" i="22"/>
  <c r="F190" i="22"/>
  <c r="G189" i="22"/>
  <c r="I189" i="22" s="1"/>
  <c r="H189" i="22"/>
  <c r="J189" i="22"/>
  <c r="Q193" i="23" l="1"/>
  <c r="P194" i="23"/>
  <c r="S193" i="23"/>
  <c r="T193" i="23"/>
  <c r="R193" i="23"/>
  <c r="F192" i="23"/>
  <c r="G191" i="23"/>
  <c r="J191" i="23"/>
  <c r="H191" i="23"/>
  <c r="I191" i="23"/>
  <c r="P191" i="22"/>
  <c r="G190" i="22"/>
  <c r="I190" i="22" s="1"/>
  <c r="F191" i="22"/>
  <c r="H190" i="22"/>
  <c r="J190" i="22"/>
  <c r="G192" i="23" l="1"/>
  <c r="F193" i="23"/>
  <c r="I192" i="23"/>
  <c r="H192" i="23"/>
  <c r="J192" i="23"/>
  <c r="P195" i="23"/>
  <c r="Q194" i="23"/>
  <c r="T194" i="23"/>
  <c r="S194" i="23"/>
  <c r="R194" i="23"/>
  <c r="P192" i="22"/>
  <c r="F192" i="22"/>
  <c r="G191" i="22"/>
  <c r="J191" i="22"/>
  <c r="I191" i="22"/>
  <c r="H191" i="22"/>
  <c r="G193" i="23" l="1"/>
  <c r="F194" i="23"/>
  <c r="I193" i="23"/>
  <c r="J193" i="23"/>
  <c r="H193" i="23"/>
  <c r="P196" i="23"/>
  <c r="Q195" i="23"/>
  <c r="T195" i="23"/>
  <c r="S195" i="23"/>
  <c r="R195" i="23"/>
  <c r="P193" i="22"/>
  <c r="F193" i="22"/>
  <c r="G192" i="22"/>
  <c r="I192" i="22"/>
  <c r="H192" i="22"/>
  <c r="J192" i="22"/>
  <c r="F195" i="23" l="1"/>
  <c r="G194" i="23"/>
  <c r="H194" i="23"/>
  <c r="J194" i="23"/>
  <c r="I194" i="23"/>
  <c r="Q196" i="23"/>
  <c r="P197" i="23"/>
  <c r="S196" i="23"/>
  <c r="T196" i="23"/>
  <c r="R196" i="23"/>
  <c r="P194" i="22"/>
  <c r="G193" i="22"/>
  <c r="F194" i="22"/>
  <c r="H193" i="22"/>
  <c r="J193" i="22"/>
  <c r="I193" i="22"/>
  <c r="P198" i="23" l="1"/>
  <c r="Q197" i="23"/>
  <c r="R197" i="23"/>
  <c r="T197" i="23"/>
  <c r="S197" i="23"/>
  <c r="G195" i="23"/>
  <c r="F196" i="23"/>
  <c r="I195" i="23"/>
  <c r="J195" i="23"/>
  <c r="H195" i="23"/>
  <c r="P195" i="22"/>
  <c r="F195" i="22"/>
  <c r="G194" i="22"/>
  <c r="H194" i="22" s="1"/>
  <c r="F197" i="23" l="1"/>
  <c r="G196" i="23"/>
  <c r="J196" i="23"/>
  <c r="I196" i="23"/>
  <c r="H196" i="23"/>
  <c r="Q198" i="23"/>
  <c r="P199" i="23"/>
  <c r="T198" i="23"/>
  <c r="R198" i="23"/>
  <c r="S198" i="23"/>
  <c r="I194" i="22"/>
  <c r="J194" i="22"/>
  <c r="P196" i="22"/>
  <c r="F196" i="22"/>
  <c r="G195" i="22"/>
  <c r="H195" i="22" s="1"/>
  <c r="J195" i="22"/>
  <c r="I195" i="22"/>
  <c r="P200" i="23" l="1"/>
  <c r="Q199" i="23"/>
  <c r="R199" i="23"/>
  <c r="T199" i="23"/>
  <c r="S199" i="23"/>
  <c r="G197" i="23"/>
  <c r="F198" i="23"/>
  <c r="H197" i="23"/>
  <c r="J197" i="23"/>
  <c r="I197" i="23"/>
  <c r="P197" i="22"/>
  <c r="F197" i="22"/>
  <c r="G196" i="22"/>
  <c r="I196" i="22"/>
  <c r="J196" i="22"/>
  <c r="H196" i="22"/>
  <c r="G198" i="23" l="1"/>
  <c r="F199" i="23"/>
  <c r="J198" i="23"/>
  <c r="I198" i="23"/>
  <c r="H198" i="23"/>
  <c r="P201" i="23"/>
  <c r="Q200" i="23"/>
  <c r="S200" i="23"/>
  <c r="T200" i="23"/>
  <c r="R200" i="23"/>
  <c r="P198" i="22"/>
  <c r="F198" i="22"/>
  <c r="G197" i="22"/>
  <c r="H197" i="22"/>
  <c r="I197" i="22"/>
  <c r="J197" i="22"/>
  <c r="Q201" i="23" l="1"/>
  <c r="P202" i="23"/>
  <c r="S201" i="23"/>
  <c r="T201" i="23"/>
  <c r="R201" i="23"/>
  <c r="F200" i="23"/>
  <c r="G199" i="23"/>
  <c r="H199" i="23"/>
  <c r="I199" i="23"/>
  <c r="J199" i="23"/>
  <c r="P199" i="22"/>
  <c r="F199" i="22"/>
  <c r="G198" i="22"/>
  <c r="J198" i="22"/>
  <c r="H198" i="22"/>
  <c r="I198" i="22"/>
  <c r="P203" i="23" l="1"/>
  <c r="Q202" i="23"/>
  <c r="T202" i="23"/>
  <c r="S202" i="23"/>
  <c r="R202" i="23"/>
  <c r="G200" i="23"/>
  <c r="F201" i="23"/>
  <c r="I200" i="23"/>
  <c r="H200" i="23"/>
  <c r="J200" i="23"/>
  <c r="P200" i="22"/>
  <c r="F200" i="22"/>
  <c r="G199" i="22"/>
  <c r="J199" i="22"/>
  <c r="I199" i="22"/>
  <c r="H199" i="22"/>
  <c r="G201" i="23" l="1"/>
  <c r="F202" i="23"/>
  <c r="I201" i="23"/>
  <c r="J201" i="23"/>
  <c r="H201" i="23"/>
  <c r="P204" i="23"/>
  <c r="Q203" i="23"/>
  <c r="T203" i="23"/>
  <c r="S203" i="23"/>
  <c r="R203" i="23"/>
  <c r="P201" i="22"/>
  <c r="G200" i="22"/>
  <c r="J200" i="22" s="1"/>
  <c r="F201" i="22"/>
  <c r="Q204" i="23" l="1"/>
  <c r="P205" i="23"/>
  <c r="T204" i="23"/>
  <c r="R204" i="23"/>
  <c r="S204" i="23"/>
  <c r="F203" i="23"/>
  <c r="G202" i="23"/>
  <c r="I202" i="23"/>
  <c r="J202" i="23"/>
  <c r="H202" i="23"/>
  <c r="I200" i="22"/>
  <c r="H200" i="22"/>
  <c r="P202" i="22"/>
  <c r="F202" i="22"/>
  <c r="G201" i="22"/>
  <c r="I201" i="22" s="1"/>
  <c r="H201" i="22"/>
  <c r="J201" i="22"/>
  <c r="G203" i="23" l="1"/>
  <c r="F204" i="23"/>
  <c r="I203" i="23"/>
  <c r="J203" i="23"/>
  <c r="H203" i="23"/>
  <c r="P206" i="23"/>
  <c r="Q205" i="23"/>
  <c r="R205" i="23"/>
  <c r="T205" i="23"/>
  <c r="S205" i="23"/>
  <c r="P203" i="22"/>
  <c r="F203" i="22"/>
  <c r="G202" i="22"/>
  <c r="H202" i="22" s="1"/>
  <c r="J202" i="22"/>
  <c r="F205" i="23" l="1"/>
  <c r="G204" i="23"/>
  <c r="I204" i="23"/>
  <c r="J204" i="23"/>
  <c r="H204" i="23"/>
  <c r="Q206" i="23"/>
  <c r="P207" i="23"/>
  <c r="R206" i="23"/>
  <c r="T206" i="23"/>
  <c r="S206" i="23"/>
  <c r="I202" i="22"/>
  <c r="P204" i="22"/>
  <c r="G203" i="22"/>
  <c r="I203" i="22" s="1"/>
  <c r="F204" i="22"/>
  <c r="J203" i="22"/>
  <c r="H203" i="22"/>
  <c r="P208" i="23" l="1"/>
  <c r="Q207" i="23"/>
  <c r="T207" i="23"/>
  <c r="S207" i="23"/>
  <c r="R207" i="23"/>
  <c r="G205" i="23"/>
  <c r="F206" i="23"/>
  <c r="J205" i="23"/>
  <c r="H205" i="23"/>
  <c r="I205" i="23"/>
  <c r="P205" i="22"/>
  <c r="F205" i="22"/>
  <c r="G204" i="22"/>
  <c r="H204" i="22"/>
  <c r="J204" i="22"/>
  <c r="I204" i="22"/>
  <c r="G206" i="23" l="1"/>
  <c r="F207" i="23"/>
  <c r="J206" i="23"/>
  <c r="I206" i="23"/>
  <c r="H206" i="23"/>
  <c r="P209" i="23"/>
  <c r="Q208" i="23"/>
  <c r="T208" i="23"/>
  <c r="S208" i="23"/>
  <c r="R208" i="23"/>
  <c r="P206" i="22"/>
  <c r="F206" i="22"/>
  <c r="G205" i="22"/>
  <c r="I205" i="22"/>
  <c r="J205" i="22"/>
  <c r="H205" i="22"/>
  <c r="F208" i="23" l="1"/>
  <c r="G207" i="23"/>
  <c r="H207" i="23"/>
  <c r="J207" i="23"/>
  <c r="I207" i="23"/>
  <c r="Q209" i="23"/>
  <c r="T209" i="23"/>
  <c r="S209" i="23"/>
  <c r="R209" i="23"/>
  <c r="P207" i="22"/>
  <c r="G206" i="22"/>
  <c r="F207" i="22"/>
  <c r="I206" i="22"/>
  <c r="J206" i="22"/>
  <c r="H206" i="22"/>
  <c r="G208" i="23" l="1"/>
  <c r="F209" i="23"/>
  <c r="I208" i="23"/>
  <c r="H208" i="23"/>
  <c r="J208" i="23"/>
  <c r="P208" i="22"/>
  <c r="F208" i="22"/>
  <c r="G207" i="22"/>
  <c r="I207" i="22"/>
  <c r="J207" i="22"/>
  <c r="H207" i="22"/>
  <c r="G209" i="23" l="1"/>
  <c r="I209" i="23"/>
  <c r="H209" i="23"/>
  <c r="J209" i="23"/>
  <c r="P209" i="22"/>
  <c r="F209" i="22"/>
  <c r="G208" i="22"/>
  <c r="H208" i="22" s="1"/>
  <c r="J208" i="22"/>
  <c r="I208" i="22" l="1"/>
  <c r="G209" i="22"/>
  <c r="J209" i="22" s="1"/>
  <c r="I209" i="22"/>
  <c r="H209"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Anton Viola</author>
  </authors>
  <commentList>
    <comment ref="M7" authorId="0" shapeId="0" xr:uid="{E87319A0-2160-E844-8FEB-0E206FC65F4C}">
      <text>
        <r>
          <rPr>
            <b/>
            <sz val="10"/>
            <color rgb="FF000000"/>
            <rFont val="Tahoma"/>
            <family val="2"/>
          </rPr>
          <t xml:space="preserve">NE: Naked Eye
</t>
        </r>
        <r>
          <rPr>
            <b/>
            <sz val="10"/>
            <color rgb="FF000000"/>
            <rFont val="Tahoma"/>
            <family val="2"/>
          </rPr>
          <t xml:space="preserve">B:    Binoculars
</t>
        </r>
        <r>
          <rPr>
            <b/>
            <sz val="10"/>
            <color rgb="FF000000"/>
            <rFont val="Tahoma"/>
            <family val="2"/>
          </rPr>
          <t>T:     Telescope</t>
        </r>
        <r>
          <rPr>
            <sz val="10"/>
            <color rgb="FF000000"/>
            <rFont val="Tahoma"/>
            <family val="2"/>
          </rPr>
          <t xml:space="preserve">
</t>
        </r>
      </text>
    </comment>
    <comment ref="AE7" authorId="0" shapeId="0" xr:uid="{5FC2A8A1-D1E6-F148-8351-28A375661026}">
      <text>
        <r>
          <rPr>
            <b/>
            <sz val="10"/>
            <color rgb="FF000000"/>
            <rFont val="Tahoma"/>
            <family val="2"/>
          </rPr>
          <t xml:space="preserve">NE: Naked Eye
</t>
        </r>
        <r>
          <rPr>
            <b/>
            <sz val="10"/>
            <color rgb="FF000000"/>
            <rFont val="Tahoma"/>
            <family val="2"/>
          </rPr>
          <t xml:space="preserve">B:    Binoculars
</t>
        </r>
        <r>
          <rPr>
            <b/>
            <sz val="10"/>
            <color rgb="FF000000"/>
            <rFont val="Tahoma"/>
            <family val="2"/>
          </rPr>
          <t>T:     Telescope</t>
        </r>
        <r>
          <rPr>
            <sz val="10"/>
            <color rgb="FF000000"/>
            <rFont val="Tahoma"/>
            <family val="2"/>
          </rPr>
          <t xml:space="preserve">
</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<sst xmlns="http://schemas.openxmlformats.org/spreadsheetml/2006/main" count="1142" uniqueCount="494">
  <si>
    <t>Email</t>
  </si>
  <si>
    <t>All Rights Reserved:  © Astronomy Morsels.</t>
  </si>
  <si>
    <t>I'm solely responsible for the input and express no warranty.  Use at your own risk.</t>
  </si>
  <si>
    <t>Nonetheless, this spreadsheet has been carefully reviewed, and calculation results have been compared with other applications.</t>
  </si>
  <si>
    <r>
      <rPr>
        <b/>
        <sz val="14"/>
        <color theme="0"/>
        <rFont val="Calibri (Body)"/>
      </rPr>
      <t>Compiled by</t>
    </r>
    <r>
      <rPr>
        <sz val="14"/>
        <color theme="0"/>
        <rFont val="Calibri (Body)"/>
      </rPr>
      <t>: Anton Viola (Astronomy Morsels).</t>
    </r>
  </si>
  <si>
    <t>min</t>
  </si>
  <si>
    <t>max</t>
  </si>
  <si>
    <t>Inputs</t>
  </si>
  <si>
    <t>Azimuth</t>
  </si>
  <si>
    <t>Altitude</t>
  </si>
  <si>
    <t>RA</t>
  </si>
  <si>
    <t>Decl</t>
  </si>
  <si>
    <t>HA</t>
  </si>
  <si>
    <t>Date</t>
  </si>
  <si>
    <t>Time</t>
  </si>
  <si>
    <t>Timezone</t>
  </si>
  <si>
    <t>Leap year?</t>
  </si>
  <si>
    <t>Day nr.</t>
  </si>
  <si>
    <t>Weekday</t>
  </si>
  <si>
    <t>JDE</t>
  </si>
  <si>
    <t>Delta days</t>
  </si>
  <si>
    <t>φ    (latitude)</t>
  </si>
  <si>
    <t>L     (longitude)</t>
  </si>
  <si>
    <t>UT  (hours)</t>
  </si>
  <si>
    <t>LST (degrees)</t>
  </si>
  <si>
    <t>Date, time, location</t>
  </si>
  <si>
    <t>Field of view limits (azimuth, altitude)</t>
  </si>
  <si>
    <t>Visible objects (based on criteria)</t>
  </si>
  <si>
    <t>Location</t>
  </si>
  <si>
    <t>Home</t>
  </si>
  <si>
    <t>Marker name</t>
  </si>
  <si>
    <t>Observed?</t>
  </si>
  <si>
    <t>values</t>
  </si>
  <si>
    <t>x</t>
  </si>
  <si>
    <t>Can for instance be used to indicate whether an object is of special interest</t>
  </si>
  <si>
    <t>-</t>
  </si>
  <si>
    <t>Name</t>
  </si>
  <si>
    <t>AB 7.13</t>
  </si>
  <si>
    <t>Aql</t>
  </si>
  <si>
    <t>Aur</t>
  </si>
  <si>
    <t>Cep</t>
  </si>
  <si>
    <t>Cyg</t>
  </si>
  <si>
    <t>Mon</t>
  </si>
  <si>
    <t>Oph</t>
  </si>
  <si>
    <t>Ori</t>
  </si>
  <si>
    <t>Per</t>
  </si>
  <si>
    <t>Sco</t>
  </si>
  <si>
    <t>Tau</t>
  </si>
  <si>
    <t>Const.</t>
  </si>
  <si>
    <t>Visible Systems (based on criteria)</t>
  </si>
  <si>
    <r>
      <rPr>
        <b/>
        <sz val="14"/>
        <color theme="0"/>
        <rFont val="Calibri (Body)"/>
      </rPr>
      <t>Latest update</t>
    </r>
    <r>
      <rPr>
        <sz val="14"/>
        <color theme="0"/>
        <rFont val="Calibri (Body)"/>
      </rPr>
      <t>: 20th May, 2024</t>
    </r>
  </si>
  <si>
    <t>Source (Astronomical League)</t>
  </si>
  <si>
    <t>Size/Dia</t>
  </si>
  <si>
    <t>Notes</t>
  </si>
  <si>
    <t>SkyAtlas 2000-2nd</t>
  </si>
  <si>
    <t>Millennium</t>
  </si>
  <si>
    <t>B 137</t>
  </si>
  <si>
    <t>8 x 8</t>
  </si>
  <si>
    <t>16 N</t>
  </si>
  <si>
    <r>
      <rPr>
        <sz val="12"/>
        <rFont val="Calibri"/>
        <family val="2"/>
      </rPr>
      <t>251 N  (2)</t>
    </r>
  </si>
  <si>
    <t>III: 1293</t>
  </si>
  <si>
    <t>LDN  582</t>
  </si>
  <si>
    <t>60 x 10</t>
  </si>
  <si>
    <t>16, 15</t>
  </si>
  <si>
    <t>250, 251</t>
  </si>
  <si>
    <t>III: 1294</t>
  </si>
  <si>
    <t>LDN  617</t>
  </si>
  <si>
    <t>50 x 10</t>
  </si>
  <si>
    <t>251, 250</t>
  </si>
  <si>
    <t>B 335</t>
  </si>
  <si>
    <t>5 x 3</t>
  </si>
  <si>
    <t>LDN 663 in S.A. 2000</t>
  </si>
  <si>
    <t>III: 1268</t>
  </si>
  <si>
    <t>B 139</t>
  </si>
  <si>
    <t>11 x 2</t>
  </si>
  <si>
    <t>B 138</t>
  </si>
  <si>
    <t>140 x 140</t>
  </si>
  <si>
    <t>251 N</t>
  </si>
  <si>
    <t>B 337</t>
  </si>
  <si>
    <t>3 x 3</t>
  </si>
  <si>
    <t>III: 1244</t>
  </si>
  <si>
    <t>B 136</t>
  </si>
  <si>
    <t>11 x 11</t>
  </si>
  <si>
    <t>III: 1317</t>
  </si>
  <si>
    <t>B 135</t>
  </si>
  <si>
    <t>17 x 4</t>
  </si>
  <si>
    <t>B 132</t>
  </si>
  <si>
    <t>11 x 4</t>
  </si>
  <si>
    <t>B 130</t>
  </si>
  <si>
    <t>296, 251</t>
  </si>
  <si>
    <t>B 129</t>
  </si>
  <si>
    <t>7 x 4</t>
  </si>
  <si>
    <t>251, 296</t>
  </si>
  <si>
    <t>B 127</t>
  </si>
  <si>
    <t>7 x 6</t>
  </si>
  <si>
    <t>B 334</t>
  </si>
  <si>
    <t>4 x 2</t>
  </si>
  <si>
    <t>B  26</t>
  </si>
  <si>
    <t>5 N</t>
  </si>
  <si>
    <t>96 N</t>
  </si>
  <si>
    <t>I:  137  N</t>
  </si>
  <si>
    <t>B 226</t>
  </si>
  <si>
    <t>20 x 20</t>
  </si>
  <si>
    <t>97 N</t>
  </si>
  <si>
    <t>I:  113</t>
  </si>
  <si>
    <t>B  29</t>
  </si>
  <si>
    <t>9 x 4</t>
  </si>
  <si>
    <t>I:  136</t>
  </si>
  <si>
    <t>B  28</t>
  </si>
  <si>
    <t>B  27</t>
  </si>
  <si>
    <t>B 152</t>
  </si>
  <si>
    <t>33, 56</t>
  </si>
  <si>
    <t>III: 1073</t>
  </si>
  <si>
    <t>B 150</t>
  </si>
  <si>
    <t>60 x 60</t>
  </si>
  <si>
    <t>56, 32</t>
  </si>
  <si>
    <t>III: 1074</t>
  </si>
  <si>
    <t>B 174</t>
  </si>
  <si>
    <t>10 x 6</t>
  </si>
  <si>
    <t>III: 1072</t>
  </si>
  <si>
    <t>B 173</t>
  </si>
  <si>
    <t>B 170</t>
  </si>
  <si>
    <t>10 x 5</t>
  </si>
  <si>
    <t>B 169</t>
  </si>
  <si>
    <t>B 163</t>
  </si>
  <si>
    <t>5 x 2</t>
  </si>
  <si>
    <t>3, 9</t>
  </si>
  <si>
    <t>III: 1087</t>
  </si>
  <si>
    <t>B 162</t>
  </si>
  <si>
    <t>14 x 9</t>
  </si>
  <si>
    <t>Be 157</t>
  </si>
  <si>
    <t>CrA</t>
  </si>
  <si>
    <t>60 x 30</t>
  </si>
  <si>
    <t>379, 378</t>
  </si>
  <si>
    <t>III: 1434</t>
  </si>
  <si>
    <t>LDN  889</t>
  </si>
  <si>
    <t>180 x 20</t>
  </si>
  <si>
    <t>9, 8</t>
  </si>
  <si>
    <t>48, 32</t>
  </si>
  <si>
    <t>III: 1128</t>
  </si>
  <si>
    <t>B 362</t>
  </si>
  <si>
    <t>11 x 5</t>
  </si>
  <si>
    <t>9, 3</t>
  </si>
  <si>
    <t>56, 86</t>
  </si>
  <si>
    <t>III: 1105</t>
  </si>
  <si>
    <t>B 343</t>
  </si>
  <si>
    <t>10 x 7</t>
  </si>
  <si>
    <t>B 164</t>
  </si>
  <si>
    <t>17 x 17</t>
  </si>
  <si>
    <t>31, 19</t>
  </si>
  <si>
    <t>B 228</t>
  </si>
  <si>
    <t>Lup</t>
  </si>
  <si>
    <t>310 x 80</t>
  </si>
  <si>
    <t>21, 22</t>
  </si>
  <si>
    <t>374, 373</t>
  </si>
  <si>
    <t>II:  905</t>
  </si>
  <si>
    <t>SL  7</t>
  </si>
  <si>
    <t>160x 10</t>
  </si>
  <si>
    <t>22, 21</t>
  </si>
  <si>
    <t>III: 1462</t>
  </si>
  <si>
    <t>SL 11</t>
  </si>
  <si>
    <t>40 x 5</t>
  </si>
  <si>
    <t>B  59</t>
  </si>
  <si>
    <t>50 x 50</t>
  </si>
  <si>
    <t>22 N</t>
  </si>
  <si>
    <t>337, 376</t>
  </si>
  <si>
    <t>III: 1417  N</t>
  </si>
  <si>
    <t>B  66</t>
  </si>
  <si>
    <t>12 x 2</t>
  </si>
  <si>
    <t>337, 338, 376</t>
  </si>
  <si>
    <t>III: 1395  N</t>
  </si>
  <si>
    <t>B  45</t>
  </si>
  <si>
    <t>120 x 60</t>
  </si>
  <si>
    <t>336, 337</t>
  </si>
  <si>
    <t>III: 1396</t>
  </si>
  <si>
    <t>B 268</t>
  </si>
  <si>
    <t>III: 1370</t>
  </si>
  <si>
    <t>B  83a</t>
  </si>
  <si>
    <t>22, 15</t>
  </si>
  <si>
    <t>III: 1369</t>
  </si>
  <si>
    <t>B  62</t>
  </si>
  <si>
    <t>18 x 10</t>
  </si>
  <si>
    <t>337, 338</t>
  </si>
  <si>
    <t>III: 1371</t>
  </si>
  <si>
    <t>B  67a</t>
  </si>
  <si>
    <t>11 x 7</t>
  </si>
  <si>
    <t>338, 337</t>
  </si>
  <si>
    <t>III: 1394</t>
  </si>
  <si>
    <t>B  60</t>
  </si>
  <si>
    <t>9 x 6</t>
  </si>
  <si>
    <t>III: 1395</t>
  </si>
  <si>
    <t>B 262</t>
  </si>
  <si>
    <t>30 x 30</t>
  </si>
  <si>
    <t>B 261</t>
  </si>
  <si>
    <t>B 259</t>
  </si>
  <si>
    <t>B 256</t>
  </si>
  <si>
    <t>40 x 40</t>
  </si>
  <si>
    <t>376, 337, 338</t>
  </si>
  <si>
    <t>III: 1417</t>
  </si>
  <si>
    <t>B  72</t>
  </si>
  <si>
    <t>27 x 15</t>
  </si>
  <si>
    <t>Snake Nebula</t>
  </si>
  <si>
    <t>B  69</t>
  </si>
  <si>
    <t>3 x 1</t>
  </si>
  <si>
    <t>B  68</t>
  </si>
  <si>
    <t>B  67</t>
  </si>
  <si>
    <t>12 x 4</t>
  </si>
  <si>
    <t>B  77</t>
  </si>
  <si>
    <t>85 x 85</t>
  </si>
  <si>
    <t>B  65</t>
  </si>
  <si>
    <t>10 x 4</t>
  </si>
  <si>
    <t>B  33</t>
  </si>
  <si>
    <t>4 x 6</t>
  </si>
  <si>
    <t>The Horsehead</t>
  </si>
  <si>
    <t>11, B2</t>
  </si>
  <si>
    <t>226, 225</t>
  </si>
  <si>
    <t>I:  253</t>
  </si>
  <si>
    <t>B  35</t>
  </si>
  <si>
    <t>12 x 12</t>
  </si>
  <si>
    <t>I:  205</t>
  </si>
  <si>
    <t>B  32</t>
  </si>
  <si>
    <t>6 x 3</t>
  </si>
  <si>
    <t>180 N</t>
  </si>
  <si>
    <t>I:  206</t>
  </si>
  <si>
    <t>B  31</t>
  </si>
  <si>
    <t>B  30</t>
  </si>
  <si>
    <t>70 x 60</t>
  </si>
  <si>
    <t>B  36</t>
  </si>
  <si>
    <t>120 x 120</t>
  </si>
  <si>
    <t>11 N</t>
  </si>
  <si>
    <t>181 N</t>
  </si>
  <si>
    <t>I:  229  N</t>
  </si>
  <si>
    <t>B   4</t>
  </si>
  <si>
    <t>45 x 45</t>
  </si>
  <si>
    <t>4 N</t>
  </si>
  <si>
    <t>95 N</t>
  </si>
  <si>
    <t>I:  140</t>
  </si>
  <si>
    <t>B   5</t>
  </si>
  <si>
    <t>B   3</t>
  </si>
  <si>
    <t>B 287</t>
  </si>
  <si>
    <t>28 x 22</t>
  </si>
  <si>
    <t>III: 1437</t>
  </si>
  <si>
    <t>B  48</t>
  </si>
  <si>
    <t>28 x 6</t>
  </si>
  <si>
    <t>164, 181, A22</t>
  </si>
  <si>
    <t>III: 1460</t>
  </si>
  <si>
    <t>B  50</t>
  </si>
  <si>
    <t>13 x 11</t>
  </si>
  <si>
    <t>376, 375</t>
  </si>
  <si>
    <t>III: 1440</t>
  </si>
  <si>
    <t>B  55</t>
  </si>
  <si>
    <t>16 x 6</t>
  </si>
  <si>
    <t>B  56</t>
  </si>
  <si>
    <t>B 231</t>
  </si>
  <si>
    <t>35 x 12</t>
  </si>
  <si>
    <t>165, 164</t>
  </si>
  <si>
    <t>III: 1441</t>
  </si>
  <si>
    <t>B 233</t>
  </si>
  <si>
    <t>22 x 15</t>
  </si>
  <si>
    <t>B 240</t>
  </si>
  <si>
    <t>6 x 5</t>
  </si>
  <si>
    <t>375 N</t>
  </si>
  <si>
    <t>B 242</t>
  </si>
  <si>
    <t>20 x 14</t>
  </si>
  <si>
    <t>376 N</t>
  </si>
  <si>
    <t>III: 1418</t>
  </si>
  <si>
    <t>B 283</t>
  </si>
  <si>
    <t>40 x 8</t>
  </si>
  <si>
    <t>164, A20</t>
  </si>
  <si>
    <t>B 117</t>
  </si>
  <si>
    <t>Sct</t>
  </si>
  <si>
    <t>2 x 1</t>
  </si>
  <si>
    <t>295, 296</t>
  </si>
  <si>
    <t>125, A14</t>
  </si>
  <si>
    <t>III: 1318</t>
  </si>
  <si>
    <t>B 118</t>
  </si>
  <si>
    <t>B  97</t>
  </si>
  <si>
    <t>55 x 55</t>
  </si>
  <si>
    <t>15, 16</t>
  </si>
  <si>
    <t>295, 294</t>
  </si>
  <si>
    <t>III: 1343</t>
  </si>
  <si>
    <t>B  95</t>
  </si>
  <si>
    <t>B 115</t>
  </si>
  <si>
    <t>6 x 2</t>
  </si>
  <si>
    <t>B 312</t>
  </si>
  <si>
    <t>75 x 75</t>
  </si>
  <si>
    <t>295, 340</t>
  </si>
  <si>
    <t>126, 125</t>
  </si>
  <si>
    <t>III: 1367</t>
  </si>
  <si>
    <t>B 104</t>
  </si>
  <si>
    <t>105, A14</t>
  </si>
  <si>
    <t>B 116</t>
  </si>
  <si>
    <t>15 x 15</t>
  </si>
  <si>
    <t>B 114</t>
  </si>
  <si>
    <t>B 110</t>
  </si>
  <si>
    <t>15 x 7</t>
  </si>
  <si>
    <t>B 112</t>
  </si>
  <si>
    <t>14 x 14</t>
  </si>
  <si>
    <t>B 108</t>
  </si>
  <si>
    <t>B 101</t>
  </si>
  <si>
    <t>B 100</t>
  </si>
  <si>
    <t>16 x 10</t>
  </si>
  <si>
    <t>B 320</t>
  </si>
  <si>
    <t>25 x 25</t>
  </si>
  <si>
    <t>295, 250, 251, 296</t>
  </si>
  <si>
    <t>B 314</t>
  </si>
  <si>
    <t>28 x 28</t>
  </si>
  <si>
    <t>125, 126</t>
  </si>
  <si>
    <t>LDN  557</t>
  </si>
  <si>
    <t>Ser</t>
  </si>
  <si>
    <t>60 x10</t>
  </si>
  <si>
    <t>105 , 106</t>
  </si>
  <si>
    <t>III: 1295</t>
  </si>
  <si>
    <t>B 295</t>
  </si>
  <si>
    <t>Sgr</t>
  </si>
  <si>
    <t>35 x 35</t>
  </si>
  <si>
    <t>377 N</t>
  </si>
  <si>
    <t>III: 1415</t>
  </si>
  <si>
    <t>B  87</t>
  </si>
  <si>
    <t>28 x 12</t>
  </si>
  <si>
    <t>Parrot's Head Nebula</t>
  </si>
  <si>
    <t>B  84a</t>
  </si>
  <si>
    <t>15, 22</t>
  </si>
  <si>
    <t>339, 294</t>
  </si>
  <si>
    <t>B 289</t>
  </si>
  <si>
    <t>16 x 16</t>
  </si>
  <si>
    <t>B  84</t>
  </si>
  <si>
    <t>25 x 13</t>
  </si>
  <si>
    <t>B 303</t>
  </si>
  <si>
    <t>2 x 2</t>
  </si>
  <si>
    <t>145, A17</t>
  </si>
  <si>
    <t>III: 1392</t>
  </si>
  <si>
    <t>B 142</t>
  </si>
  <si>
    <t>B142/3 Barnard's famous "E" cloud</t>
  </si>
  <si>
    <t>B</t>
  </si>
  <si>
    <t>III: 1243</t>
  </si>
  <si>
    <t>B 143</t>
  </si>
  <si>
    <t>B  34</t>
  </si>
  <si>
    <t>West of M37</t>
  </si>
  <si>
    <t>98, 97</t>
  </si>
  <si>
    <t>I: 135</t>
  </si>
  <si>
    <t>B 160</t>
  </si>
  <si>
    <t>On South Side of IC 1396, LDN1088</t>
  </si>
  <si>
    <t>B 161</t>
  </si>
  <si>
    <t>On North side of IC 1396</t>
  </si>
  <si>
    <t>T</t>
  </si>
  <si>
    <t>B 171</t>
  </si>
  <si>
    <t>With B160 and B170</t>
  </si>
  <si>
    <t>B 365</t>
  </si>
  <si>
    <t>On South Side of IC 1396, LDN 1090</t>
  </si>
  <si>
    <t>B 144</t>
  </si>
  <si>
    <t>Fish on the Platter</t>
  </si>
  <si>
    <t>NE,B</t>
  </si>
  <si>
    <t>8 N</t>
  </si>
  <si>
    <t>119 N</t>
  </si>
  <si>
    <t>III: 1149</t>
  </si>
  <si>
    <t>B 145</t>
  </si>
  <si>
    <t>B, T</t>
  </si>
  <si>
    <t>B 168</t>
  </si>
  <si>
    <t>III: 1104</t>
  </si>
  <si>
    <t>B 352</t>
  </si>
  <si>
    <t>North of the North American Nebula</t>
  </si>
  <si>
    <t>32, A1</t>
  </si>
  <si>
    <t>III: 1106</t>
  </si>
  <si>
    <t>B 353</t>
  </si>
  <si>
    <t>In North American Nebula</t>
  </si>
  <si>
    <t>9 N</t>
  </si>
  <si>
    <t>B 361</t>
  </si>
  <si>
    <t>Near IC 1369</t>
  </si>
  <si>
    <t>86, 85</t>
  </si>
  <si>
    <t>LDN  935</t>
  </si>
  <si>
    <t>III: 1126</t>
  </si>
  <si>
    <t>LG3</t>
  </si>
  <si>
    <t>NE</t>
  </si>
  <si>
    <t>56 N</t>
  </si>
  <si>
    <t>19 N</t>
  </si>
  <si>
    <t>III: 1088 N</t>
  </si>
  <si>
    <t>Northern Coalsack</t>
  </si>
  <si>
    <t>85 N</t>
  </si>
  <si>
    <t>III: 1127</t>
  </si>
  <si>
    <t>B  37</t>
  </si>
  <si>
    <t>Northwest of NGC 2264 complex</t>
  </si>
  <si>
    <t>182 N</t>
  </si>
  <si>
    <t>I: 203 N</t>
  </si>
  <si>
    <t>B  44</t>
  </si>
  <si>
    <t>A Large Rift</t>
  </si>
  <si>
    <t>147, 146</t>
  </si>
  <si>
    <t>III: 1397</t>
  </si>
  <si>
    <t>B  64</t>
  </si>
  <si>
    <t>West of M9, causes darkening of M9</t>
  </si>
  <si>
    <t>S,B</t>
  </si>
  <si>
    <t>B  78</t>
  </si>
  <si>
    <t>Bowl of the Pipe Nebula</t>
  </si>
  <si>
    <t>338, 376</t>
  </si>
  <si>
    <t>Stem</t>
  </si>
  <si>
    <t>146 N</t>
  </si>
  <si>
    <t>Fish's Mouth</t>
  </si>
  <si>
    <t>Edge of M42 by M43</t>
  </si>
  <si>
    <t>116 N</t>
  </si>
  <si>
    <t>I: 278 N</t>
  </si>
  <si>
    <t>Flame</t>
  </si>
  <si>
    <t>In NGC 2024</t>
  </si>
  <si>
    <t>I: 253 N</t>
  </si>
  <si>
    <t>B 275</t>
  </si>
  <si>
    <t>West edge of M6</t>
  </si>
  <si>
    <t>III: 1416</t>
  </si>
  <si>
    <t>B 103</t>
  </si>
  <si>
    <t>On NW side of Scutum Star Cloud</t>
  </si>
  <si>
    <t>295, 250</t>
  </si>
  <si>
    <t>III: 1319</t>
  </si>
  <si>
    <t>B 111</t>
  </si>
  <si>
    <r>
      <rPr>
        <sz val="12"/>
        <rFont val="Calibri"/>
        <family val="2"/>
      </rPr>
      <t>Large dark nebula with other
Barnard's nested in it</t>
    </r>
  </si>
  <si>
    <t>NE, B</t>
  </si>
  <si>
    <r>
      <rPr>
        <sz val="12"/>
        <rFont val="Calibri"/>
        <family val="2"/>
      </rPr>
      <t>250, 251,
295</t>
    </r>
  </si>
  <si>
    <t>B 119a</t>
  </si>
  <si>
    <t>East of B111</t>
  </si>
  <si>
    <r>
      <rPr>
        <sz val="12"/>
        <rFont val="Calibri"/>
        <family val="2"/>
      </rPr>
      <t>250, 251,
295, 296</t>
    </r>
  </si>
  <si>
    <t>B  85</t>
  </si>
  <si>
    <r>
      <rPr>
        <sz val="12"/>
        <rFont val="Calibri"/>
        <family val="2"/>
      </rPr>
      <t>145, 146,
A17</t>
    </r>
  </si>
  <si>
    <t>B  86</t>
  </si>
  <si>
    <t>Ink Spot Nebula, near NGC 6520</t>
  </si>
  <si>
    <t>339, 377</t>
  </si>
  <si>
    <t>145, 146</t>
  </si>
  <si>
    <t>B  92</t>
  </si>
  <si>
    <t>15, 16, 22</t>
  </si>
  <si>
    <t>III: 1368</t>
  </si>
  <si>
    <t>B  93</t>
  </si>
  <si>
    <t>NE of B92</t>
  </si>
  <si>
    <t>Lagoon</t>
  </si>
  <si>
    <t>The large dark lagoon in M8, NOT B88 or B89 or B296</t>
  </si>
  <si>
    <t>339 N</t>
  </si>
  <si>
    <t>145 N</t>
  </si>
  <si>
    <t>III: 1392 N</t>
  </si>
  <si>
    <t>Swan's neck</t>
  </si>
  <si>
    <r>
      <rPr>
        <sz val="12"/>
        <rFont val="Calibri"/>
        <family val="2"/>
      </rPr>
      <t>Embedded in M17 - forms the inside
curve of the neck of the Swan</t>
    </r>
  </si>
  <si>
    <t>294 N</t>
  </si>
  <si>
    <t>126 N</t>
  </si>
  <si>
    <t>III: 1367 N</t>
  </si>
  <si>
    <t>B  22</t>
  </si>
  <si>
    <t>Taurus Dark Cloud</t>
  </si>
  <si>
    <t>134 N</t>
  </si>
  <si>
    <t>I: 162</t>
  </si>
  <si>
    <t>Leads to and surrounds the Cocoon (IC 5146)</t>
  </si>
  <si>
    <t>Wide lane separating the North American and Pelican nebula</t>
  </si>
  <si>
    <t>Funnel Cloud Nebula; North of Deneb</t>
  </si>
  <si>
    <t>Northern Coalsack, between Alpha, Eta and Epsilon. B 346, 348 are within it</t>
  </si>
  <si>
    <t>Dark Lanes inside the Trifid Nebula (M20)</t>
  </si>
  <si>
    <t>On NW edge of Small Sagittarius Star Cloud</t>
  </si>
  <si>
    <t>Uranometria 1st ed (2)</t>
  </si>
  <si>
    <t>1st ed (2)</t>
  </si>
  <si>
    <t xml:space="preserve">Uranometria </t>
  </si>
  <si>
    <t>2nd ed</t>
  </si>
  <si>
    <t>NE-B-T</t>
  </si>
  <si>
    <t>146, 145,126</t>
  </si>
  <si>
    <t>146, 145, 163, 164</t>
  </si>
  <si>
    <t>105, A14, 125</t>
  </si>
  <si>
    <t>A dark nebula or absorption nebula is a type of interstellar cloud, particularly molecular clouds, that is so dense that it obscures the visible wavelengths of light from objects behind it, such as background stars and emission or reflection nebulae. The extinction of the light is caused by interstellar dust grains in the coldest, densest parts of molecular clouds. one sheds material that is devoured by the other; systems with as many as seven stars in a complex gravitational This spreadsheet enables one to specify date/time/timezone and limits regarding the field of view (azimuth, altitude). The Dark Nebula that are visible will be highlighted.</t>
  </si>
  <si>
    <t>Locations</t>
  </si>
  <si>
    <t>φ (latitude)</t>
  </si>
  <si>
    <t>L (longitude)</t>
  </si>
  <si>
    <t>Stem of the Pipe Nebula, B59, B66, B67, B65 are embedded in it</t>
  </si>
  <si>
    <t>DtoR</t>
  </si>
  <si>
    <t>Angle</t>
  </si>
  <si>
    <t># points</t>
  </si>
  <si>
    <t>dgr</t>
  </si>
  <si>
    <t>D</t>
  </si>
  <si>
    <t>stepsize</t>
  </si>
  <si>
    <t>cos</t>
  </si>
  <si>
    <t>M</t>
  </si>
  <si>
    <t>minor semi axis</t>
  </si>
  <si>
    <t>M'</t>
  </si>
  <si>
    <t>major semi axis</t>
  </si>
  <si>
    <t>i</t>
  </si>
  <si>
    <t>k</t>
  </si>
  <si>
    <t>ellipse</t>
  </si>
  <si>
    <t>black bottom</t>
  </si>
  <si>
    <t>transparent</t>
  </si>
  <si>
    <t>black top</t>
  </si>
  <si>
    <r>
      <t>JDE</t>
    </r>
    <r>
      <rPr>
        <vertAlign val="subscript"/>
        <sz val="12"/>
        <rFont val="Calibri"/>
        <family val="2"/>
      </rPr>
      <t>new moon</t>
    </r>
  </si>
  <si>
    <t>reference date (08.05.2024)</t>
  </si>
  <si>
    <t>delta</t>
  </si>
  <si>
    <t>angle</t>
  </si>
  <si>
    <t>New moon</t>
  </si>
  <si>
    <t>Waxing crescent</t>
  </si>
  <si>
    <t>First quarter</t>
  </si>
  <si>
    <t>Waxing gibbous</t>
  </si>
  <si>
    <t>Full moon</t>
  </si>
  <si>
    <t>Waning gibbous</t>
  </si>
  <si>
    <t>Last quarter</t>
  </si>
  <si>
    <t>Waning crescent</t>
  </si>
  <si>
    <t>V1.2</t>
  </si>
  <si>
    <t>include?</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</si>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</sst>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
    <numFmt numFmtId="165" formatCode="0.0"/>
    <numFmt numFmtId="166" formatCode="#,##0.000"/>
    <numFmt numFmtId="167" formatCode="0.0000"/>
  </numFmts>
  <fonts count="44">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u/>
      <sz val="11"/>
      <color theme="10"/>
      <name val="Calibri"/>
      <family val="2"/>
      <scheme val="minor"/>
    </font>
    <font>
      <u/>
      <sz val="11"/>
      <color theme="11"/>
      <name val="Calibri"/>
      <family val="2"/>
      <scheme val="minor"/>
    </font>
    <font>
      <u/>
      <sz val="12"/>
      <color theme="10"/>
      <name val="Calibri"/>
      <family val="2"/>
      <scheme val="minor"/>
    </font>
    <font>
      <i/>
      <sz val="14"/>
      <color theme="0"/>
      <name val="Calibri"/>
      <family val="2"/>
    </font>
    <font>
      <sz val="14"/>
      <color theme="0"/>
      <name val="Calibri (Body)"/>
    </font>
    <font>
      <b/>
      <sz val="14"/>
      <color theme="0"/>
      <name val="Calibri (Body)"/>
    </font>
    <font>
      <u/>
      <sz val="14"/>
      <color theme="0"/>
      <name val="Calibri"/>
      <family val="2"/>
      <scheme val="minor"/>
    </font>
    <font>
      <u/>
      <sz val="14"/>
      <color theme="0"/>
      <name val="Calibri (Body)"/>
    </font>
    <font>
      <u/>
      <sz val="12"/>
      <color theme="0"/>
      <name val="Calibri"/>
      <family val="2"/>
    </font>
    <font>
      <sz val="9"/>
      <color theme="0"/>
      <name val="Calibri"/>
      <family val="2"/>
    </font>
    <font>
      <sz val="12"/>
      <color theme="1"/>
      <name val="Calibri"/>
      <family val="2"/>
    </font>
    <font>
      <b/>
      <sz val="12"/>
      <color theme="1"/>
      <name val="Calibri"/>
      <family val="2"/>
    </font>
    <font>
      <sz val="12"/>
      <color rgb="FF000000"/>
      <name val="Calibri"/>
      <family val="2"/>
      <scheme val="minor"/>
    </font>
    <font>
      <sz val="12"/>
      <color rgb="FF000000"/>
      <name val="Calibri"/>
      <family val="2"/>
    </font>
    <font>
      <sz val="11"/>
      <name val="ＭＳ Ｐゴシック"/>
      <family val="2"/>
      <charset val="128"/>
    </font>
    <font>
      <sz val="12"/>
      <name val="Calibri"/>
      <family val="2"/>
    </font>
    <font>
      <b/>
      <sz val="12"/>
      <name val="Calibri"/>
      <family val="2"/>
    </font>
    <font>
      <sz val="12"/>
      <color rgb="FF202122"/>
      <name val="Calibri"/>
      <family val="2"/>
    </font>
    <font>
      <sz val="12"/>
      <color theme="0"/>
      <name val="Calibri (Body)"/>
    </font>
    <font>
      <sz val="12"/>
      <color theme="1"/>
      <name val="Calibri (Body)"/>
    </font>
    <font>
      <b/>
      <sz val="14"/>
      <color theme="1"/>
      <name val="Calibri"/>
      <family val="2"/>
      <scheme val="minor"/>
    </font>
    <font>
      <sz val="10"/>
      <color theme="1"/>
      <name val="Calibri"/>
      <family val="2"/>
      <scheme val="minor"/>
    </font>
    <font>
      <b/>
      <sz val="12"/>
      <color theme="1"/>
      <name val="Calibri"/>
      <family val="2"/>
      <scheme val="minor"/>
    </font>
    <font>
      <sz val="11"/>
      <color indexed="8"/>
      <name val="Helvetica Neue"/>
      <family val="2"/>
    </font>
    <font>
      <sz val="12"/>
      <color theme="0"/>
      <name val="Calibri"/>
      <family val="2"/>
      <scheme val="minor"/>
    </font>
    <font>
      <sz val="12"/>
      <name val="Calibri"/>
      <family val="2"/>
      <scheme val="minor"/>
    </font>
    <font>
      <u/>
      <sz val="11"/>
      <color theme="0"/>
      <name val="Calibri"/>
      <family val="2"/>
      <scheme val="minor"/>
    </font>
    <font>
      <u/>
      <sz val="11"/>
      <color theme="1"/>
      <name val="Calibri"/>
      <family val="2"/>
      <scheme val="minor"/>
    </font>
    <font>
      <sz val="10"/>
      <color rgb="FF000000"/>
      <name val="Tahoma"/>
      <family val="2"/>
    </font>
    <font>
      <b/>
      <sz val="10"/>
      <color rgb="FF000000"/>
      <name val="Tahoma"/>
      <family val="2"/>
    </font>
    <font>
      <sz val="10"/>
      <name val="Arial"/>
      <family val="2"/>
    </font>
    <font>
      <sz val="9"/>
      <color theme="1"/>
      <name val="Calibri"/>
      <family val="2"/>
      <scheme val="minor"/>
    </font>
    <font>
      <sz val="11"/>
      <color theme="1"/>
      <name val="Calibri"/>
      <family val="2"/>
      <charset val="238"/>
      <scheme val="minor"/>
    </font>
    <font>
      <vertAlign val="subscript"/>
      <sz val="12"/>
      <name val="Calibri"/>
      <family val="2"/>
    </font>
    <font>
      <sz val="12"/>
      <color rgb="FFFF0000"/>
      <name val="Calibri"/>
      <family val="2"/>
    </font>
    <font>
      <b/>
      <sz val="12"/>
      <color rgb="FF000000"/>
      <name val="Calibri"/>
      <family val="2"/>
      <scheme val="minor"/>
    </font>
  </fonts>
  <fills count="10">
    <fill>
      <patternFill patternType="none"/>
    </fill>
    <fill>
      <patternFill patternType="gray125"/>
    </fill>
    <fill>
      <patternFill patternType="solid">
        <fgColor theme="1"/>
        <bgColor indexed="64"/>
      </patternFill>
    </fill>
    <fill>
      <patternFill patternType="solid">
        <fgColor rgb="FFFFC000"/>
        <bgColor indexed="64"/>
      </patternFill>
    </fill>
    <fill>
      <patternFill patternType="solid">
        <fgColor rgb="FF002060"/>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DE9D9"/>
        <bgColor rgb="FF000000"/>
      </patternFill>
    </fill>
  </fills>
  <borders count="3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auto="1"/>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bottom style="thin">
        <color rgb="FF000000"/>
      </bottom>
      <diagonal/>
    </border>
    <border>
      <left style="thin">
        <color rgb="FF000000"/>
      </left>
      <right/>
      <top style="thin">
        <color indexed="64"/>
      </top>
      <bottom/>
      <diagonal/>
    </border>
    <border>
      <left style="thin">
        <color rgb="FF000000"/>
      </left>
      <right/>
      <top/>
      <bottom style="thin">
        <color rgb="FF000000"/>
      </bottom>
      <diagonal/>
    </border>
    <border>
      <left style="thin">
        <color rgb="FF000000"/>
      </left>
      <right style="thin">
        <color rgb="FF000000"/>
      </right>
      <top/>
      <bottom style="thin">
        <color indexed="64"/>
      </bottom>
      <diagonal/>
    </border>
    <border>
      <left/>
      <right style="thin">
        <color rgb="FF000000"/>
      </right>
      <top style="thin">
        <color rgb="FF000000"/>
      </top>
      <bottom style="thin">
        <color indexed="64"/>
      </bottom>
      <diagonal/>
    </border>
    <border>
      <left style="thin">
        <color rgb="FF000000"/>
      </left>
      <right style="thin">
        <color indexed="64"/>
      </right>
      <top/>
      <bottom style="thin">
        <color indexed="64"/>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indexed="64"/>
      </right>
      <top/>
      <bottom/>
      <diagonal/>
    </border>
  </borders>
  <cellStyleXfs count="5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7" fillId="0" borderId="0"/>
    <xf numFmtId="0" fontId="10" fillId="0" borderId="0" applyNumberFormat="0" applyFill="0" applyBorder="0" applyAlignment="0" applyProtection="0"/>
    <xf numFmtId="0" fontId="6" fillId="0" borderId="0"/>
    <xf numFmtId="0" fontId="22" fillId="0" borderId="0"/>
    <xf numFmtId="0" fontId="5" fillId="0" borderId="0"/>
    <xf numFmtId="0" fontId="4" fillId="0" borderId="0"/>
    <xf numFmtId="0" fontId="31" fillId="0" borderId="0" applyNumberFormat="0" applyFill="0" applyBorder="0" applyProtection="0">
      <alignment vertical="top"/>
    </xf>
    <xf numFmtId="0" fontId="8" fillId="0" borderId="0" applyNumberFormat="0" applyFill="0" applyBorder="0" applyAlignment="0" applyProtection="0"/>
    <xf numFmtId="0" fontId="38" fillId="0" borderId="0"/>
    <xf numFmtId="0" fontId="39" fillId="0" borderId="0"/>
    <xf numFmtId="0" fontId="1" fillId="0" borderId="0"/>
    <xf numFmtId="0" fontId="40" fillId="0" borderId="0"/>
  </cellStyleXfs>
  <cellXfs count="249">
    <xf numFmtId="0" fontId="0" fillId="0" borderId="0" xfId="0"/>
    <xf numFmtId="0" fontId="12" fillId="2" borderId="1" xfId="41" applyFont="1" applyFill="1" applyBorder="1" applyAlignment="1">
      <alignment horizontal="left"/>
    </xf>
    <xf numFmtId="0" fontId="12" fillId="2" borderId="2" xfId="41" applyFont="1" applyFill="1" applyBorder="1" applyAlignment="1">
      <alignment horizontal="center"/>
    </xf>
    <xf numFmtId="0" fontId="12" fillId="2" borderId="2" xfId="41" applyFont="1" applyFill="1" applyBorder="1"/>
    <xf numFmtId="0" fontId="14" fillId="2" borderId="3" xfId="42" applyFont="1" applyFill="1" applyBorder="1" applyAlignment="1">
      <alignment horizontal="center"/>
    </xf>
    <xf numFmtId="0" fontId="15" fillId="2" borderId="4" xfId="42" applyFont="1" applyFill="1" applyBorder="1" applyAlignment="1">
      <alignment horizontal="left"/>
    </xf>
    <xf numFmtId="0" fontId="12" fillId="2" borderId="0" xfId="41" applyFont="1" applyFill="1" applyAlignment="1">
      <alignment horizontal="center"/>
    </xf>
    <xf numFmtId="0" fontId="12" fillId="2" borderId="0" xfId="41" applyFont="1" applyFill="1"/>
    <xf numFmtId="0" fontId="12" fillId="2" borderId="5" xfId="41" applyFont="1" applyFill="1" applyBorder="1" applyAlignment="1">
      <alignment horizontal="center"/>
    </xf>
    <xf numFmtId="0" fontId="12" fillId="2" borderId="6" xfId="42" applyFont="1" applyFill="1" applyBorder="1" applyAlignment="1">
      <alignment horizontal="left"/>
    </xf>
    <xf numFmtId="0" fontId="12" fillId="2" borderId="8" xfId="42" applyFont="1" applyFill="1" applyBorder="1" applyAlignment="1">
      <alignment horizontal="left"/>
    </xf>
    <xf numFmtId="0" fontId="12" fillId="2" borderId="8" xfId="41" applyFont="1" applyFill="1" applyBorder="1"/>
    <xf numFmtId="0" fontId="13" fillId="2" borderId="7" xfId="41" applyFont="1" applyFill="1" applyBorder="1" applyAlignment="1">
      <alignment horizontal="center"/>
    </xf>
    <xf numFmtId="0" fontId="6" fillId="0" borderId="0" xfId="43"/>
    <xf numFmtId="0" fontId="6" fillId="0" borderId="0" xfId="43" applyAlignment="1">
      <alignment horizontal="center"/>
    </xf>
    <xf numFmtId="0" fontId="18" fillId="0" borderId="0" xfId="43" applyFont="1"/>
    <xf numFmtId="0" fontId="18" fillId="0" borderId="12" xfId="43" applyFont="1" applyBorder="1" applyAlignment="1">
      <alignment horizontal="right"/>
    </xf>
    <xf numFmtId="2" fontId="19" fillId="3" borderId="12" xfId="43" applyNumberFormat="1" applyFont="1" applyFill="1" applyBorder="1" applyAlignment="1" applyProtection="1">
      <alignment horizontal="right"/>
      <protection locked="0"/>
    </xf>
    <xf numFmtId="0" fontId="18" fillId="0" borderId="12" xfId="43" applyFont="1" applyBorder="1"/>
    <xf numFmtId="0" fontId="23" fillId="0" borderId="12" xfId="44" applyFont="1" applyBorder="1" applyAlignment="1">
      <alignment vertical="center"/>
    </xf>
    <xf numFmtId="0" fontId="25" fillId="0" borderId="12" xfId="43" applyFont="1" applyBorder="1" applyAlignment="1">
      <alignment vertical="center"/>
    </xf>
    <xf numFmtId="14" fontId="19" fillId="3" borderId="12" xfId="43" applyNumberFormat="1" applyFont="1" applyFill="1" applyBorder="1" applyAlignment="1" applyProtection="1">
      <alignment horizontal="right"/>
      <protection locked="0"/>
    </xf>
    <xf numFmtId="21" fontId="24" fillId="3" borderId="12" xfId="44" applyNumberFormat="1" applyFont="1" applyFill="1" applyBorder="1" applyAlignment="1" applyProtection="1">
      <alignment horizontal="right" vertical="center"/>
      <protection locked="0"/>
    </xf>
    <xf numFmtId="1" fontId="24" fillId="3" borderId="12" xfId="44" applyNumberFormat="1" applyFont="1" applyFill="1" applyBorder="1" applyAlignment="1" applyProtection="1">
      <alignment horizontal="right" vertical="center"/>
      <protection locked="0"/>
    </xf>
    <xf numFmtId="0" fontId="26" fillId="4" borderId="12" xfId="43" applyFont="1" applyFill="1" applyBorder="1" applyAlignment="1">
      <alignment horizontal="right" vertical="center"/>
    </xf>
    <xf numFmtId="0" fontId="27" fillId="0" borderId="0" xfId="43" applyFont="1"/>
    <xf numFmtId="0" fontId="7" fillId="2" borderId="0" xfId="41" applyFill="1"/>
    <xf numFmtId="0" fontId="0" fillId="2" borderId="0" xfId="0" applyFill="1"/>
    <xf numFmtId="0" fontId="19" fillId="3" borderId="7" xfId="43" applyFont="1" applyFill="1" applyBorder="1" applyAlignment="1">
      <alignment horizontal="right"/>
    </xf>
    <xf numFmtId="0" fontId="6" fillId="7" borderId="4" xfId="43" applyFill="1" applyBorder="1" applyAlignment="1">
      <alignment horizontal="center"/>
    </xf>
    <xf numFmtId="0" fontId="6" fillId="7" borderId="0" xfId="43" applyFill="1" applyAlignment="1">
      <alignment horizontal="center"/>
    </xf>
    <xf numFmtId="0" fontId="6" fillId="7" borderId="6" xfId="43" applyFill="1" applyBorder="1" applyAlignment="1">
      <alignment horizontal="center"/>
    </xf>
    <xf numFmtId="0" fontId="6" fillId="7" borderId="8" xfId="43" applyFill="1" applyBorder="1" applyAlignment="1">
      <alignment horizontal="center"/>
    </xf>
    <xf numFmtId="0" fontId="6" fillId="7" borderId="8" xfId="43" applyFill="1" applyBorder="1"/>
    <xf numFmtId="0" fontId="18" fillId="7" borderId="5" xfId="43" applyFont="1" applyFill="1" applyBorder="1"/>
    <xf numFmtId="0" fontId="6" fillId="7" borderId="5" xfId="43" applyFill="1" applyBorder="1"/>
    <xf numFmtId="0" fontId="6" fillId="7" borderId="7" xfId="43" applyFill="1" applyBorder="1"/>
    <xf numFmtId="0" fontId="18" fillId="7" borderId="4" xfId="43" applyFont="1" applyFill="1" applyBorder="1" applyAlignment="1">
      <alignment horizontal="center"/>
    </xf>
    <xf numFmtId="0" fontId="3" fillId="7" borderId="4" xfId="43" applyFont="1" applyFill="1" applyBorder="1" applyAlignment="1">
      <alignment horizontal="center"/>
    </xf>
    <xf numFmtId="0" fontId="3" fillId="7" borderId="6" xfId="43" applyFont="1" applyFill="1" applyBorder="1" applyAlignment="1">
      <alignment horizontal="center"/>
    </xf>
    <xf numFmtId="0" fontId="3" fillId="0" borderId="0" xfId="43" applyFont="1" applyAlignment="1">
      <alignment horizontal="center"/>
    </xf>
    <xf numFmtId="0" fontId="26" fillId="4" borderId="13" xfId="43" applyFont="1" applyFill="1" applyBorder="1" applyAlignment="1">
      <alignment horizontal="right" vertical="center"/>
    </xf>
    <xf numFmtId="0" fontId="33" fillId="0" borderId="19" xfId="0" applyFont="1" applyBorder="1" applyAlignment="1">
      <alignment horizontal="center" vertical="center" wrapText="1"/>
    </xf>
    <xf numFmtId="165" fontId="20" fillId="0" borderId="19" xfId="0" applyNumberFormat="1" applyFont="1" applyBorder="1" applyAlignment="1">
      <alignment horizontal="center" vertical="center" shrinkToFit="1"/>
    </xf>
    <xf numFmtId="1" fontId="20" fillId="0" borderId="19" xfId="0" applyNumberFormat="1" applyFont="1" applyBorder="1" applyAlignment="1">
      <alignment horizontal="center" vertical="center" shrinkToFit="1"/>
    </xf>
    <xf numFmtId="2" fontId="20" fillId="0" borderId="19" xfId="0" applyNumberFormat="1" applyFont="1" applyBorder="1" applyAlignment="1">
      <alignment horizontal="center" vertical="center" shrinkToFit="1"/>
    </xf>
    <xf numFmtId="164" fontId="6" fillId="0" borderId="12" xfId="43" applyNumberFormat="1" applyBorder="1" applyAlignment="1">
      <alignment horizontal="right"/>
    </xf>
    <xf numFmtId="0" fontId="18" fillId="0" borderId="12" xfId="43" applyFont="1" applyBorder="1" applyAlignment="1">
      <alignment vertical="center"/>
    </xf>
    <xf numFmtId="1" fontId="18" fillId="0" borderId="12" xfId="43" applyNumberFormat="1" applyFont="1" applyBorder="1" applyAlignment="1">
      <alignment horizontal="right" vertical="center"/>
    </xf>
    <xf numFmtId="0" fontId="18" fillId="0" borderId="0" xfId="43" applyFont="1" applyAlignment="1">
      <alignment horizontal="right" vertical="center"/>
    </xf>
    <xf numFmtId="0" fontId="20" fillId="0" borderId="16" xfId="43" applyFont="1" applyBorder="1" applyAlignment="1" applyProtection="1">
      <alignment horizontal="center" vertical="center"/>
      <protection locked="0"/>
    </xf>
    <xf numFmtId="2" fontId="6" fillId="0" borderId="12" xfId="43" applyNumberFormat="1" applyBorder="1" applyAlignment="1">
      <alignment vertical="center"/>
    </xf>
    <xf numFmtId="2" fontId="6" fillId="0" borderId="16" xfId="43" applyNumberFormat="1" applyBorder="1" applyAlignment="1">
      <alignment vertical="center"/>
    </xf>
    <xf numFmtId="0" fontId="6" fillId="0" borderId="0" xfId="43" applyAlignment="1">
      <alignment vertical="center"/>
    </xf>
    <xf numFmtId="0" fontId="6" fillId="5" borderId="1" xfId="43" applyFill="1" applyBorder="1" applyAlignment="1">
      <alignment horizontal="center" vertical="center"/>
    </xf>
    <xf numFmtId="0" fontId="6" fillId="0" borderId="4" xfId="43" applyBorder="1" applyAlignment="1">
      <alignment horizontal="center" vertical="center"/>
    </xf>
    <xf numFmtId="0" fontId="6" fillId="0" borderId="0" xfId="43" applyAlignment="1">
      <alignment horizontal="center" vertical="center"/>
    </xf>
    <xf numFmtId="4" fontId="18" fillId="0" borderId="12" xfId="43" applyNumberFormat="1" applyFont="1" applyBorder="1" applyAlignment="1">
      <alignment horizontal="right" vertical="center"/>
    </xf>
    <xf numFmtId="0" fontId="18" fillId="0" borderId="12" xfId="0" applyFont="1" applyBorder="1" applyAlignment="1">
      <alignment vertical="center"/>
    </xf>
    <xf numFmtId="2" fontId="6" fillId="0" borderId="12" xfId="43" applyNumberFormat="1" applyBorder="1" applyAlignment="1">
      <alignment horizontal="right" vertical="center"/>
    </xf>
    <xf numFmtId="0" fontId="18" fillId="0" borderId="12" xfId="0" applyFont="1" applyBorder="1" applyAlignment="1">
      <alignment horizontal="center" vertical="center"/>
    </xf>
    <xf numFmtId="0" fontId="19" fillId="3" borderId="12" xfId="0" applyFont="1" applyFill="1" applyBorder="1" applyAlignment="1" applyProtection="1">
      <alignment horizontal="center" vertical="center"/>
      <protection locked="0"/>
    </xf>
    <xf numFmtId="0" fontId="6" fillId="0" borderId="4" xfId="43" applyBorder="1" applyAlignment="1">
      <alignment vertical="center"/>
    </xf>
    <xf numFmtId="0" fontId="19" fillId="3" borderId="13" xfId="0" applyFont="1" applyFill="1" applyBorder="1" applyAlignment="1" applyProtection="1">
      <alignment horizontal="center" vertical="center"/>
      <protection locked="0"/>
    </xf>
    <xf numFmtId="0" fontId="19" fillId="3" borderId="17" xfId="0" applyFont="1" applyFill="1" applyBorder="1" applyAlignment="1" applyProtection="1">
      <alignment horizontal="center" vertical="center"/>
      <protection locked="0"/>
    </xf>
    <xf numFmtId="0" fontId="19" fillId="3" borderId="18" xfId="0" applyFont="1" applyFill="1" applyBorder="1" applyAlignment="1" applyProtection="1">
      <alignment horizontal="center" vertical="center"/>
      <protection locked="0"/>
    </xf>
    <xf numFmtId="0" fontId="6" fillId="0" borderId="6" xfId="43" applyBorder="1" applyAlignment="1">
      <alignment horizontal="center" vertical="center"/>
    </xf>
    <xf numFmtId="0" fontId="28" fillId="6" borderId="14" xfId="43" applyFont="1" applyFill="1" applyBorder="1"/>
    <xf numFmtId="0" fontId="26" fillId="4" borderId="4" xfId="43" applyFont="1" applyFill="1" applyBorder="1" applyAlignment="1">
      <alignment horizontal="center" vertical="center"/>
    </xf>
    <xf numFmtId="0" fontId="26" fillId="4" borderId="3" xfId="43" applyFont="1" applyFill="1" applyBorder="1" applyAlignment="1">
      <alignment horizontal="right" vertical="center"/>
    </xf>
    <xf numFmtId="0" fontId="6" fillId="5" borderId="4" xfId="43" applyFill="1" applyBorder="1" applyAlignment="1">
      <alignment horizontal="center" vertical="center"/>
    </xf>
    <xf numFmtId="0" fontId="6" fillId="7" borderId="7" xfId="43" applyFill="1" applyBorder="1" applyAlignment="1">
      <alignment horizontal="center"/>
    </xf>
    <xf numFmtId="0" fontId="6" fillId="0" borderId="5" xfId="43" applyBorder="1" applyAlignment="1">
      <alignment horizontal="center" vertical="center"/>
    </xf>
    <xf numFmtId="0" fontId="6" fillId="0" borderId="7" xfId="43" applyBorder="1" applyAlignment="1">
      <alignment horizontal="center" vertical="center"/>
    </xf>
    <xf numFmtId="0" fontId="34" fillId="2" borderId="0" xfId="48" applyFont="1" applyFill="1" applyAlignment="1">
      <alignment horizontal="center"/>
    </xf>
    <xf numFmtId="0" fontId="35" fillId="7" borderId="3" xfId="48" applyFont="1" applyFill="1" applyBorder="1" applyAlignment="1">
      <alignment horizontal="right"/>
    </xf>
    <xf numFmtId="0" fontId="17" fillId="2" borderId="0" xfId="0" applyFont="1" applyFill="1" applyAlignment="1">
      <alignment horizontal="center"/>
    </xf>
    <xf numFmtId="2" fontId="23" fillId="0" borderId="12" xfId="0" applyNumberFormat="1" applyFont="1" applyBorder="1" applyAlignment="1">
      <alignment horizontal="right" vertical="top" wrapText="1"/>
    </xf>
    <xf numFmtId="0" fontId="23" fillId="0" borderId="12" xfId="0" applyFont="1" applyBorder="1" applyAlignment="1">
      <alignment horizontal="center" vertical="top" wrapText="1"/>
    </xf>
    <xf numFmtId="0" fontId="21" fillId="0" borderId="12" xfId="0" applyFont="1" applyBorder="1" applyAlignment="1">
      <alignment horizontal="center" vertical="top" wrapText="1"/>
    </xf>
    <xf numFmtId="1" fontId="21" fillId="0" borderId="12" xfId="0" applyNumberFormat="1" applyFont="1" applyBorder="1" applyAlignment="1">
      <alignment horizontal="center" vertical="top" shrinkToFit="1"/>
    </xf>
    <xf numFmtId="2" fontId="23" fillId="0" borderId="12" xfId="0" applyNumberFormat="1" applyFont="1" applyBorder="1" applyAlignment="1">
      <alignment horizontal="right" vertical="center" wrapText="1"/>
    </xf>
    <xf numFmtId="0" fontId="23" fillId="0" borderId="12" xfId="0" applyFont="1" applyBorder="1" applyAlignment="1">
      <alignment horizontal="center" vertical="center" wrapText="1"/>
    </xf>
    <xf numFmtId="1" fontId="21" fillId="0" borderId="12" xfId="0" applyNumberFormat="1" applyFont="1" applyBorder="1" applyAlignment="1">
      <alignment horizontal="center" vertical="center" shrinkToFit="1"/>
    </xf>
    <xf numFmtId="2" fontId="23" fillId="0" borderId="12" xfId="0" applyNumberFormat="1" applyFont="1" applyBorder="1" applyAlignment="1">
      <alignment horizontal="center" vertical="center" wrapText="1"/>
    </xf>
    <xf numFmtId="2" fontId="23" fillId="0" borderId="12" xfId="0" applyNumberFormat="1" applyFont="1" applyBorder="1" applyAlignment="1">
      <alignment vertical="center" wrapText="1"/>
    </xf>
    <xf numFmtId="0" fontId="23" fillId="0" borderId="19" xfId="0" applyFont="1" applyBorder="1" applyAlignment="1">
      <alignment horizontal="left" vertical="top" wrapText="1"/>
    </xf>
    <xf numFmtId="0" fontId="23" fillId="0" borderId="19" xfId="0" applyFont="1" applyBorder="1" applyAlignment="1">
      <alignment horizontal="center" vertical="top" wrapText="1"/>
    </xf>
    <xf numFmtId="2" fontId="23" fillId="0" borderId="19" xfId="0" applyNumberFormat="1" applyFont="1" applyBorder="1" applyAlignment="1">
      <alignment horizontal="right" vertical="top" wrapText="1"/>
    </xf>
    <xf numFmtId="0" fontId="21" fillId="0" borderId="19" xfId="0" applyFont="1" applyBorder="1" applyAlignment="1">
      <alignment horizontal="left" wrapText="1"/>
    </xf>
    <xf numFmtId="0" fontId="21" fillId="0" borderId="19" xfId="0" applyFont="1" applyBorder="1" applyAlignment="1">
      <alignment horizontal="left" vertical="center" wrapText="1"/>
    </xf>
    <xf numFmtId="0" fontId="26" fillId="4" borderId="0" xfId="43" applyFont="1" applyFill="1" applyAlignment="1">
      <alignment horizontal="right" vertical="center"/>
    </xf>
    <xf numFmtId="0" fontId="32" fillId="4" borderId="20" xfId="0" applyFont="1" applyFill="1" applyBorder="1" applyAlignment="1">
      <alignment horizontal="center" vertical="center" wrapText="1"/>
    </xf>
    <xf numFmtId="1" fontId="21" fillId="0" borderId="19" xfId="0" applyNumberFormat="1" applyFont="1" applyBorder="1" applyAlignment="1">
      <alignment horizontal="center" vertical="top" shrinkToFit="1"/>
    </xf>
    <xf numFmtId="0" fontId="18" fillId="0" borderId="12" xfId="43" applyFont="1" applyBorder="1" applyAlignment="1">
      <alignment horizontal="center"/>
    </xf>
    <xf numFmtId="0" fontId="23" fillId="0" borderId="19" xfId="0" applyFont="1" applyBorder="1" applyAlignment="1">
      <alignment horizontal="left" vertical="center" wrapText="1"/>
    </xf>
    <xf numFmtId="0" fontId="23" fillId="0" borderId="19" xfId="0" applyFont="1" applyBorder="1" applyAlignment="1">
      <alignment horizontal="center" vertical="center" wrapText="1"/>
    </xf>
    <xf numFmtId="1" fontId="21" fillId="0" borderId="19" xfId="0" applyNumberFormat="1" applyFont="1" applyBorder="1" applyAlignment="1">
      <alignment horizontal="center" vertical="center" shrinkToFit="1"/>
    </xf>
    <xf numFmtId="2" fontId="23" fillId="0" borderId="19" xfId="0" applyNumberFormat="1" applyFont="1" applyBorder="1" applyAlignment="1">
      <alignment horizontal="right" vertical="center" wrapText="1"/>
    </xf>
    <xf numFmtId="0" fontId="21" fillId="0" borderId="19" xfId="0" applyFont="1" applyBorder="1" applyAlignment="1">
      <alignment horizontal="center" vertical="center" wrapText="1"/>
    </xf>
    <xf numFmtId="2" fontId="6" fillId="5" borderId="0" xfId="43" applyNumberFormat="1" applyFill="1" applyAlignment="1">
      <alignment horizontal="center" vertical="center"/>
    </xf>
    <xf numFmtId="2" fontId="6" fillId="5" borderId="0" xfId="43" applyNumberFormat="1" applyFill="1" applyAlignment="1">
      <alignment vertical="center"/>
    </xf>
    <xf numFmtId="2" fontId="21" fillId="5" borderId="0" xfId="43" applyNumberFormat="1" applyFont="1" applyFill="1" applyAlignment="1">
      <alignment horizontal="right" vertical="center"/>
    </xf>
    <xf numFmtId="0" fontId="6" fillId="5" borderId="5" xfId="43" applyFill="1" applyBorder="1" applyAlignment="1">
      <alignment horizontal="center" vertical="center"/>
    </xf>
    <xf numFmtId="2" fontId="6" fillId="0" borderId="0" xfId="43" applyNumberFormat="1" applyAlignment="1">
      <alignment horizontal="center" vertical="center"/>
    </xf>
    <xf numFmtId="2" fontId="6" fillId="0" borderId="0" xfId="43" applyNumberFormat="1" applyAlignment="1">
      <alignment vertical="center"/>
    </xf>
    <xf numFmtId="2" fontId="21" fillId="0" borderId="0" xfId="43" applyNumberFormat="1" applyFont="1" applyAlignment="1">
      <alignment horizontal="right" vertical="center"/>
    </xf>
    <xf numFmtId="2" fontId="6" fillId="0" borderId="8" xfId="43" applyNumberFormat="1" applyBorder="1" applyAlignment="1">
      <alignment horizontal="center" vertical="center"/>
    </xf>
    <xf numFmtId="2" fontId="6" fillId="0" borderId="8" xfId="43" applyNumberFormat="1" applyBorder="1" applyAlignment="1">
      <alignment vertical="center"/>
    </xf>
    <xf numFmtId="2" fontId="21" fillId="0" borderId="8" xfId="43" applyNumberFormat="1" applyFont="1" applyBorder="1" applyAlignment="1">
      <alignment horizontal="right" vertical="center"/>
    </xf>
    <xf numFmtId="0" fontId="6" fillId="0" borderId="4" xfId="43" applyBorder="1"/>
    <xf numFmtId="0" fontId="6" fillId="7" borderId="0" xfId="43" applyFill="1" applyAlignment="1">
      <alignment horizontal="right"/>
    </xf>
    <xf numFmtId="0" fontId="6" fillId="7" borderId="8" xfId="43" applyFill="1" applyBorder="1" applyAlignment="1">
      <alignment horizontal="right"/>
    </xf>
    <xf numFmtId="0" fontId="6" fillId="0" borderId="0" xfId="43" applyAlignment="1">
      <alignment horizontal="right"/>
    </xf>
    <xf numFmtId="0" fontId="33" fillId="0" borderId="12" xfId="0" applyFont="1" applyBorder="1" applyAlignment="1">
      <alignment horizontal="center" vertical="top" wrapText="1"/>
    </xf>
    <xf numFmtId="0" fontId="20" fillId="0" borderId="16" xfId="0" applyFont="1" applyBorder="1" applyAlignment="1">
      <alignment horizontal="center" wrapText="1"/>
    </xf>
    <xf numFmtId="0" fontId="33" fillId="0" borderId="18" xfId="0" applyFont="1" applyBorder="1" applyAlignment="1">
      <alignment horizontal="center" vertical="top" wrapText="1"/>
    </xf>
    <xf numFmtId="0" fontId="20" fillId="0" borderId="7" xfId="0" applyFont="1" applyBorder="1" applyAlignment="1">
      <alignment horizontal="center" wrapText="1"/>
    </xf>
    <xf numFmtId="0" fontId="33" fillId="0" borderId="7" xfId="0" applyFont="1" applyBorder="1" applyAlignment="1">
      <alignment horizontal="center" vertical="top" wrapText="1"/>
    </xf>
    <xf numFmtId="0" fontId="20" fillId="0" borderId="7" xfId="0" applyFont="1" applyBorder="1" applyAlignment="1">
      <alignment horizontal="center" vertical="center" wrapText="1"/>
    </xf>
    <xf numFmtId="0" fontId="33" fillId="0" borderId="18" xfId="0" applyFont="1" applyBorder="1" applyAlignment="1">
      <alignment horizontal="center" vertical="center" wrapText="1"/>
    </xf>
    <xf numFmtId="0" fontId="32" fillId="4" borderId="29" xfId="0" applyFont="1" applyFill="1" applyBorder="1" applyAlignment="1">
      <alignment horizontal="center" vertical="center" wrapText="1"/>
    </xf>
    <xf numFmtId="2" fontId="6" fillId="5" borderId="5" xfId="43" applyNumberFormat="1" applyFill="1" applyBorder="1" applyAlignment="1">
      <alignment horizontal="center" vertical="center"/>
    </xf>
    <xf numFmtId="2" fontId="6" fillId="0" borderId="5" xfId="43" applyNumberFormat="1" applyBorder="1" applyAlignment="1">
      <alignment horizontal="center" vertical="center"/>
    </xf>
    <xf numFmtId="2" fontId="6" fillId="0" borderId="7" xfId="43" applyNumberFormat="1" applyBorder="1" applyAlignment="1">
      <alignment horizontal="center" vertical="center"/>
    </xf>
    <xf numFmtId="2" fontId="6" fillId="0" borderId="16" xfId="43" applyNumberFormat="1" applyBorder="1" applyAlignment="1">
      <alignment horizontal="center" vertical="center"/>
    </xf>
    <xf numFmtId="0" fontId="28" fillId="0" borderId="0" xfId="43" applyFont="1" applyAlignment="1">
      <alignment horizontal="center"/>
    </xf>
    <xf numFmtId="0" fontId="19" fillId="0" borderId="0" xfId="43" applyFont="1" applyAlignment="1">
      <alignment horizontal="right"/>
    </xf>
    <xf numFmtId="14" fontId="19" fillId="0" borderId="0" xfId="43" applyNumberFormat="1" applyFont="1" applyAlignment="1" applyProtection="1">
      <alignment horizontal="right"/>
      <protection locked="0"/>
    </xf>
    <xf numFmtId="21" fontId="24" fillId="0" borderId="0" xfId="44" applyNumberFormat="1" applyFont="1" applyAlignment="1" applyProtection="1">
      <alignment horizontal="right" vertical="center"/>
      <protection locked="0"/>
    </xf>
    <xf numFmtId="1" fontId="24" fillId="0" borderId="0" xfId="44" applyNumberFormat="1" applyFont="1" applyAlignment="1" applyProtection="1">
      <alignment horizontal="right" vertical="center"/>
      <protection locked="0"/>
    </xf>
    <xf numFmtId="0" fontId="18" fillId="0" borderId="0" xfId="43" applyFont="1" applyAlignment="1">
      <alignment horizontal="right"/>
    </xf>
    <xf numFmtId="1" fontId="18" fillId="0" borderId="0" xfId="43" applyNumberFormat="1" applyFont="1" applyAlignment="1">
      <alignment horizontal="right" vertical="center"/>
    </xf>
    <xf numFmtId="4" fontId="18" fillId="0" borderId="0" xfId="43" applyNumberFormat="1" applyFont="1" applyAlignment="1">
      <alignment horizontal="right" vertical="center"/>
    </xf>
    <xf numFmtId="0" fontId="19" fillId="0" borderId="0" xfId="0" applyFont="1" applyAlignment="1" applyProtection="1">
      <alignment horizontal="right" vertical="center"/>
      <protection locked="0"/>
    </xf>
    <xf numFmtId="2" fontId="19" fillId="0" borderId="0" xfId="43" applyNumberFormat="1" applyFont="1" applyAlignment="1" applyProtection="1">
      <alignment horizontal="right" vertical="center"/>
      <protection locked="0"/>
    </xf>
    <xf numFmtId="2" fontId="6" fillId="0" borderId="0" xfId="43" applyNumberFormat="1" applyAlignment="1">
      <alignment horizontal="right" vertical="center"/>
    </xf>
    <xf numFmtId="0" fontId="19" fillId="0" borderId="0" xfId="0" applyFont="1" applyAlignment="1" applyProtection="1">
      <alignment horizontal="center" vertical="center"/>
      <protection locked="0"/>
    </xf>
    <xf numFmtId="0" fontId="2" fillId="0" borderId="12" xfId="43" applyFont="1" applyBorder="1" applyAlignment="1">
      <alignment vertical="center"/>
    </xf>
    <xf numFmtId="0" fontId="25" fillId="0" borderId="12" xfId="43" applyFont="1" applyBorder="1" applyAlignment="1">
      <alignment horizontal="right" vertical="center"/>
    </xf>
    <xf numFmtId="0" fontId="18" fillId="0" borderId="12" xfId="43" applyFont="1" applyBorder="1" applyAlignment="1">
      <alignment horizontal="right" vertical="center"/>
    </xf>
    <xf numFmtId="0" fontId="30" fillId="3" borderId="12" xfId="43" applyFont="1" applyFill="1" applyBorder="1" applyAlignment="1" applyProtection="1">
      <alignment vertical="center"/>
      <protection locked="0"/>
    </xf>
    <xf numFmtId="0" fontId="19" fillId="3" borderId="16" xfId="0" applyFont="1" applyFill="1" applyBorder="1" applyAlignment="1" applyProtection="1">
      <alignment horizontal="right"/>
      <protection locked="0"/>
    </xf>
    <xf numFmtId="0" fontId="23" fillId="0" borderId="0" xfId="49" applyFont="1"/>
    <xf numFmtId="0" fontId="1" fillId="8" borderId="1" xfId="50" applyFont="1" applyFill="1" applyBorder="1"/>
    <xf numFmtId="0" fontId="1" fillId="8" borderId="3" xfId="50" applyFont="1" applyFill="1" applyBorder="1"/>
    <xf numFmtId="0" fontId="19" fillId="8" borderId="1" xfId="51" applyFont="1" applyFill="1" applyBorder="1" applyAlignment="1">
      <alignment horizontal="left"/>
    </xf>
    <xf numFmtId="166" fontId="18" fillId="8" borderId="2" xfId="51" applyNumberFormat="1" applyFont="1" applyFill="1" applyBorder="1"/>
    <xf numFmtId="0" fontId="18" fillId="8" borderId="2" xfId="52" applyFont="1" applyFill="1" applyBorder="1"/>
    <xf numFmtId="0" fontId="18" fillId="8" borderId="2" xfId="51" applyFont="1" applyFill="1" applyBorder="1"/>
    <xf numFmtId="0" fontId="18" fillId="8" borderId="3" xfId="52" applyFont="1" applyFill="1" applyBorder="1"/>
    <xf numFmtId="0" fontId="1" fillId="8" borderId="4" xfId="50" applyFont="1" applyFill="1" applyBorder="1"/>
    <xf numFmtId="0" fontId="1" fillId="8" borderId="5" xfId="50" applyFont="1" applyFill="1" applyBorder="1"/>
    <xf numFmtId="0" fontId="18" fillId="8" borderId="4" xfId="52" applyFont="1" applyFill="1" applyBorder="1"/>
    <xf numFmtId="0" fontId="18" fillId="8" borderId="0" xfId="52" applyFont="1" applyFill="1"/>
    <xf numFmtId="166" fontId="18" fillId="8" borderId="5" xfId="52" applyNumberFormat="1" applyFont="1" applyFill="1" applyBorder="1"/>
    <xf numFmtId="2" fontId="18" fillId="8" borderId="5" xfId="52" applyNumberFormat="1" applyFont="1" applyFill="1" applyBorder="1"/>
    <xf numFmtId="0" fontId="18" fillId="8" borderId="5" xfId="52" applyFont="1" applyFill="1" applyBorder="1"/>
    <xf numFmtId="0" fontId="18" fillId="8" borderId="6" xfId="52" applyFont="1" applyFill="1" applyBorder="1"/>
    <xf numFmtId="0" fontId="18" fillId="8" borderId="8" xfId="52" applyFont="1" applyFill="1" applyBorder="1"/>
    <xf numFmtId="0" fontId="18" fillId="8" borderId="7" xfId="52" applyFont="1" applyFill="1" applyBorder="1"/>
    <xf numFmtId="0" fontId="1" fillId="8" borderId="6" xfId="50" applyFont="1" applyFill="1" applyBorder="1"/>
    <xf numFmtId="0" fontId="1" fillId="8" borderId="7" xfId="50" applyFont="1" applyFill="1" applyBorder="1"/>
    <xf numFmtId="0" fontId="19" fillId="8" borderId="4" xfId="52" applyFont="1" applyFill="1" applyBorder="1" applyAlignment="1">
      <alignment horizontal="right"/>
    </xf>
    <xf numFmtId="0" fontId="19" fillId="8" borderId="0" xfId="52" applyFont="1" applyFill="1" applyAlignment="1">
      <alignment horizontal="right"/>
    </xf>
    <xf numFmtId="0" fontId="19" fillId="8" borderId="5" xfId="52" applyFont="1" applyFill="1" applyBorder="1" applyAlignment="1">
      <alignment horizontal="right"/>
    </xf>
    <xf numFmtId="2" fontId="18" fillId="8" borderId="4" xfId="52" applyNumberFormat="1" applyFont="1" applyFill="1" applyBorder="1"/>
    <xf numFmtId="2" fontId="18" fillId="8" borderId="0" xfId="52" applyNumberFormat="1" applyFont="1" applyFill="1"/>
    <xf numFmtId="0" fontId="29" fillId="0" borderId="0" xfId="0" applyFont="1"/>
    <xf numFmtId="0" fontId="23" fillId="8" borderId="1" xfId="49" applyFont="1" applyFill="1" applyBorder="1"/>
    <xf numFmtId="4" fontId="23" fillId="8" borderId="3" xfId="49" applyNumberFormat="1" applyFont="1" applyFill="1" applyBorder="1"/>
    <xf numFmtId="0" fontId="23" fillId="8" borderId="4" xfId="49" applyFont="1" applyFill="1" applyBorder="1"/>
    <xf numFmtId="0" fontId="23" fillId="8" borderId="5" xfId="49" applyFont="1" applyFill="1" applyBorder="1"/>
    <xf numFmtId="0" fontId="1" fillId="8" borderId="7" xfId="50" applyFont="1" applyFill="1" applyBorder="1" applyAlignment="1">
      <alignment horizontal="right"/>
    </xf>
    <xf numFmtId="0" fontId="1" fillId="8" borderId="1" xfId="0" applyFont="1" applyFill="1" applyBorder="1"/>
    <xf numFmtId="0" fontId="1" fillId="8" borderId="2" xfId="0" applyFont="1" applyFill="1" applyBorder="1"/>
    <xf numFmtId="0" fontId="1" fillId="8" borderId="3" xfId="0" applyFont="1" applyFill="1" applyBorder="1"/>
    <xf numFmtId="0" fontId="1" fillId="8" borderId="4" xfId="0" applyFont="1" applyFill="1" applyBorder="1"/>
    <xf numFmtId="0" fontId="1" fillId="8" borderId="0" xfId="0" applyFont="1" applyFill="1"/>
    <xf numFmtId="0" fontId="1" fillId="8" borderId="5" xfId="0" applyFont="1" applyFill="1" applyBorder="1"/>
    <xf numFmtId="0" fontId="1" fillId="8" borderId="6" xfId="0" applyFont="1" applyFill="1" applyBorder="1"/>
    <xf numFmtId="0" fontId="1" fillId="8" borderId="8" xfId="0" applyFont="1" applyFill="1" applyBorder="1"/>
    <xf numFmtId="0" fontId="1" fillId="8" borderId="7" xfId="0" applyFont="1" applyFill="1" applyBorder="1"/>
    <xf numFmtId="0" fontId="38" fillId="0" borderId="0" xfId="49"/>
    <xf numFmtId="2" fontId="18" fillId="8" borderId="6" xfId="52" applyNumberFormat="1" applyFont="1" applyFill="1" applyBorder="1"/>
    <xf numFmtId="2" fontId="18" fillId="8" borderId="8" xfId="52" applyNumberFormat="1" applyFont="1" applyFill="1" applyBorder="1"/>
    <xf numFmtId="2" fontId="18" fillId="8" borderId="7" xfId="52" applyNumberFormat="1" applyFont="1" applyFill="1" applyBorder="1"/>
    <xf numFmtId="0" fontId="32" fillId="4" borderId="32" xfId="0" applyFont="1" applyFill="1" applyBorder="1" applyAlignment="1">
      <alignment horizontal="center" vertical="center" wrapText="1"/>
    </xf>
    <xf numFmtId="14" fontId="6" fillId="7" borderId="0" xfId="43" applyNumberFormat="1" applyFill="1"/>
    <xf numFmtId="9" fontId="6" fillId="7" borderId="0" xfId="43" applyNumberFormat="1" applyFill="1" applyAlignment="1">
      <alignment horizontal="right"/>
    </xf>
    <xf numFmtId="21" fontId="6" fillId="7" borderId="0" xfId="43" applyNumberFormat="1" applyFill="1"/>
    <xf numFmtId="2" fontId="6" fillId="7" borderId="0" xfId="43" applyNumberFormat="1" applyFill="1" applyAlignment="1">
      <alignment horizontal="center"/>
    </xf>
    <xf numFmtId="1" fontId="6" fillId="7" borderId="0" xfId="43" applyNumberFormat="1" applyFill="1"/>
    <xf numFmtId="0" fontId="20" fillId="7" borderId="4" xfId="0" applyFont="1" applyFill="1" applyBorder="1"/>
    <xf numFmtId="0" fontId="6" fillId="7" borderId="4" xfId="43" applyFill="1" applyBorder="1"/>
    <xf numFmtId="0" fontId="18" fillId="0" borderId="6" xfId="43" applyFont="1" applyBorder="1"/>
    <xf numFmtId="0" fontId="30" fillId="7" borderId="5" xfId="43" applyFont="1" applyFill="1" applyBorder="1" applyAlignment="1">
      <alignment horizontal="right"/>
    </xf>
    <xf numFmtId="0" fontId="42" fillId="0" borderId="6" xfId="43" applyFont="1" applyBorder="1"/>
    <xf numFmtId="167" fontId="30" fillId="3" borderId="12" xfId="43" applyNumberFormat="1" applyFont="1" applyFill="1" applyBorder="1" applyAlignment="1" applyProtection="1">
      <alignment vertical="center"/>
      <protection locked="0"/>
    </xf>
    <xf numFmtId="167" fontId="18" fillId="0" borderId="12" xfId="43" applyNumberFormat="1" applyFont="1" applyBorder="1" applyAlignment="1">
      <alignment horizontal="right" vertical="center"/>
    </xf>
    <xf numFmtId="0" fontId="18" fillId="0" borderId="12" xfId="0" applyFont="1" applyBorder="1" applyAlignment="1" applyProtection="1">
      <alignment horizontal="center"/>
      <protection locked="0"/>
    </xf>
    <xf numFmtId="0" fontId="19" fillId="3" borderId="12" xfId="0" applyFont="1" applyFill="1" applyBorder="1" applyAlignment="1" applyProtection="1">
      <alignment horizontal="center"/>
      <protection locked="0"/>
    </xf>
    <xf numFmtId="0" fontId="32" fillId="0" borderId="0" xfId="43" applyFont="1"/>
    <xf numFmtId="0" fontId="43" fillId="9" borderId="5" xfId="0" applyFont="1" applyFill="1" applyBorder="1" applyAlignment="1">
      <alignment horizontal="right"/>
    </xf>
    <xf numFmtId="0" fontId="11" fillId="2" borderId="0" xfId="41" applyFont="1" applyFill="1" applyAlignment="1">
      <alignment horizontal="center" vertical="center" wrapText="1"/>
    </xf>
    <xf numFmtId="0" fontId="16" fillId="2" borderId="1" xfId="42" applyFont="1" applyFill="1" applyBorder="1" applyAlignment="1">
      <alignment horizontal="center"/>
    </xf>
    <xf numFmtId="0" fontId="16" fillId="2" borderId="2" xfId="42" applyFont="1" applyFill="1" applyBorder="1" applyAlignment="1">
      <alignment horizontal="center"/>
    </xf>
    <xf numFmtId="0" fontId="16" fillId="2" borderId="9" xfId="42" applyFont="1" applyFill="1" applyBorder="1" applyAlignment="1">
      <alignment horizontal="center"/>
    </xf>
    <xf numFmtId="0" fontId="17" fillId="2" borderId="4" xfId="0" applyFont="1" applyFill="1" applyBorder="1" applyAlignment="1">
      <alignment horizontal="center"/>
    </xf>
    <xf numFmtId="0" fontId="17" fillId="2" borderId="0" xfId="0" applyFont="1" applyFill="1" applyAlignment="1">
      <alignment horizontal="center"/>
    </xf>
    <xf numFmtId="0" fontId="17" fillId="2" borderId="10" xfId="0" applyFont="1" applyFill="1" applyBorder="1" applyAlignment="1">
      <alignment horizontal="center"/>
    </xf>
    <xf numFmtId="0" fontId="17" fillId="2" borderId="6" xfId="0" applyFont="1" applyFill="1" applyBorder="1" applyAlignment="1">
      <alignment horizontal="center"/>
    </xf>
    <xf numFmtId="0" fontId="17" fillId="2" borderId="8" xfId="0" applyFont="1" applyFill="1" applyBorder="1" applyAlignment="1">
      <alignment horizontal="center"/>
    </xf>
    <xf numFmtId="0" fontId="17" fillId="2" borderId="11" xfId="0" applyFont="1" applyFill="1" applyBorder="1" applyAlignment="1">
      <alignment horizontal="center"/>
    </xf>
    <xf numFmtId="0" fontId="18" fillId="0" borderId="14" xfId="43" applyFont="1" applyBorder="1" applyAlignment="1">
      <alignment horizontal="center"/>
    </xf>
    <xf numFmtId="0" fontId="18" fillId="0" borderId="15" xfId="43" applyFont="1" applyBorder="1" applyAlignment="1">
      <alignment horizontal="center"/>
    </xf>
    <xf numFmtId="0" fontId="18" fillId="0" borderId="16" xfId="43" applyFont="1" applyBorder="1" applyAlignment="1">
      <alignment horizontal="center"/>
    </xf>
    <xf numFmtId="0" fontId="26" fillId="4" borderId="2" xfId="43" applyFont="1" applyFill="1" applyBorder="1" applyAlignment="1">
      <alignment horizontal="center" vertical="center"/>
    </xf>
    <xf numFmtId="0" fontId="26" fillId="4" borderId="21" xfId="43" applyFont="1" applyFill="1" applyBorder="1" applyAlignment="1">
      <alignment horizontal="center" vertical="center"/>
    </xf>
    <xf numFmtId="0" fontId="26" fillId="4" borderId="3" xfId="43" applyFont="1" applyFill="1" applyBorder="1" applyAlignment="1">
      <alignment horizontal="center" vertical="center"/>
    </xf>
    <xf numFmtId="0" fontId="26" fillId="4" borderId="7" xfId="43" applyFont="1" applyFill="1" applyBorder="1" applyAlignment="1">
      <alignment horizontal="center" vertical="center"/>
    </xf>
    <xf numFmtId="0" fontId="32" fillId="4" borderId="24" xfId="0" applyFont="1" applyFill="1" applyBorder="1" applyAlignment="1">
      <alignment horizontal="center" vertical="center" wrapText="1"/>
    </xf>
    <xf numFmtId="0" fontId="32" fillId="4" borderId="25" xfId="0" applyFont="1" applyFill="1" applyBorder="1" applyAlignment="1">
      <alignment horizontal="center" vertical="center" wrapText="1"/>
    </xf>
    <xf numFmtId="0" fontId="32" fillId="4" borderId="31" xfId="0" applyFont="1" applyFill="1" applyBorder="1" applyAlignment="1">
      <alignment horizontal="center" vertical="center" wrapText="1"/>
    </xf>
    <xf numFmtId="0" fontId="32" fillId="4" borderId="28" xfId="0" applyFont="1" applyFill="1" applyBorder="1" applyAlignment="1">
      <alignment horizontal="center" vertical="center" wrapText="1"/>
    </xf>
    <xf numFmtId="0" fontId="32" fillId="4" borderId="33" xfId="0" applyFont="1" applyFill="1" applyBorder="1" applyAlignment="1">
      <alignment horizontal="center" vertical="center" wrapText="1"/>
    </xf>
    <xf numFmtId="0" fontId="32" fillId="4" borderId="30" xfId="0" applyFont="1" applyFill="1" applyBorder="1" applyAlignment="1">
      <alignment horizontal="center" vertical="center" wrapText="1"/>
    </xf>
    <xf numFmtId="0" fontId="26" fillId="4" borderId="26" xfId="43" applyFont="1" applyFill="1" applyBorder="1" applyAlignment="1">
      <alignment horizontal="right" vertical="center"/>
    </xf>
    <xf numFmtId="0" fontId="26" fillId="4" borderId="27" xfId="43" applyFont="1" applyFill="1" applyBorder="1" applyAlignment="1">
      <alignment horizontal="right" vertical="center"/>
    </xf>
    <xf numFmtId="0" fontId="26" fillId="4" borderId="4" xfId="43" applyFont="1" applyFill="1" applyBorder="1" applyAlignment="1">
      <alignment horizontal="center" vertical="center"/>
    </xf>
    <xf numFmtId="0" fontId="26" fillId="4" borderId="6" xfId="43" applyFont="1" applyFill="1" applyBorder="1" applyAlignment="1">
      <alignment horizontal="center" vertical="center"/>
    </xf>
    <xf numFmtId="0" fontId="26" fillId="4" borderId="0" xfId="43" applyFont="1" applyFill="1" applyAlignment="1">
      <alignment horizontal="center" vertical="center"/>
    </xf>
    <xf numFmtId="0" fontId="26" fillId="4" borderId="8" xfId="43" applyFont="1" applyFill="1" applyBorder="1" applyAlignment="1">
      <alignment horizontal="center" vertical="center"/>
    </xf>
    <xf numFmtId="0" fontId="26" fillId="4" borderId="10" xfId="43" applyFont="1" applyFill="1" applyBorder="1" applyAlignment="1">
      <alignment horizontal="center" vertical="center"/>
    </xf>
    <xf numFmtId="0" fontId="26" fillId="4" borderId="11" xfId="43" applyFont="1" applyFill="1" applyBorder="1" applyAlignment="1">
      <alignment horizontal="center" vertical="center"/>
    </xf>
    <xf numFmtId="0" fontId="2" fillId="0" borderId="0" xfId="43" applyFont="1" applyAlignment="1">
      <alignment horizontal="center" vertical="center"/>
    </xf>
    <xf numFmtId="0" fontId="28" fillId="6" borderId="14" xfId="43" applyFont="1" applyFill="1" applyBorder="1" applyAlignment="1">
      <alignment horizontal="center"/>
    </xf>
    <xf numFmtId="0" fontId="28" fillId="6" borderId="15" xfId="43" applyFont="1" applyFill="1" applyBorder="1" applyAlignment="1">
      <alignment horizontal="center"/>
    </xf>
    <xf numFmtId="0" fontId="28" fillId="6" borderId="16" xfId="43" applyFont="1" applyFill="1" applyBorder="1" applyAlignment="1">
      <alignment horizontal="center"/>
    </xf>
    <xf numFmtId="0" fontId="29" fillId="0" borderId="17" xfId="43" applyFont="1" applyBorder="1" applyAlignment="1">
      <alignment horizontal="center" vertical="center" wrapText="1"/>
    </xf>
    <xf numFmtId="0" fontId="29" fillId="0" borderId="18" xfId="43" applyFont="1" applyBorder="1" applyAlignment="1">
      <alignment horizontal="center" vertical="center" wrapText="1"/>
    </xf>
    <xf numFmtId="0" fontId="26" fillId="4" borderId="13" xfId="43" applyFont="1" applyFill="1" applyBorder="1" applyAlignment="1">
      <alignment horizontal="center" vertical="center"/>
    </xf>
    <xf numFmtId="0" fontId="26" fillId="4" borderId="18" xfId="43" applyFont="1" applyFill="1" applyBorder="1" applyAlignment="1">
      <alignment horizontal="center" vertical="center"/>
    </xf>
    <xf numFmtId="0" fontId="26" fillId="4" borderId="22" xfId="43" applyFont="1" applyFill="1" applyBorder="1" applyAlignment="1">
      <alignment horizontal="center" vertical="center"/>
    </xf>
    <xf numFmtId="0" fontId="26" fillId="4" borderId="23" xfId="43" applyFont="1" applyFill="1" applyBorder="1" applyAlignment="1">
      <alignment horizontal="center" vertical="center"/>
    </xf>
    <xf numFmtId="0" fontId="26" fillId="4" borderId="2" xfId="43" applyFont="1" applyFill="1" applyBorder="1" applyAlignment="1">
      <alignment horizontal="right" vertical="center"/>
    </xf>
    <xf numFmtId="0" fontId="26" fillId="4" borderId="21" xfId="43" applyFont="1" applyFill="1" applyBorder="1" applyAlignment="1">
      <alignment horizontal="right" vertical="center"/>
    </xf>
    <xf numFmtId="0" fontId="26" fillId="4" borderId="3" xfId="43" applyFont="1" applyFill="1" applyBorder="1" applyAlignment="1">
      <alignment horizontal="right" vertical="center"/>
    </xf>
    <xf numFmtId="0" fontId="26" fillId="4" borderId="7" xfId="43" applyFont="1" applyFill="1" applyBorder="1" applyAlignment="1">
      <alignment horizontal="right" vertical="center"/>
    </xf>
  </cellXfs>
  <cellStyles count="5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8" builtinId="8"/>
    <cellStyle name="Hyperlink 2" xfId="42" xr:uid="{C380AA0A-E10B-1C43-9286-02819B081BC7}"/>
    <cellStyle name="Normal" xfId="0" builtinId="0"/>
    <cellStyle name="Normal 2" xfId="41" xr:uid="{0D0AB34C-A1A9-7D42-A14C-E95ACB658DC4}"/>
    <cellStyle name="Normal 3" xfId="43" xr:uid="{D0C399E2-A941-AA4F-B42F-87A7CE497740}"/>
    <cellStyle name="Normal 3 2" xfId="44" xr:uid="{053FA022-145E-5B4C-8FD3-7620CDCF3F7A}"/>
    <cellStyle name="Normal 3 3" xfId="52" xr:uid="{10677593-5D1C-FD43-A958-20A6F7FA1E4A}"/>
    <cellStyle name="Normal 4" xfId="45" xr:uid="{0E1916BE-0CB3-DE44-BD3A-C9A53A0F672B}"/>
    <cellStyle name="Normal 5" xfId="46" xr:uid="{A901F684-D9BA-CF40-B9E1-7D5772B29AA8}"/>
    <cellStyle name="Normal 5 2" xfId="50" xr:uid="{BDA577F7-A78A-D246-B16B-9CFA6F2C2692}"/>
    <cellStyle name="Normal 6" xfId="47" xr:uid="{DE0B0A45-6F08-9F49-9C8F-FBDBDC9EC2C8}"/>
    <cellStyle name="Normal 6 2" xfId="49" xr:uid="{DEF7C2A5-2628-C744-B1B5-ABEEA780634B}"/>
    <cellStyle name="Normal 7" xfId="51" xr:uid="{BCB15854-2144-ED47-9C9C-CF606BAC5EE0}"/>
  </cellStyles>
  <dxfs count="6">
    <dxf>
      <font>
        <color rgb="FF006100"/>
      </font>
      <fill>
        <patternFill>
          <bgColor rgb="FFC6EFCE"/>
        </patternFill>
      </fill>
    </dxf>
    <dxf>
      <font>
        <color rgb="FF006100"/>
      </font>
      <fill>
        <patternFill>
          <bgColor rgb="FFC6EFCE"/>
        </patternFill>
      </fill>
    </dxf>
    <dxf>
      <fill>
        <patternFill>
          <bgColor rgb="FF00B050"/>
        </patternFill>
      </fill>
    </dxf>
    <dxf>
      <font>
        <color rgb="FF006100"/>
      </font>
      <fill>
        <patternFill>
          <bgColor rgb="FFC6EFCE"/>
        </patternFill>
      </fill>
    </dxf>
    <dxf>
      <font>
        <color rgb="FF006100"/>
      </font>
      <fill>
        <patternFill>
          <bgColor rgb="FFC6EFCE"/>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06/relationships/rdRichValue" Target="richData/rdrichvalue.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image" Target="../media/image3.jpg"/><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image" Target="../media/image3.jpg"/><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8011282171818074E-2"/>
          <c:y val="5.8632036667058407E-3"/>
          <c:w val="0.97273465049997587"/>
          <c:h val="0.98626932728264161"/>
        </c:manualLayout>
      </c:layout>
      <c:areaChart>
        <c:grouping val="stacked"/>
        <c:varyColors val="0"/>
        <c:ser>
          <c:idx val="2"/>
          <c:order val="0"/>
          <c:tx>
            <c:strRef>
              <c:f>'Illumination (VR)'!$H$8</c:f>
              <c:strCache>
                <c:ptCount val="1"/>
                <c:pt idx="0">
                  <c:v>black bottom</c:v>
                </c:pt>
              </c:strCache>
            </c:strRef>
          </c:tx>
          <c:spPr>
            <a:solidFill>
              <a:schemeClr val="tx1"/>
            </a:solidFill>
            <a:ln w="9525">
              <a:solidFill>
                <a:schemeClr val="tx1"/>
              </a:solidFill>
            </a:ln>
            <a:effectLst/>
          </c:spPr>
          <c:val>
            <c:numRef>
              <c:f>'Illumination (VR)'!$H$9:$H$209</c:f>
              <c:numCache>
                <c:formatCode>0.00</c:formatCode>
                <c:ptCount val="201"/>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0.69838177694467429</c:v>
                </c:pt>
                <c:pt idx="84">
                  <c:v>0.55866971530490095</c:v>
                </c:pt>
                <c:pt idx="85">
                  <c:v>0.45937032320470139</c:v>
                </c:pt>
                <c:pt idx="86">
                  <c:v>0.38072814192210558</c:v>
                </c:pt>
                <c:pt idx="87">
                  <c:v>0.31558493549934652</c:v>
                </c:pt>
                <c:pt idx="88">
                  <c:v>0.26036530208734376</c:v>
                </c:pt>
                <c:pt idx="89">
                  <c:v>0.21297766757862213</c:v>
                </c:pt>
                <c:pt idx="90">
                  <c:v>0.17207610456253153</c:v>
                </c:pt>
                <c:pt idx="91">
                  <c:v>0.13673818509362656</c:v>
                </c:pt>
                <c:pt idx="92">
                  <c:v>0.10630368410333801</c:v>
                </c:pt>
                <c:pt idx="93">
                  <c:v>8.0285691884804056E-2</c:v>
                </c:pt>
                <c:pt idx="94">
                  <c:v>5.8318062406903848E-2</c:v>
                </c:pt>
                <c:pt idx="95">
                  <c:v>4.0122667129237177E-2</c:v>
                </c:pt>
                <c:pt idx="96">
                  <c:v>2.5488185673556041E-2</c:v>
                </c:pt>
                <c:pt idx="97">
                  <c:v>1.4256007932448744E-2</c:v>
                </c:pt>
                <c:pt idx="98">
                  <c:v>6.3107532706944136E-3</c:v>
                </c:pt>
                <c:pt idx="99">
                  <c:v>1.5739487741899261E-3</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84E1-4A4F-8294-93BA2B904ACF}"/>
            </c:ext>
          </c:extLst>
        </c:ser>
        <c:ser>
          <c:idx val="0"/>
          <c:order val="1"/>
          <c:tx>
            <c:strRef>
              <c:f>'Illumination (VR)'!$I$8</c:f>
              <c:strCache>
                <c:ptCount val="1"/>
                <c:pt idx="0">
                  <c:v>transparent</c:v>
                </c:pt>
              </c:strCache>
            </c:strRef>
          </c:tx>
          <c:spPr>
            <a:noFill/>
            <a:ln w="25400">
              <a:noFill/>
            </a:ln>
            <a:effectLst/>
          </c:spPr>
          <c:val>
            <c:numRef>
              <c:f>'Illumination (VR)'!$I$9:$I$209</c:f>
              <c:numCache>
                <c:formatCode>0.00</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0.60323644611065153</c:v>
                </c:pt>
                <c:pt idx="84">
                  <c:v>0.8826605693901981</c:v>
                </c:pt>
                <c:pt idx="85">
                  <c:v>1.0812593535905972</c:v>
                </c:pt>
                <c:pt idx="86">
                  <c:v>1.2385437161557888</c:v>
                </c:pt>
                <c:pt idx="87">
                  <c:v>1.368830129001307</c:v>
                </c:pt>
                <c:pt idx="88">
                  <c:v>1.4792693958253125</c:v>
                </c:pt>
                <c:pt idx="89">
                  <c:v>1.5740446648427557</c:v>
                </c:pt>
                <c:pt idx="90">
                  <c:v>1.6558477908749369</c:v>
                </c:pt>
                <c:pt idx="91">
                  <c:v>1.7265236298127469</c:v>
                </c:pt>
                <c:pt idx="92">
                  <c:v>1.787392631793324</c:v>
                </c:pt>
                <c:pt idx="93">
                  <c:v>1.8394286162303919</c:v>
                </c:pt>
                <c:pt idx="94">
                  <c:v>1.8833638751861923</c:v>
                </c:pt>
                <c:pt idx="95">
                  <c:v>1.9197546657415256</c:v>
                </c:pt>
                <c:pt idx="96">
                  <c:v>1.9490236286528879</c:v>
                </c:pt>
                <c:pt idx="97">
                  <c:v>1.9714879841351025</c:v>
                </c:pt>
                <c:pt idx="98">
                  <c:v>1.9873784934586112</c:v>
                </c:pt>
                <c:pt idx="99">
                  <c:v>1.9968521024516201</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c:v>
                </c:pt>
                <c:pt idx="193">
                  <c:v>2</c:v>
                </c:pt>
                <c:pt idx="194">
                  <c:v>2</c:v>
                </c:pt>
                <c:pt idx="195">
                  <c:v>2</c:v>
                </c:pt>
                <c:pt idx="196">
                  <c:v>2</c:v>
                </c:pt>
                <c:pt idx="197">
                  <c:v>2</c:v>
                </c:pt>
                <c:pt idx="198">
                  <c:v>2</c:v>
                </c:pt>
                <c:pt idx="199">
                  <c:v>2</c:v>
                </c:pt>
                <c:pt idx="200">
                  <c:v>2</c:v>
                </c:pt>
              </c:numCache>
            </c:numRef>
          </c:val>
          <c:extLst>
            <c:ext xmlns:c16="http://schemas.microsoft.com/office/drawing/2014/chart" uri="{C3380CC4-5D6E-409C-BE32-E72D297353CC}">
              <c16:uniqueId val="{00000001-84E1-4A4F-8294-93BA2B904ACF}"/>
            </c:ext>
          </c:extLst>
        </c:ser>
        <c:ser>
          <c:idx val="3"/>
          <c:order val="2"/>
          <c:tx>
            <c:strRef>
              <c:f>'Illumination (VR)'!$J$8</c:f>
              <c:strCache>
                <c:ptCount val="1"/>
                <c:pt idx="0">
                  <c:v>black top</c:v>
                </c:pt>
              </c:strCache>
            </c:strRef>
          </c:tx>
          <c:spPr>
            <a:solidFill>
              <a:schemeClr val="tx1"/>
            </a:solidFill>
            <a:ln w="9525">
              <a:noFill/>
            </a:ln>
            <a:effectLst/>
          </c:spPr>
          <c:val>
            <c:numRef>
              <c:f>'Illumination (VR)'!$J$9:$J$209</c:f>
              <c:numCache>
                <c:formatCode>0.00</c:formatCode>
                <c:ptCount val="201"/>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1.3016182230553257</c:v>
                </c:pt>
                <c:pt idx="84">
                  <c:v>1.4413302846950991</c:v>
                </c:pt>
                <c:pt idx="85">
                  <c:v>1.5406296767952985</c:v>
                </c:pt>
                <c:pt idx="86">
                  <c:v>1.6192718580778944</c:v>
                </c:pt>
                <c:pt idx="87">
                  <c:v>1.6844150645006535</c:v>
                </c:pt>
                <c:pt idx="88">
                  <c:v>1.7396346979126562</c:v>
                </c:pt>
                <c:pt idx="89">
                  <c:v>1.7870223324213779</c:v>
                </c:pt>
                <c:pt idx="90">
                  <c:v>1.8279238954374684</c:v>
                </c:pt>
                <c:pt idx="91">
                  <c:v>1.8632618149063735</c:v>
                </c:pt>
                <c:pt idx="92">
                  <c:v>1.893696315896662</c:v>
                </c:pt>
                <c:pt idx="93">
                  <c:v>1.9197143081151959</c:v>
                </c:pt>
                <c:pt idx="94">
                  <c:v>1.941681937593096</c:v>
                </c:pt>
                <c:pt idx="95">
                  <c:v>1.9598773328707628</c:v>
                </c:pt>
                <c:pt idx="96">
                  <c:v>1.974511814326444</c:v>
                </c:pt>
                <c:pt idx="97">
                  <c:v>1.9857439920675513</c:v>
                </c:pt>
                <c:pt idx="98">
                  <c:v>1.9936892467293057</c:v>
                </c:pt>
                <c:pt idx="99">
                  <c:v>1.9984260512258101</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c:v>
                </c:pt>
                <c:pt idx="193">
                  <c:v>2</c:v>
                </c:pt>
                <c:pt idx="194">
                  <c:v>2</c:v>
                </c:pt>
                <c:pt idx="195">
                  <c:v>2</c:v>
                </c:pt>
                <c:pt idx="196">
                  <c:v>2</c:v>
                </c:pt>
                <c:pt idx="197">
                  <c:v>2</c:v>
                </c:pt>
                <c:pt idx="198">
                  <c:v>2</c:v>
                </c:pt>
                <c:pt idx="199">
                  <c:v>2</c:v>
                </c:pt>
                <c:pt idx="200">
                  <c:v>2</c:v>
                </c:pt>
              </c:numCache>
            </c:numRef>
          </c:val>
          <c:extLst>
            <c:ext xmlns:c16="http://schemas.microsoft.com/office/drawing/2014/chart" uri="{C3380CC4-5D6E-409C-BE32-E72D297353CC}">
              <c16:uniqueId val="{00000002-84E1-4A4F-8294-93BA2B904ACF}"/>
            </c:ext>
          </c:extLst>
        </c:ser>
        <c:dLbls>
          <c:showLegendKey val="0"/>
          <c:showVal val="0"/>
          <c:showCatName val="0"/>
          <c:showSerName val="0"/>
          <c:showPercent val="0"/>
          <c:showBubbleSize val="0"/>
        </c:dLbls>
        <c:axId val="239354064"/>
        <c:axId val="239352496"/>
      </c:areaChart>
      <c:catAx>
        <c:axId val="239354064"/>
        <c:scaling>
          <c:orientation val="minMax"/>
        </c:scaling>
        <c:delete val="1"/>
        <c:axPos val="b"/>
        <c:majorTickMark val="none"/>
        <c:minorTickMark val="none"/>
        <c:tickLblPos val="nextTo"/>
        <c:crossAx val="239352496"/>
        <c:crosses val="autoZero"/>
        <c:auto val="1"/>
        <c:lblAlgn val="ctr"/>
        <c:lblOffset val="100"/>
        <c:noMultiLvlLbl val="0"/>
      </c:catAx>
      <c:valAx>
        <c:axId val="239352496"/>
        <c:scaling>
          <c:orientation val="minMax"/>
          <c:max val="2"/>
          <c:min val="0"/>
        </c:scaling>
        <c:delete val="1"/>
        <c:axPos val="l"/>
        <c:numFmt formatCode="0.00" sourceLinked="1"/>
        <c:majorTickMark val="out"/>
        <c:minorTickMark val="none"/>
        <c:tickLblPos val="nextTo"/>
        <c:crossAx val="239354064"/>
        <c:crosses val="autoZero"/>
        <c:crossBetween val="midCat"/>
      </c:valAx>
      <c:spPr>
        <a:blipFill>
          <a:blip xmlns:r="http://schemas.openxmlformats.org/officeDocument/2006/relationships" r:embed="rId3"/>
          <a:stretch>
            <a:fillRect/>
          </a:stretch>
        </a:blipFill>
        <a:ln>
          <a:noFill/>
        </a:ln>
        <a:effectLst/>
      </c:spPr>
    </c:plotArea>
    <c:plotVisOnly val="0"/>
    <c:dispBlanksAs val="gap"/>
    <c:showDLblsOverMax val="0"/>
  </c:chart>
  <c:spPr>
    <a:solidFill>
      <a:schemeClr val="tx1"/>
    </a:solidFill>
    <a:ln w="9525" cap="flat" cmpd="sng" algn="ctr">
      <a:noFill/>
      <a:round/>
    </a:ln>
    <a:effectLst/>
  </c:spPr>
  <c:txPr>
    <a:bodyPr/>
    <a:lstStyle/>
    <a:p>
      <a:pPr>
        <a:defRPr/>
      </a:pPr>
      <a:endParaRPr lang="en-CH"/>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8011282171818074E-2"/>
          <c:y val="5.8632036667058407E-3"/>
          <c:w val="0.97273465049997587"/>
          <c:h val="0.98626932728264161"/>
        </c:manualLayout>
      </c:layout>
      <c:areaChart>
        <c:grouping val="stacked"/>
        <c:varyColors val="0"/>
        <c:ser>
          <c:idx val="2"/>
          <c:order val="0"/>
          <c:tx>
            <c:strRef>
              <c:f>'Illumination (VR)'!$R$8</c:f>
              <c:strCache>
                <c:ptCount val="1"/>
                <c:pt idx="0">
                  <c:v>black bottom</c:v>
                </c:pt>
              </c:strCache>
            </c:strRef>
          </c:tx>
          <c:spPr>
            <a:solidFill>
              <a:schemeClr val="tx1"/>
            </a:solidFill>
            <a:ln w="9525">
              <a:solidFill>
                <a:schemeClr val="tx1"/>
              </a:solidFill>
            </a:ln>
            <a:effectLst/>
          </c:spPr>
          <c:val>
            <c:numRef>
              <c:f>'Illumination (VR)'!$R$9:$R$209</c:f>
              <c:numCache>
                <c:formatCode>0.00</c:formatCode>
                <c:ptCount val="201"/>
                <c:pt idx="0">
                  <c:v>1</c:v>
                </c:pt>
                <c:pt idx="1">
                  <c:v>0.87760922740914771</c:v>
                </c:pt>
                <c:pt idx="2">
                  <c:v>0.81351031344668834</c:v>
                </c:pt>
                <c:pt idx="3">
                  <c:v>0.76681273387006976</c:v>
                </c:pt>
                <c:pt idx="4">
                  <c:v>0.72838778580744701</c:v>
                </c:pt>
                <c:pt idx="5">
                  <c:v>0.6950916783178207</c:v>
                </c:pt>
                <c:pt idx="6">
                  <c:v>0.66538982340260877</c:v>
                </c:pt>
                <c:pt idx="7">
                  <c:v>0.63839544824067396</c:v>
                </c:pt>
                <c:pt idx="8">
                  <c:v>0.61354077919834715</c:v>
                </c:pt>
                <c:pt idx="9">
                  <c:v>0.5904360822152297</c:v>
                </c:pt>
                <c:pt idx="10">
                  <c:v>0.56879996280284106</c:v>
                </c:pt>
                <c:pt idx="11">
                  <c:v>0.54842128335639617</c:v>
                </c:pt>
                <c:pt idx="12">
                  <c:v>0.52913675181516973</c:v>
                </c:pt>
                <c:pt idx="13">
                  <c:v>0.51081695084980128</c:v>
                </c:pt>
                <c:pt idx="14">
                  <c:v>0.49335721797341847</c:v>
                </c:pt>
                <c:pt idx="15">
                  <c:v>0.47667146313007702</c:v>
                </c:pt>
                <c:pt idx="16">
                  <c:v>0.46068784331870805</c:v>
                </c:pt>
                <c:pt idx="17">
                  <c:v>0.4453456543890868</c:v>
                </c:pt>
                <c:pt idx="18">
                  <c:v>0.43059304554216593</c:v>
                </c:pt>
                <c:pt idx="19">
                  <c:v>0.41638530485957304</c:v>
                </c:pt>
                <c:pt idx="20">
                  <c:v>0.40268355045102533</c:v>
                </c:pt>
                <c:pt idx="21">
                  <c:v>0.3894537156457637</c:v>
                </c:pt>
                <c:pt idx="22">
                  <c:v>0.37666575122590384</c:v>
                </c:pt>
                <c:pt idx="23">
                  <c:v>0.36429299046667607</c:v>
                </c:pt>
                <c:pt idx="24">
                  <c:v>0.35231163808211896</c:v>
                </c:pt>
                <c:pt idx="25">
                  <c:v>0.34070035471193638</c:v>
                </c:pt>
                <c:pt idx="26">
                  <c:v>0.32943991595898237</c:v>
                </c:pt>
                <c:pt idx="27">
                  <c:v>0.31851293023252558</c:v>
                </c:pt>
                <c:pt idx="28">
                  <c:v>0.30790360344063905</c:v>
                </c:pt>
                <c:pt idx="29">
                  <c:v>0.29759754134849603</c:v>
                </c:pt>
                <c:pt idx="30">
                  <c:v>0.2875815824756246</c:v>
                </c:pt>
                <c:pt idx="31">
                  <c:v>0.27784365594753346</c:v>
                </c:pt>
                <c:pt idx="32">
                  <c:v>0.26837265988650649</c:v>
                </c:pt>
                <c:pt idx="33">
                  <c:v>0.25915835682185207</c:v>
                </c:pt>
                <c:pt idx="34">
                  <c:v>0.2501912832920099</c:v>
                </c:pt>
                <c:pt idx="35">
                  <c:v>0.24146267135051325</c:v>
                </c:pt>
                <c:pt idx="36">
                  <c:v>0.23296438011188314</c:v>
                </c:pt>
                <c:pt idx="37">
                  <c:v>0.22468883580937149</c:v>
                </c:pt>
                <c:pt idx="38">
                  <c:v>0.21662897910432022</c:v>
                </c:pt>
                <c:pt idx="39">
                  <c:v>0.20877821860196288</c:v>
                </c:pt>
                <c:pt idx="40">
                  <c:v>0.20113038970226271</c:v>
                </c:pt>
                <c:pt idx="41">
                  <c:v>0.19367971805561912</c:v>
                </c:pt>
                <c:pt idx="42">
                  <c:v>0.18642078700872333</c:v>
                </c:pt>
                <c:pt idx="43">
                  <c:v>0.17934850852071438</c:v>
                </c:pt>
                <c:pt idx="44">
                  <c:v>0.1724580971081412</c:v>
                </c:pt>
                <c:pt idx="45">
                  <c:v>0.16574504644226817</c:v>
                </c:pt>
                <c:pt idx="46">
                  <c:v>0.15920510827647172</c:v>
                </c:pt>
                <c:pt idx="47">
                  <c:v>0.15283427342687084</c:v>
                </c:pt>
                <c:pt idx="48">
                  <c:v>0.1466287545675049</c:v>
                </c:pt>
                <c:pt idx="49">
                  <c:v>0.14058497063358877</c:v>
                </c:pt>
                <c:pt idx="50">
                  <c:v>0.13469953265367807</c:v>
                </c:pt>
                <c:pt idx="51">
                  <c:v>0.12896923085479439</c:v>
                </c:pt>
                <c:pt idx="52">
                  <c:v>0.12339102290437054</c:v>
                </c:pt>
                <c:pt idx="53">
                  <c:v>0.11796202316984405</c:v>
                </c:pt>
                <c:pt idx="54">
                  <c:v>0.11267949289129153</c:v>
                </c:pt>
                <c:pt idx="55">
                  <c:v>0.10754083117505697</c:v>
                </c:pt>
                <c:pt idx="56">
                  <c:v>0.10254356672716824</c:v>
                </c:pt>
                <c:pt idx="57">
                  <c:v>9.7685350254741232E-2</c:v>
                </c:pt>
                <c:pt idx="58">
                  <c:v>9.2963947471735309E-2</c:v>
                </c:pt>
                <c:pt idx="59">
                  <c:v>8.8377232652542381E-2</c:v>
                </c:pt>
                <c:pt idx="60">
                  <c:v>8.3923182683106723E-2</c:v>
                </c:pt>
                <c:pt idx="61">
                  <c:v>7.9599871564713376E-2</c:v>
                </c:pt>
                <c:pt idx="62">
                  <c:v>7.5405465330360411E-2</c:v>
                </c:pt>
                <c:pt idx="63">
                  <c:v>7.1338217337832743E-2</c:v>
                </c:pt>
                <c:pt idx="64">
                  <c:v>6.7396463907297144E-2</c:v>
                </c:pt>
                <c:pt idx="65">
                  <c:v>6.3578620274513331E-2</c:v>
                </c:pt>
                <c:pt idx="66">
                  <c:v>5.9883176833651852E-2</c:v>
                </c:pt>
                <c:pt idx="67">
                  <c:v>5.630869564628227E-2</c:v>
                </c:pt>
                <c:pt idx="68">
                  <c:v>5.2853807195379576E-2</c:v>
                </c:pt>
                <c:pt idx="69">
                  <c:v>4.9517207365233129E-2</c:v>
                </c:pt>
                <c:pt idx="70">
                  <c:v>4.629765462996005E-2</c:v>
                </c:pt>
                <c:pt idx="71">
                  <c:v>4.3193967434947411E-2</c:v>
                </c:pt>
                <c:pt idx="72">
                  <c:v>4.0205021757005688E-2</c:v>
                </c:pt>
                <c:pt idx="73">
                  <c:v>3.7329748830319809E-2</c:v>
                </c:pt>
                <c:pt idx="74">
                  <c:v>3.4567133026458308E-2</c:v>
                </c:pt>
                <c:pt idx="75">
                  <c:v>3.1916209877760116E-2</c:v>
                </c:pt>
                <c:pt idx="76">
                  <c:v>2.9376064234370114E-2</c:v>
                </c:pt>
                <c:pt idx="77">
                  <c:v>2.6945828546059758E-2</c:v>
                </c:pt>
                <c:pt idx="78">
                  <c:v>2.4624681260747572E-2</c:v>
                </c:pt>
                <c:pt idx="79">
                  <c:v>2.2411845332343194E-2</c:v>
                </c:pt>
                <c:pt idx="80">
                  <c:v>2.0306586831185025E-2</c:v>
                </c:pt>
                <c:pt idx="81">
                  <c:v>1.8308213650922944E-2</c:v>
                </c:pt>
                <c:pt idx="82">
                  <c:v>1.6416074306237149E-2</c:v>
                </c:pt>
                <c:pt idx="83">
                  <c:v>1.4629556816271871E-2</c:v>
                </c:pt>
                <c:pt idx="84">
                  <c:v>1.2948087669107489E-2</c:v>
                </c:pt>
                <c:pt idx="85">
                  <c:v>1.1371130863012446E-2</c:v>
                </c:pt>
                <c:pt idx="86">
                  <c:v>9.8981870205885336E-3</c:v>
                </c:pt>
                <c:pt idx="87">
                  <c:v>8.5287925722763447E-3</c:v>
                </c:pt>
                <c:pt idx="88">
                  <c:v>7.2625190060110478E-3</c:v>
                </c:pt>
                <c:pt idx="89">
                  <c:v>6.0989721801145702E-3</c:v>
                </c:pt>
                <c:pt idx="90">
                  <c:v>5.0377916967948577E-3</c:v>
                </c:pt>
                <c:pt idx="91">
                  <c:v>4.078650333878775E-3</c:v>
                </c:pt>
                <c:pt idx="92">
                  <c:v>3.221253532651791E-3</c:v>
                </c:pt>
                <c:pt idx="93">
                  <c:v>2.4653389399045267E-3</c:v>
                </c:pt>
                <c:pt idx="94">
                  <c:v>1.8106760025067281E-3</c:v>
                </c:pt>
                <c:pt idx="95">
                  <c:v>1.2570656130288516E-3</c:v>
                </c:pt>
                <c:pt idx="96">
                  <c:v>8.0433980513383574E-4</c:v>
                </c:pt>
                <c:pt idx="97">
                  <c:v>4.5236149764071865E-4</c:v>
                </c:pt>
                <c:pt idx="98">
                  <c:v>2.0102428635004888E-4</c:v>
                </c:pt>
                <c:pt idx="99">
                  <c:v>5.0252282888019195E-5</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6414-1E47-BD71-BBE45A200B32}"/>
            </c:ext>
          </c:extLst>
        </c:ser>
        <c:ser>
          <c:idx val="0"/>
          <c:order val="1"/>
          <c:tx>
            <c:strRef>
              <c:f>'Illumination (VR)'!$S$8</c:f>
              <c:strCache>
                <c:ptCount val="1"/>
                <c:pt idx="0">
                  <c:v>transparent</c:v>
                </c:pt>
              </c:strCache>
            </c:strRef>
          </c:tx>
          <c:spPr>
            <a:noFill/>
            <a:ln w="25400">
              <a:noFill/>
            </a:ln>
            <a:effectLst/>
          </c:spPr>
          <c:val>
            <c:numRef>
              <c:f>'Illumination (VR)'!$S$9:$S$209</c:f>
              <c:numCache>
                <c:formatCode>0.00</c:formatCode>
                <c:ptCount val="201"/>
                <c:pt idx="0">
                  <c:v>0</c:v>
                </c:pt>
                <c:pt idx="1">
                  <c:v>0.24478154518170453</c:v>
                </c:pt>
                <c:pt idx="2">
                  <c:v>0.37297937310662327</c:v>
                </c:pt>
                <c:pt idx="3">
                  <c:v>0.46637453225986042</c:v>
                </c:pt>
                <c:pt idx="4">
                  <c:v>0.54322442838510587</c:v>
                </c:pt>
                <c:pt idx="5">
                  <c:v>0.6098166433643587</c:v>
                </c:pt>
                <c:pt idx="6">
                  <c:v>0.66922035319478246</c:v>
                </c:pt>
                <c:pt idx="7">
                  <c:v>0.72320910351865209</c:v>
                </c:pt>
                <c:pt idx="8">
                  <c:v>0.77291844160330581</c:v>
                </c:pt>
                <c:pt idx="9">
                  <c:v>0.81912783556954072</c:v>
                </c:pt>
                <c:pt idx="10">
                  <c:v>0.86240007439431787</c:v>
                </c:pt>
                <c:pt idx="11">
                  <c:v>0.90315743328720777</c:v>
                </c:pt>
                <c:pt idx="12">
                  <c:v>0.94172649636966055</c:v>
                </c:pt>
                <c:pt idx="13">
                  <c:v>0.97836609830039745</c:v>
                </c:pt>
                <c:pt idx="14">
                  <c:v>1.0132855640531631</c:v>
                </c:pt>
                <c:pt idx="15">
                  <c:v>1.046657073739846</c:v>
                </c:pt>
                <c:pt idx="16">
                  <c:v>1.0786243133625839</c:v>
                </c:pt>
                <c:pt idx="17">
                  <c:v>1.1093086912218264</c:v>
                </c:pt>
                <c:pt idx="18">
                  <c:v>1.1388139089156681</c:v>
                </c:pt>
                <c:pt idx="19">
                  <c:v>1.1672293902808539</c:v>
                </c:pt>
                <c:pt idx="20">
                  <c:v>1.1946328990979493</c:v>
                </c:pt>
                <c:pt idx="21">
                  <c:v>1.2210925687084726</c:v>
                </c:pt>
                <c:pt idx="22">
                  <c:v>1.2466684975481923</c:v>
                </c:pt>
                <c:pt idx="23">
                  <c:v>1.2714140190666479</c:v>
                </c:pt>
                <c:pt idx="24">
                  <c:v>1.2953767238357621</c:v>
                </c:pt>
                <c:pt idx="25">
                  <c:v>1.3185992905761272</c:v>
                </c:pt>
                <c:pt idx="26">
                  <c:v>1.3411201680820353</c:v>
                </c:pt>
                <c:pt idx="27">
                  <c:v>1.3629741395349488</c:v>
                </c:pt>
                <c:pt idx="28">
                  <c:v>1.3841927931187219</c:v>
                </c:pt>
                <c:pt idx="29">
                  <c:v>1.4048049173030079</c:v>
                </c:pt>
                <c:pt idx="30">
                  <c:v>1.4248368350487508</c:v>
                </c:pt>
                <c:pt idx="31">
                  <c:v>1.4443126881049331</c:v>
                </c:pt>
                <c:pt idx="32">
                  <c:v>1.463254680226987</c:v>
                </c:pt>
                <c:pt idx="33">
                  <c:v>1.4816832863562959</c:v>
                </c:pt>
                <c:pt idx="34">
                  <c:v>1.4996174334159802</c:v>
                </c:pt>
                <c:pt idx="35">
                  <c:v>1.5170746572989735</c:v>
                </c:pt>
                <c:pt idx="36">
                  <c:v>1.5340712397762337</c:v>
                </c:pt>
                <c:pt idx="37">
                  <c:v>1.550622328381257</c:v>
                </c:pt>
                <c:pt idx="38">
                  <c:v>1.5667420417913596</c:v>
                </c:pt>
                <c:pt idx="39">
                  <c:v>1.5824435627960742</c:v>
                </c:pt>
                <c:pt idx="40">
                  <c:v>1.5977392205954746</c:v>
                </c:pt>
                <c:pt idx="41">
                  <c:v>1.6126405638887618</c:v>
                </c:pt>
                <c:pt idx="42">
                  <c:v>1.6271584259825533</c:v>
                </c:pt>
                <c:pt idx="43">
                  <c:v>1.6413029829585712</c:v>
                </c:pt>
                <c:pt idx="44">
                  <c:v>1.6550838057837176</c:v>
                </c:pt>
                <c:pt idx="45">
                  <c:v>1.6685099071154637</c:v>
                </c:pt>
                <c:pt idx="46">
                  <c:v>1.6815897834470566</c:v>
                </c:pt>
                <c:pt idx="47">
                  <c:v>1.6943314531462583</c:v>
                </c:pt>
                <c:pt idx="48">
                  <c:v>1.7067424908649902</c:v>
                </c:pt>
                <c:pt idx="49">
                  <c:v>1.7188300587328225</c:v>
                </c:pt>
                <c:pt idx="50">
                  <c:v>1.7306009346926439</c:v>
                </c:pt>
                <c:pt idx="51">
                  <c:v>1.7420615382904112</c:v>
                </c:pt>
                <c:pt idx="52">
                  <c:v>1.7532179541912589</c:v>
                </c:pt>
                <c:pt idx="53">
                  <c:v>1.7640759536603119</c:v>
                </c:pt>
                <c:pt idx="54">
                  <c:v>1.7746410142174169</c:v>
                </c:pt>
                <c:pt idx="55">
                  <c:v>1.7849183376498861</c:v>
                </c:pt>
                <c:pt idx="56">
                  <c:v>1.7949128665456635</c:v>
                </c:pt>
                <c:pt idx="57">
                  <c:v>1.8046292994905175</c:v>
                </c:pt>
                <c:pt idx="58">
                  <c:v>1.8140721050565294</c:v>
                </c:pt>
                <c:pt idx="59">
                  <c:v>1.8232455346949152</c:v>
                </c:pt>
                <c:pt idx="60">
                  <c:v>1.8321536346337866</c:v>
                </c:pt>
                <c:pt idx="61">
                  <c:v>1.8408002568705732</c:v>
                </c:pt>
                <c:pt idx="62">
                  <c:v>1.8491890693392792</c:v>
                </c:pt>
                <c:pt idx="63">
                  <c:v>1.8573235653243345</c:v>
                </c:pt>
                <c:pt idx="64">
                  <c:v>1.8652070721854057</c:v>
                </c:pt>
                <c:pt idx="65">
                  <c:v>1.8728427594509733</c:v>
                </c:pt>
                <c:pt idx="66">
                  <c:v>1.8802336463326963</c:v>
                </c:pt>
                <c:pt idx="67">
                  <c:v>1.8873826087074355</c:v>
                </c:pt>
                <c:pt idx="68">
                  <c:v>1.8942923856092408</c:v>
                </c:pt>
                <c:pt idx="69">
                  <c:v>1.9009655852695337</c:v>
                </c:pt>
                <c:pt idx="70">
                  <c:v>1.9074046907400799</c:v>
                </c:pt>
                <c:pt idx="71">
                  <c:v>1.9136120651301052</c:v>
                </c:pt>
                <c:pt idx="72">
                  <c:v>1.9195899564859886</c:v>
                </c:pt>
                <c:pt idx="73">
                  <c:v>1.9253405023393604</c:v>
                </c:pt>
                <c:pt idx="74">
                  <c:v>1.9308657339470834</c:v>
                </c:pt>
                <c:pt idx="75">
                  <c:v>1.9361675802444798</c:v>
                </c:pt>
                <c:pt idx="76">
                  <c:v>1.9412478715312598</c:v>
                </c:pt>
                <c:pt idx="77">
                  <c:v>1.9461083429078805</c:v>
                </c:pt>
                <c:pt idx="78">
                  <c:v>1.9507506374785049</c:v>
                </c:pt>
                <c:pt idx="79">
                  <c:v>1.9551763093353136</c:v>
                </c:pt>
                <c:pt idx="80">
                  <c:v>1.9593868263376299</c:v>
                </c:pt>
                <c:pt idx="81">
                  <c:v>1.9633835726981541</c:v>
                </c:pt>
                <c:pt idx="82">
                  <c:v>1.9671678513875257</c:v>
                </c:pt>
                <c:pt idx="83">
                  <c:v>1.9707408863674563</c:v>
                </c:pt>
                <c:pt idx="84">
                  <c:v>1.974103824661785</c:v>
                </c:pt>
                <c:pt idx="85">
                  <c:v>1.9772577382739751</c:v>
                </c:pt>
                <c:pt idx="86">
                  <c:v>1.9802036259588229</c:v>
                </c:pt>
                <c:pt idx="87">
                  <c:v>1.9829424148554473</c:v>
                </c:pt>
                <c:pt idx="88">
                  <c:v>1.9854749619879779</c:v>
                </c:pt>
                <c:pt idx="89">
                  <c:v>1.9878020556397709</c:v>
                </c:pt>
                <c:pt idx="90">
                  <c:v>1.9899244166064103</c:v>
                </c:pt>
                <c:pt idx="91">
                  <c:v>1.9918426993322425</c:v>
                </c:pt>
                <c:pt idx="92">
                  <c:v>1.9935574929346964</c:v>
                </c:pt>
                <c:pt idx="93">
                  <c:v>1.9950693221201909</c:v>
                </c:pt>
                <c:pt idx="94">
                  <c:v>1.9963786479949865</c:v>
                </c:pt>
                <c:pt idx="95">
                  <c:v>1.9974858687739423</c:v>
                </c:pt>
                <c:pt idx="96">
                  <c:v>1.9983913203897323</c:v>
                </c:pt>
                <c:pt idx="97">
                  <c:v>1.9990952770047186</c:v>
                </c:pt>
                <c:pt idx="98">
                  <c:v>1.9995979514272999</c:v>
                </c:pt>
                <c:pt idx="99">
                  <c:v>1.999899495434224</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c:v>
                </c:pt>
                <c:pt idx="193">
                  <c:v>2</c:v>
                </c:pt>
                <c:pt idx="194">
                  <c:v>2</c:v>
                </c:pt>
                <c:pt idx="195">
                  <c:v>2</c:v>
                </c:pt>
                <c:pt idx="196">
                  <c:v>2</c:v>
                </c:pt>
                <c:pt idx="197">
                  <c:v>2</c:v>
                </c:pt>
                <c:pt idx="198">
                  <c:v>2</c:v>
                </c:pt>
                <c:pt idx="199">
                  <c:v>2</c:v>
                </c:pt>
                <c:pt idx="200">
                  <c:v>2</c:v>
                </c:pt>
              </c:numCache>
            </c:numRef>
          </c:val>
          <c:extLst>
            <c:ext xmlns:c16="http://schemas.microsoft.com/office/drawing/2014/chart" uri="{C3380CC4-5D6E-409C-BE32-E72D297353CC}">
              <c16:uniqueId val="{00000001-6414-1E47-BD71-BBE45A200B32}"/>
            </c:ext>
          </c:extLst>
        </c:ser>
        <c:ser>
          <c:idx val="3"/>
          <c:order val="2"/>
          <c:tx>
            <c:strRef>
              <c:f>'Illumination (VR)'!$T$8</c:f>
              <c:strCache>
                <c:ptCount val="1"/>
                <c:pt idx="0">
                  <c:v>black top</c:v>
                </c:pt>
              </c:strCache>
            </c:strRef>
          </c:tx>
          <c:spPr>
            <a:solidFill>
              <a:schemeClr val="tx1"/>
            </a:solidFill>
            <a:ln w="9525">
              <a:noFill/>
            </a:ln>
            <a:effectLst/>
          </c:spPr>
          <c:val>
            <c:numRef>
              <c:f>'Illumination (VR)'!$T$9:$T$209</c:f>
              <c:numCache>
                <c:formatCode>0.00</c:formatCode>
                <c:ptCount val="201"/>
                <c:pt idx="0">
                  <c:v>1</c:v>
                </c:pt>
                <c:pt idx="1">
                  <c:v>1.1223907725908522</c:v>
                </c:pt>
                <c:pt idx="2">
                  <c:v>1.1864896865533117</c:v>
                </c:pt>
                <c:pt idx="3">
                  <c:v>1.2331872661299301</c:v>
                </c:pt>
                <c:pt idx="4">
                  <c:v>1.271612214192553</c:v>
                </c:pt>
                <c:pt idx="5">
                  <c:v>1.3049083216821793</c:v>
                </c:pt>
                <c:pt idx="6">
                  <c:v>1.3346101765973912</c:v>
                </c:pt>
                <c:pt idx="7">
                  <c:v>1.361604551759326</c:v>
                </c:pt>
                <c:pt idx="8">
                  <c:v>1.3864592208016528</c:v>
                </c:pt>
                <c:pt idx="9">
                  <c:v>1.4095639177847703</c:v>
                </c:pt>
                <c:pt idx="10">
                  <c:v>1.4312000371971589</c:v>
                </c:pt>
                <c:pt idx="11">
                  <c:v>1.4515787166436038</c:v>
                </c:pt>
                <c:pt idx="12">
                  <c:v>1.4708632481848303</c:v>
                </c:pt>
                <c:pt idx="13">
                  <c:v>1.4891830491501987</c:v>
                </c:pt>
                <c:pt idx="14">
                  <c:v>1.5066427820265815</c:v>
                </c:pt>
                <c:pt idx="15">
                  <c:v>1.523328536869923</c:v>
                </c:pt>
                <c:pt idx="16">
                  <c:v>1.539312156681292</c:v>
                </c:pt>
                <c:pt idx="17">
                  <c:v>1.5546543456109132</c:v>
                </c:pt>
                <c:pt idx="18">
                  <c:v>1.569406954457834</c:v>
                </c:pt>
                <c:pt idx="19">
                  <c:v>1.5836146951404269</c:v>
                </c:pt>
                <c:pt idx="20">
                  <c:v>1.5973164495489747</c:v>
                </c:pt>
                <c:pt idx="21">
                  <c:v>1.6105462843542364</c:v>
                </c:pt>
                <c:pt idx="22">
                  <c:v>1.6233342487740963</c:v>
                </c:pt>
                <c:pt idx="23">
                  <c:v>1.6357070095333239</c:v>
                </c:pt>
                <c:pt idx="24">
                  <c:v>1.647688361917881</c:v>
                </c:pt>
                <c:pt idx="25">
                  <c:v>1.6592996452880637</c:v>
                </c:pt>
                <c:pt idx="26">
                  <c:v>1.6705600840410177</c:v>
                </c:pt>
                <c:pt idx="27">
                  <c:v>1.6814870697674744</c:v>
                </c:pt>
                <c:pt idx="28">
                  <c:v>1.6920963965593609</c:v>
                </c:pt>
                <c:pt idx="29">
                  <c:v>1.7024024586515041</c:v>
                </c:pt>
                <c:pt idx="30">
                  <c:v>1.7124184175243755</c:v>
                </c:pt>
                <c:pt idx="31">
                  <c:v>1.7221563440524665</c:v>
                </c:pt>
                <c:pt idx="32">
                  <c:v>1.7316273401134934</c:v>
                </c:pt>
                <c:pt idx="33">
                  <c:v>1.7408416431781479</c:v>
                </c:pt>
                <c:pt idx="34">
                  <c:v>1.7498087167079901</c:v>
                </c:pt>
                <c:pt idx="35">
                  <c:v>1.7585373286494868</c:v>
                </c:pt>
                <c:pt idx="36">
                  <c:v>1.7670356198881167</c:v>
                </c:pt>
                <c:pt idx="37">
                  <c:v>1.7753111641906285</c:v>
                </c:pt>
                <c:pt idx="38">
                  <c:v>1.7833710208956797</c:v>
                </c:pt>
                <c:pt idx="39">
                  <c:v>1.7912217813980371</c:v>
                </c:pt>
                <c:pt idx="40">
                  <c:v>1.7988696102977373</c:v>
                </c:pt>
                <c:pt idx="41">
                  <c:v>1.8063202819443809</c:v>
                </c:pt>
                <c:pt idx="42">
                  <c:v>1.8135792129912767</c:v>
                </c:pt>
                <c:pt idx="43">
                  <c:v>1.8206514914792855</c:v>
                </c:pt>
                <c:pt idx="44">
                  <c:v>1.8275419028918587</c:v>
                </c:pt>
                <c:pt idx="45">
                  <c:v>1.8342549535577319</c:v>
                </c:pt>
                <c:pt idx="46">
                  <c:v>1.8407948917235282</c:v>
                </c:pt>
                <c:pt idx="47">
                  <c:v>1.8471657265731292</c:v>
                </c:pt>
                <c:pt idx="48">
                  <c:v>1.8533712454324951</c:v>
                </c:pt>
                <c:pt idx="49">
                  <c:v>1.8594150293664113</c:v>
                </c:pt>
                <c:pt idx="50">
                  <c:v>1.865300467346322</c:v>
                </c:pt>
                <c:pt idx="51">
                  <c:v>1.8710307691452055</c:v>
                </c:pt>
                <c:pt idx="52">
                  <c:v>1.8766089770956293</c:v>
                </c:pt>
                <c:pt idx="53">
                  <c:v>1.8820379768301558</c:v>
                </c:pt>
                <c:pt idx="54">
                  <c:v>1.8873205071087085</c:v>
                </c:pt>
                <c:pt idx="55">
                  <c:v>1.892459168824943</c:v>
                </c:pt>
                <c:pt idx="56">
                  <c:v>1.8974564332728319</c:v>
                </c:pt>
                <c:pt idx="57">
                  <c:v>1.9023146497452588</c:v>
                </c:pt>
                <c:pt idx="58">
                  <c:v>1.9070360525282646</c:v>
                </c:pt>
                <c:pt idx="59">
                  <c:v>1.9116227673474575</c:v>
                </c:pt>
                <c:pt idx="60">
                  <c:v>1.9160768173168932</c:v>
                </c:pt>
                <c:pt idx="61">
                  <c:v>1.9204001284352867</c:v>
                </c:pt>
                <c:pt idx="62">
                  <c:v>1.9245945346696396</c:v>
                </c:pt>
                <c:pt idx="63">
                  <c:v>1.9286617826621673</c:v>
                </c:pt>
                <c:pt idx="64">
                  <c:v>1.932603536092703</c:v>
                </c:pt>
                <c:pt idx="65">
                  <c:v>1.9364213797254868</c:v>
                </c:pt>
                <c:pt idx="66">
                  <c:v>1.9401168231663481</c:v>
                </c:pt>
                <c:pt idx="67">
                  <c:v>1.9436913043537176</c:v>
                </c:pt>
                <c:pt idx="68">
                  <c:v>1.9471461928046203</c:v>
                </c:pt>
                <c:pt idx="69">
                  <c:v>1.9504827926347668</c:v>
                </c:pt>
                <c:pt idx="70">
                  <c:v>1.95370234537004</c:v>
                </c:pt>
                <c:pt idx="71">
                  <c:v>1.9568060325650527</c:v>
                </c:pt>
                <c:pt idx="72">
                  <c:v>1.9597949782429942</c:v>
                </c:pt>
                <c:pt idx="73">
                  <c:v>1.9626702511696803</c:v>
                </c:pt>
                <c:pt idx="74">
                  <c:v>1.9654328669735417</c:v>
                </c:pt>
                <c:pt idx="75">
                  <c:v>1.9680837901222399</c:v>
                </c:pt>
                <c:pt idx="76">
                  <c:v>1.9706239357656299</c:v>
                </c:pt>
                <c:pt idx="77">
                  <c:v>1.9730541714539402</c:v>
                </c:pt>
                <c:pt idx="78">
                  <c:v>1.9753753187392524</c:v>
                </c:pt>
                <c:pt idx="79">
                  <c:v>1.9775881546676568</c:v>
                </c:pt>
                <c:pt idx="80">
                  <c:v>1.9796934131688149</c:v>
                </c:pt>
                <c:pt idx="81">
                  <c:v>1.9816917863490771</c:v>
                </c:pt>
                <c:pt idx="82">
                  <c:v>1.9835839256937629</c:v>
                </c:pt>
                <c:pt idx="83">
                  <c:v>1.985370443183728</c:v>
                </c:pt>
                <c:pt idx="84">
                  <c:v>1.9870519123308925</c:v>
                </c:pt>
                <c:pt idx="85">
                  <c:v>1.9886288691369876</c:v>
                </c:pt>
                <c:pt idx="86">
                  <c:v>1.9901018129794115</c:v>
                </c:pt>
                <c:pt idx="87">
                  <c:v>1.9914712074277237</c:v>
                </c:pt>
                <c:pt idx="88">
                  <c:v>1.9927374809939891</c:v>
                </c:pt>
                <c:pt idx="89">
                  <c:v>1.9939010278198854</c:v>
                </c:pt>
                <c:pt idx="90">
                  <c:v>1.994962208303205</c:v>
                </c:pt>
                <c:pt idx="91">
                  <c:v>1.9959213496661212</c:v>
                </c:pt>
                <c:pt idx="92">
                  <c:v>1.9967787464673483</c:v>
                </c:pt>
                <c:pt idx="93">
                  <c:v>1.9975346610600955</c:v>
                </c:pt>
                <c:pt idx="94">
                  <c:v>1.9981893239974933</c:v>
                </c:pt>
                <c:pt idx="95">
                  <c:v>1.9987429343869711</c:v>
                </c:pt>
                <c:pt idx="96">
                  <c:v>1.9991956601948662</c:v>
                </c:pt>
                <c:pt idx="97">
                  <c:v>1.9995476385023592</c:v>
                </c:pt>
                <c:pt idx="98">
                  <c:v>1.9997989757136501</c:v>
                </c:pt>
                <c:pt idx="99">
                  <c:v>1.999949747717112</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c:v>
                </c:pt>
                <c:pt idx="193">
                  <c:v>2</c:v>
                </c:pt>
                <c:pt idx="194">
                  <c:v>2</c:v>
                </c:pt>
                <c:pt idx="195">
                  <c:v>2</c:v>
                </c:pt>
                <c:pt idx="196">
                  <c:v>2</c:v>
                </c:pt>
                <c:pt idx="197">
                  <c:v>2</c:v>
                </c:pt>
                <c:pt idx="198">
                  <c:v>2</c:v>
                </c:pt>
                <c:pt idx="199">
                  <c:v>2</c:v>
                </c:pt>
                <c:pt idx="200">
                  <c:v>2</c:v>
                </c:pt>
              </c:numCache>
            </c:numRef>
          </c:val>
          <c:extLst>
            <c:ext xmlns:c16="http://schemas.microsoft.com/office/drawing/2014/chart" uri="{C3380CC4-5D6E-409C-BE32-E72D297353CC}">
              <c16:uniqueId val="{00000002-6414-1E47-BD71-BBE45A200B32}"/>
            </c:ext>
          </c:extLst>
        </c:ser>
        <c:dLbls>
          <c:showLegendKey val="0"/>
          <c:showVal val="0"/>
          <c:showCatName val="0"/>
          <c:showSerName val="0"/>
          <c:showPercent val="0"/>
          <c:showBubbleSize val="0"/>
        </c:dLbls>
        <c:axId val="239354064"/>
        <c:axId val="239352496"/>
      </c:areaChart>
      <c:catAx>
        <c:axId val="239354064"/>
        <c:scaling>
          <c:orientation val="minMax"/>
        </c:scaling>
        <c:delete val="1"/>
        <c:axPos val="b"/>
        <c:majorTickMark val="none"/>
        <c:minorTickMark val="none"/>
        <c:tickLblPos val="nextTo"/>
        <c:crossAx val="239352496"/>
        <c:crosses val="autoZero"/>
        <c:auto val="1"/>
        <c:lblAlgn val="ctr"/>
        <c:lblOffset val="100"/>
        <c:noMultiLvlLbl val="0"/>
      </c:catAx>
      <c:valAx>
        <c:axId val="239352496"/>
        <c:scaling>
          <c:orientation val="minMax"/>
          <c:max val="2"/>
          <c:min val="0"/>
        </c:scaling>
        <c:delete val="1"/>
        <c:axPos val="l"/>
        <c:numFmt formatCode="0.00" sourceLinked="1"/>
        <c:majorTickMark val="out"/>
        <c:minorTickMark val="none"/>
        <c:tickLblPos val="nextTo"/>
        <c:crossAx val="239354064"/>
        <c:crosses val="autoZero"/>
        <c:crossBetween val="midCat"/>
      </c:valAx>
      <c:spPr>
        <a:blipFill>
          <a:blip xmlns:r="http://schemas.openxmlformats.org/officeDocument/2006/relationships" r:embed="rId3"/>
          <a:stretch>
            <a:fillRect/>
          </a:stretch>
        </a:blipFill>
        <a:ln>
          <a:noFill/>
        </a:ln>
        <a:effectLst/>
      </c:spPr>
    </c:plotArea>
    <c:plotVisOnly val="0"/>
    <c:dispBlanksAs val="gap"/>
    <c:showDLblsOverMax val="0"/>
  </c:chart>
  <c:spPr>
    <a:solidFill>
      <a:schemeClr val="tx1"/>
    </a:solidFill>
    <a:ln w="9525" cap="flat" cmpd="sng" algn="ctr">
      <a:noFill/>
      <a:round/>
    </a:ln>
    <a:effectLst/>
  </c:spPr>
  <c:txPr>
    <a:bodyPr/>
    <a:lstStyle/>
    <a:p>
      <a:pPr>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g"/><Relationship Id="rId1" Type="http://schemas.openxmlformats.org/officeDocument/2006/relationships/hyperlink" Target="https://www.astronomy-morsels.ch/morsels" TargetMode="Externa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jpeg"/><Relationship Id="rId5" Type="http://schemas.openxmlformats.org/officeDocument/2006/relationships/image" Target="../media/image8.jpg"/><Relationship Id="rId4" Type="http://schemas.openxmlformats.org/officeDocument/2006/relationships/image" Target="../media/image7.jpeg"/></Relationships>
</file>

<file path=xl/drawings/_rels/drawing5.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jpeg"/><Relationship Id="rId5" Type="http://schemas.openxmlformats.org/officeDocument/2006/relationships/image" Target="../media/image8.jpg"/><Relationship Id="rId4" Type="http://schemas.openxmlformats.org/officeDocument/2006/relationships/image" Target="../media/image7.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jpg"/><Relationship Id="rId5" Type="http://schemas.openxmlformats.org/officeDocument/2006/relationships/image" Target="../media/image13.png"/><Relationship Id="rId4"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2</xdr:col>
      <xdr:colOff>596900</xdr:colOff>
      <xdr:row>50</xdr:row>
      <xdr:rowOff>114300</xdr:rowOff>
    </xdr:from>
    <xdr:to>
      <xdr:col>9</xdr:col>
      <xdr:colOff>215900</xdr:colOff>
      <xdr:row>60</xdr:row>
      <xdr:rowOff>25400</xdr:rowOff>
    </xdr:to>
    <xdr:pic>
      <xdr:nvPicPr>
        <xdr:cNvPr id="3" name="Picture 2">
          <a:hlinkClick xmlns:r="http://schemas.openxmlformats.org/officeDocument/2006/relationships" r:id="rId1"/>
          <a:extLst>
            <a:ext uri="{FF2B5EF4-FFF2-40B4-BE49-F238E27FC236}">
              <a16:creationId xmlns:a16="http://schemas.microsoft.com/office/drawing/2014/main" id="{986149BC-8520-4C4B-E9DC-263481011423}"/>
            </a:ext>
          </a:extLst>
        </xdr:cNvPr>
        <xdr:cNvPicPr>
          <a:picLocks noChangeAspect="1"/>
        </xdr:cNvPicPr>
      </xdr:nvPicPr>
      <xdr:blipFill>
        <a:blip xmlns:r="http://schemas.openxmlformats.org/officeDocument/2006/relationships" r:embed="rId2"/>
        <a:stretch>
          <a:fillRect/>
        </a:stretch>
      </xdr:blipFill>
      <xdr:spPr>
        <a:xfrm>
          <a:off x="2247900" y="9969500"/>
          <a:ext cx="5397500" cy="1943100"/>
        </a:xfrm>
        <a:prstGeom prst="rect">
          <a:avLst/>
        </a:prstGeom>
      </xdr:spPr>
    </xdr:pic>
    <xdr:clientData/>
  </xdr:twoCellAnchor>
  <xdr:twoCellAnchor editAs="oneCell">
    <xdr:from>
      <xdr:col>2</xdr:col>
      <xdr:colOff>571500</xdr:colOff>
      <xdr:row>18</xdr:row>
      <xdr:rowOff>76200</xdr:rowOff>
    </xdr:from>
    <xdr:to>
      <xdr:col>9</xdr:col>
      <xdr:colOff>355600</xdr:colOff>
      <xdr:row>43</xdr:row>
      <xdr:rowOff>51212</xdr:rowOff>
    </xdr:to>
    <xdr:pic>
      <xdr:nvPicPr>
        <xdr:cNvPr id="5" name="Picture 4" descr="Dark nebulae: Obscuring clouds of gas and dust">
          <a:extLst>
            <a:ext uri="{FF2B5EF4-FFF2-40B4-BE49-F238E27FC236}">
              <a16:creationId xmlns:a16="http://schemas.microsoft.com/office/drawing/2014/main" id="{9DF834E6-DC83-D626-991D-B577BF493A3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22500" y="3835400"/>
          <a:ext cx="5562600" cy="5055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35</xdr:row>
      <xdr:rowOff>0</xdr:rowOff>
    </xdr:from>
    <xdr:to>
      <xdr:col>4</xdr:col>
      <xdr:colOff>0</xdr:colOff>
      <xdr:row>44</xdr:row>
      <xdr:rowOff>177800</xdr:rowOff>
    </xdr:to>
    <xdr:graphicFrame macro="">
      <xdr:nvGraphicFramePr>
        <xdr:cNvPr id="2" name="Chart 1">
          <a:extLst>
            <a:ext uri="{FF2B5EF4-FFF2-40B4-BE49-F238E27FC236}">
              <a16:creationId xmlns:a16="http://schemas.microsoft.com/office/drawing/2014/main" id="{2045F86D-4F30-1347-A2A5-3E778C26F9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36</xdr:row>
      <xdr:rowOff>0</xdr:rowOff>
    </xdr:from>
    <xdr:to>
      <xdr:col>4</xdr:col>
      <xdr:colOff>0</xdr:colOff>
      <xdr:row>48</xdr:row>
      <xdr:rowOff>152400</xdr:rowOff>
    </xdr:to>
    <xdr:graphicFrame macro="">
      <xdr:nvGraphicFramePr>
        <xdr:cNvPr id="2" name="Chart 1">
          <a:extLst>
            <a:ext uri="{FF2B5EF4-FFF2-40B4-BE49-F238E27FC236}">
              <a16:creationId xmlns:a16="http://schemas.microsoft.com/office/drawing/2014/main" id="{1AF2D777-3CCF-6C4D-BAF7-CE198A6FC0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8</xdr:row>
      <xdr:rowOff>101600</xdr:rowOff>
    </xdr:from>
    <xdr:to>
      <xdr:col>0</xdr:col>
      <xdr:colOff>635000</xdr:colOff>
      <xdr:row>10</xdr:row>
      <xdr:rowOff>184896</xdr:rowOff>
    </xdr:to>
    <xdr:pic>
      <xdr:nvPicPr>
        <xdr:cNvPr id="2" name="Picture 1" hidden="1">
          <a:extLst>
            <a:ext uri="{FF2B5EF4-FFF2-40B4-BE49-F238E27FC236}">
              <a16:creationId xmlns:a16="http://schemas.microsoft.com/office/drawing/2014/main" id="{CC530C4E-2DD0-BF44-8776-3A940654E38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24000"/>
          <a:ext cx="635000" cy="438896"/>
        </a:xfrm>
        <a:prstGeom prst="rect">
          <a:avLst/>
        </a:prstGeom>
        <a:noFill/>
      </xdr:spPr>
    </xdr:pic>
    <xdr:clientData/>
  </xdr:twoCellAnchor>
  <xdr:twoCellAnchor editAs="oneCell">
    <xdr:from>
      <xdr:col>0</xdr:col>
      <xdr:colOff>0</xdr:colOff>
      <xdr:row>6</xdr:row>
      <xdr:rowOff>38100</xdr:rowOff>
    </xdr:from>
    <xdr:to>
      <xdr:col>0</xdr:col>
      <xdr:colOff>622426</xdr:colOff>
      <xdr:row>9</xdr:row>
      <xdr:rowOff>69850</xdr:rowOff>
    </xdr:to>
    <xdr:pic>
      <xdr:nvPicPr>
        <xdr:cNvPr id="3" name="Picture 2" hidden="1">
          <a:extLst>
            <a:ext uri="{FF2B5EF4-FFF2-40B4-BE49-F238E27FC236}">
              <a16:creationId xmlns:a16="http://schemas.microsoft.com/office/drawing/2014/main" id="{3C32784E-5516-7C4F-856F-6CD4CB12659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1104900"/>
          <a:ext cx="622426" cy="565150"/>
        </a:xfrm>
        <a:prstGeom prst="rect">
          <a:avLst/>
        </a:prstGeom>
        <a:noFill/>
      </xdr:spPr>
    </xdr:pic>
    <xdr:clientData/>
  </xdr:twoCellAnchor>
  <xdr:twoCellAnchor editAs="oneCell">
    <xdr:from>
      <xdr:col>0</xdr:col>
      <xdr:colOff>0</xdr:colOff>
      <xdr:row>6</xdr:row>
      <xdr:rowOff>38100</xdr:rowOff>
    </xdr:from>
    <xdr:to>
      <xdr:col>0</xdr:col>
      <xdr:colOff>624417</xdr:colOff>
      <xdr:row>9</xdr:row>
      <xdr:rowOff>3175</xdr:rowOff>
    </xdr:to>
    <xdr:pic>
      <xdr:nvPicPr>
        <xdr:cNvPr id="4" name="Picture 3" hidden="1">
          <a:extLst>
            <a:ext uri="{FF2B5EF4-FFF2-40B4-BE49-F238E27FC236}">
              <a16:creationId xmlns:a16="http://schemas.microsoft.com/office/drawing/2014/main" id="{0E538D34-2AEA-8244-A25E-5BE0EF772C58}"/>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0" y="1104900"/>
          <a:ext cx="624417" cy="498475"/>
        </a:xfrm>
        <a:prstGeom prst="rect">
          <a:avLst/>
        </a:prstGeom>
        <a:noFill/>
      </xdr:spPr>
    </xdr:pic>
    <xdr:clientData/>
  </xdr:twoCellAnchor>
  <xdr:twoCellAnchor editAs="oneCell">
    <xdr:from>
      <xdr:col>0</xdr:col>
      <xdr:colOff>0</xdr:colOff>
      <xdr:row>5</xdr:row>
      <xdr:rowOff>0</xdr:rowOff>
    </xdr:from>
    <xdr:to>
      <xdr:col>1</xdr:col>
      <xdr:colOff>932329</xdr:colOff>
      <xdr:row>11</xdr:row>
      <xdr:rowOff>23906</xdr:rowOff>
    </xdr:to>
    <xdr:pic>
      <xdr:nvPicPr>
        <xdr:cNvPr id="5" name="Picture 4" hidden="1">
          <a:extLst>
            <a:ext uri="{FF2B5EF4-FFF2-40B4-BE49-F238E27FC236}">
              <a16:creationId xmlns:a16="http://schemas.microsoft.com/office/drawing/2014/main" id="{A015D119-52D8-7349-99E3-86820DAA184B}"/>
            </a:ext>
          </a:extLst>
        </xdr:cNvPr>
        <xdr:cNvPicPr>
          <a:picLocks noChangeAspect="1"/>
        </xdr:cNvPicPr>
      </xdr:nvPicPr>
      <xdr:blipFill>
        <a:blip xmlns:r="http://schemas.openxmlformats.org/officeDocument/2006/relationships" r:embed="rId4" cstate="print"/>
        <a:stretch>
          <a:fillRect/>
        </a:stretch>
      </xdr:blipFill>
      <xdr:spPr>
        <a:xfrm>
          <a:off x="0" y="889000"/>
          <a:ext cx="1757829" cy="1116106"/>
        </a:xfrm>
        <a:prstGeom prst="rect">
          <a:avLst/>
        </a:prstGeom>
      </xdr:spPr>
    </xdr:pic>
    <xdr:clientData/>
  </xdr:twoCellAnchor>
  <xdr:twoCellAnchor editAs="oneCell">
    <xdr:from>
      <xdr:col>1</xdr:col>
      <xdr:colOff>0</xdr:colOff>
      <xdr:row>9</xdr:row>
      <xdr:rowOff>50800</xdr:rowOff>
    </xdr:from>
    <xdr:to>
      <xdr:col>4</xdr:col>
      <xdr:colOff>317500</xdr:colOff>
      <xdr:row>17</xdr:row>
      <xdr:rowOff>8829</xdr:rowOff>
    </xdr:to>
    <xdr:pic>
      <xdr:nvPicPr>
        <xdr:cNvPr id="6" name="Picture 5">
          <a:extLst>
            <a:ext uri="{FF2B5EF4-FFF2-40B4-BE49-F238E27FC236}">
              <a16:creationId xmlns:a16="http://schemas.microsoft.com/office/drawing/2014/main" id="{90AE89A6-2FE5-8544-9B67-A8F2381BE3C7}"/>
            </a:ext>
          </a:extLst>
        </xdr:cNvPr>
        <xdr:cNvPicPr>
          <a:picLocks noChangeAspect="1"/>
        </xdr:cNvPicPr>
      </xdr:nvPicPr>
      <xdr:blipFill>
        <a:blip xmlns:r="http://schemas.openxmlformats.org/officeDocument/2006/relationships" r:embed="rId5"/>
        <a:stretch>
          <a:fillRect/>
        </a:stretch>
      </xdr:blipFill>
      <xdr:spPr>
        <a:xfrm>
          <a:off x="825500" y="1651000"/>
          <a:ext cx="3746500" cy="1558229"/>
        </a:xfrm>
        <a:prstGeom prst="rect">
          <a:avLst/>
        </a:prstGeom>
        <a:ln>
          <a:solidFill>
            <a:schemeClr val="tx1"/>
          </a:solidFill>
        </a:ln>
      </xdr:spPr>
    </xdr:pic>
    <xdr:clientData/>
  </xdr:twoCellAnchor>
  <xdr:oneCellAnchor>
    <xdr:from>
      <xdr:col>10</xdr:col>
      <xdr:colOff>0</xdr:colOff>
      <xdr:row>5</xdr:row>
      <xdr:rowOff>0</xdr:rowOff>
    </xdr:from>
    <xdr:ext cx="1757829" cy="1116106"/>
    <xdr:pic>
      <xdr:nvPicPr>
        <xdr:cNvPr id="7" name="Picture 6" hidden="1">
          <a:extLst>
            <a:ext uri="{FF2B5EF4-FFF2-40B4-BE49-F238E27FC236}">
              <a16:creationId xmlns:a16="http://schemas.microsoft.com/office/drawing/2014/main" id="{7C1FB2D7-AD78-6346-8BAD-9302A4E32A27}"/>
            </a:ext>
          </a:extLst>
        </xdr:cNvPr>
        <xdr:cNvPicPr>
          <a:picLocks noChangeAspect="1"/>
        </xdr:cNvPicPr>
      </xdr:nvPicPr>
      <xdr:blipFill>
        <a:blip xmlns:r="http://schemas.openxmlformats.org/officeDocument/2006/relationships" r:embed="rId4" cstate="print"/>
        <a:stretch>
          <a:fillRect/>
        </a:stretch>
      </xdr:blipFill>
      <xdr:spPr>
        <a:xfrm>
          <a:off x="0" y="889000"/>
          <a:ext cx="1757829" cy="1116106"/>
        </a:xfrm>
        <a:prstGeom prst="rect">
          <a:avLst/>
        </a:prstGeom>
      </xdr:spPr>
    </xdr:pic>
    <xdr:clientData/>
  </xdr:oneCellAnchor>
  <xdr:oneCellAnchor>
    <xdr:from>
      <xdr:col>11</xdr:col>
      <xdr:colOff>0</xdr:colOff>
      <xdr:row>9</xdr:row>
      <xdr:rowOff>50800</xdr:rowOff>
    </xdr:from>
    <xdr:ext cx="3746500" cy="1558229"/>
    <xdr:pic>
      <xdr:nvPicPr>
        <xdr:cNvPr id="8" name="Picture 7">
          <a:extLst>
            <a:ext uri="{FF2B5EF4-FFF2-40B4-BE49-F238E27FC236}">
              <a16:creationId xmlns:a16="http://schemas.microsoft.com/office/drawing/2014/main" id="{828CDB4C-D2EB-3C40-9F57-98C3F229B4FB}"/>
            </a:ext>
          </a:extLst>
        </xdr:cNvPr>
        <xdr:cNvPicPr>
          <a:picLocks noChangeAspect="1"/>
        </xdr:cNvPicPr>
      </xdr:nvPicPr>
      <xdr:blipFill>
        <a:blip xmlns:r="http://schemas.openxmlformats.org/officeDocument/2006/relationships" r:embed="rId5"/>
        <a:stretch>
          <a:fillRect/>
        </a:stretch>
      </xdr:blipFill>
      <xdr:spPr>
        <a:xfrm>
          <a:off x="825500" y="1651000"/>
          <a:ext cx="3746500" cy="1558229"/>
        </a:xfrm>
        <a:prstGeom prst="rect">
          <a:avLst/>
        </a:prstGeom>
        <a:ln>
          <a:solidFill>
            <a:schemeClr val="tx1"/>
          </a:solidFill>
        </a:ln>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8</xdr:row>
      <xdr:rowOff>101600</xdr:rowOff>
    </xdr:from>
    <xdr:to>
      <xdr:col>0</xdr:col>
      <xdr:colOff>635000</xdr:colOff>
      <xdr:row>10</xdr:row>
      <xdr:rowOff>184896</xdr:rowOff>
    </xdr:to>
    <xdr:pic>
      <xdr:nvPicPr>
        <xdr:cNvPr id="2" name="Picture 1" hidden="1">
          <a:extLst>
            <a:ext uri="{FF2B5EF4-FFF2-40B4-BE49-F238E27FC236}">
              <a16:creationId xmlns:a16="http://schemas.microsoft.com/office/drawing/2014/main" id="{10197204-31BA-8F4D-92CD-02D70E89341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24000"/>
          <a:ext cx="635000" cy="438896"/>
        </a:xfrm>
        <a:prstGeom prst="rect">
          <a:avLst/>
        </a:prstGeom>
        <a:noFill/>
      </xdr:spPr>
    </xdr:pic>
    <xdr:clientData/>
  </xdr:twoCellAnchor>
  <xdr:twoCellAnchor editAs="oneCell">
    <xdr:from>
      <xdr:col>0</xdr:col>
      <xdr:colOff>0</xdr:colOff>
      <xdr:row>6</xdr:row>
      <xdr:rowOff>38100</xdr:rowOff>
    </xdr:from>
    <xdr:to>
      <xdr:col>0</xdr:col>
      <xdr:colOff>622426</xdr:colOff>
      <xdr:row>9</xdr:row>
      <xdr:rowOff>69850</xdr:rowOff>
    </xdr:to>
    <xdr:pic>
      <xdr:nvPicPr>
        <xdr:cNvPr id="3" name="Picture 2" hidden="1">
          <a:extLst>
            <a:ext uri="{FF2B5EF4-FFF2-40B4-BE49-F238E27FC236}">
              <a16:creationId xmlns:a16="http://schemas.microsoft.com/office/drawing/2014/main" id="{0C33BD6F-0A4C-D34A-AE75-561DC9728E6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1104900"/>
          <a:ext cx="622426" cy="565150"/>
        </a:xfrm>
        <a:prstGeom prst="rect">
          <a:avLst/>
        </a:prstGeom>
        <a:noFill/>
      </xdr:spPr>
    </xdr:pic>
    <xdr:clientData/>
  </xdr:twoCellAnchor>
  <xdr:twoCellAnchor editAs="oneCell">
    <xdr:from>
      <xdr:col>0</xdr:col>
      <xdr:colOff>0</xdr:colOff>
      <xdr:row>6</xdr:row>
      <xdr:rowOff>38100</xdr:rowOff>
    </xdr:from>
    <xdr:to>
      <xdr:col>0</xdr:col>
      <xdr:colOff>624417</xdr:colOff>
      <xdr:row>9</xdr:row>
      <xdr:rowOff>3175</xdr:rowOff>
    </xdr:to>
    <xdr:pic>
      <xdr:nvPicPr>
        <xdr:cNvPr id="4" name="Picture 3" hidden="1">
          <a:extLst>
            <a:ext uri="{FF2B5EF4-FFF2-40B4-BE49-F238E27FC236}">
              <a16:creationId xmlns:a16="http://schemas.microsoft.com/office/drawing/2014/main" id="{57E1DFCA-CDCB-7340-9918-C7AF8960405D}"/>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0" y="1104900"/>
          <a:ext cx="624417" cy="498475"/>
        </a:xfrm>
        <a:prstGeom prst="rect">
          <a:avLst/>
        </a:prstGeom>
        <a:noFill/>
      </xdr:spPr>
    </xdr:pic>
    <xdr:clientData/>
  </xdr:twoCellAnchor>
  <xdr:twoCellAnchor editAs="oneCell">
    <xdr:from>
      <xdr:col>0</xdr:col>
      <xdr:colOff>0</xdr:colOff>
      <xdr:row>5</xdr:row>
      <xdr:rowOff>0</xdr:rowOff>
    </xdr:from>
    <xdr:to>
      <xdr:col>1</xdr:col>
      <xdr:colOff>932329</xdr:colOff>
      <xdr:row>11</xdr:row>
      <xdr:rowOff>23906</xdr:rowOff>
    </xdr:to>
    <xdr:pic>
      <xdr:nvPicPr>
        <xdr:cNvPr id="5" name="Picture 4" hidden="1">
          <a:extLst>
            <a:ext uri="{FF2B5EF4-FFF2-40B4-BE49-F238E27FC236}">
              <a16:creationId xmlns:a16="http://schemas.microsoft.com/office/drawing/2014/main" id="{648B7D9F-B071-2942-85EC-174D5E4255BA}"/>
            </a:ext>
          </a:extLst>
        </xdr:cNvPr>
        <xdr:cNvPicPr>
          <a:picLocks noChangeAspect="1"/>
        </xdr:cNvPicPr>
      </xdr:nvPicPr>
      <xdr:blipFill>
        <a:blip xmlns:r="http://schemas.openxmlformats.org/officeDocument/2006/relationships" r:embed="rId4" cstate="print"/>
        <a:stretch>
          <a:fillRect/>
        </a:stretch>
      </xdr:blipFill>
      <xdr:spPr>
        <a:xfrm>
          <a:off x="0" y="889000"/>
          <a:ext cx="1757829" cy="1116106"/>
        </a:xfrm>
        <a:prstGeom prst="rect">
          <a:avLst/>
        </a:prstGeom>
      </xdr:spPr>
    </xdr:pic>
    <xdr:clientData/>
  </xdr:twoCellAnchor>
  <xdr:twoCellAnchor editAs="oneCell">
    <xdr:from>
      <xdr:col>1</xdr:col>
      <xdr:colOff>0</xdr:colOff>
      <xdr:row>9</xdr:row>
      <xdr:rowOff>50800</xdr:rowOff>
    </xdr:from>
    <xdr:to>
      <xdr:col>4</xdr:col>
      <xdr:colOff>317500</xdr:colOff>
      <xdr:row>17</xdr:row>
      <xdr:rowOff>8829</xdr:rowOff>
    </xdr:to>
    <xdr:pic>
      <xdr:nvPicPr>
        <xdr:cNvPr id="6" name="Picture 5">
          <a:extLst>
            <a:ext uri="{FF2B5EF4-FFF2-40B4-BE49-F238E27FC236}">
              <a16:creationId xmlns:a16="http://schemas.microsoft.com/office/drawing/2014/main" id="{777E31EF-72EA-AD4F-8AA0-54A51D6208A1}"/>
            </a:ext>
          </a:extLst>
        </xdr:cNvPr>
        <xdr:cNvPicPr>
          <a:picLocks noChangeAspect="1"/>
        </xdr:cNvPicPr>
      </xdr:nvPicPr>
      <xdr:blipFill>
        <a:blip xmlns:r="http://schemas.openxmlformats.org/officeDocument/2006/relationships" r:embed="rId5"/>
        <a:stretch>
          <a:fillRect/>
        </a:stretch>
      </xdr:blipFill>
      <xdr:spPr>
        <a:xfrm>
          <a:off x="825500" y="1651000"/>
          <a:ext cx="3746500" cy="1558229"/>
        </a:xfrm>
        <a:prstGeom prst="rect">
          <a:avLst/>
        </a:prstGeom>
        <a:ln>
          <a:solidFill>
            <a:schemeClr val="tx1"/>
          </a:solidFill>
        </a:ln>
      </xdr:spPr>
    </xdr:pic>
    <xdr:clientData/>
  </xdr:twoCellAnchor>
  <xdr:oneCellAnchor>
    <xdr:from>
      <xdr:col>10</xdr:col>
      <xdr:colOff>0</xdr:colOff>
      <xdr:row>5</xdr:row>
      <xdr:rowOff>0</xdr:rowOff>
    </xdr:from>
    <xdr:ext cx="1757829" cy="1116106"/>
    <xdr:pic>
      <xdr:nvPicPr>
        <xdr:cNvPr id="7" name="Picture 6" hidden="1">
          <a:extLst>
            <a:ext uri="{FF2B5EF4-FFF2-40B4-BE49-F238E27FC236}">
              <a16:creationId xmlns:a16="http://schemas.microsoft.com/office/drawing/2014/main" id="{0712F76C-FA50-E24F-82F8-3DC63A86E149}"/>
            </a:ext>
          </a:extLst>
        </xdr:cNvPr>
        <xdr:cNvPicPr>
          <a:picLocks noChangeAspect="1"/>
        </xdr:cNvPicPr>
      </xdr:nvPicPr>
      <xdr:blipFill>
        <a:blip xmlns:r="http://schemas.openxmlformats.org/officeDocument/2006/relationships" r:embed="rId4" cstate="print"/>
        <a:stretch>
          <a:fillRect/>
        </a:stretch>
      </xdr:blipFill>
      <xdr:spPr>
        <a:xfrm>
          <a:off x="9512300" y="889000"/>
          <a:ext cx="1757829" cy="1116106"/>
        </a:xfrm>
        <a:prstGeom prst="rect">
          <a:avLst/>
        </a:prstGeom>
      </xdr:spPr>
    </xdr:pic>
    <xdr:clientData/>
  </xdr:oneCellAnchor>
  <xdr:oneCellAnchor>
    <xdr:from>
      <xdr:col>11</xdr:col>
      <xdr:colOff>0</xdr:colOff>
      <xdr:row>9</xdr:row>
      <xdr:rowOff>50800</xdr:rowOff>
    </xdr:from>
    <xdr:ext cx="3746500" cy="1558229"/>
    <xdr:pic>
      <xdr:nvPicPr>
        <xdr:cNvPr id="8" name="Picture 7">
          <a:extLst>
            <a:ext uri="{FF2B5EF4-FFF2-40B4-BE49-F238E27FC236}">
              <a16:creationId xmlns:a16="http://schemas.microsoft.com/office/drawing/2014/main" id="{0CE3CB59-2A0B-7645-AF83-F6875D1F26FD}"/>
            </a:ext>
          </a:extLst>
        </xdr:cNvPr>
        <xdr:cNvPicPr>
          <a:picLocks noChangeAspect="1"/>
        </xdr:cNvPicPr>
      </xdr:nvPicPr>
      <xdr:blipFill>
        <a:blip xmlns:r="http://schemas.openxmlformats.org/officeDocument/2006/relationships" r:embed="rId5"/>
        <a:stretch>
          <a:fillRect/>
        </a:stretch>
      </xdr:blipFill>
      <xdr:spPr>
        <a:xfrm>
          <a:off x="10337800" y="1651000"/>
          <a:ext cx="3746500" cy="1558229"/>
        </a:xfrm>
        <a:prstGeom prst="rect">
          <a:avLst/>
        </a:prstGeom>
        <a:ln>
          <a:solidFill>
            <a:schemeClr val="tx1"/>
          </a:solidFill>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25400</xdr:colOff>
      <xdr:row>1</xdr:row>
      <xdr:rowOff>63500</xdr:rowOff>
    </xdr:from>
    <xdr:to>
      <xdr:col>10</xdr:col>
      <xdr:colOff>152400</xdr:colOff>
      <xdr:row>37</xdr:row>
      <xdr:rowOff>76200</xdr:rowOff>
    </xdr:to>
    <xdr:pic>
      <xdr:nvPicPr>
        <xdr:cNvPr id="2" name="Picture 1">
          <a:extLst>
            <a:ext uri="{FF2B5EF4-FFF2-40B4-BE49-F238E27FC236}">
              <a16:creationId xmlns:a16="http://schemas.microsoft.com/office/drawing/2014/main" id="{F078F216-0430-0D79-C0BD-0C6689920927}"/>
            </a:ext>
          </a:extLst>
        </xdr:cNvPr>
        <xdr:cNvPicPr>
          <a:picLocks noChangeAspect="1"/>
        </xdr:cNvPicPr>
      </xdr:nvPicPr>
      <xdr:blipFill>
        <a:blip xmlns:r="http://schemas.openxmlformats.org/officeDocument/2006/relationships" r:embed="rId1"/>
        <a:stretch>
          <a:fillRect/>
        </a:stretch>
      </xdr:blipFill>
      <xdr:spPr>
        <a:xfrm>
          <a:off x="850900" y="254000"/>
          <a:ext cx="7556500" cy="6870700"/>
        </a:xfrm>
        <a:prstGeom prst="rect">
          <a:avLst/>
        </a:prstGeom>
        <a:ln>
          <a:solidFill>
            <a:schemeClr val="tx1"/>
          </a:solidFill>
        </a:ln>
      </xdr:spPr>
    </xdr:pic>
    <xdr:clientData/>
  </xdr:twoCellAnchor>
  <xdr:twoCellAnchor editAs="oneCell">
    <xdr:from>
      <xdr:col>10</xdr:col>
      <xdr:colOff>571500</xdr:colOff>
      <xdr:row>1</xdr:row>
      <xdr:rowOff>74294</xdr:rowOff>
    </xdr:from>
    <xdr:to>
      <xdr:col>13</xdr:col>
      <xdr:colOff>381000</xdr:colOff>
      <xdr:row>9</xdr:row>
      <xdr:rowOff>76199</xdr:rowOff>
    </xdr:to>
    <xdr:pic>
      <xdr:nvPicPr>
        <xdr:cNvPr id="3" name="Picture 2" descr="The Great Rift is a dark swath in the Milky Way">
          <a:extLst>
            <a:ext uri="{FF2B5EF4-FFF2-40B4-BE49-F238E27FC236}">
              <a16:creationId xmlns:a16="http://schemas.microsoft.com/office/drawing/2014/main" id="{E7DD9FD3-28CB-E42A-4A90-6FDEDDD924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26500" y="264794"/>
          <a:ext cx="2286000" cy="1525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584200</xdr:colOff>
      <xdr:row>10</xdr:row>
      <xdr:rowOff>160655</xdr:rowOff>
    </xdr:from>
    <xdr:to>
      <xdr:col>13</xdr:col>
      <xdr:colOff>393700</xdr:colOff>
      <xdr:row>18</xdr:row>
      <xdr:rowOff>103505</xdr:rowOff>
    </xdr:to>
    <xdr:pic>
      <xdr:nvPicPr>
        <xdr:cNvPr id="5" name="Picture 4" descr="101 Must-See Cosmic Objects: The Coalsack Nebula">
          <a:extLst>
            <a:ext uri="{FF2B5EF4-FFF2-40B4-BE49-F238E27FC236}">
              <a16:creationId xmlns:a16="http://schemas.microsoft.com/office/drawing/2014/main" id="{42DFF6E9-FD69-07B0-1BEB-23B8C836FAF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39200" y="2065655"/>
          <a:ext cx="2286000"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603250</xdr:colOff>
      <xdr:row>19</xdr:row>
      <xdr:rowOff>165100</xdr:rowOff>
    </xdr:from>
    <xdr:to>
      <xdr:col>13</xdr:col>
      <xdr:colOff>419100</xdr:colOff>
      <xdr:row>27</xdr:row>
      <xdr:rowOff>169333</xdr:rowOff>
    </xdr:to>
    <xdr:pic>
      <xdr:nvPicPr>
        <xdr:cNvPr id="7" name="Picture 6" descr="The Horsehead Nebula in Orion: An unbridled look">
          <a:extLst>
            <a:ext uri="{FF2B5EF4-FFF2-40B4-BE49-F238E27FC236}">
              <a16:creationId xmlns:a16="http://schemas.microsoft.com/office/drawing/2014/main" id="{CE126484-4939-7B10-1C29-157ED5A1279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858250" y="3784600"/>
          <a:ext cx="2292350" cy="15282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575961</xdr:colOff>
      <xdr:row>29</xdr:row>
      <xdr:rowOff>50801</xdr:rowOff>
    </xdr:from>
    <xdr:to>
      <xdr:col>13</xdr:col>
      <xdr:colOff>419101</xdr:colOff>
      <xdr:row>37</xdr:row>
      <xdr:rowOff>71981</xdr:rowOff>
    </xdr:to>
    <xdr:pic>
      <xdr:nvPicPr>
        <xdr:cNvPr id="8" name="Picture 7" descr="Snake Nebula">
          <a:extLst>
            <a:ext uri="{FF2B5EF4-FFF2-40B4-BE49-F238E27FC236}">
              <a16:creationId xmlns:a16="http://schemas.microsoft.com/office/drawing/2014/main" id="{7393313E-F133-934C-EACD-CF64F703265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830961" y="5575301"/>
          <a:ext cx="2319640" cy="1545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15</v>
    <v>8</v>
    <v>11</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astroleague.org/dark-nebula-observing-program/" TargetMode="Externa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hyperlink" Target="https://www.astroleague.org/dark-nebula-observing-progra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astroleague.org/dark-nebula-observing-progra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B940F-4CFD-5843-94DF-BBFEAA1B2116}">
  <sheetPr codeName="Sheet4"/>
  <dimension ref="A2:Q51"/>
  <sheetViews>
    <sheetView showGridLines="0" tabSelected="1" workbookViewId="0">
      <selection activeCell="I16" sqref="I16"/>
    </sheetView>
  </sheetViews>
  <sheetFormatPr baseColWidth="10" defaultRowHeight="16"/>
  <cols>
    <col min="1" max="16384" width="10.83203125" style="26"/>
  </cols>
  <sheetData>
    <row r="2" spans="2:11" ht="15" customHeight="1"/>
    <row r="3" spans="2:11" ht="16" customHeight="1">
      <c r="B3" s="204" t="s">
        <v>456</v>
      </c>
      <c r="C3" s="204"/>
      <c r="D3" s="204"/>
      <c r="E3" s="204"/>
      <c r="F3" s="204"/>
      <c r="G3" s="204"/>
      <c r="H3" s="204"/>
      <c r="I3" s="204"/>
      <c r="J3" s="204"/>
      <c r="K3" s="204"/>
    </row>
    <row r="4" spans="2:11" ht="16" customHeight="1">
      <c r="B4" s="204"/>
      <c r="C4" s="204"/>
      <c r="D4" s="204"/>
      <c r="E4" s="204"/>
      <c r="F4" s="204"/>
      <c r="G4" s="204"/>
      <c r="H4" s="204"/>
      <c r="I4" s="204"/>
      <c r="J4" s="204"/>
      <c r="K4" s="204"/>
    </row>
    <row r="5" spans="2:11" ht="16" customHeight="1">
      <c r="B5" s="204"/>
      <c r="C5" s="204"/>
      <c r="D5" s="204"/>
      <c r="E5" s="204"/>
      <c r="F5" s="204"/>
      <c r="G5" s="204"/>
      <c r="H5" s="204"/>
      <c r="I5" s="204"/>
      <c r="J5" s="204"/>
      <c r="K5" s="204"/>
    </row>
    <row r="6" spans="2:11" ht="16" customHeight="1">
      <c r="B6" s="204"/>
      <c r="C6" s="204"/>
      <c r="D6" s="204"/>
      <c r="E6" s="204"/>
      <c r="F6" s="204"/>
      <c r="G6" s="204"/>
      <c r="H6" s="204"/>
      <c r="I6" s="204"/>
      <c r="J6" s="204"/>
      <c r="K6" s="204"/>
    </row>
    <row r="7" spans="2:11" ht="16" customHeight="1">
      <c r="B7" s="204"/>
      <c r="C7" s="204"/>
      <c r="D7" s="204"/>
      <c r="E7" s="204"/>
      <c r="F7" s="204"/>
      <c r="G7" s="204"/>
      <c r="H7" s="204"/>
      <c r="I7" s="204"/>
      <c r="J7" s="204"/>
      <c r="K7" s="204"/>
    </row>
    <row r="8" spans="2:11" ht="16" customHeight="1">
      <c r="B8" s="204"/>
      <c r="C8" s="204"/>
      <c r="D8" s="204"/>
      <c r="E8" s="204"/>
      <c r="F8" s="204"/>
      <c r="G8" s="204"/>
      <c r="H8" s="204"/>
      <c r="I8" s="204"/>
      <c r="J8" s="204"/>
      <c r="K8" s="204"/>
    </row>
    <row r="9" spans="2:11" ht="16" customHeight="1">
      <c r="B9" s="204"/>
      <c r="C9" s="204"/>
      <c r="D9" s="204"/>
      <c r="E9" s="204"/>
      <c r="F9" s="204"/>
      <c r="G9" s="204"/>
      <c r="H9" s="204"/>
      <c r="I9" s="204"/>
      <c r="J9" s="204"/>
      <c r="K9" s="204"/>
    </row>
    <row r="13" spans="2:11" ht="19">
      <c r="D13" s="1" t="s">
        <v>4</v>
      </c>
      <c r="E13" s="2"/>
      <c r="F13" s="3"/>
      <c r="G13" s="3"/>
      <c r="H13" s="3"/>
      <c r="I13" s="4" t="s">
        <v>0</v>
      </c>
    </row>
    <row r="14" spans="2:11" ht="19">
      <c r="D14" s="5"/>
      <c r="E14" s="6"/>
      <c r="F14" s="7"/>
      <c r="G14" s="7"/>
      <c r="H14" s="7"/>
      <c r="I14" s="8"/>
    </row>
    <row r="15" spans="2:11" ht="19">
      <c r="D15" s="9" t="s">
        <v>50</v>
      </c>
      <c r="E15" s="10"/>
      <c r="F15" s="11"/>
      <c r="G15" s="11"/>
      <c r="H15" s="11"/>
      <c r="I15" s="12" t="s">
        <v>490</v>
      </c>
    </row>
    <row r="17" spans="3:6">
      <c r="F17" s="74" t="s">
        <v>51</v>
      </c>
    </row>
    <row r="25" spans="3:6">
      <c r="C25" s="27"/>
    </row>
    <row r="28" spans="3:6">
      <c r="D28" s="27"/>
    </row>
    <row r="33" spans="1:17">
      <c r="Q33" s="27"/>
    </row>
    <row r="34" spans="1:17">
      <c r="A34" s="27"/>
    </row>
    <row r="35" spans="1:17">
      <c r="A35" s="27"/>
    </row>
    <row r="36" spans="1:17">
      <c r="A36" s="27"/>
    </row>
    <row r="37" spans="1:17">
      <c r="A37" s="27"/>
    </row>
    <row r="38" spans="1:17">
      <c r="A38" s="27"/>
    </row>
    <row r="39" spans="1:17">
      <c r="A39" s="27"/>
    </row>
    <row r="40" spans="1:17">
      <c r="A40" s="27"/>
    </row>
    <row r="41" spans="1:17">
      <c r="A41" s="27"/>
    </row>
    <row r="42" spans="1:17">
      <c r="A42" s="27"/>
    </row>
    <row r="43" spans="1:17">
      <c r="A43" s="27"/>
    </row>
    <row r="44" spans="1:17">
      <c r="A44" s="27"/>
    </row>
    <row r="45" spans="1:17">
      <c r="A45" s="27"/>
    </row>
    <row r="46" spans="1:17">
      <c r="B46" s="205" t="s">
        <v>1</v>
      </c>
      <c r="C46" s="206"/>
      <c r="D46" s="206"/>
      <c r="E46" s="206"/>
      <c r="F46" s="206"/>
      <c r="G46" s="206"/>
      <c r="H46" s="206"/>
      <c r="I46" s="206"/>
      <c r="J46" s="206"/>
      <c r="K46" s="207"/>
    </row>
    <row r="47" spans="1:17">
      <c r="B47" s="208" t="s">
        <v>2</v>
      </c>
      <c r="C47" s="209"/>
      <c r="D47" s="209"/>
      <c r="E47" s="209"/>
      <c r="F47" s="209"/>
      <c r="G47" s="209"/>
      <c r="H47" s="209"/>
      <c r="I47" s="209"/>
      <c r="J47" s="209"/>
      <c r="K47" s="210"/>
    </row>
    <row r="48" spans="1:17">
      <c r="B48" s="211" t="s">
        <v>3</v>
      </c>
      <c r="C48" s="212"/>
      <c r="D48" s="212"/>
      <c r="E48" s="212"/>
      <c r="F48" s="212"/>
      <c r="G48" s="212"/>
      <c r="H48" s="212"/>
      <c r="I48" s="212"/>
      <c r="J48" s="212"/>
      <c r="K48" s="213"/>
    </row>
    <row r="49" spans="2:17">
      <c r="B49" s="76"/>
      <c r="C49" s="76"/>
      <c r="D49" s="76"/>
      <c r="E49" s="76"/>
      <c r="F49" s="76"/>
      <c r="G49" s="76"/>
      <c r="H49" s="76"/>
      <c r="I49" s="76"/>
      <c r="J49" s="76"/>
      <c r="K49" s="76"/>
    </row>
    <row r="51" spans="2:17">
      <c r="Q51" s="27"/>
    </row>
  </sheetData>
  <sheetProtection sheet="1" objects="1" scenarios="1"/>
  <mergeCells count="4">
    <mergeCell ref="B3:K9"/>
    <mergeCell ref="B46:K46"/>
    <mergeCell ref="B47:K47"/>
    <mergeCell ref="B48:K48"/>
  </mergeCells>
  <hyperlinks>
    <hyperlink ref="I13" r:id="rId1" xr:uid="{60E68FAD-CE54-204D-BE8F-AA8992F34899}"/>
    <hyperlink ref="B46" r:id="rId2" display="http://www.astronomy-morsels.ch/" xr:uid="{658673F1-EC19-9849-A093-CD89D563BEA6}"/>
    <hyperlink ref="F17" r:id="rId3" xr:uid="{E546671B-C1C8-A840-BAE7-7556CE6AF129}"/>
  </hyperlinks>
  <pageMargins left="0.7" right="0.7" top="0.75" bottom="0.75" header="0.3" footer="0.3"/>
  <pageSetup paperSize="9" orientation="portrait" horizontalDpi="0" verticalDpi="0"/>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65CC5-610B-8844-8C0F-9B63B3EF5C5D}">
  <sheetPr codeName="Sheet1">
    <pageSetUpPr fitToPage="1"/>
  </sheetPr>
  <dimension ref="B2:AP56"/>
  <sheetViews>
    <sheetView showGridLines="0" topLeftCell="A3" workbookViewId="0">
      <selection activeCell="B35" sqref="B35:D35"/>
    </sheetView>
  </sheetViews>
  <sheetFormatPr baseColWidth="10" defaultRowHeight="16"/>
  <cols>
    <col min="1" max="1" width="10.83203125" style="13"/>
    <col min="2" max="2" width="13.33203125" style="13" customWidth="1"/>
    <col min="3" max="4" width="11.33203125" style="13" customWidth="1"/>
    <col min="5" max="5" width="5.83203125" style="13" customWidth="1"/>
    <col min="6" max="6" width="15.83203125" style="40" customWidth="1"/>
    <col min="7" max="7" width="10.83203125" style="13" customWidth="1"/>
    <col min="8" max="8" width="10.83203125" style="14" customWidth="1"/>
    <col min="9" max="9" width="10.83203125" style="13"/>
    <col min="10" max="10" width="10.83203125" style="14"/>
    <col min="11" max="11" width="10.83203125" style="14" customWidth="1"/>
    <col min="12" max="12" width="40.83203125" style="14" customWidth="1"/>
    <col min="13" max="14" width="10.83203125" style="14" customWidth="1"/>
    <col min="15" max="17" width="11.83203125" style="14" customWidth="1"/>
    <col min="18" max="18" width="10.83203125" style="113" customWidth="1"/>
    <col min="19" max="20" width="10.83203125" style="13"/>
    <col min="21" max="21" width="6.1640625" style="13" customWidth="1"/>
    <col min="22" max="22" width="6.1640625" style="13" hidden="1" customWidth="1"/>
    <col min="23" max="23" width="6.1640625" style="14" hidden="1" customWidth="1"/>
    <col min="24" max="24" width="15.83203125" style="14" customWidth="1"/>
    <col min="25" max="25" width="10.83203125" style="14" customWidth="1"/>
    <col min="26" max="26" width="10.83203125" style="13" customWidth="1"/>
    <col min="27" max="27" width="10.83203125" style="14" customWidth="1"/>
    <col min="28" max="28" width="3.83203125" style="14" hidden="1" customWidth="1"/>
    <col min="29" max="29" width="10.83203125" style="14" customWidth="1"/>
    <col min="30" max="30" width="40.83203125" style="14" hidden="1" customWidth="1"/>
    <col min="31" max="32" width="10.83203125" style="14" customWidth="1"/>
    <col min="33" max="34" width="11.83203125" style="14" customWidth="1"/>
    <col min="35" max="35" width="10.83203125" style="14" customWidth="1"/>
    <col min="36" max="36" width="3.6640625" style="14" hidden="1" customWidth="1"/>
    <col min="37" max="37" width="10.83203125" style="14" hidden="1" customWidth="1"/>
    <col min="38" max="38" width="0.1640625" style="14" hidden="1" customWidth="1"/>
    <col min="39" max="39" width="10.83203125" style="13" hidden="1" customWidth="1"/>
    <col min="40" max="41" width="0.1640625" style="13" hidden="1" customWidth="1"/>
    <col min="42" max="16384" width="10.83203125" style="13"/>
  </cols>
  <sheetData>
    <row r="2" spans="2:42" ht="19">
      <c r="B2" s="236" t="s">
        <v>25</v>
      </c>
      <c r="C2" s="238"/>
      <c r="D2" s="126"/>
      <c r="F2" s="236" t="s">
        <v>26</v>
      </c>
      <c r="G2" s="237"/>
      <c r="H2" s="237"/>
      <c r="I2" s="237"/>
      <c r="J2" s="237"/>
      <c r="K2" s="237"/>
      <c r="L2" s="237"/>
      <c r="M2" s="237"/>
      <c r="N2" s="237"/>
      <c r="O2" s="237"/>
      <c r="P2" s="237"/>
      <c r="Q2" s="237"/>
      <c r="R2" s="237"/>
      <c r="S2" s="237"/>
      <c r="T2" s="238"/>
      <c r="W2" s="67" t="s">
        <v>27</v>
      </c>
      <c r="X2" s="236" t="s">
        <v>49</v>
      </c>
      <c r="Y2" s="237"/>
      <c r="Z2" s="237"/>
      <c r="AA2" s="237"/>
      <c r="AB2" s="237"/>
      <c r="AC2" s="237"/>
      <c r="AD2" s="237"/>
      <c r="AE2" s="237"/>
      <c r="AF2" s="237"/>
      <c r="AG2" s="237"/>
      <c r="AH2" s="237"/>
      <c r="AI2" s="237"/>
      <c r="AJ2" s="237"/>
      <c r="AK2" s="237"/>
      <c r="AL2" s="238"/>
      <c r="AP2" s="110"/>
    </row>
    <row r="3" spans="2:42">
      <c r="B3" s="195"/>
      <c r="C3" s="28" t="s">
        <v>7</v>
      </c>
      <c r="D3" s="127"/>
      <c r="E3" s="15"/>
      <c r="F3" s="37"/>
      <c r="G3" s="34"/>
      <c r="H3" s="16" t="s">
        <v>5</v>
      </c>
      <c r="I3" s="16" t="s">
        <v>5</v>
      </c>
      <c r="J3" s="30"/>
      <c r="K3" s="30"/>
      <c r="L3" s="30"/>
      <c r="M3" s="30"/>
      <c r="N3" s="30"/>
      <c r="O3" s="30"/>
      <c r="P3" s="30"/>
      <c r="Q3" s="30"/>
      <c r="R3" s="111"/>
      <c r="S3" s="30"/>
      <c r="T3" s="75" t="s">
        <v>51</v>
      </c>
      <c r="W3" s="29"/>
      <c r="X3" s="193" t="str">
        <f>CONCATENATE("Date: ",TEXT(C4,"DD.MM.YYYY"),",   Time: ",TEXT(C5,"HH:MM:SS"))</f>
        <v>Date: 16.05.2024,   Time: 02:00:00</v>
      </c>
      <c r="Y3" s="188"/>
      <c r="Z3" s="188"/>
      <c r="AA3" s="189"/>
      <c r="AB3" s="189"/>
      <c r="AC3" s="30"/>
      <c r="AD3" s="30"/>
      <c r="AE3" s="30"/>
      <c r="AF3" s="30"/>
      <c r="AG3" s="30"/>
      <c r="AH3" s="30"/>
      <c r="AI3" s="196" t="str">
        <f>CONCATENATE("Moon: ",TEXT('Illumination (VR)'!C8*100,"0.00"),"%")</f>
        <v>Moon: 55.71%</v>
      </c>
      <c r="AJ3" s="30"/>
      <c r="AK3" s="30"/>
      <c r="AL3" s="30"/>
    </row>
    <row r="4" spans="2:42">
      <c r="B4" s="18" t="s">
        <v>13</v>
      </c>
      <c r="C4" s="21">
        <v>45428</v>
      </c>
      <c r="D4" s="128"/>
      <c r="E4" s="15"/>
      <c r="F4" s="38"/>
      <c r="G4" s="35"/>
      <c r="H4" s="17">
        <v>60</v>
      </c>
      <c r="I4" s="17">
        <v>25</v>
      </c>
      <c r="J4" s="30"/>
      <c r="K4" s="30"/>
      <c r="L4" s="30"/>
      <c r="M4" s="30"/>
      <c r="N4" s="30"/>
      <c r="O4" s="30"/>
      <c r="P4" s="30"/>
      <c r="Q4" s="30"/>
      <c r="R4" s="111"/>
      <c r="S4" s="30"/>
      <c r="T4" s="35"/>
      <c r="W4" s="29"/>
      <c r="X4" s="193" t="str">
        <f>CONCATENATE("Latitude: ",TEXT(C13,"0.00"),",      Longitude: ",TEXT(C14,"0.00"),"   (",C12,")")</f>
        <v>Latitude: 46.45,      Longitude: 7.42   (Home)</v>
      </c>
      <c r="Y4" s="190"/>
      <c r="Z4" s="190"/>
      <c r="AA4" s="191"/>
      <c r="AB4" s="191"/>
      <c r="AC4" s="30"/>
      <c r="AD4" s="30"/>
      <c r="AE4" s="30"/>
      <c r="AF4" s="30"/>
      <c r="AG4" s="30"/>
      <c r="AH4" s="30"/>
      <c r="AI4" s="203" t="str">
        <f>CONCATENATE("# total:       ",TEXT(34-COUNTBLANK(($E$9:$E$42)),"0"))</f>
        <v># total:       12</v>
      </c>
      <c r="AJ4" s="30"/>
      <c r="AK4" s="30"/>
      <c r="AL4" s="30"/>
    </row>
    <row r="5" spans="2:42">
      <c r="B5" s="19" t="s">
        <v>14</v>
      </c>
      <c r="C5" s="22">
        <v>8.3333333333333329E-2</v>
      </c>
      <c r="D5" s="129"/>
      <c r="E5" s="15"/>
      <c r="F5" s="38"/>
      <c r="G5" s="35"/>
      <c r="H5" s="16" t="s">
        <v>6</v>
      </c>
      <c r="I5" s="16" t="s">
        <v>6</v>
      </c>
      <c r="J5" s="30"/>
      <c r="K5" s="30"/>
      <c r="L5" s="30"/>
      <c r="M5" s="30"/>
      <c r="N5" s="30"/>
      <c r="O5" s="30"/>
      <c r="P5" s="30"/>
      <c r="Q5" s="30"/>
      <c r="R5" s="111"/>
      <c r="S5" s="30"/>
      <c r="T5" s="35"/>
      <c r="W5" s="29"/>
      <c r="X5" s="194" t="str">
        <f>CONCATENATE("Limits: ",TEXT(H4,"0")," &lt;= azimuth &lt;= ",TEXT(H6,"0"),",   ",TEXT(I4,"0")," &lt;= altitude &lt;= ",TEXT(I6,"0"))</f>
        <v>Limits: 60 &lt;= azimuth &lt;= 150,   25 &lt;= altitude &lt;= 90</v>
      </c>
      <c r="Y5" s="192"/>
      <c r="Z5" s="192"/>
      <c r="AA5" s="30"/>
      <c r="AB5" s="30"/>
      <c r="AC5" s="30"/>
      <c r="AD5" s="30"/>
      <c r="AE5" s="30"/>
      <c r="AF5" s="30"/>
      <c r="AG5" s="30"/>
      <c r="AH5" s="30"/>
      <c r="AI5" s="203" t="str">
        <f>CONCATENATE("# selected: ",TEXT(34-COUNTBLANK(($X$9:$X$42)),"0"))</f>
        <v># selected: 12</v>
      </c>
      <c r="AJ5" s="30"/>
      <c r="AK5" s="30"/>
      <c r="AL5" s="30"/>
    </row>
    <row r="6" spans="2:42">
      <c r="B6" s="19" t="s">
        <v>15</v>
      </c>
      <c r="C6" s="23">
        <v>1</v>
      </c>
      <c r="D6" s="130"/>
      <c r="E6" s="15"/>
      <c r="F6" s="39"/>
      <c r="G6" s="36"/>
      <c r="H6" s="17">
        <v>150</v>
      </c>
      <c r="I6" s="17">
        <v>90</v>
      </c>
      <c r="J6" s="32"/>
      <c r="K6" s="32"/>
      <c r="L6" s="32"/>
      <c r="M6" s="32"/>
      <c r="N6" s="32"/>
      <c r="O6" s="32"/>
      <c r="P6" s="32"/>
      <c r="Q6" s="32"/>
      <c r="R6" s="112"/>
      <c r="S6" s="32"/>
      <c r="T6" s="36"/>
      <c r="W6" s="31"/>
      <c r="X6" s="31"/>
      <c r="Y6" s="32"/>
      <c r="Z6" s="33"/>
      <c r="AA6" s="32"/>
      <c r="AB6" s="32"/>
      <c r="AC6" s="32"/>
      <c r="AD6" s="32"/>
      <c r="AE6" s="32"/>
      <c r="AF6" s="32"/>
      <c r="AG6" s="32"/>
      <c r="AH6" s="32"/>
      <c r="AI6" s="71"/>
      <c r="AJ6" s="32"/>
      <c r="AK6" s="32"/>
      <c r="AL6" s="32"/>
    </row>
    <row r="7" spans="2:42" ht="16" customHeight="1">
      <c r="B7" s="18" t="s">
        <v>16</v>
      </c>
      <c r="C7" s="16" t="str">
        <f>IF(OR(MOD(YEAR(C4),400)=0,AND(MOD(YEAR(C4),4)=0,MOD(YEAR(C4),100)&lt;&gt;0)),"Y", "N")</f>
        <v>Y</v>
      </c>
      <c r="D7" s="131"/>
      <c r="E7" s="15"/>
      <c r="F7" s="217" t="s">
        <v>36</v>
      </c>
      <c r="G7" s="219" t="str">
        <f>C17</f>
        <v>Observed?</v>
      </c>
      <c r="H7" s="241" t="s">
        <v>8</v>
      </c>
      <c r="I7" s="243" t="s">
        <v>9</v>
      </c>
      <c r="J7" s="221" t="s">
        <v>48</v>
      </c>
      <c r="K7" s="221" t="s">
        <v>52</v>
      </c>
      <c r="L7" s="221" t="s">
        <v>53</v>
      </c>
      <c r="M7" s="221" t="s">
        <v>452</v>
      </c>
      <c r="N7" s="221" t="s">
        <v>54</v>
      </c>
      <c r="O7" s="92" t="s">
        <v>448</v>
      </c>
      <c r="P7" s="92" t="s">
        <v>450</v>
      </c>
      <c r="Q7" s="221" t="s">
        <v>55</v>
      </c>
      <c r="R7" s="227" t="s">
        <v>10</v>
      </c>
      <c r="S7" s="217" t="s">
        <v>11</v>
      </c>
      <c r="T7" s="219" t="s">
        <v>12</v>
      </c>
      <c r="U7" s="25"/>
      <c r="V7" s="25"/>
      <c r="W7" s="68" t="s">
        <v>36</v>
      </c>
      <c r="X7" s="229" t="s">
        <v>36</v>
      </c>
      <c r="Y7" s="231" t="str">
        <f>C17</f>
        <v>Observed?</v>
      </c>
      <c r="Z7" s="231" t="s">
        <v>8</v>
      </c>
      <c r="AA7" s="233" t="s">
        <v>9</v>
      </c>
      <c r="AB7" s="223" t="s">
        <v>48</v>
      </c>
      <c r="AC7" s="223" t="s">
        <v>52</v>
      </c>
      <c r="AD7" s="223" t="s">
        <v>53</v>
      </c>
      <c r="AE7" s="223" t="s">
        <v>452</v>
      </c>
      <c r="AF7" s="223" t="s">
        <v>54</v>
      </c>
      <c r="AG7" s="187" t="s">
        <v>448</v>
      </c>
      <c r="AH7" s="187" t="s">
        <v>450</v>
      </c>
      <c r="AI7" s="225" t="s">
        <v>55</v>
      </c>
      <c r="AJ7" s="217" t="s">
        <v>10</v>
      </c>
      <c r="AK7" s="217" t="s">
        <v>11</v>
      </c>
      <c r="AL7" s="219" t="s">
        <v>12</v>
      </c>
      <c r="AM7" s="69" t="s">
        <v>10</v>
      </c>
      <c r="AN7" s="41" t="s">
        <v>11</v>
      </c>
      <c r="AO7" s="24" t="s">
        <v>12</v>
      </c>
    </row>
    <row r="8" spans="2:42" ht="16" customHeight="1">
      <c r="B8" s="47" t="s">
        <v>17</v>
      </c>
      <c r="C8" s="48">
        <f>INT(275*MONTH(C4)/9)-IF(C7="Y",1,2)*INT((MONTH(C4)+9)/12)+DAY(C4)-30</f>
        <v>137</v>
      </c>
      <c r="D8" s="132"/>
      <c r="E8" s="15"/>
      <c r="F8" s="218"/>
      <c r="G8" s="220"/>
      <c r="H8" s="242"/>
      <c r="I8" s="244"/>
      <c r="J8" s="222"/>
      <c r="K8" s="222"/>
      <c r="L8" s="222"/>
      <c r="M8" s="224"/>
      <c r="N8" s="222"/>
      <c r="O8" s="92" t="s">
        <v>449</v>
      </c>
      <c r="P8" s="92" t="s">
        <v>451</v>
      </c>
      <c r="Q8" s="222"/>
      <c r="R8" s="228"/>
      <c r="S8" s="218"/>
      <c r="T8" s="220"/>
      <c r="U8" s="25"/>
      <c r="V8" s="25"/>
      <c r="W8" s="68"/>
      <c r="X8" s="230"/>
      <c r="Y8" s="232"/>
      <c r="Z8" s="232"/>
      <c r="AA8" s="234"/>
      <c r="AB8" s="224"/>
      <c r="AC8" s="224"/>
      <c r="AD8" s="224"/>
      <c r="AE8" s="224"/>
      <c r="AF8" s="222"/>
      <c r="AG8" s="121" t="s">
        <v>449</v>
      </c>
      <c r="AH8" s="121" t="s">
        <v>451</v>
      </c>
      <c r="AI8" s="226"/>
      <c r="AJ8" s="218"/>
      <c r="AK8" s="218"/>
      <c r="AL8" s="220"/>
      <c r="AM8" s="91"/>
      <c r="AN8" s="91"/>
      <c r="AO8" s="91"/>
    </row>
    <row r="9" spans="2:42" s="53" customFormat="1" ht="17">
      <c r="B9" s="47" t="s">
        <v>18</v>
      </c>
      <c r="C9" s="48" t="str">
        <f>IF(INT(MOD(C10+1.5,7))=1,"Monday",IF(INT(MOD(C10+1.5,7))=2,"Tuesday",IF(INT(MOD(C10+1.5,7))=3,"Wednesday",IF(INT(MOD(C10+1.5,7))=4,"Thursday",IF(INT(MOD(C10+1.5,7))=5,"Friday",IF(INT(MOD(C10+1.5,7))=6,"Saturday","Sunday"))))))</f>
        <v>Thursday</v>
      </c>
      <c r="D9" s="132"/>
      <c r="E9" s="49" t="str">
        <f>IF(AND(I9&gt;=$I$4,I9&lt;=$I$6,H9&gt;=$H$4,H9&lt;=$H$6),IF(VLOOKUP(G9,$C$19:$D$24,2,FALSE)="yes","*","-"),"")</f>
        <v>*</v>
      </c>
      <c r="F9" s="87" t="s">
        <v>332</v>
      </c>
      <c r="G9" s="50" t="s">
        <v>35</v>
      </c>
      <c r="H9" s="51">
        <f>IF(SIN($T$44*T9)&lt;0,ACOS((SIN($T$44*S9)-SIN($T$44*I9)*SIN($T$44*$C$13))/(COS($T$44*I9)*COS($T$44*$C$13)))/$T$44,360-ACOS((SIN($T$44*S9)-SIN($T$44*I9)*SIN($T$44*$C$13))/(COS($T$44*I9)*COS($T$44*$C$13)))/$T$44)</f>
        <v>125.51056449339247</v>
      </c>
      <c r="I9" s="51">
        <f t="shared" ref="I9:I42" si="0">ASIN(SIN($T$44*S9)*SIN($T$44*$C$13)+COS($T$44*S9)*COS($T$44*$C$13)*COS($T$44*T9))/$T$44</f>
        <v>41.642181180135132</v>
      </c>
      <c r="J9" s="87" t="s">
        <v>38</v>
      </c>
      <c r="K9" s="42" t="s">
        <v>37</v>
      </c>
      <c r="L9" s="86" t="s">
        <v>333</v>
      </c>
      <c r="M9" s="87" t="s">
        <v>334</v>
      </c>
      <c r="N9" s="93">
        <v>16</v>
      </c>
      <c r="O9" s="93">
        <v>207</v>
      </c>
      <c r="P9" s="93">
        <v>85</v>
      </c>
      <c r="Q9" s="87" t="s">
        <v>335</v>
      </c>
      <c r="R9" s="88">
        <v>19.661388888888887</v>
      </c>
      <c r="S9" s="88">
        <v>10.516666666666667</v>
      </c>
      <c r="T9" s="52">
        <f t="shared" ref="T9:T42" si="1">$C$16-((R9/24)*360)</f>
        <v>-38.22192558318028</v>
      </c>
      <c r="V9" s="53" t="e" cm="1" vm="1">
        <f t="array" aca="1" ref="V9" ca="1">_xlfn._xlws.FILTER(E9:T42,E9:E42="*","")</f>
        <v>#VALUE!</v>
      </c>
      <c r="W9" s="54" t="str" cm="1">
        <f t="array" ref="W9:AL20">_xlfn._xlws.FILTER(E9:T42,E9:E42="*","")</f>
        <v>*</v>
      </c>
      <c r="X9" s="70" t="str">
        <v>B 142</v>
      </c>
      <c r="Y9" s="100" t="str">
        <v>-</v>
      </c>
      <c r="Z9" s="101">
        <v>125.51056449339247</v>
      </c>
      <c r="AA9" s="102">
        <v>41.642181180135132</v>
      </c>
      <c r="AB9" s="102" t="str">
        <v>Aql</v>
      </c>
      <c r="AC9" s="100" t="str">
        <v>AB 7.13</v>
      </c>
      <c r="AD9" s="100" t="str">
        <v>B142/3 Barnard's famous "E" cloud</v>
      </c>
      <c r="AE9" s="100" t="str">
        <v>B</v>
      </c>
      <c r="AF9" s="100">
        <v>16</v>
      </c>
      <c r="AG9" s="100">
        <v>207</v>
      </c>
      <c r="AH9" s="100">
        <v>85</v>
      </c>
      <c r="AI9" s="103" t="str">
        <v>III: 1243</v>
      </c>
      <c r="AJ9" s="56">
        <v>19.661388888888887</v>
      </c>
      <c r="AK9" s="56">
        <v>10.516666666666667</v>
      </c>
      <c r="AL9" s="56">
        <v>-38.22192558318028</v>
      </c>
    </row>
    <row r="10" spans="2:42" s="53" customFormat="1" ht="17">
      <c r="B10" s="47" t="s">
        <v>19</v>
      </c>
      <c r="C10" s="57">
        <f>367*YEAR(C4)-INT(7/4*YEAR(C4))-INT(3*(INT((YEAR(C4)-8/7)/100)+1)/4)+1721059.5-1+C8+(3600*HOUR(C5)+60*MINUTE(C5)+SECOND(C5))/(24*3600)</f>
        <v>2460446.5833333335</v>
      </c>
      <c r="D10" s="133"/>
      <c r="E10" s="49" t="str">
        <f t="shared" ref="E10:E42" si="2">IF(AND(I10&gt;=$I$4,I10&lt;=$I$6,H10&gt;=$H$4,H10&lt;=$H$6),IF(VLOOKUP(G10,$C$19:$D$24,2,FALSE)="yes","*","-"),"")</f>
        <v>*</v>
      </c>
      <c r="F10" s="87" t="s">
        <v>336</v>
      </c>
      <c r="G10" s="50" t="s">
        <v>35</v>
      </c>
      <c r="H10" s="51">
        <f t="shared" ref="H10:H42" si="3">IF(SIN($T$44*T10)&lt;0,ACOS((SIN($T$44*S10)-SIN($T$44*I10)*SIN($T$44*$C$13))/(COS($T$44*I10)*COS($T$44*$C$13)))/$T$44,360-ACOS((SIN($T$44*S10)-SIN($T$44*I10)*SIN($T$44*$C$13))/(COS($T$44*I10)*COS($T$44*$C$13)))/$T$44)</f>
        <v>124.67189752961174</v>
      </c>
      <c r="I10" s="51">
        <f t="shared" si="0"/>
        <v>41.793723494375229</v>
      </c>
      <c r="J10" s="87" t="s">
        <v>38</v>
      </c>
      <c r="K10" s="43">
        <v>8.3000000000000007</v>
      </c>
      <c r="L10" s="86" t="s">
        <v>333</v>
      </c>
      <c r="M10" s="87" t="s">
        <v>334</v>
      </c>
      <c r="N10" s="93">
        <v>16</v>
      </c>
      <c r="O10" s="93">
        <v>207</v>
      </c>
      <c r="P10" s="93">
        <v>85</v>
      </c>
      <c r="Q10" s="87" t="s">
        <v>335</v>
      </c>
      <c r="R10" s="88">
        <v>19.690277777777776</v>
      </c>
      <c r="S10" s="88">
        <v>11</v>
      </c>
      <c r="T10" s="52">
        <f t="shared" si="1"/>
        <v>-38.655258916513674</v>
      </c>
      <c r="W10" s="55" t="str">
        <v>*</v>
      </c>
      <c r="X10" s="55" t="str">
        <v>B 143</v>
      </c>
      <c r="Y10" s="104" t="str">
        <v>-</v>
      </c>
      <c r="Z10" s="105">
        <v>124.67189752961174</v>
      </c>
      <c r="AA10" s="106">
        <v>41.793723494375229</v>
      </c>
      <c r="AB10" s="106" t="str">
        <v>Aql</v>
      </c>
      <c r="AC10" s="104">
        <v>8.3000000000000007</v>
      </c>
      <c r="AD10" s="104" t="str">
        <v>B142/3 Barnard's famous "E" cloud</v>
      </c>
      <c r="AE10" s="104" t="str">
        <v>B</v>
      </c>
      <c r="AF10" s="104">
        <v>16</v>
      </c>
      <c r="AG10" s="104">
        <v>207</v>
      </c>
      <c r="AH10" s="104">
        <v>85</v>
      </c>
      <c r="AI10" s="72" t="str">
        <v>III: 1243</v>
      </c>
      <c r="AJ10" s="56">
        <v>19.690277777777776</v>
      </c>
      <c r="AK10" s="56">
        <v>11</v>
      </c>
      <c r="AL10" s="56">
        <v>-38.655258916513674</v>
      </c>
    </row>
    <row r="11" spans="2:42" s="53" customFormat="1" ht="17">
      <c r="B11" s="47" t="s">
        <v>20</v>
      </c>
      <c r="C11" s="57">
        <f>C10-2451545</f>
        <v>8901.5833333334886</v>
      </c>
      <c r="D11" s="133"/>
      <c r="E11" s="49" t="str">
        <f t="shared" si="2"/>
        <v/>
      </c>
      <c r="F11" s="87" t="s">
        <v>337</v>
      </c>
      <c r="G11" s="50" t="s">
        <v>35</v>
      </c>
      <c r="H11" s="51">
        <f t="shared" si="3"/>
        <v>352.15028668616497</v>
      </c>
      <c r="I11" s="51">
        <f t="shared" si="0"/>
        <v>-10.483706197784121</v>
      </c>
      <c r="J11" s="87" t="s">
        <v>39</v>
      </c>
      <c r="K11" s="43">
        <v>8.3000000000000007</v>
      </c>
      <c r="L11" s="86" t="s">
        <v>338</v>
      </c>
      <c r="M11" s="87" t="s">
        <v>334</v>
      </c>
      <c r="N11" s="93">
        <v>5</v>
      </c>
      <c r="O11" s="87" t="s">
        <v>339</v>
      </c>
      <c r="P11" s="93">
        <v>59</v>
      </c>
      <c r="Q11" s="87" t="s">
        <v>340</v>
      </c>
      <c r="R11" s="88">
        <v>5.7250000000000005</v>
      </c>
      <c r="S11" s="88">
        <v>32.633333333333333</v>
      </c>
      <c r="T11" s="52">
        <f t="shared" si="1"/>
        <v>170.82390775015301</v>
      </c>
      <c r="W11" s="55" t="str">
        <v>*</v>
      </c>
      <c r="X11" s="55" t="str">
        <v>B 144</v>
      </c>
      <c r="Y11" s="104" t="str">
        <v>-</v>
      </c>
      <c r="Z11" s="105">
        <v>93.650271002256247</v>
      </c>
      <c r="AA11" s="106">
        <v>56.259848103306183</v>
      </c>
      <c r="AB11" s="106" t="str">
        <v>Cyg</v>
      </c>
      <c r="AC11" s="104">
        <v>5.93</v>
      </c>
      <c r="AD11" s="104" t="str">
        <v>Fish on the Platter</v>
      </c>
      <c r="AE11" s="104" t="str">
        <v>NE,B</v>
      </c>
      <c r="AF11" s="104" t="str">
        <v>8 N</v>
      </c>
      <c r="AG11" s="104" t="str">
        <v>119 N</v>
      </c>
      <c r="AH11" s="104">
        <v>48</v>
      </c>
      <c r="AI11" s="72" t="str">
        <v>III: 1149</v>
      </c>
      <c r="AJ11" s="56">
        <v>19.966666666666665</v>
      </c>
      <c r="AK11" s="56">
        <v>35.333333333333336</v>
      </c>
      <c r="AL11" s="56">
        <v>-42.801092249846988</v>
      </c>
    </row>
    <row r="12" spans="2:42" s="53" customFormat="1" ht="17">
      <c r="B12" s="58" t="s">
        <v>28</v>
      </c>
      <c r="C12" s="142" t="s">
        <v>29</v>
      </c>
      <c r="D12" s="134"/>
      <c r="E12" s="49" t="str">
        <f t="shared" si="2"/>
        <v/>
      </c>
      <c r="F12" s="87" t="s">
        <v>341</v>
      </c>
      <c r="G12" s="50" t="s">
        <v>35</v>
      </c>
      <c r="H12" s="51">
        <f t="shared" si="3"/>
        <v>50.769223693372808</v>
      </c>
      <c r="I12" s="51">
        <f t="shared" si="0"/>
        <v>48.347863399432875</v>
      </c>
      <c r="J12" s="87" t="s">
        <v>40</v>
      </c>
      <c r="K12" s="45">
        <v>5.88</v>
      </c>
      <c r="L12" s="86" t="s">
        <v>342</v>
      </c>
      <c r="M12" s="87" t="s">
        <v>334</v>
      </c>
      <c r="N12" s="87" t="s">
        <v>126</v>
      </c>
      <c r="O12" s="93">
        <v>57</v>
      </c>
      <c r="P12" s="93">
        <v>19</v>
      </c>
      <c r="Q12" s="87" t="s">
        <v>127</v>
      </c>
      <c r="R12" s="88">
        <v>21.632777777777779</v>
      </c>
      <c r="S12" s="88">
        <v>56.216666666666669</v>
      </c>
      <c r="T12" s="52">
        <f t="shared" si="1"/>
        <v>-67.792758916513662</v>
      </c>
      <c r="W12" s="55" t="str">
        <v>*</v>
      </c>
      <c r="X12" s="55" t="str">
        <v>B 145</v>
      </c>
      <c r="Y12" s="104" t="str">
        <v>-</v>
      </c>
      <c r="Z12" s="105">
        <v>89.129337650970498</v>
      </c>
      <c r="AA12" s="106">
        <v>56.63347696185464</v>
      </c>
      <c r="AB12" s="106" t="str">
        <v>Cyg</v>
      </c>
      <c r="AC12" s="104">
        <v>7.6</v>
      </c>
      <c r="AD12" s="104">
        <v>0</v>
      </c>
      <c r="AE12" s="104" t="str">
        <v>B, T</v>
      </c>
      <c r="AF12" s="104" t="str">
        <v>9, 8</v>
      </c>
      <c r="AG12" s="104">
        <v>119</v>
      </c>
      <c r="AH12" s="104">
        <v>48</v>
      </c>
      <c r="AI12" s="72" t="str">
        <v>III: 1149</v>
      </c>
      <c r="AJ12" s="56">
        <v>20.046944444444446</v>
      </c>
      <c r="AK12" s="56">
        <v>37.666666666666664</v>
      </c>
      <c r="AL12" s="56">
        <v>-44.005258916513696</v>
      </c>
    </row>
    <row r="13" spans="2:42" s="53" customFormat="1" ht="17">
      <c r="B13" s="20" t="s">
        <v>21</v>
      </c>
      <c r="C13" s="199">
        <f>VLOOKUP(C12,$B$29:$D$33,2,FALSE)</f>
        <v>46.45</v>
      </c>
      <c r="D13" s="135"/>
      <c r="E13" s="49" t="str">
        <f t="shared" si="2"/>
        <v/>
      </c>
      <c r="F13" s="87" t="s">
        <v>343</v>
      </c>
      <c r="G13" s="50" t="s">
        <v>35</v>
      </c>
      <c r="H13" s="51">
        <f t="shared" si="3"/>
        <v>48.315524718905834</v>
      </c>
      <c r="I13" s="51">
        <f t="shared" si="0"/>
        <v>48.464617498748545</v>
      </c>
      <c r="J13" s="87" t="s">
        <v>40</v>
      </c>
      <c r="K13" s="45">
        <v>7.49</v>
      </c>
      <c r="L13" s="86" t="s">
        <v>344</v>
      </c>
      <c r="M13" s="87" t="s">
        <v>345</v>
      </c>
      <c r="N13" s="93">
        <v>3</v>
      </c>
      <c r="O13" s="93">
        <v>57</v>
      </c>
      <c r="P13" s="93">
        <v>19</v>
      </c>
      <c r="Q13" s="87" t="s">
        <v>112</v>
      </c>
      <c r="R13" s="88">
        <v>21.672777777777778</v>
      </c>
      <c r="S13" s="88">
        <v>57.81666666666667</v>
      </c>
      <c r="T13" s="52">
        <f t="shared" si="1"/>
        <v>-68.392758916513685</v>
      </c>
      <c r="W13" s="55" t="str">
        <v>*</v>
      </c>
      <c r="X13" s="55" t="str">
        <v>B 168</v>
      </c>
      <c r="Y13" s="104" t="str">
        <v>-</v>
      </c>
      <c r="Z13" s="105">
        <v>61.401428327610716</v>
      </c>
      <c r="AA13" s="106">
        <v>42.818002940834994</v>
      </c>
      <c r="AB13" s="106" t="str">
        <v>Cyg</v>
      </c>
      <c r="AC13" s="104">
        <v>7.78</v>
      </c>
      <c r="AD13" s="104" t="str">
        <v>Leads to and surrounds the Cocoon (IC 5146)</v>
      </c>
      <c r="AE13" s="104" t="str">
        <v>B, T</v>
      </c>
      <c r="AF13" s="104">
        <v>9</v>
      </c>
      <c r="AG13" s="104">
        <v>86</v>
      </c>
      <c r="AH13" s="104">
        <v>31</v>
      </c>
      <c r="AI13" s="72" t="str">
        <v>III: 1104</v>
      </c>
      <c r="AJ13" s="56">
        <v>21.888888888888889</v>
      </c>
      <c r="AK13" s="56">
        <v>47.266666666666666</v>
      </c>
      <c r="AL13" s="56">
        <v>-71.634425583180359</v>
      </c>
    </row>
    <row r="14" spans="2:42" s="53" customFormat="1" ht="17">
      <c r="B14" s="47" t="s">
        <v>22</v>
      </c>
      <c r="C14" s="199">
        <f>VLOOKUP(C12,$B$29:$D$33,3,FALSE)</f>
        <v>7.42</v>
      </c>
      <c r="D14" s="135"/>
      <c r="E14" s="49" t="str">
        <f t="shared" si="2"/>
        <v/>
      </c>
      <c r="F14" s="87" t="s">
        <v>346</v>
      </c>
      <c r="G14" s="50" t="s">
        <v>35</v>
      </c>
      <c r="H14" s="51">
        <f t="shared" si="3"/>
        <v>45.698506154912153</v>
      </c>
      <c r="I14" s="51">
        <f t="shared" si="0"/>
        <v>46.12090133625339</v>
      </c>
      <c r="J14" s="87" t="s">
        <v>40</v>
      </c>
      <c r="K14" s="43">
        <v>7.3</v>
      </c>
      <c r="L14" s="86" t="s">
        <v>347</v>
      </c>
      <c r="M14" s="87" t="s">
        <v>334</v>
      </c>
      <c r="N14" s="93">
        <v>3</v>
      </c>
      <c r="O14" s="93">
        <v>57</v>
      </c>
      <c r="P14" s="93">
        <v>19</v>
      </c>
      <c r="Q14" s="87" t="s">
        <v>119</v>
      </c>
      <c r="R14" s="88">
        <v>22.021666666666665</v>
      </c>
      <c r="S14" s="88">
        <v>58.866666666666667</v>
      </c>
      <c r="T14" s="52">
        <f t="shared" si="1"/>
        <v>-73.62609224984692</v>
      </c>
      <c r="W14" s="55" t="str">
        <v>*</v>
      </c>
      <c r="X14" s="55" t="str">
        <v>B 352</v>
      </c>
      <c r="Y14" s="104" t="str">
        <v>-</v>
      </c>
      <c r="Z14" s="105">
        <v>69.115158610272843</v>
      </c>
      <c r="AA14" s="106">
        <v>51.020946582121468</v>
      </c>
      <c r="AB14" s="106" t="str">
        <v>Cyg</v>
      </c>
      <c r="AC14" s="104">
        <v>7.47</v>
      </c>
      <c r="AD14" s="104" t="str">
        <v>North of the North American Nebula</v>
      </c>
      <c r="AE14" s="104" t="str">
        <v>B, T</v>
      </c>
      <c r="AF14" s="104">
        <v>9</v>
      </c>
      <c r="AG14" s="104">
        <v>85</v>
      </c>
      <c r="AH14" s="104" t="str">
        <v>32, A1</v>
      </c>
      <c r="AI14" s="72" t="str">
        <v>III: 1106</v>
      </c>
      <c r="AJ14" s="56">
        <v>20.952777777777776</v>
      </c>
      <c r="AK14" s="56">
        <v>45.883333333333333</v>
      </c>
      <c r="AL14" s="56">
        <v>-57.592758916513617</v>
      </c>
    </row>
    <row r="15" spans="2:42" s="53" customFormat="1" ht="17">
      <c r="B15" s="47" t="s">
        <v>23</v>
      </c>
      <c r="C15" s="59">
        <f>MOD(HOUR(C5)+(MINUTE(C5)/60)+(SECOND(C5)/60)-C6,24)</f>
        <v>1</v>
      </c>
      <c r="D15" s="136"/>
      <c r="E15" s="49" t="str">
        <f t="shared" si="2"/>
        <v/>
      </c>
      <c r="F15" s="87" t="s">
        <v>348</v>
      </c>
      <c r="G15" s="50" t="s">
        <v>35</v>
      </c>
      <c r="H15" s="51">
        <f t="shared" si="3"/>
        <v>50.216471928459626</v>
      </c>
      <c r="I15" s="51">
        <f t="shared" si="0"/>
        <v>48.893583997459942</v>
      </c>
      <c r="J15" s="87" t="s">
        <v>40</v>
      </c>
      <c r="K15" s="45">
        <v>8.8699999999999992</v>
      </c>
      <c r="L15" s="86" t="s">
        <v>349</v>
      </c>
      <c r="M15" s="87" t="s">
        <v>345</v>
      </c>
      <c r="N15" s="87" t="s">
        <v>126</v>
      </c>
      <c r="O15" s="93">
        <v>57</v>
      </c>
      <c r="P15" s="93">
        <v>19</v>
      </c>
      <c r="Q15" s="87" t="s">
        <v>127</v>
      </c>
      <c r="R15" s="88">
        <v>21.581388888888888</v>
      </c>
      <c r="S15" s="88">
        <v>56.716666666666669</v>
      </c>
      <c r="T15" s="52">
        <f t="shared" si="1"/>
        <v>-67.021925583180291</v>
      </c>
      <c r="W15" s="55" t="str">
        <v>*</v>
      </c>
      <c r="X15" s="55" t="str">
        <v>B 353</v>
      </c>
      <c r="Y15" s="104" t="str">
        <v>-</v>
      </c>
      <c r="Z15" s="105">
        <v>69.704013288042532</v>
      </c>
      <c r="AA15" s="106">
        <v>50.828439624099943</v>
      </c>
      <c r="AB15" s="106" t="str">
        <v>Cyg</v>
      </c>
      <c r="AC15" s="104">
        <v>7.2</v>
      </c>
      <c r="AD15" s="104" t="str">
        <v>In North American Nebula</v>
      </c>
      <c r="AE15" s="104" t="str">
        <v>B, T</v>
      </c>
      <c r="AF15" s="104" t="str">
        <v>9 N</v>
      </c>
      <c r="AG15" s="104">
        <v>85</v>
      </c>
      <c r="AH15" s="104" t="str">
        <v>32, A1</v>
      </c>
      <c r="AI15" s="72" t="str">
        <v>III: 1106</v>
      </c>
      <c r="AJ15" s="56">
        <v>20.95611111111111</v>
      </c>
      <c r="AK15" s="56">
        <v>45.466666666666669</v>
      </c>
      <c r="AL15" s="56">
        <v>-57.642758916513628</v>
      </c>
    </row>
    <row r="16" spans="2:42" s="53" customFormat="1" ht="17">
      <c r="B16" s="47" t="s">
        <v>24</v>
      </c>
      <c r="C16" s="59">
        <f>MOD(100.46+0.985647*C11+C14+15*C15, 360)</f>
        <v>256.69890775015301</v>
      </c>
      <c r="D16" s="136"/>
      <c r="E16" s="49" t="str">
        <f t="shared" si="2"/>
        <v>*</v>
      </c>
      <c r="F16" s="87" t="s">
        <v>350</v>
      </c>
      <c r="G16" s="50" t="s">
        <v>35</v>
      </c>
      <c r="H16" s="51">
        <f t="shared" si="3"/>
        <v>93.650271002256247</v>
      </c>
      <c r="I16" s="51">
        <f t="shared" si="0"/>
        <v>56.259848103306183</v>
      </c>
      <c r="J16" s="87" t="s">
        <v>41</v>
      </c>
      <c r="K16" s="45">
        <v>5.93</v>
      </c>
      <c r="L16" s="86" t="s">
        <v>351</v>
      </c>
      <c r="M16" s="87" t="s">
        <v>352</v>
      </c>
      <c r="N16" s="87" t="s">
        <v>353</v>
      </c>
      <c r="O16" s="87" t="s">
        <v>354</v>
      </c>
      <c r="P16" s="93">
        <v>48</v>
      </c>
      <c r="Q16" s="87" t="s">
        <v>355</v>
      </c>
      <c r="R16" s="88">
        <v>19.966666666666665</v>
      </c>
      <c r="S16" s="88">
        <v>35.333333333333336</v>
      </c>
      <c r="T16" s="52">
        <f t="shared" si="1"/>
        <v>-42.801092249846988</v>
      </c>
      <c r="W16" s="55" t="str">
        <v>*</v>
      </c>
      <c r="X16" s="55" t="str">
        <v>B 361</v>
      </c>
      <c r="Y16" s="104" t="str">
        <v>-</v>
      </c>
      <c r="Z16" s="105">
        <v>65.322614486421088</v>
      </c>
      <c r="AA16" s="106">
        <v>49.128993852156249</v>
      </c>
      <c r="AB16" s="106" t="str">
        <v>Cyg</v>
      </c>
      <c r="AC16" s="104">
        <v>8.8000000000000007</v>
      </c>
      <c r="AD16" s="104" t="str">
        <v>Near IC 1369</v>
      </c>
      <c r="AE16" s="104" t="str">
        <v>B</v>
      </c>
      <c r="AF16" s="104">
        <v>9</v>
      </c>
      <c r="AG16" s="104" t="str">
        <v>86, 85</v>
      </c>
      <c r="AH16" s="104">
        <v>32</v>
      </c>
      <c r="AI16" s="72" t="str">
        <v>III: 1106</v>
      </c>
      <c r="AJ16" s="56">
        <v>21.212499999999999</v>
      </c>
      <c r="AK16" s="56">
        <v>47.416666666666664</v>
      </c>
      <c r="AL16" s="56">
        <v>-61.488592249846988</v>
      </c>
    </row>
    <row r="17" spans="2:38" s="53" customFormat="1" ht="17">
      <c r="B17" s="60" t="s">
        <v>30</v>
      </c>
      <c r="C17" s="61" t="s">
        <v>31</v>
      </c>
      <c r="D17" s="137"/>
      <c r="E17" s="49" t="str">
        <f t="shared" si="2"/>
        <v>*</v>
      </c>
      <c r="F17" s="87" t="s">
        <v>356</v>
      </c>
      <c r="G17" s="50" t="s">
        <v>35</v>
      </c>
      <c r="H17" s="51">
        <f t="shared" si="3"/>
        <v>89.129337650970498</v>
      </c>
      <c r="I17" s="51">
        <f t="shared" si="0"/>
        <v>56.63347696185464</v>
      </c>
      <c r="J17" s="87" t="s">
        <v>41</v>
      </c>
      <c r="K17" s="43">
        <v>7.6</v>
      </c>
      <c r="L17" s="89"/>
      <c r="M17" s="87" t="s">
        <v>357</v>
      </c>
      <c r="N17" s="87" t="s">
        <v>137</v>
      </c>
      <c r="O17" s="93">
        <v>119</v>
      </c>
      <c r="P17" s="93">
        <v>48</v>
      </c>
      <c r="Q17" s="87" t="s">
        <v>355</v>
      </c>
      <c r="R17" s="88">
        <v>20.046944444444446</v>
      </c>
      <c r="S17" s="88">
        <v>37.666666666666664</v>
      </c>
      <c r="T17" s="52">
        <f t="shared" si="1"/>
        <v>-44.005258916513696</v>
      </c>
      <c r="W17" s="55" t="str">
        <v>*</v>
      </c>
      <c r="X17" s="55" t="str">
        <v>LDN  935</v>
      </c>
      <c r="Y17" s="104" t="str">
        <v>-</v>
      </c>
      <c r="Z17" s="105">
        <v>72.073208634932982</v>
      </c>
      <c r="AA17" s="106">
        <v>50.27666100486892</v>
      </c>
      <c r="AB17" s="106" t="str">
        <v>Cyg</v>
      </c>
      <c r="AC17" s="104">
        <v>7.68</v>
      </c>
      <c r="AD17" s="104" t="str">
        <v>Wide lane separating the North American and Pelican nebula</v>
      </c>
      <c r="AE17" s="104" t="str">
        <v>B, T</v>
      </c>
      <c r="AF17" s="104">
        <v>9</v>
      </c>
      <c r="AG17" s="104">
        <v>85</v>
      </c>
      <c r="AH17" s="104">
        <v>32</v>
      </c>
      <c r="AI17" s="72" t="str">
        <v>III: 1126</v>
      </c>
      <c r="AJ17" s="56">
        <v>20.946666666666665</v>
      </c>
      <c r="AK17" s="56">
        <v>43.866666666666667</v>
      </c>
      <c r="AL17" s="56">
        <v>-57.501092249846977</v>
      </c>
    </row>
    <row r="18" spans="2:38" s="53" customFormat="1" ht="17">
      <c r="B18" s="62"/>
      <c r="C18" s="60" t="s">
        <v>32</v>
      </c>
      <c r="D18" s="200" t="s">
        <v>491</v>
      </c>
      <c r="E18" s="49" t="str">
        <f t="shared" si="2"/>
        <v>*</v>
      </c>
      <c r="F18" s="87" t="s">
        <v>358</v>
      </c>
      <c r="G18" s="50" t="s">
        <v>35</v>
      </c>
      <c r="H18" s="51">
        <f t="shared" si="3"/>
        <v>61.401428327610716</v>
      </c>
      <c r="I18" s="51">
        <f t="shared" si="0"/>
        <v>42.818002940834994</v>
      </c>
      <c r="J18" s="87" t="s">
        <v>41</v>
      </c>
      <c r="K18" s="45">
        <v>7.78</v>
      </c>
      <c r="L18" s="86" t="s">
        <v>442</v>
      </c>
      <c r="M18" s="87" t="s">
        <v>357</v>
      </c>
      <c r="N18" s="93">
        <v>9</v>
      </c>
      <c r="O18" s="93">
        <v>86</v>
      </c>
      <c r="P18" s="93">
        <v>31</v>
      </c>
      <c r="Q18" s="87" t="s">
        <v>359</v>
      </c>
      <c r="R18" s="88">
        <v>21.888888888888889</v>
      </c>
      <c r="S18" s="88">
        <v>47.266666666666666</v>
      </c>
      <c r="T18" s="52">
        <f t="shared" si="1"/>
        <v>-71.634425583180359</v>
      </c>
      <c r="W18" s="55" t="str">
        <v>*</v>
      </c>
      <c r="X18" s="55" t="str">
        <v>Northern Coalsack</v>
      </c>
      <c r="Y18" s="104" t="str">
        <v>-</v>
      </c>
      <c r="Z18" s="105">
        <v>76.855703985963743</v>
      </c>
      <c r="AA18" s="106">
        <v>52.274818028112527</v>
      </c>
      <c r="AB18" s="106" t="str">
        <v>Cyg</v>
      </c>
      <c r="AC18" s="104">
        <v>8.5299999999999994</v>
      </c>
      <c r="AD18" s="104" t="str">
        <v>Northern Coalsack, between Alpha, Eta and Epsilon. B 346, 348 are within it</v>
      </c>
      <c r="AE18" s="104" t="str">
        <v>NE</v>
      </c>
      <c r="AF18" s="104" t="str">
        <v>9 N</v>
      </c>
      <c r="AG18" s="104" t="str">
        <v>85 N</v>
      </c>
      <c r="AH18" s="104">
        <v>32</v>
      </c>
      <c r="AI18" s="72" t="str">
        <v>III: 1127</v>
      </c>
      <c r="AJ18" s="56">
        <v>20.666666666666668</v>
      </c>
      <c r="AK18" s="56">
        <v>42</v>
      </c>
      <c r="AL18" s="56">
        <v>-53.301092249846988</v>
      </c>
    </row>
    <row r="19" spans="2:38" s="53" customFormat="1" ht="16" customHeight="1">
      <c r="B19" s="239" t="s">
        <v>34</v>
      </c>
      <c r="C19" s="63" t="s">
        <v>35</v>
      </c>
      <c r="D19" s="201" t="s">
        <v>492</v>
      </c>
      <c r="E19" s="49" t="str">
        <f t="shared" si="2"/>
        <v>*</v>
      </c>
      <c r="F19" s="87" t="s">
        <v>360</v>
      </c>
      <c r="G19" s="50" t="s">
        <v>35</v>
      </c>
      <c r="H19" s="51">
        <f t="shared" si="3"/>
        <v>69.115158610272843</v>
      </c>
      <c r="I19" s="51">
        <f t="shared" si="0"/>
        <v>51.020946582121468</v>
      </c>
      <c r="J19" s="87" t="s">
        <v>41</v>
      </c>
      <c r="K19" s="45">
        <v>7.47</v>
      </c>
      <c r="L19" s="86" t="s">
        <v>361</v>
      </c>
      <c r="M19" s="87" t="s">
        <v>357</v>
      </c>
      <c r="N19" s="93">
        <v>9</v>
      </c>
      <c r="O19" s="93">
        <v>85</v>
      </c>
      <c r="P19" s="87" t="s">
        <v>362</v>
      </c>
      <c r="Q19" s="87" t="s">
        <v>363</v>
      </c>
      <c r="R19" s="88">
        <v>20.952777777777776</v>
      </c>
      <c r="S19" s="88">
        <v>45.883333333333333</v>
      </c>
      <c r="T19" s="52">
        <f t="shared" si="1"/>
        <v>-57.592758916513617</v>
      </c>
      <c r="W19" s="55" t="str">
        <v>*</v>
      </c>
      <c r="X19" s="55" t="str">
        <v>B 111</v>
      </c>
      <c r="Y19" s="104" t="str">
        <v>-</v>
      </c>
      <c r="Z19" s="105">
        <v>148.56933963145107</v>
      </c>
      <c r="AA19" s="106">
        <v>33.741780429173005</v>
      </c>
      <c r="AB19" s="106" t="str">
        <v>Sct</v>
      </c>
      <c r="AC19" s="104">
        <v>8.11</v>
      </c>
      <c r="AD19" s="104" t="str">
        <v>Large dark nebula with other
Barnard's nested in it</v>
      </c>
      <c r="AE19" s="104" t="str">
        <v>NE, B</v>
      </c>
      <c r="AF19" s="104" t="str">
        <v>16, 15</v>
      </c>
      <c r="AG19" s="104" t="str">
        <v>250, 251,
295</v>
      </c>
      <c r="AH19" s="104" t="str">
        <v>105, A14</v>
      </c>
      <c r="AI19" s="72" t="str">
        <v>III: 1318</v>
      </c>
      <c r="AJ19" s="56">
        <v>18.833333333333332</v>
      </c>
      <c r="AK19" s="56">
        <v>-4.95</v>
      </c>
      <c r="AL19" s="56">
        <v>-25.801092249846988</v>
      </c>
    </row>
    <row r="20" spans="2:38" s="53" customFormat="1" ht="17" customHeight="1">
      <c r="B20" s="239"/>
      <c r="C20" s="64" t="s">
        <v>33</v>
      </c>
      <c r="D20" s="201" t="s">
        <v>492</v>
      </c>
      <c r="E20" s="49" t="str">
        <f t="shared" si="2"/>
        <v>*</v>
      </c>
      <c r="F20" s="87" t="s">
        <v>364</v>
      </c>
      <c r="G20" s="50" t="s">
        <v>35</v>
      </c>
      <c r="H20" s="51">
        <f t="shared" si="3"/>
        <v>69.704013288042532</v>
      </c>
      <c r="I20" s="51">
        <f t="shared" si="0"/>
        <v>50.828439624099943</v>
      </c>
      <c r="J20" s="87" t="s">
        <v>41</v>
      </c>
      <c r="K20" s="43">
        <v>7.2</v>
      </c>
      <c r="L20" s="86" t="s">
        <v>365</v>
      </c>
      <c r="M20" s="87" t="s">
        <v>357</v>
      </c>
      <c r="N20" s="87" t="s">
        <v>366</v>
      </c>
      <c r="O20" s="93">
        <v>85</v>
      </c>
      <c r="P20" s="87" t="s">
        <v>362</v>
      </c>
      <c r="Q20" s="87" t="s">
        <v>363</v>
      </c>
      <c r="R20" s="88">
        <v>20.95611111111111</v>
      </c>
      <c r="S20" s="88">
        <v>45.466666666666669</v>
      </c>
      <c r="T20" s="52">
        <f t="shared" si="1"/>
        <v>-57.642758916513628</v>
      </c>
      <c r="W20" s="55" t="str">
        <v>*</v>
      </c>
      <c r="X20" s="55" t="str">
        <v>B 119a</v>
      </c>
      <c r="Y20" s="104" t="str">
        <v>-</v>
      </c>
      <c r="Z20" s="105">
        <v>147.37378046196707</v>
      </c>
      <c r="AA20" s="106">
        <v>33.115434449998524</v>
      </c>
      <c r="AB20" s="106" t="str">
        <v>Sct</v>
      </c>
      <c r="AC20" s="104">
        <v>8.5</v>
      </c>
      <c r="AD20" s="104" t="str">
        <v>East of B111</v>
      </c>
      <c r="AE20" s="104" t="str">
        <v>B</v>
      </c>
      <c r="AF20" s="104" t="str">
        <v>16 N</v>
      </c>
      <c r="AG20" s="104" t="str">
        <v>250, 251,
295, 296</v>
      </c>
      <c r="AH20" s="104" t="str">
        <v>105, A14</v>
      </c>
      <c r="AI20" s="72" t="str">
        <v>III: 1318</v>
      </c>
      <c r="AJ20" s="56">
        <v>18.910833333333333</v>
      </c>
      <c r="AK20" s="56">
        <v>-5.166666666666667</v>
      </c>
      <c r="AL20" s="56">
        <v>-26.963592249846954</v>
      </c>
    </row>
    <row r="21" spans="2:38" s="53" customFormat="1" ht="17">
      <c r="B21" s="239"/>
      <c r="C21" s="64"/>
      <c r="D21" s="201"/>
      <c r="E21" s="49" t="str">
        <f t="shared" si="2"/>
        <v>*</v>
      </c>
      <c r="F21" s="87" t="s">
        <v>367</v>
      </c>
      <c r="G21" s="50" t="s">
        <v>35</v>
      </c>
      <c r="H21" s="51">
        <f t="shared" si="3"/>
        <v>65.322614486421088</v>
      </c>
      <c r="I21" s="51">
        <f t="shared" si="0"/>
        <v>49.128993852156249</v>
      </c>
      <c r="J21" s="87" t="s">
        <v>41</v>
      </c>
      <c r="K21" s="43">
        <v>8.8000000000000007</v>
      </c>
      <c r="L21" s="86" t="s">
        <v>368</v>
      </c>
      <c r="M21" s="87" t="s">
        <v>334</v>
      </c>
      <c r="N21" s="93">
        <v>9</v>
      </c>
      <c r="O21" s="87" t="s">
        <v>369</v>
      </c>
      <c r="P21" s="93">
        <v>32</v>
      </c>
      <c r="Q21" s="87" t="s">
        <v>363</v>
      </c>
      <c r="R21" s="88">
        <v>21.212499999999999</v>
      </c>
      <c r="S21" s="88">
        <v>47.416666666666664</v>
      </c>
      <c r="T21" s="52">
        <f t="shared" si="1"/>
        <v>-61.488592249846988</v>
      </c>
      <c r="W21" s="55"/>
      <c r="X21" s="55"/>
      <c r="Y21" s="104"/>
      <c r="Z21" s="105"/>
      <c r="AA21" s="106"/>
      <c r="AB21" s="106"/>
      <c r="AC21" s="104"/>
      <c r="AD21" s="104"/>
      <c r="AE21" s="104"/>
      <c r="AF21" s="104"/>
      <c r="AG21" s="104"/>
      <c r="AH21" s="104"/>
      <c r="AI21" s="72"/>
      <c r="AJ21" s="56"/>
      <c r="AK21" s="56"/>
      <c r="AL21" s="56"/>
    </row>
    <row r="22" spans="2:38" s="53" customFormat="1" ht="34">
      <c r="B22" s="239"/>
      <c r="C22" s="64"/>
      <c r="D22" s="201"/>
      <c r="E22" s="49" t="str">
        <f t="shared" si="2"/>
        <v>*</v>
      </c>
      <c r="F22" s="96" t="s">
        <v>370</v>
      </c>
      <c r="G22" s="50" t="s">
        <v>35</v>
      </c>
      <c r="H22" s="51">
        <f t="shared" si="3"/>
        <v>72.073208634932982</v>
      </c>
      <c r="I22" s="51">
        <f t="shared" si="0"/>
        <v>50.27666100486892</v>
      </c>
      <c r="J22" s="96" t="s">
        <v>41</v>
      </c>
      <c r="K22" s="45">
        <v>7.68</v>
      </c>
      <c r="L22" s="95" t="s">
        <v>443</v>
      </c>
      <c r="M22" s="96" t="s">
        <v>357</v>
      </c>
      <c r="N22" s="97">
        <v>9</v>
      </c>
      <c r="O22" s="97">
        <v>85</v>
      </c>
      <c r="P22" s="97">
        <v>32</v>
      </c>
      <c r="Q22" s="96" t="s">
        <v>371</v>
      </c>
      <c r="R22" s="98">
        <v>20.946666666666665</v>
      </c>
      <c r="S22" s="98">
        <v>43.866666666666667</v>
      </c>
      <c r="T22" s="52">
        <f t="shared" si="1"/>
        <v>-57.501092249846977</v>
      </c>
      <c r="W22" s="55"/>
      <c r="X22" s="55"/>
      <c r="Y22" s="104"/>
      <c r="Z22" s="105"/>
      <c r="AA22" s="106"/>
      <c r="AB22" s="106"/>
      <c r="AC22" s="104"/>
      <c r="AD22" s="104"/>
      <c r="AE22" s="104"/>
      <c r="AF22" s="104"/>
      <c r="AG22" s="104"/>
      <c r="AH22" s="104"/>
      <c r="AI22" s="72"/>
      <c r="AJ22" s="56"/>
      <c r="AK22" s="56"/>
      <c r="AL22" s="56"/>
    </row>
    <row r="23" spans="2:38" s="53" customFormat="1" ht="17">
      <c r="B23" s="239"/>
      <c r="C23" s="64"/>
      <c r="D23" s="201"/>
      <c r="E23" s="49" t="str">
        <f t="shared" si="2"/>
        <v/>
      </c>
      <c r="F23" s="96" t="s">
        <v>372</v>
      </c>
      <c r="G23" s="50" t="s">
        <v>35</v>
      </c>
      <c r="H23" s="51">
        <f t="shared" si="3"/>
        <v>57.911509887487753</v>
      </c>
      <c r="I23" s="51">
        <f t="shared" si="0"/>
        <v>52.816703431647475</v>
      </c>
      <c r="J23" s="96" t="s">
        <v>41</v>
      </c>
      <c r="K23" s="44">
        <v>6</v>
      </c>
      <c r="L23" s="95" t="s">
        <v>444</v>
      </c>
      <c r="M23" s="96" t="s">
        <v>373</v>
      </c>
      <c r="N23" s="96" t="s">
        <v>366</v>
      </c>
      <c r="O23" s="96" t="s">
        <v>374</v>
      </c>
      <c r="P23" s="96" t="s">
        <v>375</v>
      </c>
      <c r="Q23" s="96" t="s">
        <v>376</v>
      </c>
      <c r="R23" s="98">
        <v>21</v>
      </c>
      <c r="S23" s="98">
        <v>53</v>
      </c>
      <c r="T23" s="52">
        <f t="shared" si="1"/>
        <v>-58.301092249846988</v>
      </c>
      <c r="W23" s="55"/>
      <c r="X23" s="55"/>
      <c r="Y23" s="104"/>
      <c r="Z23" s="105"/>
      <c r="AA23" s="106"/>
      <c r="AB23" s="106"/>
      <c r="AC23" s="104"/>
      <c r="AD23" s="104"/>
      <c r="AE23" s="104"/>
      <c r="AF23" s="104"/>
      <c r="AG23" s="104"/>
      <c r="AH23" s="104"/>
      <c r="AI23" s="72"/>
      <c r="AJ23" s="56"/>
      <c r="AK23" s="56"/>
      <c r="AL23" s="56"/>
    </row>
    <row r="24" spans="2:38" s="53" customFormat="1" ht="34">
      <c r="B24" s="240"/>
      <c r="C24" s="65"/>
      <c r="D24" s="201"/>
      <c r="E24" s="49" t="str">
        <f t="shared" si="2"/>
        <v>*</v>
      </c>
      <c r="F24" s="96" t="s">
        <v>377</v>
      </c>
      <c r="G24" s="50" t="s">
        <v>35</v>
      </c>
      <c r="H24" s="51">
        <f t="shared" si="3"/>
        <v>76.855703985963743</v>
      </c>
      <c r="I24" s="51">
        <f t="shared" si="0"/>
        <v>52.274818028112527</v>
      </c>
      <c r="J24" s="96" t="s">
        <v>41</v>
      </c>
      <c r="K24" s="45">
        <v>8.5299999999999994</v>
      </c>
      <c r="L24" s="95" t="s">
        <v>445</v>
      </c>
      <c r="M24" s="96" t="s">
        <v>373</v>
      </c>
      <c r="N24" s="96" t="s">
        <v>366</v>
      </c>
      <c r="O24" s="96" t="s">
        <v>378</v>
      </c>
      <c r="P24" s="97">
        <v>32</v>
      </c>
      <c r="Q24" s="96" t="s">
        <v>379</v>
      </c>
      <c r="R24" s="98">
        <v>20.666666666666668</v>
      </c>
      <c r="S24" s="98">
        <v>42</v>
      </c>
      <c r="T24" s="52">
        <f t="shared" si="1"/>
        <v>-53.301092249846988</v>
      </c>
      <c r="W24" s="55"/>
      <c r="X24" s="55"/>
      <c r="Y24" s="104"/>
      <c r="Z24" s="105"/>
      <c r="AA24" s="106"/>
      <c r="AB24" s="106"/>
      <c r="AC24" s="104"/>
      <c r="AD24" s="104"/>
      <c r="AE24" s="104"/>
      <c r="AF24" s="104"/>
      <c r="AG24" s="104"/>
      <c r="AH24" s="104"/>
      <c r="AI24" s="72"/>
      <c r="AJ24" s="56"/>
      <c r="AK24" s="56"/>
      <c r="AL24" s="56"/>
    </row>
    <row r="25" spans="2:38" s="53" customFormat="1" ht="17">
      <c r="E25" s="49" t="str">
        <f t="shared" si="2"/>
        <v/>
      </c>
      <c r="F25" s="96" t="s">
        <v>380</v>
      </c>
      <c r="G25" s="50" t="s">
        <v>35</v>
      </c>
      <c r="H25" s="51">
        <f t="shared" si="3"/>
        <v>335.64620382418735</v>
      </c>
      <c r="I25" s="51">
        <f t="shared" si="0"/>
        <v>-29.971740202740719</v>
      </c>
      <c r="J25" s="96" t="s">
        <v>42</v>
      </c>
      <c r="K25" s="45">
        <v>8.9700000000000006</v>
      </c>
      <c r="L25" s="95" t="s">
        <v>381</v>
      </c>
      <c r="M25" s="96" t="s">
        <v>334</v>
      </c>
      <c r="N25" s="96" t="s">
        <v>229</v>
      </c>
      <c r="O25" s="96" t="s">
        <v>382</v>
      </c>
      <c r="P25" s="97">
        <v>96</v>
      </c>
      <c r="Q25" s="96" t="s">
        <v>383</v>
      </c>
      <c r="R25" s="98">
        <v>6.5333333333333332</v>
      </c>
      <c r="S25" s="98">
        <v>10.466666666666667</v>
      </c>
      <c r="T25" s="52">
        <f t="shared" si="1"/>
        <v>158.69890775015301</v>
      </c>
      <c r="W25" s="55"/>
      <c r="X25" s="55"/>
      <c r="Y25" s="104"/>
      <c r="Z25" s="105"/>
      <c r="AA25" s="106"/>
      <c r="AB25" s="106"/>
      <c r="AC25" s="104"/>
      <c r="AD25" s="104"/>
      <c r="AE25" s="104"/>
      <c r="AF25" s="104"/>
      <c r="AG25" s="104"/>
      <c r="AH25" s="104"/>
      <c r="AI25" s="72"/>
      <c r="AJ25" s="56"/>
      <c r="AK25" s="56"/>
      <c r="AL25" s="56"/>
    </row>
    <row r="26" spans="2:38" s="53" customFormat="1" ht="17">
      <c r="E26" s="49" t="str">
        <f t="shared" si="2"/>
        <v/>
      </c>
      <c r="F26" s="96" t="s">
        <v>384</v>
      </c>
      <c r="G26" s="50" t="s">
        <v>35</v>
      </c>
      <c r="H26" s="51">
        <f t="shared" si="3"/>
        <v>186.47677171929902</v>
      </c>
      <c r="I26" s="51">
        <f t="shared" si="0"/>
        <v>19.222515492715306</v>
      </c>
      <c r="J26" s="96" t="s">
        <v>43</v>
      </c>
      <c r="K26" s="43">
        <v>7.7</v>
      </c>
      <c r="L26" s="95" t="s">
        <v>385</v>
      </c>
      <c r="M26" s="96" t="s">
        <v>373</v>
      </c>
      <c r="N26" s="97">
        <v>22</v>
      </c>
      <c r="O26" s="96" t="s">
        <v>173</v>
      </c>
      <c r="P26" s="96" t="s">
        <v>386</v>
      </c>
      <c r="Q26" s="96" t="s">
        <v>387</v>
      </c>
      <c r="R26" s="98">
        <v>16.666666666666668</v>
      </c>
      <c r="S26" s="98">
        <v>-24.066666666666666</v>
      </c>
      <c r="T26" s="52">
        <f t="shared" si="1"/>
        <v>6.6989077501529835</v>
      </c>
      <c r="W26" s="55"/>
      <c r="X26" s="55"/>
      <c r="Y26" s="104"/>
      <c r="Z26" s="105"/>
      <c r="AA26" s="106"/>
      <c r="AB26" s="106"/>
      <c r="AC26" s="104"/>
      <c r="AD26" s="104"/>
      <c r="AE26" s="104"/>
      <c r="AF26" s="104"/>
      <c r="AG26" s="104"/>
      <c r="AH26" s="104"/>
      <c r="AI26" s="72"/>
      <c r="AJ26" s="56"/>
      <c r="AK26" s="56"/>
      <c r="AL26" s="56"/>
    </row>
    <row r="27" spans="2:38" s="53" customFormat="1" ht="17">
      <c r="B27" s="235" t="s">
        <v>457</v>
      </c>
      <c r="C27" s="235"/>
      <c r="D27" s="235"/>
      <c r="E27" s="49" t="str">
        <f t="shared" si="2"/>
        <v/>
      </c>
      <c r="F27" s="96" t="s">
        <v>388</v>
      </c>
      <c r="G27" s="50" t="s">
        <v>35</v>
      </c>
      <c r="H27" s="51">
        <f t="shared" si="3"/>
        <v>177.25128370866125</v>
      </c>
      <c r="I27" s="51">
        <f t="shared" si="0"/>
        <v>25.023267163149256</v>
      </c>
      <c r="J27" s="96" t="s">
        <v>43</v>
      </c>
      <c r="K27" s="43">
        <v>4.5999999999999996</v>
      </c>
      <c r="L27" s="95" t="s">
        <v>389</v>
      </c>
      <c r="M27" s="96" t="s">
        <v>390</v>
      </c>
      <c r="N27" s="96" t="s">
        <v>178</v>
      </c>
      <c r="O27" s="96" t="s">
        <v>182</v>
      </c>
      <c r="P27" s="97">
        <v>146</v>
      </c>
      <c r="Q27" s="96" t="s">
        <v>183</v>
      </c>
      <c r="R27" s="98">
        <v>17.288333333333334</v>
      </c>
      <c r="S27" s="98">
        <v>-18.483333333333334</v>
      </c>
      <c r="T27" s="52">
        <f t="shared" si="1"/>
        <v>-2.6260922498469768</v>
      </c>
      <c r="W27" s="55"/>
      <c r="X27" s="55"/>
      <c r="Y27" s="104"/>
      <c r="Z27" s="105"/>
      <c r="AA27" s="106"/>
      <c r="AB27" s="106"/>
      <c r="AC27" s="104"/>
      <c r="AD27" s="104"/>
      <c r="AE27" s="104"/>
      <c r="AF27" s="104"/>
      <c r="AG27" s="104"/>
      <c r="AH27" s="104"/>
      <c r="AI27" s="72"/>
      <c r="AJ27" s="56"/>
      <c r="AK27" s="56"/>
      <c r="AL27" s="56"/>
    </row>
    <row r="28" spans="2:38" s="53" customFormat="1" ht="17">
      <c r="B28" s="138" t="s">
        <v>36</v>
      </c>
      <c r="C28" s="139" t="s">
        <v>458</v>
      </c>
      <c r="D28" s="140" t="s">
        <v>459</v>
      </c>
      <c r="E28" s="49" t="str">
        <f t="shared" si="2"/>
        <v/>
      </c>
      <c r="F28" s="96" t="s">
        <v>391</v>
      </c>
      <c r="G28" s="50" t="s">
        <v>35</v>
      </c>
      <c r="H28" s="51">
        <f t="shared" si="3"/>
        <v>174.03416244297122</v>
      </c>
      <c r="I28" s="51">
        <f t="shared" si="0"/>
        <v>17.740684552552366</v>
      </c>
      <c r="J28" s="96" t="s">
        <v>43</v>
      </c>
      <c r="K28" s="43">
        <v>7.6</v>
      </c>
      <c r="L28" s="95" t="s">
        <v>392</v>
      </c>
      <c r="M28" s="96" t="s">
        <v>373</v>
      </c>
      <c r="N28" s="97">
        <v>22</v>
      </c>
      <c r="O28" s="96" t="s">
        <v>393</v>
      </c>
      <c r="P28" s="97">
        <v>146</v>
      </c>
      <c r="Q28" s="96" t="s">
        <v>187</v>
      </c>
      <c r="R28" s="98">
        <v>17.533333333333335</v>
      </c>
      <c r="S28" s="98">
        <v>-25.583333333333332</v>
      </c>
      <c r="T28" s="52">
        <f t="shared" si="1"/>
        <v>-6.3010922498469881</v>
      </c>
      <c r="W28" s="55"/>
      <c r="X28" s="55"/>
      <c r="Y28" s="104"/>
      <c r="Z28" s="105"/>
      <c r="AA28" s="106"/>
      <c r="AB28" s="106"/>
      <c r="AC28" s="104"/>
      <c r="AD28" s="104"/>
      <c r="AE28" s="104"/>
      <c r="AF28" s="104"/>
      <c r="AG28" s="104"/>
      <c r="AH28" s="104"/>
      <c r="AI28" s="72"/>
      <c r="AJ28" s="56"/>
      <c r="AK28" s="56"/>
      <c r="AL28" s="56"/>
    </row>
    <row r="29" spans="2:38" s="53" customFormat="1" ht="34">
      <c r="B29" s="141" t="s">
        <v>29</v>
      </c>
      <c r="C29" s="198">
        <v>46.45</v>
      </c>
      <c r="D29" s="198">
        <v>7.42</v>
      </c>
      <c r="E29" s="49" t="str">
        <f t="shared" si="2"/>
        <v/>
      </c>
      <c r="F29" s="96" t="s">
        <v>394</v>
      </c>
      <c r="G29" s="50" t="s">
        <v>35</v>
      </c>
      <c r="H29" s="51">
        <f t="shared" si="3"/>
        <v>176.71845422366428</v>
      </c>
      <c r="I29" s="51">
        <f t="shared" si="0"/>
        <v>16.096605501773489</v>
      </c>
      <c r="J29" s="96" t="s">
        <v>43</v>
      </c>
      <c r="K29" s="45">
        <v>8.89</v>
      </c>
      <c r="L29" s="95" t="s">
        <v>460</v>
      </c>
      <c r="M29" s="96" t="s">
        <v>373</v>
      </c>
      <c r="N29" s="97">
        <v>22</v>
      </c>
      <c r="O29" s="96" t="s">
        <v>182</v>
      </c>
      <c r="P29" s="96" t="s">
        <v>395</v>
      </c>
      <c r="Q29" s="96" t="s">
        <v>198</v>
      </c>
      <c r="R29" s="98">
        <v>17.350000000000001</v>
      </c>
      <c r="S29" s="98">
        <v>-27.383333333333333</v>
      </c>
      <c r="T29" s="52">
        <f t="shared" si="1"/>
        <v>-3.551092249847045</v>
      </c>
      <c r="W29" s="55"/>
      <c r="X29" s="55"/>
      <c r="Y29" s="104"/>
      <c r="Z29" s="105"/>
      <c r="AA29" s="106"/>
      <c r="AB29" s="106"/>
      <c r="AC29" s="104"/>
      <c r="AD29" s="104"/>
      <c r="AE29" s="104"/>
      <c r="AF29" s="104"/>
      <c r="AG29" s="104"/>
      <c r="AH29" s="104"/>
      <c r="AI29" s="72"/>
      <c r="AJ29" s="56"/>
      <c r="AK29" s="56"/>
      <c r="AL29" s="56"/>
    </row>
    <row r="30" spans="2:38" s="53" customFormat="1" ht="17">
      <c r="B30" s="141"/>
      <c r="C30" s="198"/>
      <c r="D30" s="198"/>
      <c r="E30" s="49" t="str">
        <f t="shared" si="2"/>
        <v/>
      </c>
      <c r="F30" s="96" t="s">
        <v>396</v>
      </c>
      <c r="G30" s="50" t="s">
        <v>35</v>
      </c>
      <c r="H30" s="51">
        <f t="shared" si="3"/>
        <v>349.36235171361432</v>
      </c>
      <c r="I30" s="51">
        <f t="shared" si="0"/>
        <v>-48.549022028935156</v>
      </c>
      <c r="J30" s="96" t="s">
        <v>44</v>
      </c>
      <c r="K30" s="45">
        <v>8.5299999999999994</v>
      </c>
      <c r="L30" s="95" t="s">
        <v>397</v>
      </c>
      <c r="M30" s="96" t="s">
        <v>345</v>
      </c>
      <c r="N30" s="96" t="s">
        <v>229</v>
      </c>
      <c r="O30" s="97">
        <v>225</v>
      </c>
      <c r="P30" s="96" t="s">
        <v>398</v>
      </c>
      <c r="Q30" s="96" t="s">
        <v>399</v>
      </c>
      <c r="R30" s="98">
        <v>5.583333333333333</v>
      </c>
      <c r="S30" s="98">
        <v>-5.45</v>
      </c>
      <c r="T30" s="52">
        <f t="shared" si="1"/>
        <v>172.94890775015301</v>
      </c>
      <c r="W30" s="55"/>
      <c r="X30" s="55"/>
      <c r="Y30" s="104"/>
      <c r="Z30" s="105"/>
      <c r="AA30" s="106"/>
      <c r="AB30" s="106"/>
      <c r="AC30" s="104"/>
      <c r="AD30" s="104"/>
      <c r="AE30" s="104"/>
      <c r="AF30" s="104"/>
      <c r="AG30" s="104"/>
      <c r="AH30" s="104"/>
      <c r="AI30" s="72"/>
      <c r="AJ30" s="56"/>
      <c r="AK30" s="56"/>
      <c r="AL30" s="56"/>
    </row>
    <row r="31" spans="2:38" s="53" customFormat="1" ht="17">
      <c r="B31" s="141"/>
      <c r="C31" s="198"/>
      <c r="D31" s="198"/>
      <c r="E31" s="49" t="str">
        <f t="shared" si="2"/>
        <v/>
      </c>
      <c r="F31" s="96" t="s">
        <v>400</v>
      </c>
      <c r="G31" s="50" t="s">
        <v>35</v>
      </c>
      <c r="H31" s="51">
        <f t="shared" si="3"/>
        <v>347.60155405066132</v>
      </c>
      <c r="I31" s="51">
        <f t="shared" si="0"/>
        <v>-44.745881835032435</v>
      </c>
      <c r="J31" s="96" t="s">
        <v>44</v>
      </c>
      <c r="K31" s="43">
        <v>8.4</v>
      </c>
      <c r="L31" s="95" t="s">
        <v>401</v>
      </c>
      <c r="M31" s="96" t="s">
        <v>345</v>
      </c>
      <c r="N31" s="96" t="s">
        <v>229</v>
      </c>
      <c r="O31" s="97">
        <v>226</v>
      </c>
      <c r="P31" s="96" t="s">
        <v>398</v>
      </c>
      <c r="Q31" s="96" t="s">
        <v>402</v>
      </c>
      <c r="R31" s="98">
        <v>5.6983333333333333</v>
      </c>
      <c r="S31" s="98">
        <v>-1.85</v>
      </c>
      <c r="T31" s="52">
        <f t="shared" si="1"/>
        <v>171.22390775015299</v>
      </c>
      <c r="W31" s="55"/>
      <c r="X31" s="55"/>
      <c r="Y31" s="104"/>
      <c r="Z31" s="105"/>
      <c r="AA31" s="106"/>
      <c r="AB31" s="106"/>
      <c r="AC31" s="104"/>
      <c r="AD31" s="104"/>
      <c r="AE31" s="104"/>
      <c r="AF31" s="104"/>
      <c r="AG31" s="104"/>
      <c r="AH31" s="104"/>
      <c r="AI31" s="72"/>
      <c r="AJ31" s="56"/>
      <c r="AK31" s="56"/>
      <c r="AL31" s="56"/>
    </row>
    <row r="32" spans="2:38" s="53" customFormat="1" ht="17">
      <c r="B32" s="141"/>
      <c r="C32" s="198"/>
      <c r="D32" s="198"/>
      <c r="E32" s="49" t="str">
        <f t="shared" si="2"/>
        <v/>
      </c>
      <c r="F32" s="96" t="s">
        <v>403</v>
      </c>
      <c r="G32" s="50" t="s">
        <v>35</v>
      </c>
      <c r="H32" s="51">
        <f t="shared" si="3"/>
        <v>173.08051703228776</v>
      </c>
      <c r="I32" s="51">
        <f t="shared" si="0"/>
        <v>10.898624241446623</v>
      </c>
      <c r="J32" s="96" t="s">
        <v>46</v>
      </c>
      <c r="K32" s="45">
        <v>9.2100000000000009</v>
      </c>
      <c r="L32" s="95" t="s">
        <v>404</v>
      </c>
      <c r="M32" s="96" t="s">
        <v>334</v>
      </c>
      <c r="N32" s="96" t="s">
        <v>164</v>
      </c>
      <c r="O32" s="96" t="s">
        <v>264</v>
      </c>
      <c r="P32" s="96" t="s">
        <v>268</v>
      </c>
      <c r="Q32" s="96" t="s">
        <v>405</v>
      </c>
      <c r="R32" s="98">
        <v>17.649722222222223</v>
      </c>
      <c r="S32" s="98">
        <v>-32.31666666666667</v>
      </c>
      <c r="T32" s="52">
        <f t="shared" si="1"/>
        <v>-8.0469255831803252</v>
      </c>
      <c r="W32" s="55"/>
      <c r="X32" s="55"/>
      <c r="Y32" s="104"/>
      <c r="Z32" s="105"/>
      <c r="AA32" s="106"/>
      <c r="AB32" s="106"/>
      <c r="AC32" s="104"/>
      <c r="AD32" s="104"/>
      <c r="AE32" s="104"/>
      <c r="AF32" s="104"/>
      <c r="AG32" s="104"/>
      <c r="AH32" s="104"/>
      <c r="AI32" s="72"/>
      <c r="AJ32" s="56"/>
      <c r="AK32" s="56"/>
      <c r="AL32" s="56"/>
    </row>
    <row r="33" spans="2:38" s="53" customFormat="1" ht="17">
      <c r="B33" s="141"/>
      <c r="C33" s="198"/>
      <c r="D33" s="198"/>
      <c r="E33" s="49" t="str">
        <f t="shared" si="2"/>
        <v/>
      </c>
      <c r="F33" s="96" t="s">
        <v>406</v>
      </c>
      <c r="G33" s="50" t="s">
        <v>35</v>
      </c>
      <c r="H33" s="51">
        <f t="shared" si="3"/>
        <v>152.23491384597932</v>
      </c>
      <c r="I33" s="51">
        <f t="shared" si="0"/>
        <v>33.028757095051034</v>
      </c>
      <c r="J33" s="96" t="s">
        <v>270</v>
      </c>
      <c r="K33" s="45">
        <v>6.87</v>
      </c>
      <c r="L33" s="95" t="s">
        <v>407</v>
      </c>
      <c r="M33" s="96" t="s">
        <v>357</v>
      </c>
      <c r="N33" s="96" t="s">
        <v>63</v>
      </c>
      <c r="O33" s="96" t="s">
        <v>408</v>
      </c>
      <c r="P33" s="96" t="s">
        <v>307</v>
      </c>
      <c r="Q33" s="96" t="s">
        <v>409</v>
      </c>
      <c r="R33" s="98">
        <v>18.656944444444441</v>
      </c>
      <c r="S33" s="98">
        <v>-6.666666666666667</v>
      </c>
      <c r="T33" s="52">
        <f t="shared" si="1"/>
        <v>-23.155258916513617</v>
      </c>
      <c r="W33" s="55"/>
      <c r="X33" s="55"/>
      <c r="Y33" s="104"/>
      <c r="Z33" s="105"/>
      <c r="AA33" s="106"/>
      <c r="AB33" s="106"/>
      <c r="AC33" s="104"/>
      <c r="AD33" s="104"/>
      <c r="AE33" s="104"/>
      <c r="AF33" s="104"/>
      <c r="AG33" s="104"/>
      <c r="AH33" s="104"/>
      <c r="AI33" s="72"/>
      <c r="AJ33" s="56"/>
      <c r="AK33" s="56"/>
      <c r="AL33" s="56"/>
    </row>
    <row r="34" spans="2:38" s="53" customFormat="1" ht="34">
      <c r="E34" s="49" t="str">
        <f t="shared" si="2"/>
        <v>*</v>
      </c>
      <c r="F34" s="96" t="s">
        <v>410</v>
      </c>
      <c r="G34" s="50" t="s">
        <v>35</v>
      </c>
      <c r="H34" s="51">
        <f t="shared" si="3"/>
        <v>148.56933963145107</v>
      </c>
      <c r="I34" s="51">
        <f t="shared" si="0"/>
        <v>33.741780429173005</v>
      </c>
      <c r="J34" s="96" t="s">
        <v>270</v>
      </c>
      <c r="K34" s="45">
        <v>8.11</v>
      </c>
      <c r="L34" s="90" t="s">
        <v>411</v>
      </c>
      <c r="M34" s="96" t="s">
        <v>412</v>
      </c>
      <c r="N34" s="96" t="s">
        <v>63</v>
      </c>
      <c r="O34" s="99" t="s">
        <v>413</v>
      </c>
      <c r="P34" s="96" t="s">
        <v>290</v>
      </c>
      <c r="Q34" s="96" t="s">
        <v>274</v>
      </c>
      <c r="R34" s="98">
        <v>18.833333333333332</v>
      </c>
      <c r="S34" s="98">
        <v>-4.95</v>
      </c>
      <c r="T34" s="52">
        <f t="shared" si="1"/>
        <v>-25.801092249846988</v>
      </c>
      <c r="W34" s="55"/>
      <c r="X34" s="55"/>
      <c r="Y34" s="104"/>
      <c r="Z34" s="105"/>
      <c r="AA34" s="106"/>
      <c r="AB34" s="106"/>
      <c r="AC34" s="104"/>
      <c r="AD34" s="104"/>
      <c r="AE34" s="104"/>
      <c r="AF34" s="104"/>
      <c r="AG34" s="104"/>
      <c r="AH34" s="104"/>
      <c r="AI34" s="72"/>
      <c r="AJ34" s="56"/>
      <c r="AK34" s="56"/>
      <c r="AL34" s="56"/>
    </row>
    <row r="35" spans="2:38" s="53" customFormat="1" ht="34">
      <c r="B35" s="214" t="str">
        <f>CONCATENATE("Moon's illuminated fraction: ",TEXT('Illumination (VR)'!C8*100,"0.00"),"%")</f>
        <v>Moon's illuminated fraction: 55.71%</v>
      </c>
      <c r="C35" s="215"/>
      <c r="D35" s="216"/>
      <c r="E35" s="49" t="str">
        <f t="shared" si="2"/>
        <v>*</v>
      </c>
      <c r="F35" s="96" t="s">
        <v>414</v>
      </c>
      <c r="G35" s="50" t="s">
        <v>35</v>
      </c>
      <c r="H35" s="51">
        <f t="shared" si="3"/>
        <v>147.37378046196707</v>
      </c>
      <c r="I35" s="51">
        <f t="shared" si="0"/>
        <v>33.115434449998524</v>
      </c>
      <c r="J35" s="96" t="s">
        <v>270</v>
      </c>
      <c r="K35" s="43">
        <v>8.5</v>
      </c>
      <c r="L35" s="95" t="s">
        <v>415</v>
      </c>
      <c r="M35" s="96" t="s">
        <v>334</v>
      </c>
      <c r="N35" s="96" t="s">
        <v>58</v>
      </c>
      <c r="O35" s="99" t="s">
        <v>416</v>
      </c>
      <c r="P35" s="96" t="s">
        <v>290</v>
      </c>
      <c r="Q35" s="96" t="s">
        <v>274</v>
      </c>
      <c r="R35" s="98">
        <v>18.910833333333333</v>
      </c>
      <c r="S35" s="98">
        <v>-5.166666666666667</v>
      </c>
      <c r="T35" s="52">
        <f t="shared" si="1"/>
        <v>-26.963592249846954</v>
      </c>
      <c r="W35" s="55"/>
      <c r="X35" s="55"/>
      <c r="Y35" s="104"/>
      <c r="Z35" s="105"/>
      <c r="AA35" s="106"/>
      <c r="AB35" s="106"/>
      <c r="AC35" s="104"/>
      <c r="AD35" s="104"/>
      <c r="AE35" s="104"/>
      <c r="AF35" s="104"/>
      <c r="AG35" s="104"/>
      <c r="AH35" s="104"/>
      <c r="AI35" s="72"/>
      <c r="AJ35" s="56"/>
      <c r="AK35" s="56"/>
      <c r="AL35" s="56"/>
    </row>
    <row r="36" spans="2:38" s="53" customFormat="1" ht="34">
      <c r="E36" s="49" t="str">
        <f t="shared" si="2"/>
        <v/>
      </c>
      <c r="F36" s="96" t="s">
        <v>417</v>
      </c>
      <c r="G36" s="50" t="s">
        <v>35</v>
      </c>
      <c r="H36" s="51">
        <f t="shared" si="3"/>
        <v>166.43780723495732</v>
      </c>
      <c r="I36" s="51">
        <f t="shared" si="0"/>
        <v>19.400446586842499</v>
      </c>
      <c r="J36" s="96" t="s">
        <v>314</v>
      </c>
      <c r="K36" s="43">
        <v>4.5999999999999996</v>
      </c>
      <c r="L36" s="95" t="s">
        <v>446</v>
      </c>
      <c r="M36" s="96" t="s">
        <v>345</v>
      </c>
      <c r="N36" s="97">
        <v>22</v>
      </c>
      <c r="O36" s="97">
        <v>339</v>
      </c>
      <c r="P36" s="99" t="s">
        <v>418</v>
      </c>
      <c r="Q36" s="96" t="s">
        <v>331</v>
      </c>
      <c r="R36" s="98">
        <v>18.040277777777778</v>
      </c>
      <c r="S36" s="98">
        <v>-23.016666666666666</v>
      </c>
      <c r="T36" s="52">
        <f t="shared" si="1"/>
        <v>-13.905258916513674</v>
      </c>
      <c r="W36" s="55"/>
      <c r="X36" s="55"/>
      <c r="Y36" s="104"/>
      <c r="Z36" s="105"/>
      <c r="AA36" s="106"/>
      <c r="AB36" s="106"/>
      <c r="AC36" s="104"/>
      <c r="AD36" s="104"/>
      <c r="AE36" s="104"/>
      <c r="AF36" s="104"/>
      <c r="AG36" s="104"/>
      <c r="AH36" s="104"/>
      <c r="AI36" s="72"/>
      <c r="AJ36" s="56"/>
      <c r="AK36" s="56"/>
      <c r="AL36" s="56"/>
    </row>
    <row r="37" spans="2:38" s="53" customFormat="1" ht="17">
      <c r="E37" s="49" t="str">
        <f t="shared" si="2"/>
        <v/>
      </c>
      <c r="F37" s="96" t="s">
        <v>419</v>
      </c>
      <c r="G37" s="50" t="s">
        <v>35</v>
      </c>
      <c r="H37" s="51">
        <f t="shared" si="3"/>
        <v>167.18168249738187</v>
      </c>
      <c r="I37" s="51">
        <f t="shared" si="0"/>
        <v>14.600950441060684</v>
      </c>
      <c r="J37" s="96" t="s">
        <v>314</v>
      </c>
      <c r="K37" s="43">
        <v>4.8</v>
      </c>
      <c r="L37" s="95" t="s">
        <v>420</v>
      </c>
      <c r="M37" s="96" t="s">
        <v>345</v>
      </c>
      <c r="N37" s="97">
        <v>22</v>
      </c>
      <c r="O37" s="96" t="s">
        <v>421</v>
      </c>
      <c r="P37" s="96" t="s">
        <v>422</v>
      </c>
      <c r="Q37" s="96" t="s">
        <v>317</v>
      </c>
      <c r="R37" s="98">
        <v>18.050277777777779</v>
      </c>
      <c r="S37" s="98">
        <v>-27.866666666666667</v>
      </c>
      <c r="T37" s="52">
        <f t="shared" si="1"/>
        <v>-14.055258916513708</v>
      </c>
      <c r="W37" s="55"/>
      <c r="X37" s="55"/>
      <c r="Y37" s="104"/>
      <c r="Z37" s="105"/>
      <c r="AA37" s="106"/>
      <c r="AB37" s="106"/>
      <c r="AC37" s="104"/>
      <c r="AD37" s="104"/>
      <c r="AE37" s="104"/>
      <c r="AF37" s="104"/>
      <c r="AG37" s="104"/>
      <c r="AH37" s="104"/>
      <c r="AI37" s="72"/>
      <c r="AJ37" s="56"/>
      <c r="AK37" s="56"/>
      <c r="AL37" s="56"/>
    </row>
    <row r="38" spans="2:38" s="53" customFormat="1" ht="17">
      <c r="E38" s="49" t="str">
        <f t="shared" si="2"/>
        <v/>
      </c>
      <c r="F38" s="96" t="s">
        <v>423</v>
      </c>
      <c r="G38" s="50" t="s">
        <v>35</v>
      </c>
      <c r="H38" s="51">
        <f t="shared" si="3"/>
        <v>162.16840529788584</v>
      </c>
      <c r="I38" s="51">
        <f t="shared" si="0"/>
        <v>23.492298727370596</v>
      </c>
      <c r="J38" s="96" t="s">
        <v>314</v>
      </c>
      <c r="K38" s="43">
        <v>5.7</v>
      </c>
      <c r="L38" s="95" t="s">
        <v>447</v>
      </c>
      <c r="M38" s="96" t="s">
        <v>345</v>
      </c>
      <c r="N38" s="96" t="s">
        <v>424</v>
      </c>
      <c r="O38" s="97">
        <v>339</v>
      </c>
      <c r="P38" s="97">
        <v>145</v>
      </c>
      <c r="Q38" s="96" t="s">
        <v>425</v>
      </c>
      <c r="R38" s="98">
        <v>18.259722222222223</v>
      </c>
      <c r="S38" s="98">
        <v>-18.216666666666665</v>
      </c>
      <c r="T38" s="52">
        <f t="shared" si="1"/>
        <v>-17.196925583180359</v>
      </c>
      <c r="W38" s="55"/>
      <c r="X38" s="55"/>
      <c r="Y38" s="104"/>
      <c r="Z38" s="105"/>
      <c r="AA38" s="106"/>
      <c r="AB38" s="106"/>
      <c r="AC38" s="104"/>
      <c r="AD38" s="104"/>
      <c r="AE38" s="104"/>
      <c r="AF38" s="104"/>
      <c r="AG38" s="104"/>
      <c r="AH38" s="104"/>
      <c r="AI38" s="72"/>
      <c r="AJ38" s="56"/>
      <c r="AK38" s="56"/>
      <c r="AL38" s="56"/>
    </row>
    <row r="39" spans="2:38" s="53" customFormat="1" ht="17">
      <c r="E39" s="49" t="str">
        <f t="shared" si="2"/>
        <v/>
      </c>
      <c r="F39" s="96" t="s">
        <v>426</v>
      </c>
      <c r="G39" s="50" t="s">
        <v>35</v>
      </c>
      <c r="H39" s="51">
        <f t="shared" si="3"/>
        <v>161.79932850828902</v>
      </c>
      <c r="I39" s="51">
        <f t="shared" si="0"/>
        <v>23.585466492254152</v>
      </c>
      <c r="J39" s="96" t="s">
        <v>314</v>
      </c>
      <c r="K39" s="45">
        <v>5.88</v>
      </c>
      <c r="L39" s="95" t="s">
        <v>427</v>
      </c>
      <c r="M39" s="96" t="s">
        <v>345</v>
      </c>
      <c r="N39" s="96" t="s">
        <v>424</v>
      </c>
      <c r="O39" s="97">
        <v>339</v>
      </c>
      <c r="P39" s="97">
        <v>145</v>
      </c>
      <c r="Q39" s="96" t="s">
        <v>425</v>
      </c>
      <c r="R39" s="98">
        <v>18.281388888888888</v>
      </c>
      <c r="S39" s="98">
        <v>-18.05</v>
      </c>
      <c r="T39" s="52">
        <f t="shared" si="1"/>
        <v>-17.521925583180291</v>
      </c>
      <c r="W39" s="55"/>
      <c r="X39" s="55"/>
      <c r="Y39" s="104"/>
      <c r="Z39" s="105"/>
      <c r="AA39" s="106"/>
      <c r="AB39" s="106"/>
      <c r="AC39" s="104"/>
      <c r="AD39" s="104"/>
      <c r="AE39" s="104"/>
      <c r="AF39" s="104"/>
      <c r="AG39" s="104"/>
      <c r="AH39" s="104"/>
      <c r="AI39" s="72"/>
      <c r="AJ39" s="56"/>
      <c r="AK39" s="56"/>
      <c r="AL39" s="56"/>
    </row>
    <row r="40" spans="2:38" s="53" customFormat="1" ht="34">
      <c r="E40" s="49" t="str">
        <f t="shared" si="2"/>
        <v/>
      </c>
      <c r="F40" s="96" t="s">
        <v>428</v>
      </c>
      <c r="G40" s="50" t="s">
        <v>35</v>
      </c>
      <c r="H40" s="51">
        <f t="shared" si="3"/>
        <v>166.2918390783355</v>
      </c>
      <c r="I40" s="51">
        <f t="shared" si="0"/>
        <v>18.122359988321868</v>
      </c>
      <c r="J40" s="96" t="s">
        <v>314</v>
      </c>
      <c r="K40" s="43">
        <v>9.6999999999999993</v>
      </c>
      <c r="L40" s="95" t="s">
        <v>429</v>
      </c>
      <c r="M40" s="96" t="s">
        <v>345</v>
      </c>
      <c r="N40" s="97">
        <v>22</v>
      </c>
      <c r="O40" s="96" t="s">
        <v>430</v>
      </c>
      <c r="P40" s="96" t="s">
        <v>431</v>
      </c>
      <c r="Q40" s="96" t="s">
        <v>432</v>
      </c>
      <c r="R40" s="98">
        <v>18.066666666666666</v>
      </c>
      <c r="S40" s="98">
        <v>-24.25</v>
      </c>
      <c r="T40" s="52">
        <f t="shared" si="1"/>
        <v>-14.301092249846988</v>
      </c>
      <c r="W40" s="55"/>
      <c r="X40" s="55"/>
      <c r="Y40" s="104"/>
      <c r="Z40" s="105"/>
      <c r="AA40" s="106"/>
      <c r="AB40" s="106"/>
      <c r="AC40" s="104"/>
      <c r="AD40" s="104"/>
      <c r="AE40" s="104"/>
      <c r="AF40" s="104"/>
      <c r="AG40" s="104"/>
      <c r="AH40" s="104"/>
      <c r="AI40" s="72"/>
      <c r="AJ40" s="56"/>
      <c r="AK40" s="56"/>
      <c r="AL40" s="56"/>
    </row>
    <row r="41" spans="2:38" s="53" customFormat="1" ht="34">
      <c r="E41" s="49" t="str">
        <f t="shared" si="2"/>
        <v/>
      </c>
      <c r="F41" s="96" t="s">
        <v>433</v>
      </c>
      <c r="G41" s="50" t="s">
        <v>35</v>
      </c>
      <c r="H41" s="51">
        <f t="shared" si="3"/>
        <v>160.28724103897159</v>
      </c>
      <c r="I41" s="51">
        <f t="shared" si="0"/>
        <v>25.105110743756882</v>
      </c>
      <c r="J41" s="96" t="s">
        <v>314</v>
      </c>
      <c r="K41" s="45">
        <v>7.32</v>
      </c>
      <c r="L41" s="90" t="s">
        <v>434</v>
      </c>
      <c r="M41" s="96" t="s">
        <v>345</v>
      </c>
      <c r="N41" s="97">
        <v>15</v>
      </c>
      <c r="O41" s="96" t="s">
        <v>435</v>
      </c>
      <c r="P41" s="96" t="s">
        <v>436</v>
      </c>
      <c r="Q41" s="96" t="s">
        <v>437</v>
      </c>
      <c r="R41" s="98">
        <v>18.350000000000001</v>
      </c>
      <c r="S41" s="98">
        <v>-16.25</v>
      </c>
      <c r="T41" s="52">
        <f t="shared" si="1"/>
        <v>-18.551092249846988</v>
      </c>
      <c r="W41" s="55"/>
      <c r="X41" s="55"/>
      <c r="Y41" s="104"/>
      <c r="Z41" s="105"/>
      <c r="AA41" s="106"/>
      <c r="AB41" s="106"/>
      <c r="AC41" s="104"/>
      <c r="AD41" s="104"/>
      <c r="AE41" s="104"/>
      <c r="AF41" s="104"/>
      <c r="AG41" s="104"/>
      <c r="AH41" s="104"/>
      <c r="AI41" s="72"/>
      <c r="AJ41" s="56"/>
      <c r="AK41" s="56"/>
      <c r="AL41" s="56"/>
    </row>
    <row r="42" spans="2:38" s="53" customFormat="1" ht="17">
      <c r="E42" s="49" t="str">
        <f t="shared" si="2"/>
        <v/>
      </c>
      <c r="F42" s="96" t="s">
        <v>438</v>
      </c>
      <c r="G42" s="50" t="s">
        <v>35</v>
      </c>
      <c r="H42" s="51">
        <f t="shared" si="3"/>
        <v>6.7685522256627451</v>
      </c>
      <c r="I42" s="51">
        <f t="shared" si="0"/>
        <v>-17.207094138560997</v>
      </c>
      <c r="J42" s="96" t="s">
        <v>47</v>
      </c>
      <c r="K42" s="43">
        <v>4.4000000000000004</v>
      </c>
      <c r="L42" s="95" t="s">
        <v>439</v>
      </c>
      <c r="M42" s="96" t="s">
        <v>357</v>
      </c>
      <c r="N42" s="96" t="s">
        <v>98</v>
      </c>
      <c r="O42" s="96" t="s">
        <v>440</v>
      </c>
      <c r="P42" s="97">
        <v>78</v>
      </c>
      <c r="Q42" s="96" t="s">
        <v>441</v>
      </c>
      <c r="R42" s="98">
        <v>4.6333333333333329</v>
      </c>
      <c r="S42" s="98">
        <v>26.05</v>
      </c>
      <c r="T42" s="52">
        <f t="shared" si="1"/>
        <v>187.19890775015301</v>
      </c>
      <c r="W42" s="55"/>
      <c r="X42" s="66"/>
      <c r="Y42" s="107"/>
      <c r="Z42" s="108"/>
      <c r="AA42" s="109"/>
      <c r="AB42" s="109"/>
      <c r="AC42" s="107"/>
      <c r="AD42" s="107"/>
      <c r="AE42" s="107"/>
      <c r="AF42" s="107"/>
      <c r="AG42" s="107"/>
      <c r="AH42" s="107"/>
      <c r="AI42" s="73"/>
      <c r="AJ42" s="56"/>
      <c r="AK42" s="56"/>
      <c r="AL42" s="56"/>
    </row>
    <row r="44" spans="2:38">
      <c r="S44" s="94" t="s">
        <v>461</v>
      </c>
      <c r="T44" s="46">
        <f>PI()/180</f>
        <v>1.7453292519943295E-2</v>
      </c>
    </row>
    <row r="55" spans="2:2">
      <c r="B55" s="202" t="s">
        <v>492</v>
      </c>
    </row>
    <row r="56" spans="2:2">
      <c r="B56" s="202" t="s">
        <v>493</v>
      </c>
    </row>
  </sheetData>
  <sheetProtection sheet="1" objects="1" scenarios="1"/>
  <mergeCells count="32">
    <mergeCell ref="B27:D27"/>
    <mergeCell ref="X2:AL2"/>
    <mergeCell ref="B2:C2"/>
    <mergeCell ref="F2:T2"/>
    <mergeCell ref="B19:B24"/>
    <mergeCell ref="F7:F8"/>
    <mergeCell ref="G7:G8"/>
    <mergeCell ref="H7:H8"/>
    <mergeCell ref="I7:I8"/>
    <mergeCell ref="J7:J8"/>
    <mergeCell ref="K7:K8"/>
    <mergeCell ref="L7:L8"/>
    <mergeCell ref="M7:M8"/>
    <mergeCell ref="Q7:Q8"/>
    <mergeCell ref="AC7:AC8"/>
    <mergeCell ref="AJ7:AJ8"/>
    <mergeCell ref="B35:D35"/>
    <mergeCell ref="AK7:AK8"/>
    <mergeCell ref="AL7:AL8"/>
    <mergeCell ref="N7:N8"/>
    <mergeCell ref="AF7:AF8"/>
    <mergeCell ref="AB7:AB8"/>
    <mergeCell ref="AD7:AD8"/>
    <mergeCell ref="AE7:AE8"/>
    <mergeCell ref="AI7:AI8"/>
    <mergeCell ref="R7:R8"/>
    <mergeCell ref="S7:S8"/>
    <mergeCell ref="T7:T8"/>
    <mergeCell ref="X7:X8"/>
    <mergeCell ref="Y7:Y8"/>
    <mergeCell ref="Z7:Z8"/>
    <mergeCell ref="AA7:AA8"/>
  </mergeCells>
  <conditionalFormatting sqref="F9:F42">
    <cfRule type="expression" dxfId="5" priority="18">
      <formula>AND($I9&gt;=$I$4,$I9&lt;=$I$6,$H9&gt;=$H$4,$H9&lt;=$H$6)</formula>
    </cfRule>
  </conditionalFormatting>
  <conditionalFormatting sqref="H9:H42">
    <cfRule type="expression" dxfId="4" priority="17">
      <formula>AND($H9&gt;=$H$4,$H9&lt;=$H$6)</formula>
    </cfRule>
  </conditionalFormatting>
  <conditionalFormatting sqref="I9:I42">
    <cfRule type="expression" dxfId="3" priority="16">
      <formula>AND($I9&gt;=$I$4,$I9&lt;=$I$6)</formula>
    </cfRule>
  </conditionalFormatting>
  <dataValidations count="3">
    <dataValidation type="list" allowBlank="1" showInputMessage="1" showErrorMessage="1" sqref="G9:G42" xr:uid="{4EA6E2A8-4CBC-364C-8820-F741AFA35364}">
      <formula1>$C$19:$C$24</formula1>
    </dataValidation>
    <dataValidation type="list" allowBlank="1" showInputMessage="1" showErrorMessage="1" sqref="C12" xr:uid="{86E3BD48-3582-A64D-B6AA-94EC94287D47}">
      <formula1>$B$29:$B$33</formula1>
    </dataValidation>
    <dataValidation type="list" allowBlank="1" showInputMessage="1" showErrorMessage="1" sqref="D19:D24" xr:uid="{36A5B8E0-A47B-A543-9984-38E88B6650F1}">
      <formula1>$B$55:$B$56</formula1>
    </dataValidation>
  </dataValidations>
  <hyperlinks>
    <hyperlink ref="T3" r:id="rId1" xr:uid="{13C3E441-6275-184C-9DA7-6A23EBB62E89}"/>
  </hyperlinks>
  <pageMargins left="0.7" right="0.7" top="0.75" bottom="0.75" header="0.3" footer="0.3"/>
  <pageSetup paperSize="9" scale="77" orientation="portrait" horizontalDpi="0" verticalDpi="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277D0-9630-2749-A12E-641591D05838}">
  <sheetPr>
    <pageSetUpPr fitToPage="1"/>
  </sheetPr>
  <dimension ref="B2:AI106"/>
  <sheetViews>
    <sheetView showGridLines="0" topLeftCell="A7" workbookViewId="0">
      <selection activeCell="B37" sqref="B37"/>
    </sheetView>
  </sheetViews>
  <sheetFormatPr baseColWidth="10" defaultRowHeight="16"/>
  <cols>
    <col min="1" max="1" width="10.83203125" style="13"/>
    <col min="2" max="2" width="13.33203125" style="13" customWidth="1"/>
    <col min="3" max="4" width="11.33203125" style="13" customWidth="1"/>
    <col min="5" max="5" width="5.83203125" style="13" customWidth="1"/>
    <col min="6" max="6" width="15.83203125" style="40" customWidth="1"/>
    <col min="7" max="7" width="10.83203125" style="13" customWidth="1"/>
    <col min="8" max="8" width="10.83203125" style="14" customWidth="1"/>
    <col min="9" max="9" width="10.83203125" style="13"/>
    <col min="10" max="10" width="10.83203125" style="14"/>
    <col min="11" max="11" width="10.83203125" style="14" customWidth="1"/>
    <col min="12" max="12" width="18.33203125" style="14" customWidth="1"/>
    <col min="13" max="13" width="10.83203125" style="14" customWidth="1"/>
    <col min="14" max="15" width="15.83203125" style="14" customWidth="1"/>
    <col min="16" max="16" width="11.83203125" style="14" customWidth="1"/>
    <col min="17" max="17" width="10.83203125" style="14" customWidth="1"/>
    <col min="18" max="19" width="10.83203125" style="13"/>
    <col min="20" max="20" width="10" style="13" customWidth="1"/>
    <col min="21" max="21" width="10" style="14" hidden="1" customWidth="1"/>
    <col min="22" max="22" width="15.83203125" style="14" customWidth="1"/>
    <col min="23" max="23" width="10" style="14" customWidth="1"/>
    <col min="24" max="24" width="10" style="13" customWidth="1"/>
    <col min="25" max="25" width="10" style="14" customWidth="1"/>
    <col min="26" max="26" width="10" style="14" hidden="1" customWidth="1"/>
    <col min="27" max="27" width="10" style="14" customWidth="1"/>
    <col min="28" max="28" width="10" style="14" hidden="1" customWidth="1"/>
    <col min="29" max="29" width="10" style="14" customWidth="1"/>
    <col min="30" max="31" width="15.83203125" style="14" customWidth="1"/>
    <col min="32" max="32" width="11.33203125" style="14" customWidth="1"/>
    <col min="33" max="33" width="2.6640625" style="14" hidden="1" customWidth="1"/>
    <col min="34" max="34" width="10" style="14" hidden="1" customWidth="1"/>
    <col min="35" max="35" width="0.1640625" style="14" hidden="1" customWidth="1"/>
    <col min="36" max="36" width="10" style="13" customWidth="1"/>
    <col min="37" max="16384" width="10.83203125" style="13"/>
  </cols>
  <sheetData>
    <row r="2" spans="2:35" ht="19">
      <c r="B2" s="236" t="s">
        <v>25</v>
      </c>
      <c r="C2" s="238"/>
      <c r="D2" s="126"/>
      <c r="F2" s="236" t="s">
        <v>26</v>
      </c>
      <c r="G2" s="237"/>
      <c r="H2" s="237"/>
      <c r="I2" s="237"/>
      <c r="J2" s="237"/>
      <c r="K2" s="237"/>
      <c r="L2" s="237"/>
      <c r="M2" s="237"/>
      <c r="N2" s="237"/>
      <c r="O2" s="237"/>
      <c r="P2" s="237"/>
      <c r="Q2" s="237"/>
      <c r="R2" s="237"/>
      <c r="S2" s="238"/>
      <c r="U2" s="67" t="s">
        <v>27</v>
      </c>
      <c r="V2" s="236" t="s">
        <v>49</v>
      </c>
      <c r="W2" s="237"/>
      <c r="X2" s="237"/>
      <c r="Y2" s="237"/>
      <c r="Z2" s="237"/>
      <c r="AA2" s="237"/>
      <c r="AB2" s="237"/>
      <c r="AC2" s="237"/>
      <c r="AD2" s="237"/>
      <c r="AE2" s="237"/>
      <c r="AF2" s="237"/>
      <c r="AG2" s="237"/>
      <c r="AH2" s="237"/>
      <c r="AI2" s="238"/>
    </row>
    <row r="3" spans="2:35">
      <c r="B3" s="197"/>
      <c r="C3" s="28" t="s">
        <v>7</v>
      </c>
      <c r="D3" s="127"/>
      <c r="E3" s="15"/>
      <c r="F3" s="37"/>
      <c r="G3" s="34"/>
      <c r="H3" s="16" t="s">
        <v>5</v>
      </c>
      <c r="I3" s="16" t="s">
        <v>5</v>
      </c>
      <c r="J3" s="30"/>
      <c r="K3" s="30"/>
      <c r="L3" s="30"/>
      <c r="M3" s="30"/>
      <c r="N3" s="30"/>
      <c r="O3" s="30"/>
      <c r="P3" s="30"/>
      <c r="Q3" s="30"/>
      <c r="R3" s="30"/>
      <c r="S3" s="75" t="s">
        <v>51</v>
      </c>
      <c r="U3" s="29"/>
      <c r="V3" s="193" t="str">
        <f>CONCATENATE("Date: ",TEXT(C4,"DD.MM.YYYY"),",   Time: ",TEXT(C5,"HH:MM:SS"))</f>
        <v>Date: 22.05.2024,   Time: 02:00:00</v>
      </c>
      <c r="W3" s="188"/>
      <c r="X3" s="188"/>
      <c r="Y3" s="189"/>
      <c r="Z3" s="189"/>
      <c r="AA3" s="30"/>
      <c r="AB3" s="30"/>
      <c r="AC3" s="30"/>
      <c r="AD3" s="30"/>
      <c r="AE3" s="30"/>
      <c r="AF3" s="196" t="str">
        <f>CONCATENATE("Moon: ",TEXT('Illumination (VR)'!M8*100,"0.00"),"%")</f>
        <v>Moon: 97.75%</v>
      </c>
      <c r="AG3" s="30"/>
      <c r="AH3" s="30"/>
      <c r="AI3" s="30"/>
    </row>
    <row r="4" spans="2:35">
      <c r="B4" s="18" t="s">
        <v>13</v>
      </c>
      <c r="C4" s="21">
        <v>45434</v>
      </c>
      <c r="D4" s="128"/>
      <c r="E4" s="15"/>
      <c r="F4" s="38"/>
      <c r="G4" s="35"/>
      <c r="H4" s="17">
        <v>60</v>
      </c>
      <c r="I4" s="17">
        <v>25</v>
      </c>
      <c r="J4" s="30"/>
      <c r="K4" s="30"/>
      <c r="L4" s="30"/>
      <c r="M4" s="30"/>
      <c r="N4" s="30"/>
      <c r="O4" s="30"/>
      <c r="P4" s="30"/>
      <c r="Q4" s="30"/>
      <c r="R4" s="30"/>
      <c r="S4" s="35"/>
      <c r="U4" s="29"/>
      <c r="V4" s="193" t="str">
        <f>CONCATENATE("Latitude: ",TEXT(C13,"0.00"),",      Longitude: ",TEXT(C14,"0.00"),"   (",C12,")")</f>
        <v>Latitude: 46.45,      Longitude: 7.42   (Home)</v>
      </c>
      <c r="W4" s="190"/>
      <c r="X4" s="190"/>
      <c r="Y4" s="191"/>
      <c r="Z4" s="191"/>
      <c r="AA4" s="30"/>
      <c r="AB4" s="30"/>
      <c r="AC4" s="30"/>
      <c r="AD4" s="30"/>
      <c r="AE4" s="30"/>
      <c r="AF4" s="203" t="str">
        <f>CONCATENATE("# total:       ",TEXT(95-COUNTBLANK(($E$9:$E$103)),"0"))</f>
        <v># total:       11</v>
      </c>
      <c r="AG4" s="30"/>
      <c r="AH4" s="30"/>
      <c r="AI4" s="30"/>
    </row>
    <row r="5" spans="2:35">
      <c r="B5" s="19" t="s">
        <v>14</v>
      </c>
      <c r="C5" s="22">
        <v>8.3333333333333329E-2</v>
      </c>
      <c r="D5" s="129"/>
      <c r="E5" s="15"/>
      <c r="F5" s="38"/>
      <c r="G5" s="35"/>
      <c r="H5" s="16" t="s">
        <v>6</v>
      </c>
      <c r="I5" s="16" t="s">
        <v>6</v>
      </c>
      <c r="J5" s="30"/>
      <c r="K5" s="30"/>
      <c r="L5" s="30"/>
      <c r="M5" s="30"/>
      <c r="N5" s="30"/>
      <c r="O5" s="30"/>
      <c r="P5" s="30"/>
      <c r="Q5" s="30"/>
      <c r="R5" s="30"/>
      <c r="S5" s="35"/>
      <c r="U5" s="29"/>
      <c r="V5" s="194" t="str">
        <f>CONCATENATE("Limits: ",TEXT(H4,"0")," &lt;= azimuth &lt;= ",TEXT(H6,"0"),",   ",TEXT(I4,"0")," &lt;= altitude &lt;= ",TEXT(I6,"0"))</f>
        <v>Limits: 60 &lt;= azimuth &lt;= 150,   25 &lt;= altitude &lt;= 90</v>
      </c>
      <c r="W5" s="192"/>
      <c r="X5" s="192"/>
      <c r="Y5" s="30"/>
      <c r="Z5" s="30"/>
      <c r="AA5" s="30"/>
      <c r="AB5" s="30"/>
      <c r="AC5" s="30"/>
      <c r="AD5" s="30"/>
      <c r="AE5" s="30"/>
      <c r="AF5" s="203" t="str">
        <f>CONCATENATE("# selected: ",TEXT(95-COUNTBLANK(($V$9:$V$103)),"0"))</f>
        <v># selected: 11</v>
      </c>
      <c r="AG5" s="30"/>
      <c r="AH5" s="30"/>
      <c r="AI5" s="30"/>
    </row>
    <row r="6" spans="2:35">
      <c r="B6" s="19" t="s">
        <v>15</v>
      </c>
      <c r="C6" s="23">
        <v>1</v>
      </c>
      <c r="D6" s="130"/>
      <c r="E6" s="15"/>
      <c r="F6" s="39"/>
      <c r="G6" s="36"/>
      <c r="H6" s="17">
        <v>150</v>
      </c>
      <c r="I6" s="17">
        <v>90</v>
      </c>
      <c r="J6" s="32"/>
      <c r="K6" s="32"/>
      <c r="L6" s="32"/>
      <c r="M6" s="32"/>
      <c r="N6" s="32"/>
      <c r="O6" s="32"/>
      <c r="P6" s="32"/>
      <c r="Q6" s="32"/>
      <c r="R6" s="32"/>
      <c r="S6" s="36"/>
      <c r="U6" s="31"/>
      <c r="V6" s="31"/>
      <c r="W6" s="32"/>
      <c r="X6" s="33"/>
      <c r="Y6" s="32"/>
      <c r="Z6" s="32"/>
      <c r="AA6" s="32"/>
      <c r="AB6" s="32"/>
      <c r="AC6" s="32"/>
      <c r="AD6" s="32"/>
      <c r="AE6" s="32"/>
      <c r="AF6" s="71"/>
      <c r="AG6" s="30"/>
      <c r="AH6" s="32"/>
      <c r="AI6" s="32"/>
    </row>
    <row r="7" spans="2:35" ht="16" customHeight="1">
      <c r="B7" s="18" t="s">
        <v>16</v>
      </c>
      <c r="C7" s="16" t="str">
        <f>IF(OR(MOD(YEAR(C4),400)=0,AND(MOD(YEAR(C4),4)=0,MOD(YEAR(C4),100)&lt;&gt;0)),"Y", "N")</f>
        <v>Y</v>
      </c>
      <c r="D7" s="131"/>
      <c r="E7" s="15"/>
      <c r="F7" s="217" t="s">
        <v>36</v>
      </c>
      <c r="G7" s="219" t="str">
        <f>C17</f>
        <v>Observed?</v>
      </c>
      <c r="H7" s="241" t="s">
        <v>8</v>
      </c>
      <c r="I7" s="243" t="s">
        <v>9</v>
      </c>
      <c r="J7" s="221" t="s">
        <v>48</v>
      </c>
      <c r="K7" s="221" t="s">
        <v>52</v>
      </c>
      <c r="L7" s="221" t="s">
        <v>53</v>
      </c>
      <c r="M7" s="221" t="s">
        <v>54</v>
      </c>
      <c r="N7" s="92" t="s">
        <v>448</v>
      </c>
      <c r="O7" s="92" t="s">
        <v>450</v>
      </c>
      <c r="P7" s="221" t="s">
        <v>55</v>
      </c>
      <c r="Q7" s="227" t="s">
        <v>10</v>
      </c>
      <c r="R7" s="245" t="s">
        <v>11</v>
      </c>
      <c r="S7" s="247" t="s">
        <v>12</v>
      </c>
      <c r="T7" s="25"/>
      <c r="U7" s="68" t="s">
        <v>36</v>
      </c>
      <c r="V7" s="229" t="s">
        <v>36</v>
      </c>
      <c r="W7" s="231" t="str">
        <f>C17</f>
        <v>Observed?</v>
      </c>
      <c r="X7" s="231" t="s">
        <v>8</v>
      </c>
      <c r="Y7" s="233" t="s">
        <v>9</v>
      </c>
      <c r="Z7" s="223" t="s">
        <v>48</v>
      </c>
      <c r="AA7" s="223" t="s">
        <v>52</v>
      </c>
      <c r="AB7" s="223" t="s">
        <v>53</v>
      </c>
      <c r="AC7" s="223" t="s">
        <v>54</v>
      </c>
      <c r="AD7" s="223" t="s">
        <v>448</v>
      </c>
      <c r="AE7" s="187" t="s">
        <v>450</v>
      </c>
      <c r="AF7" s="225" t="s">
        <v>55</v>
      </c>
      <c r="AG7" s="229" t="s">
        <v>10</v>
      </c>
      <c r="AH7" s="217" t="s">
        <v>11</v>
      </c>
      <c r="AI7" s="219" t="s">
        <v>12</v>
      </c>
    </row>
    <row r="8" spans="2:35" ht="16" customHeight="1">
      <c r="B8" s="47" t="s">
        <v>17</v>
      </c>
      <c r="C8" s="48">
        <f>INT(275*MONTH(C4)/9)-IF(C7="Y",1,2)*INT((MONTH(C4)+9)/12)+DAY(C4)-30</f>
        <v>143</v>
      </c>
      <c r="D8" s="132"/>
      <c r="E8" s="15"/>
      <c r="F8" s="218"/>
      <c r="G8" s="220"/>
      <c r="H8" s="242"/>
      <c r="I8" s="244"/>
      <c r="J8" s="222"/>
      <c r="K8" s="222"/>
      <c r="L8" s="222"/>
      <c r="M8" s="222"/>
      <c r="N8" s="92" t="s">
        <v>449</v>
      </c>
      <c r="O8" s="92" t="s">
        <v>451</v>
      </c>
      <c r="P8" s="222"/>
      <c r="Q8" s="228"/>
      <c r="R8" s="246"/>
      <c r="S8" s="248"/>
      <c r="T8" s="25"/>
      <c r="U8" s="68"/>
      <c r="V8" s="230"/>
      <c r="W8" s="232"/>
      <c r="X8" s="232"/>
      <c r="Y8" s="234"/>
      <c r="Z8" s="224"/>
      <c r="AA8" s="224"/>
      <c r="AB8" s="224"/>
      <c r="AC8" s="224"/>
      <c r="AD8" s="224"/>
      <c r="AE8" s="121" t="s">
        <v>449</v>
      </c>
      <c r="AF8" s="226"/>
      <c r="AG8" s="229"/>
      <c r="AH8" s="218"/>
      <c r="AI8" s="220"/>
    </row>
    <row r="9" spans="2:35" s="53" customFormat="1" ht="17" customHeight="1">
      <c r="B9" s="47" t="s">
        <v>18</v>
      </c>
      <c r="C9" s="48" t="str">
        <f>IF(INT(MOD(C10+1.5,7))=1,"Monday",IF(INT(MOD(C10+1.5,7))=2,"Tuesday",IF(INT(MOD(C10+1.5,7))=3,"Wednesday",IF(INT(MOD(C10+1.5,7))=4,"Thursday",IF(INT(MOD(C10+1.5,7))=5,"Friday",IF(INT(MOD(C10+1.5,7))=6,"Saturday","Sunday"))))))</f>
        <v>Wednesday</v>
      </c>
      <c r="D9" s="132"/>
      <c r="E9" s="49" t="str">
        <f>IF(AND(I9&gt;=$I$4,I9&lt;=$I$6,H9&gt;=$H$4,H9&lt;=$H$6),IF(VLOOKUP(G9,$C$19:$D$24,2,FALSE)="yes","*","-"),"")</f>
        <v>*</v>
      </c>
      <c r="F9" s="78" t="s">
        <v>56</v>
      </c>
      <c r="G9" s="50" t="s">
        <v>35</v>
      </c>
      <c r="H9" s="51">
        <f>IF(SIN($S$105*S9)&lt;0,ACOS((SIN($S$105*R9)-SIN($S$105*I9)*SIN($S$105*$C$13))/(COS($S$105*I9)*COS($S$105*$C$13)))/$S$105,360-ACOS((SIN($S$105*R9)-SIN($S$105*I9)*SIN($S$105*$C$13))/(COS($S$105*I9)*COS($S$105*$C$13)))/$S$105)</f>
        <v>146.24806941061073</v>
      </c>
      <c r="I9" s="51">
        <f t="shared" ref="I9:I40" si="0">ASIN(SIN($S$105*R9)*SIN($S$105*$C$13)+COS($S$105*R9)*COS($S$105*$C$13)*COS($S$105*S9))/$S$105</f>
        <v>36.897512428209026</v>
      </c>
      <c r="J9" s="78" t="s">
        <v>38</v>
      </c>
      <c r="K9" s="114" t="s">
        <v>57</v>
      </c>
      <c r="L9" s="115"/>
      <c r="M9" s="78" t="s">
        <v>58</v>
      </c>
      <c r="N9" s="79" t="s">
        <v>59</v>
      </c>
      <c r="O9" s="80">
        <v>105</v>
      </c>
      <c r="P9" s="78" t="s">
        <v>60</v>
      </c>
      <c r="Q9" s="77">
        <v>19.266666666666666</v>
      </c>
      <c r="R9" s="77">
        <v>-1.3166666666666667</v>
      </c>
      <c r="S9" s="52">
        <f t="shared" ref="S9:S42" si="1">$C$16-((Q9/24)*360)</f>
        <v>-26.387210249848067</v>
      </c>
      <c r="U9" s="54" t="str" cm="1">
        <f t="array" ref="U9:AI19">_xlfn._xlws.FILTER(E9:S103,E9:E103="*","")</f>
        <v>*</v>
      </c>
      <c r="V9" s="70" t="str">
        <v>B 137</v>
      </c>
      <c r="W9" s="100" t="str">
        <v>-</v>
      </c>
      <c r="X9" s="101">
        <v>146.24806941061073</v>
      </c>
      <c r="Y9" s="102">
        <v>36.897512428209026</v>
      </c>
      <c r="Z9" s="102" t="str">
        <v>Aql</v>
      </c>
      <c r="AA9" s="100" t="str">
        <v>8 x 8</v>
      </c>
      <c r="AB9" s="100">
        <v>0</v>
      </c>
      <c r="AC9" s="100" t="str">
        <v>16 N</v>
      </c>
      <c r="AD9" s="100" t="str">
        <v>251 N  (2)</v>
      </c>
      <c r="AE9" s="100">
        <v>105</v>
      </c>
      <c r="AF9" s="122" t="str">
        <v>III: 1293</v>
      </c>
      <c r="AG9" s="70">
        <v>19.266666666666666</v>
      </c>
      <c r="AH9" s="56">
        <v>-1.3166666666666667</v>
      </c>
      <c r="AI9" s="56">
        <v>-26.387210249848067</v>
      </c>
    </row>
    <row r="10" spans="2:35" s="53" customFormat="1" ht="17" customHeight="1">
      <c r="B10" s="47" t="s">
        <v>19</v>
      </c>
      <c r="C10" s="57">
        <f>367*YEAR(C4)-INT(7/4*YEAR(C4))-INT(3*(INT((YEAR(C4)-8/7)/100)+1)/4)+1721059.5-1+C8+(3600*HOUR(C5)+60*MINUTE(C5)+SECOND(C5))/(24*3600)</f>
        <v>2460452.5833333335</v>
      </c>
      <c r="D10" s="133"/>
      <c r="E10" s="49" t="str">
        <f t="shared" ref="E10:E73" si="2">IF(AND(I10&gt;=$I$4,I10&lt;=$I$6,H10&gt;=$H$4,H10&lt;=$H$6),IF(VLOOKUP(G10,$C$19:$D$24,2,FALSE)="yes","*","-"),"")</f>
        <v/>
      </c>
      <c r="F10" s="78" t="s">
        <v>61</v>
      </c>
      <c r="G10" s="50" t="s">
        <v>35</v>
      </c>
      <c r="H10" s="51">
        <f t="shared" ref="H10:H73" si="3">IF(SIN($S$105*S10)&lt;0,ACOS((SIN($S$105*R10)-SIN($S$105*I10)*SIN($S$105*$C$13))/(COS($S$105*I10)*COS($S$105*$C$13)))/$S$105,360-ACOS((SIN($S$105*R10)-SIN($S$105*I10)*SIN($S$105*$C$13))/(COS($S$105*I10)*COS($S$105*$C$13)))/$S$105)</f>
        <v>152.69377864698711</v>
      </c>
      <c r="I10" s="51">
        <f t="shared" si="0"/>
        <v>40.117308509261406</v>
      </c>
      <c r="J10" s="78" t="s">
        <v>38</v>
      </c>
      <c r="K10" s="116" t="s">
        <v>62</v>
      </c>
      <c r="L10" s="117"/>
      <c r="M10" s="78" t="s">
        <v>63</v>
      </c>
      <c r="N10" s="78" t="s">
        <v>64</v>
      </c>
      <c r="O10" s="80">
        <v>105</v>
      </c>
      <c r="P10" s="78" t="s">
        <v>65</v>
      </c>
      <c r="Q10" s="77">
        <v>18.876666666666669</v>
      </c>
      <c r="R10" s="77">
        <v>-6.6666666666666652E-2</v>
      </c>
      <c r="S10" s="52">
        <f t="shared" si="1"/>
        <v>-20.537210249848101</v>
      </c>
      <c r="U10" s="55" t="str">
        <v>*</v>
      </c>
      <c r="V10" s="55" t="str">
        <v>B 335</v>
      </c>
      <c r="W10" s="104" t="str">
        <v>-</v>
      </c>
      <c r="X10" s="105">
        <v>135.06169976906199</v>
      </c>
      <c r="Y10" s="106">
        <v>42.644986895127886</v>
      </c>
      <c r="Z10" s="106" t="str">
        <v>Aql</v>
      </c>
      <c r="AA10" s="104" t="str">
        <v>5 x 3</v>
      </c>
      <c r="AB10" s="104" t="str">
        <v>LDN 663 in S.A. 2000</v>
      </c>
      <c r="AC10" s="104">
        <v>16</v>
      </c>
      <c r="AD10" s="104">
        <v>207</v>
      </c>
      <c r="AE10" s="104">
        <v>85</v>
      </c>
      <c r="AF10" s="123" t="str">
        <v>III: 1268</v>
      </c>
      <c r="AG10" s="55">
        <v>19.615000000000002</v>
      </c>
      <c r="AH10" s="56">
        <v>7.6</v>
      </c>
      <c r="AI10" s="56">
        <v>-31.61221024984809</v>
      </c>
    </row>
    <row r="11" spans="2:35" s="53" customFormat="1" ht="17" customHeight="1">
      <c r="B11" s="47" t="s">
        <v>20</v>
      </c>
      <c r="C11" s="57">
        <f>C10-2451545</f>
        <v>8907.5833333334886</v>
      </c>
      <c r="D11" s="133"/>
      <c r="E11" s="49" t="str">
        <f t="shared" si="2"/>
        <v/>
      </c>
      <c r="F11" s="78" t="s">
        <v>66</v>
      </c>
      <c r="G11" s="50" t="s">
        <v>35</v>
      </c>
      <c r="H11" s="51">
        <f t="shared" si="3"/>
        <v>150.68565752342371</v>
      </c>
      <c r="I11" s="51">
        <f t="shared" si="0"/>
        <v>40.788217080640131</v>
      </c>
      <c r="J11" s="78" t="s">
        <v>38</v>
      </c>
      <c r="K11" s="116" t="s">
        <v>67</v>
      </c>
      <c r="L11" s="117"/>
      <c r="M11" s="78" t="s">
        <v>63</v>
      </c>
      <c r="N11" s="78" t="s">
        <v>68</v>
      </c>
      <c r="O11" s="80">
        <v>105</v>
      </c>
      <c r="P11" s="78" t="s">
        <v>65</v>
      </c>
      <c r="Q11" s="77">
        <v>18.958333333333332</v>
      </c>
      <c r="R11" s="77">
        <v>1.0666666666666667</v>
      </c>
      <c r="S11" s="52">
        <f t="shared" si="1"/>
        <v>-21.76221024984801</v>
      </c>
      <c r="U11" s="55" t="str">
        <v>*</v>
      </c>
      <c r="V11" s="55" t="str">
        <v>B 139</v>
      </c>
      <c r="W11" s="104" t="str">
        <v>-</v>
      </c>
      <c r="X11" s="105">
        <v>145.32168517433556</v>
      </c>
      <c r="Y11" s="106">
        <v>37.364491736633632</v>
      </c>
      <c r="Z11" s="106" t="str">
        <v>Aql</v>
      </c>
      <c r="AA11" s="104" t="str">
        <v>11 x 2</v>
      </c>
      <c r="AB11" s="104">
        <v>0</v>
      </c>
      <c r="AC11" s="104">
        <v>16</v>
      </c>
      <c r="AD11" s="104">
        <v>251</v>
      </c>
      <c r="AE11" s="104">
        <v>105</v>
      </c>
      <c r="AF11" s="123" t="str">
        <v>III: 1293</v>
      </c>
      <c r="AG11" s="55">
        <v>19.3</v>
      </c>
      <c r="AH11" s="56">
        <v>-0.6</v>
      </c>
      <c r="AI11" s="56">
        <v>-26.887210249848067</v>
      </c>
    </row>
    <row r="12" spans="2:35" s="53" customFormat="1" ht="17" customHeight="1">
      <c r="B12" s="58" t="s">
        <v>28</v>
      </c>
      <c r="C12" s="142" t="s">
        <v>29</v>
      </c>
      <c r="D12" s="134"/>
      <c r="E12" s="49" t="str">
        <f t="shared" si="2"/>
        <v>*</v>
      </c>
      <c r="F12" s="78" t="s">
        <v>69</v>
      </c>
      <c r="G12" s="50" t="s">
        <v>35</v>
      </c>
      <c r="H12" s="51">
        <f t="shared" si="3"/>
        <v>135.06169976906199</v>
      </c>
      <c r="I12" s="51">
        <f t="shared" si="0"/>
        <v>42.644986895127886</v>
      </c>
      <c r="J12" s="78" t="s">
        <v>38</v>
      </c>
      <c r="K12" s="116" t="s">
        <v>70</v>
      </c>
      <c r="L12" s="118" t="s">
        <v>71</v>
      </c>
      <c r="M12" s="80">
        <v>16</v>
      </c>
      <c r="N12" s="80">
        <v>207</v>
      </c>
      <c r="O12" s="80">
        <v>85</v>
      </c>
      <c r="P12" s="78" t="s">
        <v>72</v>
      </c>
      <c r="Q12" s="77">
        <v>19.615000000000002</v>
      </c>
      <c r="R12" s="77">
        <v>7.6</v>
      </c>
      <c r="S12" s="52">
        <f t="shared" si="1"/>
        <v>-31.61221024984809</v>
      </c>
      <c r="U12" s="55" t="str">
        <v>*</v>
      </c>
      <c r="V12" s="55" t="str">
        <v>B 138</v>
      </c>
      <c r="W12" s="104" t="str">
        <v>-</v>
      </c>
      <c r="X12" s="105">
        <v>145.49988652060307</v>
      </c>
      <c r="Y12" s="106">
        <v>38.311662581286392</v>
      </c>
      <c r="Z12" s="106" t="str">
        <v>Aql</v>
      </c>
      <c r="AA12" s="104" t="str">
        <v>140 x 140</v>
      </c>
      <c r="AB12" s="104">
        <v>0</v>
      </c>
      <c r="AC12" s="104" t="str">
        <v>16 N</v>
      </c>
      <c r="AD12" s="104" t="str">
        <v>251 N</v>
      </c>
      <c r="AE12" s="104">
        <v>105</v>
      </c>
      <c r="AF12" s="123" t="str">
        <v>III: 1293</v>
      </c>
      <c r="AG12" s="55">
        <v>19.266666666666666</v>
      </c>
      <c r="AH12" s="56">
        <v>0.21666666666666667</v>
      </c>
      <c r="AI12" s="56">
        <v>-26.387210249848067</v>
      </c>
    </row>
    <row r="13" spans="2:35" s="53" customFormat="1" ht="17" customHeight="1">
      <c r="B13" s="20" t="s">
        <v>21</v>
      </c>
      <c r="C13" s="199">
        <f>VLOOKUP(C12,$B$29:$D$33,2,FALSE)</f>
        <v>46.45</v>
      </c>
      <c r="D13" s="135"/>
      <c r="E13" s="49" t="str">
        <f t="shared" si="2"/>
        <v>*</v>
      </c>
      <c r="F13" s="78" t="s">
        <v>73</v>
      </c>
      <c r="G13" s="50" t="s">
        <v>35</v>
      </c>
      <c r="H13" s="51">
        <f t="shared" si="3"/>
        <v>145.32168517433556</v>
      </c>
      <c r="I13" s="51">
        <f t="shared" si="0"/>
        <v>37.364491736633632</v>
      </c>
      <c r="J13" s="78" t="s">
        <v>38</v>
      </c>
      <c r="K13" s="116" t="s">
        <v>74</v>
      </c>
      <c r="L13" s="117"/>
      <c r="M13" s="80">
        <v>16</v>
      </c>
      <c r="N13" s="80">
        <v>251</v>
      </c>
      <c r="O13" s="80">
        <v>105</v>
      </c>
      <c r="P13" s="78" t="s">
        <v>60</v>
      </c>
      <c r="Q13" s="77">
        <v>19.3</v>
      </c>
      <c r="R13" s="77">
        <v>-0.6</v>
      </c>
      <c r="S13" s="52">
        <f t="shared" si="1"/>
        <v>-26.887210249848067</v>
      </c>
      <c r="U13" s="55" t="str">
        <v>*</v>
      </c>
      <c r="V13" s="55" t="str">
        <v>B 337</v>
      </c>
      <c r="W13" s="104" t="str">
        <v>-</v>
      </c>
      <c r="X13" s="105">
        <v>131.60495891126072</v>
      </c>
      <c r="Y13" s="106">
        <v>46.750396694494867</v>
      </c>
      <c r="Z13" s="106" t="str">
        <v>Aql</v>
      </c>
      <c r="AA13" s="104" t="str">
        <v>3 x 3</v>
      </c>
      <c r="AB13" s="104">
        <v>0</v>
      </c>
      <c r="AC13" s="104">
        <v>16</v>
      </c>
      <c r="AD13" s="104">
        <v>207</v>
      </c>
      <c r="AE13" s="104">
        <v>85</v>
      </c>
      <c r="AF13" s="123" t="str">
        <v>III: 1244</v>
      </c>
      <c r="AG13" s="55">
        <v>19.616666666666667</v>
      </c>
      <c r="AH13" s="56">
        <v>12.383333333333333</v>
      </c>
      <c r="AI13" s="56">
        <v>-31.637210249848067</v>
      </c>
    </row>
    <row r="14" spans="2:35" s="53" customFormat="1" ht="17" customHeight="1">
      <c r="B14" s="47" t="s">
        <v>22</v>
      </c>
      <c r="C14" s="199">
        <f>VLOOKUP(C12,$B$29:$D$33,3,FALSE)</f>
        <v>7.42</v>
      </c>
      <c r="D14" s="135"/>
      <c r="E14" s="49" t="str">
        <f t="shared" si="2"/>
        <v>*</v>
      </c>
      <c r="F14" s="78" t="s">
        <v>75</v>
      </c>
      <c r="G14" s="50" t="s">
        <v>35</v>
      </c>
      <c r="H14" s="51">
        <f t="shared" si="3"/>
        <v>145.49988652060307</v>
      </c>
      <c r="I14" s="51">
        <f t="shared" si="0"/>
        <v>38.311662581286392</v>
      </c>
      <c r="J14" s="78" t="s">
        <v>38</v>
      </c>
      <c r="K14" s="116" t="s">
        <v>76</v>
      </c>
      <c r="L14" s="117"/>
      <c r="M14" s="78" t="s">
        <v>58</v>
      </c>
      <c r="N14" s="78" t="s">
        <v>77</v>
      </c>
      <c r="O14" s="80">
        <v>105</v>
      </c>
      <c r="P14" s="78" t="s">
        <v>60</v>
      </c>
      <c r="Q14" s="77">
        <v>19.266666666666666</v>
      </c>
      <c r="R14" s="77">
        <v>0.21666666666666667</v>
      </c>
      <c r="S14" s="52">
        <f t="shared" si="1"/>
        <v>-26.387210249848067</v>
      </c>
      <c r="U14" s="55" t="str">
        <v>*</v>
      </c>
      <c r="V14" s="55" t="str">
        <v>B 136</v>
      </c>
      <c r="W14" s="104" t="str">
        <v>-</v>
      </c>
      <c r="X14" s="105">
        <v>149.52629540055554</v>
      </c>
      <c r="Y14" s="106">
        <v>35.058434014417202</v>
      </c>
      <c r="Z14" s="106" t="str">
        <v>Aql</v>
      </c>
      <c r="AA14" s="104" t="str">
        <v>11 x 11</v>
      </c>
      <c r="AB14" s="104">
        <v>0</v>
      </c>
      <c r="AC14" s="104">
        <v>16</v>
      </c>
      <c r="AD14" s="104">
        <v>251</v>
      </c>
      <c r="AE14" s="104">
        <v>105</v>
      </c>
      <c r="AF14" s="123" t="str">
        <v>III: 1317</v>
      </c>
      <c r="AG14" s="55">
        <v>19.146944444444443</v>
      </c>
      <c r="AH14" s="56">
        <v>-4</v>
      </c>
      <c r="AI14" s="56">
        <v>-24.591376916514719</v>
      </c>
    </row>
    <row r="15" spans="2:35" s="53" customFormat="1" ht="17" customHeight="1">
      <c r="B15" s="47" t="s">
        <v>23</v>
      </c>
      <c r="C15" s="59">
        <f>MOD(HOUR(C5)+(MINUTE(C5)/60)+(SECOND(C5)/60)-C6,24)</f>
        <v>1</v>
      </c>
      <c r="D15" s="136"/>
      <c r="E15" s="49" t="str">
        <f t="shared" si="2"/>
        <v>*</v>
      </c>
      <c r="F15" s="78" t="s">
        <v>78</v>
      </c>
      <c r="G15" s="50" t="s">
        <v>35</v>
      </c>
      <c r="H15" s="51">
        <f t="shared" si="3"/>
        <v>131.60495891126072</v>
      </c>
      <c r="I15" s="51">
        <f t="shared" si="0"/>
        <v>46.750396694494867</v>
      </c>
      <c r="J15" s="78" t="s">
        <v>38</v>
      </c>
      <c r="K15" s="116" t="s">
        <v>79</v>
      </c>
      <c r="L15" s="117"/>
      <c r="M15" s="80">
        <v>16</v>
      </c>
      <c r="N15" s="80">
        <v>207</v>
      </c>
      <c r="O15" s="80">
        <v>85</v>
      </c>
      <c r="P15" s="78" t="s">
        <v>80</v>
      </c>
      <c r="Q15" s="77">
        <v>19.616666666666667</v>
      </c>
      <c r="R15" s="77">
        <v>12.383333333333333</v>
      </c>
      <c r="S15" s="52">
        <f t="shared" si="1"/>
        <v>-31.637210249848067</v>
      </c>
      <c r="U15" s="55" t="str">
        <v>*</v>
      </c>
      <c r="V15" s="55" t="str">
        <v>B 135</v>
      </c>
      <c r="W15" s="104" t="str">
        <v>-</v>
      </c>
      <c r="X15" s="105">
        <v>149.06209612533755</v>
      </c>
      <c r="Y15" s="106">
        <v>36.965077004504614</v>
      </c>
      <c r="Z15" s="106" t="str">
        <v>Aql</v>
      </c>
      <c r="AA15" s="104" t="str">
        <v>17 x 4</v>
      </c>
      <c r="AB15" s="104">
        <v>0</v>
      </c>
      <c r="AC15" s="104">
        <v>16</v>
      </c>
      <c r="AD15" s="104">
        <v>251</v>
      </c>
      <c r="AE15" s="104">
        <v>105</v>
      </c>
      <c r="AF15" s="123" t="str">
        <v>III: 1317</v>
      </c>
      <c r="AG15" s="55">
        <v>19.125555555555557</v>
      </c>
      <c r="AH15" s="56">
        <v>-2.0833333333333335</v>
      </c>
      <c r="AI15" s="56">
        <v>-24.270543583181393</v>
      </c>
    </row>
    <row r="16" spans="2:35" s="53" customFormat="1" ht="17" customHeight="1">
      <c r="B16" s="47" t="s">
        <v>24</v>
      </c>
      <c r="C16" s="59">
        <f>MOD(100.46+0.985647*C11+C14+15*C15, 360)</f>
        <v>262.61278975015193</v>
      </c>
      <c r="D16" s="136"/>
      <c r="E16" s="49" t="str">
        <f t="shared" si="2"/>
        <v>*</v>
      </c>
      <c r="F16" s="78" t="s">
        <v>81</v>
      </c>
      <c r="G16" s="50" t="s">
        <v>35</v>
      </c>
      <c r="H16" s="51">
        <f t="shared" si="3"/>
        <v>149.52629540055554</v>
      </c>
      <c r="I16" s="51">
        <f t="shared" si="0"/>
        <v>35.058434014417202</v>
      </c>
      <c r="J16" s="78" t="s">
        <v>38</v>
      </c>
      <c r="K16" s="116" t="s">
        <v>82</v>
      </c>
      <c r="L16" s="117"/>
      <c r="M16" s="80">
        <v>16</v>
      </c>
      <c r="N16" s="80">
        <v>251</v>
      </c>
      <c r="O16" s="80">
        <v>105</v>
      </c>
      <c r="P16" s="78" t="s">
        <v>83</v>
      </c>
      <c r="Q16" s="77">
        <v>19.146944444444443</v>
      </c>
      <c r="R16" s="77">
        <v>-4</v>
      </c>
      <c r="S16" s="52">
        <f t="shared" si="1"/>
        <v>-24.591376916514719</v>
      </c>
      <c r="U16" s="55" t="str">
        <v>*</v>
      </c>
      <c r="V16" s="55" t="str">
        <v>B 334</v>
      </c>
      <c r="W16" s="104" t="str">
        <v>-</v>
      </c>
      <c r="X16" s="105">
        <v>132.23356714454232</v>
      </c>
      <c r="Y16" s="106">
        <v>46.937165558986102</v>
      </c>
      <c r="Z16" s="106" t="str">
        <v>Aql</v>
      </c>
      <c r="AA16" s="104" t="str">
        <v>4 x 2</v>
      </c>
      <c r="AB16" s="104">
        <v>0</v>
      </c>
      <c r="AC16" s="104">
        <v>16</v>
      </c>
      <c r="AD16" s="104">
        <v>207</v>
      </c>
      <c r="AE16" s="104">
        <v>85</v>
      </c>
      <c r="AF16" s="123" t="str">
        <v>III: 1244</v>
      </c>
      <c r="AG16" s="55">
        <v>19.584999999999997</v>
      </c>
      <c r="AH16" s="56">
        <v>12.316666666666666</v>
      </c>
      <c r="AI16" s="56">
        <v>-31.162210249848044</v>
      </c>
    </row>
    <row r="17" spans="2:35" s="53" customFormat="1" ht="17" customHeight="1">
      <c r="B17" s="60" t="s">
        <v>30</v>
      </c>
      <c r="C17" s="61" t="s">
        <v>31</v>
      </c>
      <c r="D17" s="137"/>
      <c r="E17" s="49" t="str">
        <f t="shared" si="2"/>
        <v>*</v>
      </c>
      <c r="F17" s="78" t="s">
        <v>84</v>
      </c>
      <c r="G17" s="50" t="s">
        <v>35</v>
      </c>
      <c r="H17" s="51">
        <f t="shared" si="3"/>
        <v>149.06209612533755</v>
      </c>
      <c r="I17" s="51">
        <f t="shared" si="0"/>
        <v>36.965077004504614</v>
      </c>
      <c r="J17" s="78" t="s">
        <v>38</v>
      </c>
      <c r="K17" s="116" t="s">
        <v>85</v>
      </c>
      <c r="L17" s="117"/>
      <c r="M17" s="80">
        <v>16</v>
      </c>
      <c r="N17" s="80">
        <v>251</v>
      </c>
      <c r="O17" s="80">
        <v>105</v>
      </c>
      <c r="P17" s="78" t="s">
        <v>83</v>
      </c>
      <c r="Q17" s="77">
        <v>19.125555555555557</v>
      </c>
      <c r="R17" s="77">
        <v>-2.0833333333333335</v>
      </c>
      <c r="S17" s="52">
        <f t="shared" si="1"/>
        <v>-24.270543583181393</v>
      </c>
      <c r="U17" s="55" t="str">
        <v>*</v>
      </c>
      <c r="V17" s="55" t="str">
        <v>LDN  889</v>
      </c>
      <c r="W17" s="104" t="str">
        <v>-</v>
      </c>
      <c r="X17" s="105">
        <v>85.308513063241222</v>
      </c>
      <c r="Y17" s="106">
        <v>58.086715432132678</v>
      </c>
      <c r="Z17" s="106" t="str">
        <v>Cyg</v>
      </c>
      <c r="AA17" s="104" t="str">
        <v>180 x 20</v>
      </c>
      <c r="AB17" s="104">
        <v>0</v>
      </c>
      <c r="AC17" s="104" t="str">
        <v>9, 8</v>
      </c>
      <c r="AD17" s="104">
        <v>85</v>
      </c>
      <c r="AE17" s="104" t="str">
        <v>48, 32</v>
      </c>
      <c r="AF17" s="123" t="str">
        <v>III: 1128</v>
      </c>
      <c r="AG17" s="55">
        <v>20.41333333333333</v>
      </c>
      <c r="AH17" s="56">
        <v>40.166666666666664</v>
      </c>
      <c r="AI17" s="56">
        <v>-43.587210249847999</v>
      </c>
    </row>
    <row r="18" spans="2:35" s="53" customFormat="1" ht="17" customHeight="1">
      <c r="B18" s="62"/>
      <c r="C18" s="60" t="s">
        <v>32</v>
      </c>
      <c r="D18" s="200" t="s">
        <v>491</v>
      </c>
      <c r="E18" s="49" t="str">
        <f t="shared" si="2"/>
        <v/>
      </c>
      <c r="F18" s="78" t="s">
        <v>86</v>
      </c>
      <c r="G18" s="50" t="s">
        <v>35</v>
      </c>
      <c r="H18" s="51">
        <f t="shared" si="3"/>
        <v>150.60522928387934</v>
      </c>
      <c r="I18" s="51">
        <f t="shared" si="0"/>
        <v>35.824920252998787</v>
      </c>
      <c r="J18" s="78" t="s">
        <v>38</v>
      </c>
      <c r="K18" s="116" t="s">
        <v>87</v>
      </c>
      <c r="L18" s="117"/>
      <c r="M18" s="80">
        <v>16</v>
      </c>
      <c r="N18" s="80">
        <v>251</v>
      </c>
      <c r="O18" s="80">
        <v>105</v>
      </c>
      <c r="P18" s="78" t="s">
        <v>83</v>
      </c>
      <c r="Q18" s="77">
        <v>19.074166666666667</v>
      </c>
      <c r="R18" s="77">
        <v>-3.5833333333333335</v>
      </c>
      <c r="S18" s="52">
        <f t="shared" si="1"/>
        <v>-23.499710249848079</v>
      </c>
      <c r="U18" s="55" t="str">
        <v>*</v>
      </c>
      <c r="V18" s="55" t="str">
        <v>B 362</v>
      </c>
      <c r="W18" s="104" t="str">
        <v>-</v>
      </c>
      <c r="X18" s="105">
        <v>62.307405341194347</v>
      </c>
      <c r="Y18" s="106">
        <v>52.00732080386237</v>
      </c>
      <c r="Z18" s="106" t="str">
        <v>Cyg</v>
      </c>
      <c r="AA18" s="104" t="str">
        <v>11 x 5</v>
      </c>
      <c r="AB18" s="104">
        <v>0</v>
      </c>
      <c r="AC18" s="104" t="str">
        <v>9, 3</v>
      </c>
      <c r="AD18" s="104" t="str">
        <v>56, 86</v>
      </c>
      <c r="AE18" s="104">
        <v>32</v>
      </c>
      <c r="AF18" s="123" t="str">
        <v>III: 1105</v>
      </c>
      <c r="AG18" s="55">
        <v>21.399166666666666</v>
      </c>
      <c r="AH18" s="56">
        <v>50.2</v>
      </c>
      <c r="AI18" s="56">
        <v>-58.374710249848022</v>
      </c>
    </row>
    <row r="19" spans="2:35" s="53" customFormat="1" ht="17" customHeight="1">
      <c r="B19" s="239" t="s">
        <v>34</v>
      </c>
      <c r="C19" s="63" t="s">
        <v>35</v>
      </c>
      <c r="D19" s="201" t="s">
        <v>492</v>
      </c>
      <c r="E19" s="49" t="str">
        <f t="shared" si="2"/>
        <v/>
      </c>
      <c r="F19" s="78" t="s">
        <v>88</v>
      </c>
      <c r="G19" s="50" t="s">
        <v>35</v>
      </c>
      <c r="H19" s="51">
        <f t="shared" si="3"/>
        <v>151.68048926266451</v>
      </c>
      <c r="I19" s="51">
        <f t="shared" si="0"/>
        <v>35.23273470870852</v>
      </c>
      <c r="J19" s="78" t="s">
        <v>38</v>
      </c>
      <c r="K19" s="116" t="s">
        <v>70</v>
      </c>
      <c r="L19" s="117"/>
      <c r="M19" s="80">
        <v>16</v>
      </c>
      <c r="N19" s="78" t="s">
        <v>89</v>
      </c>
      <c r="O19" s="80">
        <v>105</v>
      </c>
      <c r="P19" s="78" t="s">
        <v>83</v>
      </c>
      <c r="Q19" s="77">
        <v>19.03222222222222</v>
      </c>
      <c r="R19" s="77">
        <v>-4.4333333333333336</v>
      </c>
      <c r="S19" s="52">
        <f t="shared" si="1"/>
        <v>-22.870543583181359</v>
      </c>
      <c r="U19" s="55" t="str">
        <v>*</v>
      </c>
      <c r="V19" s="55" t="str">
        <v>B 343</v>
      </c>
      <c r="W19" s="104" t="str">
        <v>-</v>
      </c>
      <c r="X19" s="105">
        <v>86.972983525247329</v>
      </c>
      <c r="Y19" s="106">
        <v>60.083614745141873</v>
      </c>
      <c r="Z19" s="106" t="str">
        <v>Cyg</v>
      </c>
      <c r="AA19" s="104" t="str">
        <v>10 x 7</v>
      </c>
      <c r="AB19" s="104">
        <v>0</v>
      </c>
      <c r="AC19" s="104" t="str">
        <v>9, 8</v>
      </c>
      <c r="AD19" s="104">
        <v>84</v>
      </c>
      <c r="AE19" s="104" t="str">
        <v>48, 32</v>
      </c>
      <c r="AF19" s="123" t="str">
        <v>III: 1128</v>
      </c>
      <c r="AG19" s="55">
        <v>20.223888888888887</v>
      </c>
      <c r="AH19" s="56">
        <v>40.266666666666666</v>
      </c>
      <c r="AI19" s="56">
        <v>-40.745543583181359</v>
      </c>
    </row>
    <row r="20" spans="2:35" s="53" customFormat="1" ht="17" customHeight="1">
      <c r="B20" s="239"/>
      <c r="C20" s="64" t="s">
        <v>33</v>
      </c>
      <c r="D20" s="201" t="s">
        <v>493</v>
      </c>
      <c r="E20" s="49" t="str">
        <f t="shared" si="2"/>
        <v/>
      </c>
      <c r="F20" s="78" t="s">
        <v>90</v>
      </c>
      <c r="G20" s="50" t="s">
        <v>35</v>
      </c>
      <c r="H20" s="51">
        <f t="shared" si="3"/>
        <v>151.74887076105017</v>
      </c>
      <c r="I20" s="51">
        <f t="shared" si="0"/>
        <v>34.96989387772139</v>
      </c>
      <c r="J20" s="78" t="s">
        <v>38</v>
      </c>
      <c r="K20" s="116" t="s">
        <v>91</v>
      </c>
      <c r="L20" s="117"/>
      <c r="M20" s="80">
        <v>16</v>
      </c>
      <c r="N20" s="78" t="s">
        <v>92</v>
      </c>
      <c r="O20" s="80">
        <v>105</v>
      </c>
      <c r="P20" s="78" t="s">
        <v>83</v>
      </c>
      <c r="Q20" s="77">
        <v>19.034444444444446</v>
      </c>
      <c r="R20" s="77">
        <v>-4.7</v>
      </c>
      <c r="S20" s="52">
        <f t="shared" si="1"/>
        <v>-22.903876916514776</v>
      </c>
      <c r="U20" s="55"/>
      <c r="V20" s="55"/>
      <c r="W20" s="104"/>
      <c r="X20" s="105"/>
      <c r="Y20" s="106"/>
      <c r="Z20" s="106"/>
      <c r="AA20" s="104"/>
      <c r="AB20" s="104"/>
      <c r="AC20" s="104"/>
      <c r="AD20" s="104"/>
      <c r="AE20" s="104"/>
      <c r="AF20" s="123"/>
      <c r="AG20" s="55"/>
      <c r="AH20" s="56"/>
      <c r="AI20" s="56"/>
    </row>
    <row r="21" spans="2:35" s="53" customFormat="1" ht="17" customHeight="1">
      <c r="B21" s="239"/>
      <c r="C21" s="64"/>
      <c r="D21" s="201"/>
      <c r="E21" s="49" t="str">
        <f t="shared" si="2"/>
        <v/>
      </c>
      <c r="F21" s="78" t="s">
        <v>93</v>
      </c>
      <c r="G21" s="50" t="s">
        <v>35</v>
      </c>
      <c r="H21" s="51">
        <f t="shared" si="3"/>
        <v>151.85390678885861</v>
      </c>
      <c r="I21" s="51">
        <f t="shared" si="0"/>
        <v>35.140679443471278</v>
      </c>
      <c r="J21" s="78" t="s">
        <v>38</v>
      </c>
      <c r="K21" s="116" t="s">
        <v>94</v>
      </c>
      <c r="L21" s="117"/>
      <c r="M21" s="80">
        <v>16</v>
      </c>
      <c r="N21" s="78" t="s">
        <v>92</v>
      </c>
      <c r="O21" s="80">
        <v>105</v>
      </c>
      <c r="P21" s="78" t="s">
        <v>83</v>
      </c>
      <c r="Q21" s="77">
        <v>19.025277777777777</v>
      </c>
      <c r="R21" s="77">
        <v>-4.5666666666666664</v>
      </c>
      <c r="S21" s="52">
        <f t="shared" si="1"/>
        <v>-22.76637691651473</v>
      </c>
      <c r="U21" s="55"/>
      <c r="V21" s="55"/>
      <c r="W21" s="104"/>
      <c r="X21" s="105"/>
      <c r="Y21" s="106"/>
      <c r="Z21" s="106"/>
      <c r="AA21" s="104"/>
      <c r="AB21" s="104"/>
      <c r="AC21" s="104"/>
      <c r="AD21" s="104"/>
      <c r="AE21" s="104"/>
      <c r="AF21" s="123"/>
      <c r="AG21" s="55"/>
      <c r="AH21" s="56"/>
      <c r="AI21" s="56"/>
    </row>
    <row r="22" spans="2:35" s="53" customFormat="1" ht="17" customHeight="1">
      <c r="B22" s="239"/>
      <c r="C22" s="64"/>
      <c r="D22" s="201"/>
      <c r="E22" s="49" t="str">
        <f t="shared" si="2"/>
        <v>*</v>
      </c>
      <c r="F22" s="78" t="s">
        <v>95</v>
      </c>
      <c r="G22" s="50" t="s">
        <v>35</v>
      </c>
      <c r="H22" s="51">
        <f t="shared" si="3"/>
        <v>132.23356714454232</v>
      </c>
      <c r="I22" s="51">
        <f t="shared" si="0"/>
        <v>46.937165558986102</v>
      </c>
      <c r="J22" s="78" t="s">
        <v>38</v>
      </c>
      <c r="K22" s="116" t="s">
        <v>96</v>
      </c>
      <c r="L22" s="117"/>
      <c r="M22" s="80">
        <v>16</v>
      </c>
      <c r="N22" s="80">
        <v>207</v>
      </c>
      <c r="O22" s="80">
        <v>85</v>
      </c>
      <c r="P22" s="78" t="s">
        <v>80</v>
      </c>
      <c r="Q22" s="77">
        <v>19.584999999999997</v>
      </c>
      <c r="R22" s="77">
        <v>12.316666666666666</v>
      </c>
      <c r="S22" s="52">
        <f t="shared" si="1"/>
        <v>-31.162210249848044</v>
      </c>
      <c r="U22" s="55"/>
      <c r="V22" s="55"/>
      <c r="W22" s="104"/>
      <c r="X22" s="105"/>
      <c r="Y22" s="106"/>
      <c r="Z22" s="106"/>
      <c r="AA22" s="104"/>
      <c r="AB22" s="104"/>
      <c r="AC22" s="104"/>
      <c r="AD22" s="104"/>
      <c r="AE22" s="104"/>
      <c r="AF22" s="123"/>
      <c r="AG22" s="55"/>
      <c r="AH22" s="56"/>
      <c r="AI22" s="56"/>
    </row>
    <row r="23" spans="2:35" s="53" customFormat="1" ht="17" customHeight="1">
      <c r="B23" s="239"/>
      <c r="C23" s="64"/>
      <c r="D23" s="201"/>
      <c r="E23" s="49" t="str">
        <f t="shared" si="2"/>
        <v/>
      </c>
      <c r="F23" s="78" t="s">
        <v>97</v>
      </c>
      <c r="G23" s="50" t="s">
        <v>35</v>
      </c>
      <c r="H23" s="51">
        <f t="shared" si="3"/>
        <v>7.8863071300365668</v>
      </c>
      <c r="I23" s="51">
        <f t="shared" si="0"/>
        <v>-12.508864709052046</v>
      </c>
      <c r="J23" s="78" t="s">
        <v>39</v>
      </c>
      <c r="K23" s="116" t="s">
        <v>70</v>
      </c>
      <c r="L23" s="117"/>
      <c r="M23" s="78" t="s">
        <v>98</v>
      </c>
      <c r="N23" s="78" t="s">
        <v>99</v>
      </c>
      <c r="O23" s="80">
        <v>59</v>
      </c>
      <c r="P23" s="78" t="s">
        <v>100</v>
      </c>
      <c r="Q23" s="77">
        <v>4.9105555555555558</v>
      </c>
      <c r="R23" s="77">
        <v>30.616666666666667</v>
      </c>
      <c r="S23" s="52">
        <f t="shared" si="1"/>
        <v>188.95445641681857</v>
      </c>
      <c r="U23" s="55"/>
      <c r="V23" s="55"/>
      <c r="W23" s="104"/>
      <c r="X23" s="105"/>
      <c r="Y23" s="106"/>
      <c r="Z23" s="106"/>
      <c r="AA23" s="104"/>
      <c r="AB23" s="104"/>
      <c r="AC23" s="104"/>
      <c r="AD23" s="104"/>
      <c r="AE23" s="104"/>
      <c r="AF23" s="123"/>
      <c r="AG23" s="55"/>
      <c r="AH23" s="56"/>
      <c r="AI23" s="56"/>
    </row>
    <row r="24" spans="2:35" s="53" customFormat="1" ht="17" customHeight="1">
      <c r="B24" s="240"/>
      <c r="C24" s="65"/>
      <c r="D24" s="201"/>
      <c r="E24" s="49" t="str">
        <f t="shared" si="2"/>
        <v/>
      </c>
      <c r="F24" s="78" t="s">
        <v>101</v>
      </c>
      <c r="G24" s="50" t="s">
        <v>35</v>
      </c>
      <c r="H24" s="51">
        <f t="shared" si="3"/>
        <v>358.70910448439383</v>
      </c>
      <c r="I24" s="51">
        <f t="shared" si="0"/>
        <v>-9.8381335982554408</v>
      </c>
      <c r="J24" s="78" t="s">
        <v>39</v>
      </c>
      <c r="K24" s="116" t="s">
        <v>102</v>
      </c>
      <c r="L24" s="117"/>
      <c r="M24" s="78" t="s">
        <v>98</v>
      </c>
      <c r="N24" s="78" t="s">
        <v>103</v>
      </c>
      <c r="O24" s="80">
        <v>59</v>
      </c>
      <c r="P24" s="78" t="s">
        <v>104</v>
      </c>
      <c r="Q24" s="77">
        <v>5.6094444444444438</v>
      </c>
      <c r="R24" s="77">
        <v>33.700000000000003</v>
      </c>
      <c r="S24" s="52">
        <f t="shared" si="1"/>
        <v>178.47112308348528</v>
      </c>
      <c r="U24" s="55"/>
      <c r="V24" s="55"/>
      <c r="W24" s="104"/>
      <c r="X24" s="105"/>
      <c r="Y24" s="106"/>
      <c r="Z24" s="106"/>
      <c r="AA24" s="104"/>
      <c r="AB24" s="104"/>
      <c r="AC24" s="104"/>
      <c r="AD24" s="104"/>
      <c r="AE24" s="104"/>
      <c r="AF24" s="123"/>
      <c r="AG24" s="55"/>
      <c r="AH24" s="56"/>
      <c r="AI24" s="56"/>
    </row>
    <row r="25" spans="2:35" s="53" customFormat="1" ht="17" customHeight="1">
      <c r="E25" s="49" t="str">
        <f t="shared" si="2"/>
        <v/>
      </c>
      <c r="F25" s="78" t="s">
        <v>105</v>
      </c>
      <c r="G25" s="50" t="s">
        <v>35</v>
      </c>
      <c r="H25" s="51">
        <f t="shared" si="3"/>
        <v>5.2336033878681496</v>
      </c>
      <c r="I25" s="51">
        <f t="shared" si="0"/>
        <v>-11.77735299895663</v>
      </c>
      <c r="J25" s="78" t="s">
        <v>39</v>
      </c>
      <c r="K25" s="116" t="s">
        <v>106</v>
      </c>
      <c r="L25" s="117"/>
      <c r="M25" s="80">
        <v>5</v>
      </c>
      <c r="N25" s="80">
        <v>97</v>
      </c>
      <c r="O25" s="80">
        <v>59</v>
      </c>
      <c r="P25" s="78" t="s">
        <v>107</v>
      </c>
      <c r="Q25" s="77">
        <v>5.1063888888888886</v>
      </c>
      <c r="R25" s="77">
        <v>31.583333333333332</v>
      </c>
      <c r="S25" s="52">
        <f t="shared" si="1"/>
        <v>186.0169564168186</v>
      </c>
      <c r="U25" s="55"/>
      <c r="V25" s="55"/>
      <c r="W25" s="104"/>
      <c r="X25" s="105"/>
      <c r="Y25" s="106"/>
      <c r="Z25" s="106"/>
      <c r="AA25" s="104"/>
      <c r="AB25" s="104"/>
      <c r="AC25" s="104"/>
      <c r="AD25" s="104"/>
      <c r="AE25" s="104"/>
      <c r="AF25" s="123"/>
      <c r="AG25" s="55"/>
      <c r="AH25" s="56"/>
      <c r="AI25" s="56"/>
    </row>
    <row r="26" spans="2:35" s="53" customFormat="1" ht="17" customHeight="1">
      <c r="E26" s="49" t="str">
        <f t="shared" si="2"/>
        <v/>
      </c>
      <c r="F26" s="78" t="s">
        <v>108</v>
      </c>
      <c r="G26" s="50" t="s">
        <v>35</v>
      </c>
      <c r="H26" s="51">
        <f t="shared" si="3"/>
        <v>7.6142681302101431</v>
      </c>
      <c r="I26" s="51">
        <f t="shared" si="0"/>
        <v>-12.520943953580288</v>
      </c>
      <c r="J26" s="78" t="s">
        <v>39</v>
      </c>
      <c r="K26" s="116" t="s">
        <v>96</v>
      </c>
      <c r="L26" s="117"/>
      <c r="M26" s="78" t="s">
        <v>98</v>
      </c>
      <c r="N26" s="78" t="s">
        <v>99</v>
      </c>
      <c r="O26" s="80">
        <v>59</v>
      </c>
      <c r="P26" s="78" t="s">
        <v>100</v>
      </c>
      <c r="Q26" s="77">
        <v>4.931111111111111</v>
      </c>
      <c r="R26" s="77">
        <v>30.633333333333333</v>
      </c>
      <c r="S26" s="52">
        <f t="shared" si="1"/>
        <v>188.64612308348526</v>
      </c>
      <c r="U26" s="55"/>
      <c r="V26" s="55"/>
      <c r="W26" s="104"/>
      <c r="X26" s="105"/>
      <c r="Y26" s="106"/>
      <c r="Z26" s="106"/>
      <c r="AA26" s="104"/>
      <c r="AB26" s="104"/>
      <c r="AC26" s="104"/>
      <c r="AD26" s="104"/>
      <c r="AE26" s="104"/>
      <c r="AF26" s="123"/>
      <c r="AG26" s="55"/>
      <c r="AH26" s="56"/>
      <c r="AI26" s="56"/>
    </row>
    <row r="27" spans="2:35" s="53" customFormat="1" ht="17" customHeight="1">
      <c r="B27" s="235" t="s">
        <v>457</v>
      </c>
      <c r="C27" s="235"/>
      <c r="D27" s="235"/>
      <c r="E27" s="49" t="str">
        <f t="shared" si="2"/>
        <v/>
      </c>
      <c r="F27" s="78" t="s">
        <v>109</v>
      </c>
      <c r="G27" s="50" t="s">
        <v>35</v>
      </c>
      <c r="H27" s="51">
        <f t="shared" si="3"/>
        <v>7.7841723543444337</v>
      </c>
      <c r="I27" s="51">
        <f t="shared" si="0"/>
        <v>-12.58687418616573</v>
      </c>
      <c r="J27" s="78" t="s">
        <v>39</v>
      </c>
      <c r="K27" s="116" t="s">
        <v>70</v>
      </c>
      <c r="L27" s="117"/>
      <c r="M27" s="78" t="s">
        <v>98</v>
      </c>
      <c r="N27" s="78" t="s">
        <v>99</v>
      </c>
      <c r="O27" s="80">
        <v>59</v>
      </c>
      <c r="P27" s="78" t="s">
        <v>100</v>
      </c>
      <c r="Q27" s="77">
        <v>4.9188888888888895</v>
      </c>
      <c r="R27" s="77">
        <v>30.55</v>
      </c>
      <c r="S27" s="52">
        <f t="shared" si="1"/>
        <v>188.82945641681857</v>
      </c>
      <c r="U27" s="55"/>
      <c r="V27" s="55"/>
      <c r="W27" s="104"/>
      <c r="X27" s="105"/>
      <c r="Y27" s="106"/>
      <c r="Z27" s="106"/>
      <c r="AA27" s="104"/>
      <c r="AB27" s="104"/>
      <c r="AC27" s="104"/>
      <c r="AD27" s="104"/>
      <c r="AE27" s="104"/>
      <c r="AF27" s="123"/>
      <c r="AG27" s="55"/>
      <c r="AH27" s="56"/>
      <c r="AI27" s="56"/>
    </row>
    <row r="28" spans="2:35" s="53" customFormat="1" ht="17" customHeight="1">
      <c r="B28" s="138" t="s">
        <v>36</v>
      </c>
      <c r="C28" s="139" t="s">
        <v>458</v>
      </c>
      <c r="D28" s="140" t="s">
        <v>459</v>
      </c>
      <c r="E28" s="49" t="str">
        <f t="shared" si="2"/>
        <v/>
      </c>
      <c r="F28" s="78" t="s">
        <v>110</v>
      </c>
      <c r="G28" s="50" t="s">
        <v>35</v>
      </c>
      <c r="H28" s="51">
        <f t="shared" si="3"/>
        <v>43.419443792403683</v>
      </c>
      <c r="I28" s="51">
        <f t="shared" si="0"/>
        <v>55.16156580330766</v>
      </c>
      <c r="J28" s="78" t="s">
        <v>40</v>
      </c>
      <c r="K28" s="116" t="s">
        <v>91</v>
      </c>
      <c r="L28" s="117"/>
      <c r="M28" s="80">
        <v>3</v>
      </c>
      <c r="N28" s="78" t="s">
        <v>111</v>
      </c>
      <c r="O28" s="80">
        <v>19</v>
      </c>
      <c r="P28" s="78" t="s">
        <v>112</v>
      </c>
      <c r="Q28" s="77">
        <v>21.241388888888888</v>
      </c>
      <c r="R28" s="77">
        <v>61.733333333333334</v>
      </c>
      <c r="S28" s="52">
        <f t="shared" si="1"/>
        <v>-56.008043583181404</v>
      </c>
      <c r="U28" s="55"/>
      <c r="V28" s="55"/>
      <c r="W28" s="104"/>
      <c r="X28" s="105"/>
      <c r="Y28" s="106"/>
      <c r="Z28" s="106"/>
      <c r="AA28" s="104"/>
      <c r="AB28" s="104"/>
      <c r="AC28" s="104"/>
      <c r="AD28" s="104"/>
      <c r="AE28" s="104"/>
      <c r="AF28" s="123"/>
      <c r="AG28" s="55"/>
      <c r="AH28" s="56"/>
      <c r="AI28" s="56"/>
    </row>
    <row r="29" spans="2:35" s="53" customFormat="1" ht="17" customHeight="1">
      <c r="B29" s="141" t="s">
        <v>29</v>
      </c>
      <c r="C29" s="198">
        <v>46.45</v>
      </c>
      <c r="D29" s="198">
        <v>7.42</v>
      </c>
      <c r="E29" s="49" t="str">
        <f t="shared" si="2"/>
        <v/>
      </c>
      <c r="F29" s="78" t="s">
        <v>113</v>
      </c>
      <c r="G29" s="50" t="s">
        <v>35</v>
      </c>
      <c r="H29" s="51">
        <f t="shared" si="3"/>
        <v>45.913839767016647</v>
      </c>
      <c r="I29" s="51">
        <f t="shared" si="0"/>
        <v>58.076954749346015</v>
      </c>
      <c r="J29" s="78" t="s">
        <v>40</v>
      </c>
      <c r="K29" s="116" t="s">
        <v>114</v>
      </c>
      <c r="L29" s="117"/>
      <c r="M29" s="80">
        <v>3</v>
      </c>
      <c r="N29" s="78" t="s">
        <v>115</v>
      </c>
      <c r="O29" s="80">
        <v>20</v>
      </c>
      <c r="P29" s="78" t="s">
        <v>116</v>
      </c>
      <c r="Q29" s="77">
        <v>20.844166666666666</v>
      </c>
      <c r="R29" s="77">
        <v>60.3</v>
      </c>
      <c r="S29" s="52">
        <f t="shared" si="1"/>
        <v>-50.04971024984809</v>
      </c>
      <c r="U29" s="55"/>
      <c r="V29" s="55"/>
      <c r="W29" s="104"/>
      <c r="X29" s="105"/>
      <c r="Y29" s="106"/>
      <c r="Z29" s="106"/>
      <c r="AA29" s="104"/>
      <c r="AB29" s="104"/>
      <c r="AC29" s="104"/>
      <c r="AD29" s="104"/>
      <c r="AE29" s="104"/>
      <c r="AF29" s="123"/>
      <c r="AG29" s="55"/>
      <c r="AH29" s="56"/>
      <c r="AI29" s="56"/>
    </row>
    <row r="30" spans="2:35" s="53" customFormat="1" ht="17" customHeight="1">
      <c r="B30" s="141"/>
      <c r="C30" s="198"/>
      <c r="D30" s="198"/>
      <c r="E30" s="49" t="str">
        <f t="shared" si="2"/>
        <v/>
      </c>
      <c r="F30" s="78" t="s">
        <v>117</v>
      </c>
      <c r="G30" s="50" t="s">
        <v>35</v>
      </c>
      <c r="H30" s="51">
        <f t="shared" si="3"/>
        <v>46.329441747499963</v>
      </c>
      <c r="I30" s="51">
        <f t="shared" si="0"/>
        <v>48.362087019148561</v>
      </c>
      <c r="J30" s="78" t="s">
        <v>40</v>
      </c>
      <c r="K30" s="116" t="s">
        <v>118</v>
      </c>
      <c r="L30" s="117"/>
      <c r="M30" s="80">
        <v>3</v>
      </c>
      <c r="N30" s="80">
        <v>57</v>
      </c>
      <c r="O30" s="80">
        <v>19</v>
      </c>
      <c r="P30" s="78" t="s">
        <v>119</v>
      </c>
      <c r="Q30" s="77">
        <v>22.121944444444445</v>
      </c>
      <c r="R30" s="77">
        <v>59.06666666666667</v>
      </c>
      <c r="S30" s="52">
        <f t="shared" si="1"/>
        <v>-69.216376916514776</v>
      </c>
      <c r="U30" s="55"/>
      <c r="V30" s="55"/>
      <c r="W30" s="104"/>
      <c r="X30" s="105"/>
      <c r="Y30" s="106"/>
      <c r="Z30" s="106"/>
      <c r="AA30" s="104"/>
      <c r="AB30" s="104"/>
      <c r="AC30" s="104"/>
      <c r="AD30" s="104"/>
      <c r="AE30" s="104"/>
      <c r="AF30" s="123"/>
      <c r="AG30" s="55"/>
      <c r="AH30" s="56"/>
      <c r="AI30" s="56"/>
    </row>
    <row r="31" spans="2:35" s="53" customFormat="1" ht="17" customHeight="1">
      <c r="B31" s="141"/>
      <c r="C31" s="198"/>
      <c r="D31" s="198"/>
      <c r="E31" s="49" t="str">
        <f t="shared" si="2"/>
        <v/>
      </c>
      <c r="F31" s="78" t="s">
        <v>120</v>
      </c>
      <c r="G31" s="50" t="s">
        <v>35</v>
      </c>
      <c r="H31" s="51">
        <f t="shared" si="3"/>
        <v>45.444754590186804</v>
      </c>
      <c r="I31" s="51">
        <f t="shared" si="0"/>
        <v>48.487407579758468</v>
      </c>
      <c r="J31" s="78" t="s">
        <v>40</v>
      </c>
      <c r="K31" s="116" t="s">
        <v>96</v>
      </c>
      <c r="L31" s="117"/>
      <c r="M31" s="80">
        <v>3</v>
      </c>
      <c r="N31" s="80">
        <v>57</v>
      </c>
      <c r="O31" s="80">
        <v>19</v>
      </c>
      <c r="P31" s="78" t="s">
        <v>119</v>
      </c>
      <c r="Q31" s="77">
        <v>22.124444444444446</v>
      </c>
      <c r="R31" s="77">
        <v>59.666666666666664</v>
      </c>
      <c r="S31" s="52">
        <f t="shared" si="1"/>
        <v>-69.253876916514741</v>
      </c>
      <c r="U31" s="55"/>
      <c r="V31" s="55"/>
      <c r="W31" s="104"/>
      <c r="X31" s="105"/>
      <c r="Y31" s="106"/>
      <c r="Z31" s="106"/>
      <c r="AA31" s="104"/>
      <c r="AB31" s="104"/>
      <c r="AC31" s="104"/>
      <c r="AD31" s="104"/>
      <c r="AE31" s="104"/>
      <c r="AF31" s="123"/>
      <c r="AG31" s="55"/>
      <c r="AH31" s="56"/>
      <c r="AI31" s="56"/>
    </row>
    <row r="32" spans="2:35" s="53" customFormat="1" ht="17" customHeight="1">
      <c r="B32" s="141"/>
      <c r="C32" s="198"/>
      <c r="D32" s="198"/>
      <c r="E32" s="49" t="str">
        <f t="shared" si="2"/>
        <v/>
      </c>
      <c r="F32" s="78" t="s">
        <v>121</v>
      </c>
      <c r="G32" s="50" t="s">
        <v>35</v>
      </c>
      <c r="H32" s="51">
        <f t="shared" si="3"/>
        <v>46.92420008625286</v>
      </c>
      <c r="I32" s="51">
        <f t="shared" si="0"/>
        <v>49.497383394486313</v>
      </c>
      <c r="J32" s="78" t="s">
        <v>40</v>
      </c>
      <c r="K32" s="116" t="s">
        <v>122</v>
      </c>
      <c r="L32" s="117"/>
      <c r="M32" s="80">
        <v>3</v>
      </c>
      <c r="N32" s="80">
        <v>57</v>
      </c>
      <c r="O32" s="80">
        <v>19</v>
      </c>
      <c r="P32" s="78" t="s">
        <v>119</v>
      </c>
      <c r="Q32" s="77">
        <v>21.967222222222219</v>
      </c>
      <c r="R32" s="77">
        <v>58.95</v>
      </c>
      <c r="S32" s="52">
        <f t="shared" si="1"/>
        <v>-66.895543583181336</v>
      </c>
      <c r="U32" s="55"/>
      <c r="V32" s="55"/>
      <c r="W32" s="104"/>
      <c r="X32" s="105"/>
      <c r="Y32" s="106"/>
      <c r="Z32" s="106"/>
      <c r="AA32" s="104"/>
      <c r="AB32" s="104"/>
      <c r="AC32" s="104"/>
      <c r="AD32" s="104"/>
      <c r="AE32" s="104"/>
      <c r="AF32" s="123"/>
      <c r="AG32" s="55"/>
      <c r="AH32" s="56"/>
      <c r="AI32" s="56"/>
    </row>
    <row r="33" spans="2:35" s="53" customFormat="1" ht="17" customHeight="1">
      <c r="B33" s="141"/>
      <c r="C33" s="198"/>
      <c r="D33" s="198"/>
      <c r="E33" s="49" t="str">
        <f t="shared" si="2"/>
        <v/>
      </c>
      <c r="F33" s="78" t="s">
        <v>123</v>
      </c>
      <c r="G33" s="50" t="s">
        <v>35</v>
      </c>
      <c r="H33" s="51">
        <f t="shared" si="3"/>
        <v>47.187176999662277</v>
      </c>
      <c r="I33" s="51">
        <f t="shared" si="0"/>
        <v>49.347876739207997</v>
      </c>
      <c r="J33" s="78" t="s">
        <v>40</v>
      </c>
      <c r="K33" s="116" t="s">
        <v>114</v>
      </c>
      <c r="L33" s="117"/>
      <c r="M33" s="80">
        <v>3</v>
      </c>
      <c r="N33" s="80">
        <v>57</v>
      </c>
      <c r="O33" s="80">
        <v>19</v>
      </c>
      <c r="P33" s="78" t="s">
        <v>119</v>
      </c>
      <c r="Q33" s="77">
        <v>21.981111111111108</v>
      </c>
      <c r="R33" s="77">
        <v>58.75</v>
      </c>
      <c r="S33" s="52">
        <f t="shared" si="1"/>
        <v>-67.103876916514707</v>
      </c>
      <c r="U33" s="55"/>
      <c r="V33" s="55"/>
      <c r="W33" s="104"/>
      <c r="X33" s="105"/>
      <c r="Y33" s="106"/>
      <c r="Z33" s="106"/>
      <c r="AA33" s="104"/>
      <c r="AB33" s="104"/>
      <c r="AC33" s="104"/>
      <c r="AD33" s="104"/>
      <c r="AE33" s="104"/>
      <c r="AF33" s="123"/>
      <c r="AG33" s="55"/>
      <c r="AH33" s="56"/>
      <c r="AI33" s="56"/>
    </row>
    <row r="34" spans="2:35" s="53" customFormat="1" ht="17" customHeight="1">
      <c r="E34" s="49" t="str">
        <f t="shared" si="2"/>
        <v/>
      </c>
      <c r="F34" s="78" t="s">
        <v>124</v>
      </c>
      <c r="G34" s="50" t="s">
        <v>35</v>
      </c>
      <c r="H34" s="51">
        <f t="shared" si="3"/>
        <v>51.078766802148351</v>
      </c>
      <c r="I34" s="51">
        <f t="shared" si="0"/>
        <v>51.070530713812119</v>
      </c>
      <c r="J34" s="78" t="s">
        <v>40</v>
      </c>
      <c r="K34" s="116" t="s">
        <v>125</v>
      </c>
      <c r="L34" s="117"/>
      <c r="M34" s="78" t="s">
        <v>126</v>
      </c>
      <c r="N34" s="80">
        <v>57</v>
      </c>
      <c r="O34" s="80">
        <v>19</v>
      </c>
      <c r="P34" s="78" t="s">
        <v>127</v>
      </c>
      <c r="Q34" s="77">
        <v>21.702777777777776</v>
      </c>
      <c r="R34" s="77">
        <v>56.7</v>
      </c>
      <c r="S34" s="52">
        <f t="shared" si="1"/>
        <v>-62.928876916514696</v>
      </c>
      <c r="U34" s="55"/>
      <c r="V34" s="55"/>
      <c r="W34" s="104"/>
      <c r="X34" s="105"/>
      <c r="Y34" s="106"/>
      <c r="Z34" s="106"/>
      <c r="AA34" s="104"/>
      <c r="AB34" s="104"/>
      <c r="AC34" s="104"/>
      <c r="AD34" s="104"/>
      <c r="AE34" s="104"/>
      <c r="AF34" s="123"/>
      <c r="AG34" s="55"/>
      <c r="AH34" s="56"/>
      <c r="AI34" s="56"/>
    </row>
    <row r="35" spans="2:35" s="53" customFormat="1" ht="17" customHeight="1">
      <c r="E35" s="49" t="str">
        <f t="shared" si="2"/>
        <v/>
      </c>
      <c r="F35" s="78" t="s">
        <v>128</v>
      </c>
      <c r="G35" s="50" t="s">
        <v>35</v>
      </c>
      <c r="H35" s="51">
        <f t="shared" si="3"/>
        <v>51.723230314476183</v>
      </c>
      <c r="I35" s="51">
        <f t="shared" si="0"/>
        <v>51.123573264126158</v>
      </c>
      <c r="J35" s="78" t="s">
        <v>40</v>
      </c>
      <c r="K35" s="116" t="s">
        <v>129</v>
      </c>
      <c r="L35" s="117"/>
      <c r="M35" s="78" t="s">
        <v>126</v>
      </c>
      <c r="N35" s="80">
        <v>57</v>
      </c>
      <c r="O35" s="80">
        <v>19</v>
      </c>
      <c r="P35" s="78" t="s">
        <v>127</v>
      </c>
      <c r="Q35" s="77">
        <v>21.685833333333335</v>
      </c>
      <c r="R35" s="77">
        <v>56.31666666666667</v>
      </c>
      <c r="S35" s="52">
        <f t="shared" si="1"/>
        <v>-62.67471024984809</v>
      </c>
      <c r="U35" s="55"/>
      <c r="V35" s="55"/>
      <c r="W35" s="104"/>
      <c r="X35" s="105"/>
      <c r="Y35" s="106"/>
      <c r="Z35" s="106"/>
      <c r="AA35" s="104"/>
      <c r="AB35" s="104"/>
      <c r="AC35" s="104"/>
      <c r="AD35" s="104"/>
      <c r="AE35" s="104"/>
      <c r="AF35" s="123"/>
      <c r="AG35" s="55"/>
      <c r="AH35" s="56"/>
      <c r="AI35" s="56"/>
    </row>
    <row r="36" spans="2:35" s="53" customFormat="1" ht="17" customHeight="1">
      <c r="B36" s="214" t="str">
        <f>CONCATENATE("Moon's illuminated fraction: ",TEXT('Illumination (VO)'!M8*100,"0.00"),"%")</f>
        <v>Moon's illuminated fraction: 97.75%</v>
      </c>
      <c r="C36" s="215"/>
      <c r="D36" s="216"/>
      <c r="E36" s="49" t="str">
        <f t="shared" si="2"/>
        <v/>
      </c>
      <c r="F36" s="78" t="s">
        <v>130</v>
      </c>
      <c r="G36" s="50" t="s">
        <v>35</v>
      </c>
      <c r="H36" s="51">
        <f t="shared" si="3"/>
        <v>161.426247888386</v>
      </c>
      <c r="I36" s="51">
        <f t="shared" si="0"/>
        <v>4.1089933097511295</v>
      </c>
      <c r="J36" s="78" t="s">
        <v>131</v>
      </c>
      <c r="K36" s="116" t="s">
        <v>132</v>
      </c>
      <c r="L36" s="117"/>
      <c r="M36" s="80">
        <v>22</v>
      </c>
      <c r="N36" s="78" t="s">
        <v>133</v>
      </c>
      <c r="O36" s="80">
        <v>163</v>
      </c>
      <c r="P36" s="78" t="s">
        <v>134</v>
      </c>
      <c r="Q36" s="77">
        <v>19.066666666666666</v>
      </c>
      <c r="R36" s="77">
        <v>-36.833333333333336</v>
      </c>
      <c r="S36" s="52">
        <f t="shared" si="1"/>
        <v>-23.387210249848067</v>
      </c>
      <c r="U36" s="55"/>
      <c r="V36" s="55"/>
      <c r="W36" s="104"/>
      <c r="X36" s="105"/>
      <c r="Y36" s="106"/>
      <c r="Z36" s="106"/>
      <c r="AA36" s="104"/>
      <c r="AB36" s="104"/>
      <c r="AC36" s="104"/>
      <c r="AD36" s="104"/>
      <c r="AE36" s="104"/>
      <c r="AF36" s="123"/>
      <c r="AG36" s="55"/>
      <c r="AH36" s="56"/>
      <c r="AI36" s="56"/>
    </row>
    <row r="37" spans="2:35" s="53" customFormat="1" ht="17" customHeight="1">
      <c r="E37" s="49" t="str">
        <f t="shared" si="2"/>
        <v>*</v>
      </c>
      <c r="F37" s="78" t="s">
        <v>135</v>
      </c>
      <c r="G37" s="50" t="s">
        <v>35</v>
      </c>
      <c r="H37" s="51">
        <f t="shared" si="3"/>
        <v>85.308513063241222</v>
      </c>
      <c r="I37" s="51">
        <f t="shared" si="0"/>
        <v>58.086715432132678</v>
      </c>
      <c r="J37" s="78" t="s">
        <v>41</v>
      </c>
      <c r="K37" s="116" t="s">
        <v>136</v>
      </c>
      <c r="L37" s="117"/>
      <c r="M37" s="78" t="s">
        <v>137</v>
      </c>
      <c r="N37" s="80">
        <v>85</v>
      </c>
      <c r="O37" s="78" t="s">
        <v>138</v>
      </c>
      <c r="P37" s="78" t="s">
        <v>139</v>
      </c>
      <c r="Q37" s="77">
        <v>20.41333333333333</v>
      </c>
      <c r="R37" s="77">
        <v>40.166666666666664</v>
      </c>
      <c r="S37" s="52">
        <f t="shared" si="1"/>
        <v>-43.587210249847999</v>
      </c>
      <c r="U37" s="55"/>
      <c r="V37" s="55"/>
      <c r="W37" s="104"/>
      <c r="X37" s="105"/>
      <c r="Y37" s="106"/>
      <c r="Z37" s="106"/>
      <c r="AA37" s="104"/>
      <c r="AB37" s="104"/>
      <c r="AC37" s="104"/>
      <c r="AD37" s="104"/>
      <c r="AE37" s="104"/>
      <c r="AF37" s="123"/>
      <c r="AG37" s="55"/>
      <c r="AH37" s="56"/>
      <c r="AI37" s="56"/>
    </row>
    <row r="38" spans="2:35" s="53" customFormat="1" ht="17" customHeight="1">
      <c r="E38" s="49" t="str">
        <f t="shared" si="2"/>
        <v>*</v>
      </c>
      <c r="F38" s="78" t="s">
        <v>140</v>
      </c>
      <c r="G38" s="50" t="s">
        <v>35</v>
      </c>
      <c r="H38" s="51">
        <f t="shared" si="3"/>
        <v>62.307405341194347</v>
      </c>
      <c r="I38" s="51">
        <f t="shared" si="0"/>
        <v>52.00732080386237</v>
      </c>
      <c r="J38" s="78" t="s">
        <v>41</v>
      </c>
      <c r="K38" s="116" t="s">
        <v>141</v>
      </c>
      <c r="L38" s="117"/>
      <c r="M38" s="78" t="s">
        <v>142</v>
      </c>
      <c r="N38" s="78" t="s">
        <v>143</v>
      </c>
      <c r="O38" s="80">
        <v>32</v>
      </c>
      <c r="P38" s="78" t="s">
        <v>144</v>
      </c>
      <c r="Q38" s="77">
        <v>21.399166666666666</v>
      </c>
      <c r="R38" s="77">
        <v>50.2</v>
      </c>
      <c r="S38" s="52">
        <f t="shared" si="1"/>
        <v>-58.374710249848022</v>
      </c>
      <c r="U38" s="55"/>
      <c r="V38" s="55"/>
      <c r="W38" s="104"/>
      <c r="X38" s="105"/>
      <c r="Y38" s="106"/>
      <c r="Z38" s="106"/>
      <c r="AA38" s="104"/>
      <c r="AB38" s="104"/>
      <c r="AC38" s="104"/>
      <c r="AD38" s="104"/>
      <c r="AE38" s="104"/>
      <c r="AF38" s="123"/>
      <c r="AG38" s="55"/>
      <c r="AH38" s="56"/>
      <c r="AI38" s="56"/>
    </row>
    <row r="39" spans="2:35" s="53" customFormat="1" ht="17" customHeight="1">
      <c r="E39" s="49" t="str">
        <f t="shared" si="2"/>
        <v>*</v>
      </c>
      <c r="F39" s="78" t="s">
        <v>145</v>
      </c>
      <c r="G39" s="50" t="s">
        <v>35</v>
      </c>
      <c r="H39" s="51">
        <f t="shared" si="3"/>
        <v>86.972983525247329</v>
      </c>
      <c r="I39" s="51">
        <f t="shared" si="0"/>
        <v>60.083614745141873</v>
      </c>
      <c r="J39" s="78" t="s">
        <v>41</v>
      </c>
      <c r="K39" s="116" t="s">
        <v>146</v>
      </c>
      <c r="L39" s="117"/>
      <c r="M39" s="78" t="s">
        <v>137</v>
      </c>
      <c r="N39" s="80">
        <v>84</v>
      </c>
      <c r="O39" s="78" t="s">
        <v>138</v>
      </c>
      <c r="P39" s="78" t="s">
        <v>139</v>
      </c>
      <c r="Q39" s="77">
        <v>20.223888888888887</v>
      </c>
      <c r="R39" s="77">
        <v>40.266666666666666</v>
      </c>
      <c r="S39" s="52">
        <f t="shared" si="1"/>
        <v>-40.745543583181359</v>
      </c>
      <c r="U39" s="55"/>
      <c r="V39" s="55"/>
      <c r="W39" s="104"/>
      <c r="X39" s="105"/>
      <c r="Y39" s="106"/>
      <c r="Z39" s="106"/>
      <c r="AA39" s="104"/>
      <c r="AB39" s="104"/>
      <c r="AC39" s="104"/>
      <c r="AD39" s="104"/>
      <c r="AE39" s="104"/>
      <c r="AF39" s="123"/>
      <c r="AG39" s="55"/>
      <c r="AH39" s="56"/>
      <c r="AI39" s="56"/>
    </row>
    <row r="40" spans="2:35" s="53" customFormat="1" ht="17" customHeight="1">
      <c r="E40" s="49" t="str">
        <f t="shared" si="2"/>
        <v/>
      </c>
      <c r="F40" s="78" t="s">
        <v>147</v>
      </c>
      <c r="G40" s="50" t="s">
        <v>35</v>
      </c>
      <c r="H40" s="51">
        <f t="shared" si="3"/>
        <v>59.201584736645685</v>
      </c>
      <c r="I40" s="51">
        <f t="shared" si="0"/>
        <v>48.897936646776955</v>
      </c>
      <c r="J40" s="78" t="s">
        <v>41</v>
      </c>
      <c r="K40" s="116" t="s">
        <v>148</v>
      </c>
      <c r="L40" s="117"/>
      <c r="M40" s="80">
        <v>9</v>
      </c>
      <c r="N40" s="80">
        <v>57</v>
      </c>
      <c r="O40" s="78" t="s">
        <v>149</v>
      </c>
      <c r="P40" s="78" t="s">
        <v>127</v>
      </c>
      <c r="Q40" s="77">
        <v>21.775277777777777</v>
      </c>
      <c r="R40" s="77">
        <v>51.083333333333336</v>
      </c>
      <c r="S40" s="52">
        <f t="shared" si="1"/>
        <v>-64.01637691651473</v>
      </c>
      <c r="U40" s="55"/>
      <c r="V40" s="55"/>
      <c r="W40" s="104"/>
      <c r="X40" s="105"/>
      <c r="Y40" s="106"/>
      <c r="Z40" s="106"/>
      <c r="AA40" s="104"/>
      <c r="AB40" s="104"/>
      <c r="AC40" s="104"/>
      <c r="AD40" s="104"/>
      <c r="AE40" s="104"/>
      <c r="AF40" s="123"/>
      <c r="AG40" s="55"/>
      <c r="AH40" s="56"/>
      <c r="AI40" s="56"/>
    </row>
    <row r="41" spans="2:35" s="53" customFormat="1" ht="17" customHeight="1">
      <c r="E41" s="49" t="str">
        <f t="shared" si="2"/>
        <v/>
      </c>
      <c r="F41" s="78" t="s">
        <v>150</v>
      </c>
      <c r="G41" s="50" t="s">
        <v>35</v>
      </c>
      <c r="H41" s="51">
        <f t="shared" si="3"/>
        <v>202.08501355308888</v>
      </c>
      <c r="I41" s="51">
        <f t="shared" ref="I41:I72" si="4">ASIN(SIN($S$105*R41)*SIN($S$105*$C$13)+COS($S$105*R41)*COS($S$105*$C$13)*COS($S$105*S41))/$S$105</f>
        <v>6.5250616018181065</v>
      </c>
      <c r="J41" s="78" t="s">
        <v>151</v>
      </c>
      <c r="K41" s="116" t="s">
        <v>152</v>
      </c>
      <c r="L41" s="117"/>
      <c r="M41" s="78" t="s">
        <v>153</v>
      </c>
      <c r="N41" s="78" t="s">
        <v>154</v>
      </c>
      <c r="O41" s="80">
        <v>165</v>
      </c>
      <c r="P41" s="78" t="s">
        <v>155</v>
      </c>
      <c r="Q41" s="77">
        <v>15.733333333333333</v>
      </c>
      <c r="R41" s="77">
        <v>-33.5</v>
      </c>
      <c r="S41" s="52">
        <f t="shared" si="1"/>
        <v>26.612789750151933</v>
      </c>
      <c r="U41" s="55"/>
      <c r="V41" s="55"/>
      <c r="W41" s="104"/>
      <c r="X41" s="105"/>
      <c r="Y41" s="106"/>
      <c r="Z41" s="106"/>
      <c r="AA41" s="104"/>
      <c r="AB41" s="104"/>
      <c r="AC41" s="104"/>
      <c r="AD41" s="104"/>
      <c r="AE41" s="104"/>
      <c r="AF41" s="123"/>
      <c r="AG41" s="55"/>
      <c r="AH41" s="56"/>
      <c r="AI41" s="56"/>
    </row>
    <row r="42" spans="2:35" s="53" customFormat="1" ht="17" customHeight="1">
      <c r="E42" s="49" t="str">
        <f t="shared" si="2"/>
        <v/>
      </c>
      <c r="F42" s="78" t="s">
        <v>156</v>
      </c>
      <c r="G42" s="50" t="s">
        <v>35</v>
      </c>
      <c r="H42" s="51">
        <f t="shared" si="3"/>
        <v>196.76690344234905</v>
      </c>
      <c r="I42" s="51">
        <f t="shared" si="4"/>
        <v>1.1848053607955042</v>
      </c>
      <c r="J42" s="78" t="s">
        <v>151</v>
      </c>
      <c r="K42" s="116" t="s">
        <v>157</v>
      </c>
      <c r="L42" s="117"/>
      <c r="M42" s="78" t="s">
        <v>158</v>
      </c>
      <c r="N42" s="80">
        <v>406</v>
      </c>
      <c r="O42" s="80">
        <v>182</v>
      </c>
      <c r="P42" s="78" t="s">
        <v>159</v>
      </c>
      <c r="Q42" s="77">
        <v>16.029999999999998</v>
      </c>
      <c r="R42" s="77">
        <v>-40.133333333333333</v>
      </c>
      <c r="S42" s="52">
        <f t="shared" si="1"/>
        <v>22.162789750151944</v>
      </c>
      <c r="U42" s="55"/>
      <c r="V42" s="66"/>
      <c r="W42" s="107"/>
      <c r="X42" s="108"/>
      <c r="Y42" s="109"/>
      <c r="Z42" s="109"/>
      <c r="AA42" s="107"/>
      <c r="AB42" s="107"/>
      <c r="AC42" s="107"/>
      <c r="AD42" s="107"/>
      <c r="AE42" s="107"/>
      <c r="AF42" s="124"/>
      <c r="AG42" s="55"/>
      <c r="AH42" s="56"/>
      <c r="AI42" s="56"/>
    </row>
    <row r="43" spans="2:35" ht="17" customHeight="1">
      <c r="E43" s="49" t="str">
        <f t="shared" si="2"/>
        <v/>
      </c>
      <c r="F43" s="78" t="s">
        <v>160</v>
      </c>
      <c r="G43" s="50" t="s">
        <v>35</v>
      </c>
      <c r="H43" s="51">
        <f t="shared" si="3"/>
        <v>198.72898003213459</v>
      </c>
      <c r="I43" s="51">
        <f t="shared" si="4"/>
        <v>4.7234391488256326</v>
      </c>
      <c r="J43" s="78" t="s">
        <v>151</v>
      </c>
      <c r="K43" s="116" t="s">
        <v>161</v>
      </c>
      <c r="L43" s="117"/>
      <c r="M43" s="78" t="s">
        <v>153</v>
      </c>
      <c r="N43" s="80">
        <v>374</v>
      </c>
      <c r="O43" s="80">
        <v>165</v>
      </c>
      <c r="P43" s="78" t="s">
        <v>155</v>
      </c>
      <c r="Q43" s="77">
        <v>15.95</v>
      </c>
      <c r="R43" s="77">
        <v>-36.200000000000003</v>
      </c>
      <c r="S43" s="52">
        <f t="shared" ref="S43:S103" si="5">$C$16-((Q43/24)*360)</f>
        <v>23.362789750151933</v>
      </c>
    </row>
    <row r="44" spans="2:35" ht="17" customHeight="1">
      <c r="E44" s="49" t="str">
        <f t="shared" si="2"/>
        <v/>
      </c>
      <c r="F44" s="78" t="s">
        <v>162</v>
      </c>
      <c r="G44" s="50" t="s">
        <v>35</v>
      </c>
      <c r="H44" s="51">
        <f t="shared" si="3"/>
        <v>184.45750586485201</v>
      </c>
      <c r="I44" s="51">
        <f t="shared" si="4"/>
        <v>16.905586049843588</v>
      </c>
      <c r="J44" s="78" t="s">
        <v>43</v>
      </c>
      <c r="K44" s="116" t="s">
        <v>163</v>
      </c>
      <c r="L44" s="117"/>
      <c r="M44" s="78" t="s">
        <v>164</v>
      </c>
      <c r="N44" s="78" t="s">
        <v>165</v>
      </c>
      <c r="O44" s="80">
        <v>146</v>
      </c>
      <c r="P44" s="78" t="s">
        <v>166</v>
      </c>
      <c r="Q44" s="77">
        <v>17.189722222222223</v>
      </c>
      <c r="R44" s="77">
        <v>-26.516666666666666</v>
      </c>
      <c r="S44" s="52">
        <f t="shared" si="5"/>
        <v>4.7669564168186298</v>
      </c>
    </row>
    <row r="45" spans="2:35" ht="17" customHeight="1">
      <c r="E45" s="49" t="str">
        <f t="shared" si="2"/>
        <v/>
      </c>
      <c r="F45" s="78" t="s">
        <v>167</v>
      </c>
      <c r="G45" s="50" t="s">
        <v>35</v>
      </c>
      <c r="H45" s="51">
        <f t="shared" si="3"/>
        <v>182.50495984531668</v>
      </c>
      <c r="I45" s="51">
        <f t="shared" si="4"/>
        <v>18.393794476269424</v>
      </c>
      <c r="J45" s="78" t="s">
        <v>43</v>
      </c>
      <c r="K45" s="116" t="s">
        <v>168</v>
      </c>
      <c r="L45" s="119"/>
      <c r="M45" s="80">
        <v>22</v>
      </c>
      <c r="N45" s="78" t="s">
        <v>169</v>
      </c>
      <c r="O45" s="80">
        <v>146</v>
      </c>
      <c r="P45" s="78" t="s">
        <v>170</v>
      </c>
      <c r="Q45" s="77">
        <v>17.3325</v>
      </c>
      <c r="R45" s="77">
        <v>-25.116666666666667</v>
      </c>
      <c r="S45" s="52">
        <f t="shared" si="5"/>
        <v>2.6252897501519215</v>
      </c>
    </row>
    <row r="46" spans="2:35" ht="17" customHeight="1">
      <c r="E46" s="49" t="str">
        <f t="shared" si="2"/>
        <v/>
      </c>
      <c r="F46" s="78" t="s">
        <v>171</v>
      </c>
      <c r="G46" s="50" t="s">
        <v>35</v>
      </c>
      <c r="H46" s="51">
        <f t="shared" si="3"/>
        <v>191.26507432054683</v>
      </c>
      <c r="I46" s="51">
        <f t="shared" si="4"/>
        <v>22.381075653910973</v>
      </c>
      <c r="J46" s="78" t="s">
        <v>43</v>
      </c>
      <c r="K46" s="116" t="s">
        <v>172</v>
      </c>
      <c r="L46" s="117"/>
      <c r="M46" s="80">
        <v>22</v>
      </c>
      <c r="N46" s="78" t="s">
        <v>173</v>
      </c>
      <c r="O46" s="80">
        <v>146</v>
      </c>
      <c r="P46" s="78" t="s">
        <v>174</v>
      </c>
      <c r="Q46" s="77">
        <v>16.766666666666666</v>
      </c>
      <c r="R46" s="77">
        <v>-20.416666666666668</v>
      </c>
      <c r="S46" s="52">
        <f t="shared" si="5"/>
        <v>11.112789750151933</v>
      </c>
    </row>
    <row r="47" spans="2:35" ht="17" customHeight="1">
      <c r="E47" s="49" t="str">
        <f t="shared" si="2"/>
        <v/>
      </c>
      <c r="F47" s="78" t="s">
        <v>175</v>
      </c>
      <c r="G47" s="50" t="s">
        <v>35</v>
      </c>
      <c r="H47" s="51">
        <f t="shared" si="3"/>
        <v>179.85836469791894</v>
      </c>
      <c r="I47" s="51">
        <f t="shared" si="4"/>
        <v>24.049883153250981</v>
      </c>
      <c r="J47" s="78" t="s">
        <v>43</v>
      </c>
      <c r="K47" s="116" t="s">
        <v>114</v>
      </c>
      <c r="L47" s="117"/>
      <c r="M47" s="80">
        <v>22</v>
      </c>
      <c r="N47" s="80">
        <v>338</v>
      </c>
      <c r="O47" s="80">
        <v>146</v>
      </c>
      <c r="P47" s="78" t="s">
        <v>176</v>
      </c>
      <c r="Q47" s="77">
        <v>17.516666666666666</v>
      </c>
      <c r="R47" s="77">
        <v>-19.5</v>
      </c>
      <c r="S47" s="52">
        <f t="shared" si="5"/>
        <v>-0.13721024984806718</v>
      </c>
    </row>
    <row r="48" spans="2:35" ht="17" customHeight="1">
      <c r="E48" s="49" t="str">
        <f t="shared" si="2"/>
        <v/>
      </c>
      <c r="F48" s="78" t="s">
        <v>177</v>
      </c>
      <c r="G48" s="50" t="s">
        <v>35</v>
      </c>
      <c r="H48" s="51">
        <f t="shared" si="3"/>
        <v>176.18820162181348</v>
      </c>
      <c r="I48" s="51">
        <f t="shared" si="4"/>
        <v>23.631593246648542</v>
      </c>
      <c r="J48" s="78" t="s">
        <v>43</v>
      </c>
      <c r="K48" s="116" t="s">
        <v>96</v>
      </c>
      <c r="L48" s="117"/>
      <c r="M48" s="78" t="s">
        <v>178</v>
      </c>
      <c r="N48" s="80">
        <v>338</v>
      </c>
      <c r="O48" s="80">
        <v>146</v>
      </c>
      <c r="P48" s="78" t="s">
        <v>179</v>
      </c>
      <c r="Q48" s="77">
        <v>17.754999999999999</v>
      </c>
      <c r="R48" s="77">
        <v>-19.833333333333332</v>
      </c>
      <c r="S48" s="52">
        <f t="shared" si="5"/>
        <v>-3.7122102498480558</v>
      </c>
    </row>
    <row r="49" spans="2:19" ht="17" customHeight="1">
      <c r="E49" s="49" t="str">
        <f t="shared" si="2"/>
        <v/>
      </c>
      <c r="F49" s="78" t="s">
        <v>180</v>
      </c>
      <c r="G49" s="50" t="s">
        <v>35</v>
      </c>
      <c r="H49" s="51">
        <f t="shared" si="3"/>
        <v>183.69445172465768</v>
      </c>
      <c r="I49" s="51">
        <f t="shared" si="4"/>
        <v>24.337530758469857</v>
      </c>
      <c r="J49" s="78" t="s">
        <v>43</v>
      </c>
      <c r="K49" s="116" t="s">
        <v>181</v>
      </c>
      <c r="L49" s="117"/>
      <c r="M49" s="80">
        <v>22</v>
      </c>
      <c r="N49" s="78" t="s">
        <v>182</v>
      </c>
      <c r="O49" s="80">
        <v>146</v>
      </c>
      <c r="P49" s="78" t="s">
        <v>183</v>
      </c>
      <c r="Q49" s="77">
        <v>17.27</v>
      </c>
      <c r="R49" s="77">
        <v>-19.133333333333333</v>
      </c>
      <c r="S49" s="52">
        <f t="shared" si="5"/>
        <v>3.5627897501519215</v>
      </c>
    </row>
    <row r="50" spans="2:19" ht="17" customHeight="1">
      <c r="E50" s="49" t="str">
        <f t="shared" si="2"/>
        <v/>
      </c>
      <c r="F50" s="78" t="s">
        <v>184</v>
      </c>
      <c r="G50" s="50" t="s">
        <v>35</v>
      </c>
      <c r="H50" s="51">
        <f t="shared" si="3"/>
        <v>182.03395105315795</v>
      </c>
      <c r="I50" s="51">
        <f t="shared" si="4"/>
        <v>23.409024630124616</v>
      </c>
      <c r="J50" s="78" t="s">
        <v>43</v>
      </c>
      <c r="K50" s="116" t="s">
        <v>185</v>
      </c>
      <c r="L50" s="117"/>
      <c r="M50" s="80">
        <v>22</v>
      </c>
      <c r="N50" s="78" t="s">
        <v>186</v>
      </c>
      <c r="O50" s="80">
        <v>146</v>
      </c>
      <c r="P50" s="78" t="s">
        <v>187</v>
      </c>
      <c r="Q50" s="77">
        <v>17.375</v>
      </c>
      <c r="R50" s="77">
        <v>-20.116666666666667</v>
      </c>
      <c r="S50" s="52">
        <f t="shared" si="5"/>
        <v>1.9877897501519328</v>
      </c>
    </row>
    <row r="51" spans="2:19" ht="17" customHeight="1">
      <c r="E51" s="49" t="str">
        <f t="shared" si="2"/>
        <v/>
      </c>
      <c r="F51" s="78" t="s">
        <v>188</v>
      </c>
      <c r="G51" s="50" t="s">
        <v>35</v>
      </c>
      <c r="H51" s="51">
        <f t="shared" si="3"/>
        <v>184.65957431503875</v>
      </c>
      <c r="I51" s="51">
        <f t="shared" si="4"/>
        <v>21.853063771041757</v>
      </c>
      <c r="J51" s="78" t="s">
        <v>43</v>
      </c>
      <c r="K51" s="116" t="s">
        <v>189</v>
      </c>
      <c r="L51" s="117"/>
      <c r="M51" s="80">
        <v>22</v>
      </c>
      <c r="N51" s="80">
        <v>337</v>
      </c>
      <c r="O51" s="80">
        <v>146</v>
      </c>
      <c r="P51" s="78" t="s">
        <v>190</v>
      </c>
      <c r="Q51" s="77">
        <v>17.197500000000002</v>
      </c>
      <c r="R51" s="77">
        <v>-21.566666666666666</v>
      </c>
      <c r="S51" s="52">
        <f t="shared" si="5"/>
        <v>4.6502897501518987</v>
      </c>
    </row>
    <row r="52" spans="2:19" ht="17" customHeight="1">
      <c r="E52" s="49" t="str">
        <f t="shared" si="2"/>
        <v/>
      </c>
      <c r="F52" s="78" t="s">
        <v>191</v>
      </c>
      <c r="G52" s="50" t="s">
        <v>35</v>
      </c>
      <c r="H52" s="51">
        <f t="shared" si="3"/>
        <v>181.36982667380644</v>
      </c>
      <c r="I52" s="51">
        <f t="shared" si="4"/>
        <v>22.13877595263466</v>
      </c>
      <c r="J52" s="78" t="s">
        <v>43</v>
      </c>
      <c r="K52" s="116" t="s">
        <v>192</v>
      </c>
      <c r="L52" s="117"/>
      <c r="M52" s="80">
        <v>22</v>
      </c>
      <c r="N52" s="80">
        <v>338</v>
      </c>
      <c r="O52" s="80">
        <v>146</v>
      </c>
      <c r="P52" s="78" t="s">
        <v>187</v>
      </c>
      <c r="Q52" s="77">
        <v>17.416666666666668</v>
      </c>
      <c r="R52" s="77">
        <v>-21.4</v>
      </c>
      <c r="S52" s="52">
        <f t="shared" si="5"/>
        <v>1.362789750151876</v>
      </c>
    </row>
    <row r="53" spans="2:19" ht="17" customHeight="1">
      <c r="E53" s="49" t="str">
        <f t="shared" si="2"/>
        <v/>
      </c>
      <c r="F53" s="78" t="s">
        <v>193</v>
      </c>
      <c r="G53" s="50" t="s">
        <v>35</v>
      </c>
      <c r="H53" s="51">
        <f t="shared" si="3"/>
        <v>181.32383932496293</v>
      </c>
      <c r="I53" s="51">
        <f t="shared" si="4"/>
        <v>20.572618751382418</v>
      </c>
      <c r="J53" s="78" t="s">
        <v>43</v>
      </c>
      <c r="K53" s="116" t="s">
        <v>57</v>
      </c>
      <c r="L53" s="117"/>
      <c r="M53" s="80">
        <v>22</v>
      </c>
      <c r="N53" s="80">
        <v>338</v>
      </c>
      <c r="O53" s="80">
        <v>146</v>
      </c>
      <c r="P53" s="78" t="s">
        <v>187</v>
      </c>
      <c r="Q53" s="77">
        <v>17.417777777777779</v>
      </c>
      <c r="R53" s="77">
        <v>-22.966666666666665</v>
      </c>
      <c r="S53" s="52">
        <f t="shared" si="5"/>
        <v>1.3461230834852245</v>
      </c>
    </row>
    <row r="54" spans="2:19" ht="17" customHeight="1">
      <c r="E54" s="49" t="str">
        <f t="shared" si="2"/>
        <v/>
      </c>
      <c r="F54" s="78" t="s">
        <v>194</v>
      </c>
      <c r="G54" s="50" t="s">
        <v>35</v>
      </c>
      <c r="H54" s="51">
        <f t="shared" si="3"/>
        <v>182.20014307686799</v>
      </c>
      <c r="I54" s="51">
        <f t="shared" si="4"/>
        <v>24.805440049390103</v>
      </c>
      <c r="J54" s="78" t="s">
        <v>43</v>
      </c>
      <c r="K54" s="116" t="s">
        <v>102</v>
      </c>
      <c r="L54" s="117"/>
      <c r="M54" s="78" t="s">
        <v>178</v>
      </c>
      <c r="N54" s="78" t="s">
        <v>186</v>
      </c>
      <c r="O54" s="80">
        <v>146</v>
      </c>
      <c r="P54" s="78" t="s">
        <v>176</v>
      </c>
      <c r="Q54" s="77">
        <v>17.366944444444446</v>
      </c>
      <c r="R54" s="77">
        <v>-18.716666666666665</v>
      </c>
      <c r="S54" s="52">
        <f t="shared" si="5"/>
        <v>2.1086230834852699</v>
      </c>
    </row>
    <row r="55" spans="2:19" ht="17" customHeight="1">
      <c r="B55" s="202" t="s">
        <v>492</v>
      </c>
      <c r="E55" s="49" t="str">
        <f t="shared" si="2"/>
        <v/>
      </c>
      <c r="F55" s="78" t="s">
        <v>195</v>
      </c>
      <c r="G55" s="50" t="s">
        <v>35</v>
      </c>
      <c r="H55" s="51">
        <f t="shared" si="3"/>
        <v>181.912158896536</v>
      </c>
      <c r="I55" s="51">
        <f t="shared" si="4"/>
        <v>16.342951280170052</v>
      </c>
      <c r="J55" s="78" t="s">
        <v>43</v>
      </c>
      <c r="K55" s="116" t="s">
        <v>196</v>
      </c>
      <c r="L55" s="119"/>
      <c r="M55" s="80">
        <v>22</v>
      </c>
      <c r="N55" s="78" t="s">
        <v>197</v>
      </c>
      <c r="O55" s="80">
        <v>146</v>
      </c>
      <c r="P55" s="78" t="s">
        <v>198</v>
      </c>
      <c r="Q55" s="77">
        <v>17.37</v>
      </c>
      <c r="R55" s="77">
        <v>-27.183333333333334</v>
      </c>
      <c r="S55" s="52">
        <f t="shared" si="5"/>
        <v>2.0627897501519215</v>
      </c>
    </row>
    <row r="56" spans="2:19" ht="17" customHeight="1">
      <c r="B56" s="202" t="s">
        <v>493</v>
      </c>
      <c r="E56" s="49" t="str">
        <f t="shared" si="2"/>
        <v/>
      </c>
      <c r="F56" s="78" t="s">
        <v>199</v>
      </c>
      <c r="G56" s="50" t="s">
        <v>35</v>
      </c>
      <c r="H56" s="51">
        <f t="shared" si="3"/>
        <v>181.70224673914862</v>
      </c>
      <c r="I56" s="51">
        <f t="shared" si="4"/>
        <v>21.149094117568353</v>
      </c>
      <c r="J56" s="78" t="s">
        <v>43</v>
      </c>
      <c r="K56" s="116" t="s">
        <v>200</v>
      </c>
      <c r="L56" s="118" t="s">
        <v>201</v>
      </c>
      <c r="M56" s="80">
        <v>22</v>
      </c>
      <c r="N56" s="78" t="s">
        <v>186</v>
      </c>
      <c r="O56" s="80">
        <v>146</v>
      </c>
      <c r="P56" s="78" t="s">
        <v>187</v>
      </c>
      <c r="Q56" s="77">
        <v>17.393055555555556</v>
      </c>
      <c r="R56" s="77">
        <v>-22.383333333333333</v>
      </c>
      <c r="S56" s="52">
        <f t="shared" si="5"/>
        <v>1.7169564168186184</v>
      </c>
    </row>
    <row r="57" spans="2:19" ht="17" customHeight="1">
      <c r="E57" s="49" t="str">
        <f t="shared" si="2"/>
        <v/>
      </c>
      <c r="F57" s="78" t="s">
        <v>202</v>
      </c>
      <c r="G57" s="50" t="s">
        <v>35</v>
      </c>
      <c r="H57" s="51">
        <f t="shared" si="3"/>
        <v>181.87526573998198</v>
      </c>
      <c r="I57" s="51">
        <f t="shared" si="4"/>
        <v>21.445428910448332</v>
      </c>
      <c r="J57" s="78" t="s">
        <v>43</v>
      </c>
      <c r="K57" s="116" t="s">
        <v>203</v>
      </c>
      <c r="L57" s="117"/>
      <c r="M57" s="80">
        <v>22</v>
      </c>
      <c r="N57" s="78" t="s">
        <v>186</v>
      </c>
      <c r="O57" s="80">
        <v>146</v>
      </c>
      <c r="P57" s="78" t="s">
        <v>187</v>
      </c>
      <c r="Q57" s="77">
        <v>17.381944444444446</v>
      </c>
      <c r="R57" s="77">
        <v>-22.083333333333332</v>
      </c>
      <c r="S57" s="52">
        <f t="shared" si="5"/>
        <v>1.8836230834852472</v>
      </c>
    </row>
    <row r="58" spans="2:19" ht="17" customHeight="1">
      <c r="E58" s="49" t="str">
        <f t="shared" si="2"/>
        <v/>
      </c>
      <c r="F58" s="78" t="s">
        <v>204</v>
      </c>
      <c r="G58" s="50" t="s">
        <v>35</v>
      </c>
      <c r="H58" s="51">
        <f t="shared" si="3"/>
        <v>181.95042795709273</v>
      </c>
      <c r="I58" s="51">
        <f t="shared" si="4"/>
        <v>21.310316003895323</v>
      </c>
      <c r="J58" s="78" t="s">
        <v>43</v>
      </c>
      <c r="K58" s="116" t="s">
        <v>70</v>
      </c>
      <c r="L58" s="117"/>
      <c r="M58" s="80">
        <v>22</v>
      </c>
      <c r="N58" s="78" t="s">
        <v>186</v>
      </c>
      <c r="O58" s="80">
        <v>146</v>
      </c>
      <c r="P58" s="78" t="s">
        <v>187</v>
      </c>
      <c r="Q58" s="77">
        <v>17.376666666666669</v>
      </c>
      <c r="R58" s="77">
        <v>-22.216666666666665</v>
      </c>
      <c r="S58" s="52">
        <f t="shared" si="5"/>
        <v>1.9627897501518987</v>
      </c>
    </row>
    <row r="59" spans="2:19" ht="17" customHeight="1">
      <c r="E59" s="49" t="str">
        <f t="shared" si="2"/>
        <v/>
      </c>
      <c r="F59" s="78" t="s">
        <v>205</v>
      </c>
      <c r="G59" s="50" t="s">
        <v>35</v>
      </c>
      <c r="H59" s="51">
        <f t="shared" si="3"/>
        <v>182.265468885259</v>
      </c>
      <c r="I59" s="51">
        <f t="shared" si="4"/>
        <v>18.367646365548815</v>
      </c>
      <c r="J59" s="78" t="s">
        <v>43</v>
      </c>
      <c r="K59" s="116" t="s">
        <v>206</v>
      </c>
      <c r="L59" s="117"/>
      <c r="M59" s="80">
        <v>22</v>
      </c>
      <c r="N59" s="78" t="s">
        <v>186</v>
      </c>
      <c r="O59" s="80">
        <v>146</v>
      </c>
      <c r="P59" s="78" t="s">
        <v>187</v>
      </c>
      <c r="Q59" s="77">
        <v>17.349166666666665</v>
      </c>
      <c r="R59" s="77">
        <v>-25.15</v>
      </c>
      <c r="S59" s="52">
        <f t="shared" si="5"/>
        <v>2.3752897501519215</v>
      </c>
    </row>
    <row r="60" spans="2:19" ht="17" customHeight="1">
      <c r="E60" s="49" t="str">
        <f t="shared" si="2"/>
        <v/>
      </c>
      <c r="F60" s="78" t="s">
        <v>207</v>
      </c>
      <c r="G60" s="50" t="s">
        <v>35</v>
      </c>
      <c r="H60" s="51">
        <f t="shared" si="3"/>
        <v>180.6095843035159</v>
      </c>
      <c r="I60" s="51">
        <f t="shared" si="4"/>
        <v>21.397754034128109</v>
      </c>
      <c r="J60" s="78" t="s">
        <v>43</v>
      </c>
      <c r="K60" s="116" t="s">
        <v>208</v>
      </c>
      <c r="L60" s="117"/>
      <c r="M60" s="80">
        <v>22</v>
      </c>
      <c r="N60" s="80">
        <v>338</v>
      </c>
      <c r="O60" s="80">
        <v>146</v>
      </c>
      <c r="P60" s="78" t="s">
        <v>187</v>
      </c>
      <c r="Q60" s="77">
        <v>17.466666666666665</v>
      </c>
      <c r="R60" s="77">
        <v>-22.15</v>
      </c>
      <c r="S60" s="52">
        <f t="shared" si="5"/>
        <v>0.61278975015193282</v>
      </c>
    </row>
    <row r="61" spans="2:19" ht="17" customHeight="1">
      <c r="E61" s="49" t="str">
        <f t="shared" si="2"/>
        <v/>
      </c>
      <c r="F61" s="78" t="s">
        <v>209</v>
      </c>
      <c r="G61" s="50" t="s">
        <v>35</v>
      </c>
      <c r="H61" s="51">
        <f t="shared" si="3"/>
        <v>182.58177128342507</v>
      </c>
      <c r="I61" s="51">
        <f t="shared" si="4"/>
        <v>18.20789058518519</v>
      </c>
      <c r="J61" s="78" t="s">
        <v>43</v>
      </c>
      <c r="K61" s="116" t="s">
        <v>210</v>
      </c>
      <c r="L61" s="119"/>
      <c r="M61" s="80">
        <v>22</v>
      </c>
      <c r="N61" s="78" t="s">
        <v>169</v>
      </c>
      <c r="O61" s="80">
        <v>146</v>
      </c>
      <c r="P61" s="78" t="s">
        <v>190</v>
      </c>
      <c r="Q61" s="77">
        <v>17.326666666666668</v>
      </c>
      <c r="R61" s="77">
        <v>-25.3</v>
      </c>
      <c r="S61" s="52">
        <f t="shared" si="5"/>
        <v>2.7127897501518987</v>
      </c>
    </row>
    <row r="62" spans="2:19" ht="17" customHeight="1">
      <c r="E62" s="49" t="str">
        <f t="shared" si="2"/>
        <v/>
      </c>
      <c r="F62" s="78" t="s">
        <v>211</v>
      </c>
      <c r="G62" s="50" t="s">
        <v>35</v>
      </c>
      <c r="H62" s="51">
        <f t="shared" si="3"/>
        <v>356.31491602022629</v>
      </c>
      <c r="I62" s="51">
        <f t="shared" si="4"/>
        <v>-45.042307303059872</v>
      </c>
      <c r="J62" s="78" t="s">
        <v>44</v>
      </c>
      <c r="K62" s="116" t="s">
        <v>212</v>
      </c>
      <c r="L62" s="118" t="s">
        <v>213</v>
      </c>
      <c r="M62" s="78" t="s">
        <v>214</v>
      </c>
      <c r="N62" s="78" t="s">
        <v>215</v>
      </c>
      <c r="O62" s="80">
        <v>116</v>
      </c>
      <c r="P62" s="78" t="s">
        <v>216</v>
      </c>
      <c r="Q62" s="77">
        <v>5.681111111111111</v>
      </c>
      <c r="R62" s="77">
        <v>-1.55</v>
      </c>
      <c r="S62" s="52">
        <f t="shared" si="5"/>
        <v>177.39612308348526</v>
      </c>
    </row>
    <row r="63" spans="2:19" ht="17" customHeight="1">
      <c r="E63" s="49" t="str">
        <f t="shared" si="2"/>
        <v/>
      </c>
      <c r="F63" s="78" t="s">
        <v>217</v>
      </c>
      <c r="G63" s="50" t="s">
        <v>35</v>
      </c>
      <c r="H63" s="51">
        <f t="shared" si="3"/>
        <v>355.49583155488585</v>
      </c>
      <c r="I63" s="51">
        <f t="shared" si="4"/>
        <v>-34.398119836820598</v>
      </c>
      <c r="J63" s="78" t="s">
        <v>44</v>
      </c>
      <c r="K63" s="116" t="s">
        <v>218</v>
      </c>
      <c r="L63" s="117"/>
      <c r="M63" s="80">
        <v>11</v>
      </c>
      <c r="N63" s="80">
        <v>181</v>
      </c>
      <c r="O63" s="80">
        <v>96</v>
      </c>
      <c r="P63" s="78" t="s">
        <v>219</v>
      </c>
      <c r="Q63" s="77">
        <v>5.7583333333333337</v>
      </c>
      <c r="R63" s="77">
        <v>9.0500000000000007</v>
      </c>
      <c r="S63" s="52">
        <f t="shared" si="5"/>
        <v>176.23778975015193</v>
      </c>
    </row>
    <row r="64" spans="2:19" ht="17" customHeight="1">
      <c r="E64" s="49" t="str">
        <f t="shared" si="2"/>
        <v/>
      </c>
      <c r="F64" s="78" t="s">
        <v>220</v>
      </c>
      <c r="G64" s="50" t="s">
        <v>35</v>
      </c>
      <c r="H64" s="51">
        <f t="shared" si="3"/>
        <v>359.52018815529129</v>
      </c>
      <c r="I64" s="51">
        <f t="shared" si="4"/>
        <v>-31.132120111467426</v>
      </c>
      <c r="J64" s="78" t="s">
        <v>44</v>
      </c>
      <c r="K64" s="116" t="s">
        <v>221</v>
      </c>
      <c r="L64" s="117"/>
      <c r="M64" s="80">
        <v>11</v>
      </c>
      <c r="N64" s="78" t="s">
        <v>222</v>
      </c>
      <c r="O64" s="80">
        <v>96</v>
      </c>
      <c r="P64" s="78" t="s">
        <v>223</v>
      </c>
      <c r="Q64" s="77">
        <v>5.5355555555555558</v>
      </c>
      <c r="R64" s="77">
        <v>12.416666666666666</v>
      </c>
      <c r="S64" s="52">
        <f t="shared" si="5"/>
        <v>179.5794564168186</v>
      </c>
    </row>
    <row r="65" spans="5:19" ht="17" customHeight="1">
      <c r="E65" s="49" t="str">
        <f t="shared" si="2"/>
        <v/>
      </c>
      <c r="F65" s="78" t="s">
        <v>224</v>
      </c>
      <c r="G65" s="50" t="s">
        <v>35</v>
      </c>
      <c r="H65" s="51">
        <f t="shared" si="3"/>
        <v>359.55559837311375</v>
      </c>
      <c r="I65" s="51">
        <f t="shared" si="4"/>
        <v>-30.79895424693358</v>
      </c>
      <c r="J65" s="78" t="s">
        <v>44</v>
      </c>
      <c r="K65" s="116" t="s">
        <v>192</v>
      </c>
      <c r="L65" s="117"/>
      <c r="M65" s="80">
        <v>11</v>
      </c>
      <c r="N65" s="78" t="s">
        <v>222</v>
      </c>
      <c r="O65" s="80">
        <v>96</v>
      </c>
      <c r="P65" s="78" t="s">
        <v>223</v>
      </c>
      <c r="Q65" s="77">
        <v>5.533611111111111</v>
      </c>
      <c r="R65" s="77">
        <v>12.75</v>
      </c>
      <c r="S65" s="52">
        <f t="shared" si="5"/>
        <v>179.60862308348527</v>
      </c>
    </row>
    <row r="66" spans="5:19" ht="17" customHeight="1">
      <c r="E66" s="49" t="str">
        <f t="shared" si="2"/>
        <v/>
      </c>
      <c r="F66" s="78" t="s">
        <v>225</v>
      </c>
      <c r="G66" s="50" t="s">
        <v>35</v>
      </c>
      <c r="H66" s="51">
        <f t="shared" si="3"/>
        <v>5.2359871739186478E-2</v>
      </c>
      <c r="I66" s="51">
        <f t="shared" si="4"/>
        <v>-30.783318813036111</v>
      </c>
      <c r="J66" s="78" t="s">
        <v>44</v>
      </c>
      <c r="K66" s="116" t="s">
        <v>226</v>
      </c>
      <c r="L66" s="117"/>
      <c r="M66" s="80">
        <v>11</v>
      </c>
      <c r="N66" s="78" t="s">
        <v>222</v>
      </c>
      <c r="O66" s="80">
        <v>96</v>
      </c>
      <c r="P66" s="78" t="s">
        <v>223</v>
      </c>
      <c r="Q66" s="77">
        <v>5.5044444444444443</v>
      </c>
      <c r="R66" s="77">
        <v>12.766666666666667</v>
      </c>
      <c r="S66" s="52">
        <f t="shared" si="5"/>
        <v>180.04612308348527</v>
      </c>
    </row>
    <row r="67" spans="5:19" ht="17" customHeight="1">
      <c r="E67" s="49" t="str">
        <f t="shared" si="2"/>
        <v/>
      </c>
      <c r="F67" s="78" t="s">
        <v>227</v>
      </c>
      <c r="G67" s="50" t="s">
        <v>35</v>
      </c>
      <c r="H67" s="51">
        <f t="shared" si="3"/>
        <v>354.31473725228955</v>
      </c>
      <c r="I67" s="51">
        <f t="shared" si="4"/>
        <v>-35.974834164627552</v>
      </c>
      <c r="J67" s="78" t="s">
        <v>44</v>
      </c>
      <c r="K67" s="116" t="s">
        <v>228</v>
      </c>
      <c r="L67" s="117"/>
      <c r="M67" s="78" t="s">
        <v>229</v>
      </c>
      <c r="N67" s="78" t="s">
        <v>230</v>
      </c>
      <c r="O67" s="80">
        <v>96</v>
      </c>
      <c r="P67" s="78" t="s">
        <v>231</v>
      </c>
      <c r="Q67" s="77">
        <v>5.8166666666666664</v>
      </c>
      <c r="R67" s="77">
        <v>7.416666666666667</v>
      </c>
      <c r="S67" s="52">
        <f t="shared" si="5"/>
        <v>175.36278975015193</v>
      </c>
    </row>
    <row r="68" spans="5:19" ht="17" customHeight="1">
      <c r="E68" s="49" t="str">
        <f t="shared" si="2"/>
        <v/>
      </c>
      <c r="F68" s="78" t="s">
        <v>232</v>
      </c>
      <c r="G68" s="50" t="s">
        <v>35</v>
      </c>
      <c r="H68" s="51">
        <f t="shared" si="3"/>
        <v>22.616873842047227</v>
      </c>
      <c r="I68" s="51">
        <f t="shared" si="4"/>
        <v>-8.1586948335849705</v>
      </c>
      <c r="J68" s="78" t="s">
        <v>45</v>
      </c>
      <c r="K68" s="116" t="s">
        <v>233</v>
      </c>
      <c r="L68" s="117"/>
      <c r="M68" s="78" t="s">
        <v>234</v>
      </c>
      <c r="N68" s="78" t="s">
        <v>235</v>
      </c>
      <c r="O68" s="80">
        <v>60</v>
      </c>
      <c r="P68" s="78" t="s">
        <v>236</v>
      </c>
      <c r="Q68" s="77">
        <v>3.733888888888889</v>
      </c>
      <c r="R68" s="77">
        <v>31.783333333333335</v>
      </c>
      <c r="S68" s="52">
        <f t="shared" si="5"/>
        <v>206.60445641681861</v>
      </c>
    </row>
    <row r="69" spans="5:19" ht="17" customHeight="1">
      <c r="E69" s="49" t="str">
        <f t="shared" si="2"/>
        <v/>
      </c>
      <c r="F69" s="78" t="s">
        <v>237</v>
      </c>
      <c r="G69" s="50" t="s">
        <v>35</v>
      </c>
      <c r="H69" s="51">
        <f t="shared" si="3"/>
        <v>21.495615548945455</v>
      </c>
      <c r="I69" s="51">
        <f t="shared" si="4"/>
        <v>-7.3605273544610617</v>
      </c>
      <c r="J69" s="78" t="s">
        <v>45</v>
      </c>
      <c r="K69" s="116" t="s">
        <v>114</v>
      </c>
      <c r="L69" s="117"/>
      <c r="M69" s="78" t="s">
        <v>234</v>
      </c>
      <c r="N69" s="78" t="s">
        <v>235</v>
      </c>
      <c r="O69" s="80">
        <v>60</v>
      </c>
      <c r="P69" s="78" t="s">
        <v>236</v>
      </c>
      <c r="Q69" s="77">
        <v>3.7980555555555555</v>
      </c>
      <c r="R69" s="77">
        <v>32.883333333333333</v>
      </c>
      <c r="S69" s="52">
        <f t="shared" si="5"/>
        <v>205.6419564168186</v>
      </c>
    </row>
    <row r="70" spans="5:19" ht="17" customHeight="1">
      <c r="E70" s="49" t="str">
        <f t="shared" si="2"/>
        <v/>
      </c>
      <c r="F70" s="78" t="s">
        <v>238</v>
      </c>
      <c r="G70" s="50" t="s">
        <v>35</v>
      </c>
      <c r="H70" s="51">
        <f t="shared" si="3"/>
        <v>23.374792528186511</v>
      </c>
      <c r="I70" s="51">
        <f t="shared" si="4"/>
        <v>-7.7145267129387447</v>
      </c>
      <c r="J70" s="78" t="s">
        <v>45</v>
      </c>
      <c r="K70" s="116" t="s">
        <v>102</v>
      </c>
      <c r="L70" s="117"/>
      <c r="M70" s="78" t="s">
        <v>234</v>
      </c>
      <c r="N70" s="78" t="s">
        <v>235</v>
      </c>
      <c r="O70" s="80">
        <v>60</v>
      </c>
      <c r="P70" s="78" t="s">
        <v>236</v>
      </c>
      <c r="Q70" s="77">
        <v>3.6669444444444443</v>
      </c>
      <c r="R70" s="77">
        <v>31.966666666666665</v>
      </c>
      <c r="S70" s="52">
        <f t="shared" si="5"/>
        <v>207.60862308348527</v>
      </c>
    </row>
    <row r="71" spans="5:19" ht="17" customHeight="1">
      <c r="E71" s="49" t="str">
        <f t="shared" si="2"/>
        <v/>
      </c>
      <c r="F71" s="78" t="s">
        <v>239</v>
      </c>
      <c r="G71" s="50" t="s">
        <v>35</v>
      </c>
      <c r="H71" s="51">
        <f t="shared" si="3"/>
        <v>175.02521989818931</v>
      </c>
      <c r="I71" s="51">
        <f t="shared" si="4"/>
        <v>8.5540191148325881</v>
      </c>
      <c r="J71" s="78" t="s">
        <v>46</v>
      </c>
      <c r="K71" s="116" t="s">
        <v>240</v>
      </c>
      <c r="L71" s="117"/>
      <c r="M71" s="80">
        <v>22</v>
      </c>
      <c r="N71" s="80">
        <v>377</v>
      </c>
      <c r="O71" s="80">
        <v>164</v>
      </c>
      <c r="P71" s="78" t="s">
        <v>241</v>
      </c>
      <c r="Q71" s="77">
        <v>17.90722222222222</v>
      </c>
      <c r="R71" s="77">
        <v>-34.81666666666667</v>
      </c>
      <c r="S71" s="52">
        <f t="shared" si="5"/>
        <v>-5.9955435831813588</v>
      </c>
    </row>
    <row r="72" spans="5:19" ht="17" customHeight="1">
      <c r="E72" s="49" t="str">
        <f t="shared" si="2"/>
        <v/>
      </c>
      <c r="F72" s="82" t="s">
        <v>242</v>
      </c>
      <c r="G72" s="50" t="s">
        <v>35</v>
      </c>
      <c r="H72" s="51">
        <f t="shared" si="3"/>
        <v>185.70375622983957</v>
      </c>
      <c r="I72" s="51">
        <f t="shared" si="4"/>
        <v>3.9808628420744618</v>
      </c>
      <c r="J72" s="82" t="s">
        <v>46</v>
      </c>
      <c r="K72" s="120" t="s">
        <v>243</v>
      </c>
      <c r="L72" s="119"/>
      <c r="M72" s="83">
        <v>22</v>
      </c>
      <c r="N72" s="83">
        <v>407</v>
      </c>
      <c r="O72" s="78" t="s">
        <v>244</v>
      </c>
      <c r="P72" s="82" t="s">
        <v>245</v>
      </c>
      <c r="Q72" s="81">
        <v>17.016666666666666</v>
      </c>
      <c r="R72" s="81">
        <v>-39.31666666666667</v>
      </c>
      <c r="S72" s="52">
        <f t="shared" si="5"/>
        <v>7.3627897501519612</v>
      </c>
    </row>
    <row r="73" spans="5:19" ht="17" customHeight="1">
      <c r="E73" s="49" t="str">
        <f t="shared" si="2"/>
        <v/>
      </c>
      <c r="F73" s="78" t="s">
        <v>246</v>
      </c>
      <c r="G73" s="50" t="s">
        <v>35</v>
      </c>
      <c r="H73" s="51">
        <f t="shared" si="3"/>
        <v>185.81491259093556</v>
      </c>
      <c r="I73" s="51">
        <f t="shared" ref="I73:I103" si="6">ASIN(SIN($S$105*R73)*SIN($S$105*$C$13)+COS($S$105*R73)*COS($S$105*$C$13)*COS($S$105*S73))/$S$105</f>
        <v>9.6925555009354767</v>
      </c>
      <c r="J73" s="78" t="s">
        <v>46</v>
      </c>
      <c r="K73" s="116" t="s">
        <v>247</v>
      </c>
      <c r="L73" s="117"/>
      <c r="M73" s="80">
        <v>22</v>
      </c>
      <c r="N73" s="78" t="s">
        <v>248</v>
      </c>
      <c r="O73" s="80">
        <v>164</v>
      </c>
      <c r="P73" s="78" t="s">
        <v>249</v>
      </c>
      <c r="Q73" s="77">
        <v>17.048333333333336</v>
      </c>
      <c r="R73" s="77">
        <v>-33.616666666666667</v>
      </c>
      <c r="S73" s="52">
        <f t="shared" si="5"/>
        <v>6.8877897501518817</v>
      </c>
    </row>
    <row r="74" spans="5:19" ht="17" customHeight="1">
      <c r="E74" s="49" t="str">
        <f t="shared" ref="E74:E103" si="7">IF(AND(I74&gt;=$I$4,I74&lt;=$I$6,H74&gt;=$H$4,H74&lt;=$H$6),IF(VLOOKUP(G74,$C$19:$D$24,2,FALSE)="yes","*","-"),"")</f>
        <v/>
      </c>
      <c r="F74" s="78" t="s">
        <v>250</v>
      </c>
      <c r="G74" s="50" t="s">
        <v>35</v>
      </c>
      <c r="H74" s="51">
        <f t="shared" ref="H74:H103" si="8">IF(SIN($S$105*S74)&lt;0,ACOS((SIN($S$105*R74)-SIN($S$105*I74)*SIN($S$105*$C$13))/(COS($S$105*I74)*COS($S$105*$C$13)))/$S$105,360-ACOS((SIN($S$105*R74)-SIN($S$105*I74)*SIN($S$105*$C$13))/(COS($S$105*I74)*COS($S$105*$C$13)))/$S$105)</f>
        <v>184.95060313864488</v>
      </c>
      <c r="I74" s="51">
        <f t="shared" si="6"/>
        <v>11.379601454540058</v>
      </c>
      <c r="J74" s="78" t="s">
        <v>46</v>
      </c>
      <c r="K74" s="116" t="s">
        <v>251</v>
      </c>
      <c r="L74" s="117"/>
      <c r="M74" s="80">
        <v>22</v>
      </c>
      <c r="N74" s="80">
        <v>376</v>
      </c>
      <c r="O74" s="80">
        <v>164</v>
      </c>
      <c r="P74" s="78" t="s">
        <v>198</v>
      </c>
      <c r="Q74" s="77">
        <v>17.125833333333333</v>
      </c>
      <c r="R74" s="77">
        <v>-32</v>
      </c>
      <c r="S74" s="52">
        <f t="shared" si="5"/>
        <v>5.7252897501519442</v>
      </c>
    </row>
    <row r="75" spans="5:19" ht="17" customHeight="1">
      <c r="E75" s="49" t="str">
        <f t="shared" si="7"/>
        <v/>
      </c>
      <c r="F75" s="78" t="s">
        <v>252</v>
      </c>
      <c r="G75" s="50" t="s">
        <v>35</v>
      </c>
      <c r="H75" s="51">
        <f t="shared" si="8"/>
        <v>184.68653268050016</v>
      </c>
      <c r="I75" s="51">
        <f t="shared" si="6"/>
        <v>11.480826917155142</v>
      </c>
      <c r="J75" s="78" t="s">
        <v>46</v>
      </c>
      <c r="K75" s="116" t="s">
        <v>221</v>
      </c>
      <c r="L75" s="117"/>
      <c r="M75" s="78" t="s">
        <v>164</v>
      </c>
      <c r="N75" s="80">
        <v>376</v>
      </c>
      <c r="O75" s="80">
        <v>164</v>
      </c>
      <c r="P75" s="78" t="s">
        <v>198</v>
      </c>
      <c r="Q75" s="77">
        <v>17.146666666666665</v>
      </c>
      <c r="R75" s="77">
        <v>-31.916666666666668</v>
      </c>
      <c r="S75" s="52">
        <f t="shared" si="5"/>
        <v>5.412789750152001</v>
      </c>
    </row>
    <row r="76" spans="5:19" ht="17" customHeight="1">
      <c r="E76" s="49" t="str">
        <f t="shared" si="7"/>
        <v/>
      </c>
      <c r="F76" s="78" t="s">
        <v>253</v>
      </c>
      <c r="G76" s="50" t="s">
        <v>35</v>
      </c>
      <c r="H76" s="51">
        <f t="shared" si="8"/>
        <v>190.79293756007885</v>
      </c>
      <c r="I76" s="51">
        <f t="shared" si="6"/>
        <v>8.1226672654071024</v>
      </c>
      <c r="J76" s="78" t="s">
        <v>46</v>
      </c>
      <c r="K76" s="116" t="s">
        <v>254</v>
      </c>
      <c r="L76" s="117"/>
      <c r="M76" s="80">
        <v>22</v>
      </c>
      <c r="N76" s="80">
        <v>375</v>
      </c>
      <c r="O76" s="78" t="s">
        <v>255</v>
      </c>
      <c r="P76" s="78" t="s">
        <v>256</v>
      </c>
      <c r="Q76" s="77">
        <v>16.64</v>
      </c>
      <c r="R76" s="77">
        <v>-34.583333333333336</v>
      </c>
      <c r="S76" s="52">
        <f t="shared" si="5"/>
        <v>13.01278975015191</v>
      </c>
    </row>
    <row r="77" spans="5:19" ht="17" customHeight="1">
      <c r="E77" s="49" t="str">
        <f t="shared" si="7"/>
        <v/>
      </c>
      <c r="F77" s="78" t="s">
        <v>257</v>
      </c>
      <c r="G77" s="50" t="s">
        <v>35</v>
      </c>
      <c r="H77" s="51">
        <f t="shared" si="8"/>
        <v>189.48448353838958</v>
      </c>
      <c r="I77" s="51">
        <f t="shared" si="6"/>
        <v>8.2987222183993108</v>
      </c>
      <c r="J77" s="78" t="s">
        <v>46</v>
      </c>
      <c r="K77" s="116" t="s">
        <v>258</v>
      </c>
      <c r="L77" s="117"/>
      <c r="M77" s="80">
        <v>22</v>
      </c>
      <c r="N77" s="80">
        <v>375</v>
      </c>
      <c r="O77" s="80">
        <v>164</v>
      </c>
      <c r="P77" s="78" t="s">
        <v>249</v>
      </c>
      <c r="Q77" s="77">
        <v>16.745833333333334</v>
      </c>
      <c r="R77" s="77">
        <v>-34.6</v>
      </c>
      <c r="S77" s="52">
        <f t="shared" si="5"/>
        <v>11.425289750151904</v>
      </c>
    </row>
    <row r="78" spans="5:19" ht="17" customHeight="1">
      <c r="E78" s="49" t="str">
        <f t="shared" si="7"/>
        <v/>
      </c>
      <c r="F78" s="78" t="s">
        <v>259</v>
      </c>
      <c r="G78" s="50" t="s">
        <v>35</v>
      </c>
      <c r="H78" s="51">
        <f t="shared" si="8"/>
        <v>186.47663175158502</v>
      </c>
      <c r="I78" s="51">
        <f t="shared" si="6"/>
        <v>8.5966283489823585</v>
      </c>
      <c r="J78" s="78" t="s">
        <v>46</v>
      </c>
      <c r="K78" s="116" t="s">
        <v>260</v>
      </c>
      <c r="L78" s="117"/>
      <c r="M78" s="78" t="s">
        <v>164</v>
      </c>
      <c r="N78" s="78" t="s">
        <v>261</v>
      </c>
      <c r="O78" s="80">
        <v>164</v>
      </c>
      <c r="P78" s="78" t="s">
        <v>249</v>
      </c>
      <c r="Q78" s="77">
        <v>16.988055555555558</v>
      </c>
      <c r="R78" s="77">
        <v>-34.65</v>
      </c>
      <c r="S78" s="52">
        <f t="shared" si="5"/>
        <v>7.7919564168185502</v>
      </c>
    </row>
    <row r="79" spans="5:19" ht="17" customHeight="1">
      <c r="E79" s="49" t="str">
        <f t="shared" si="7"/>
        <v/>
      </c>
      <c r="F79" s="78" t="s">
        <v>262</v>
      </c>
      <c r="G79" s="50" t="s">
        <v>35</v>
      </c>
      <c r="H79" s="51">
        <f t="shared" si="8"/>
        <v>186.61715057262143</v>
      </c>
      <c r="I79" s="51">
        <f t="shared" si="6"/>
        <v>11.663845550245583</v>
      </c>
      <c r="J79" s="78" t="s">
        <v>46</v>
      </c>
      <c r="K79" s="116" t="s">
        <v>263</v>
      </c>
      <c r="L79" s="117"/>
      <c r="M79" s="78" t="s">
        <v>164</v>
      </c>
      <c r="N79" s="78" t="s">
        <v>264</v>
      </c>
      <c r="O79" s="80">
        <v>164</v>
      </c>
      <c r="P79" s="78" t="s">
        <v>265</v>
      </c>
      <c r="Q79" s="77">
        <v>17</v>
      </c>
      <c r="R79" s="77">
        <v>-31.583333333333332</v>
      </c>
      <c r="S79" s="52">
        <f t="shared" si="5"/>
        <v>7.6127897501519328</v>
      </c>
    </row>
    <row r="80" spans="5:19" ht="17" customHeight="1">
      <c r="E80" s="49" t="str">
        <f t="shared" si="7"/>
        <v/>
      </c>
      <c r="F80" s="78" t="s">
        <v>266</v>
      </c>
      <c r="G80" s="50" t="s">
        <v>35</v>
      </c>
      <c r="H80" s="51">
        <f t="shared" si="8"/>
        <v>175.56557626303072</v>
      </c>
      <c r="I80" s="51">
        <f t="shared" si="6"/>
        <v>11.279709579995245</v>
      </c>
      <c r="J80" s="78" t="s">
        <v>46</v>
      </c>
      <c r="K80" s="116" t="s">
        <v>267</v>
      </c>
      <c r="L80" s="117"/>
      <c r="M80" s="80">
        <v>22</v>
      </c>
      <c r="N80" s="80">
        <v>377</v>
      </c>
      <c r="O80" s="78" t="s">
        <v>268</v>
      </c>
      <c r="P80" s="78" t="s">
        <v>241</v>
      </c>
      <c r="Q80" s="77">
        <v>17.850000000000001</v>
      </c>
      <c r="R80" s="77">
        <v>-32.133333333333333</v>
      </c>
      <c r="S80" s="52">
        <f t="shared" si="5"/>
        <v>-5.1372102498480672</v>
      </c>
    </row>
    <row r="81" spans="5:19" ht="17" customHeight="1">
      <c r="E81" s="49" t="str">
        <f t="shared" si="7"/>
        <v/>
      </c>
      <c r="F81" s="78" t="s">
        <v>269</v>
      </c>
      <c r="G81" s="50" t="s">
        <v>35</v>
      </c>
      <c r="H81" s="51">
        <f t="shared" si="8"/>
        <v>154.86231157872564</v>
      </c>
      <c r="I81" s="51">
        <f t="shared" si="6"/>
        <v>33.811290293211485</v>
      </c>
      <c r="J81" s="78" t="s">
        <v>270</v>
      </c>
      <c r="K81" s="116" t="s">
        <v>271</v>
      </c>
      <c r="L81" s="117"/>
      <c r="M81" s="78" t="s">
        <v>63</v>
      </c>
      <c r="N81" s="78" t="s">
        <v>272</v>
      </c>
      <c r="O81" s="78" t="s">
        <v>273</v>
      </c>
      <c r="P81" s="78" t="s">
        <v>274</v>
      </c>
      <c r="Q81" s="77">
        <v>18.895</v>
      </c>
      <c r="R81" s="77">
        <v>-6.6</v>
      </c>
      <c r="S81" s="52">
        <f t="shared" si="5"/>
        <v>-20.812210249848022</v>
      </c>
    </row>
    <row r="82" spans="5:19" ht="17" customHeight="1">
      <c r="E82" s="49" t="str">
        <f t="shared" si="7"/>
        <v/>
      </c>
      <c r="F82" s="78" t="s">
        <v>275</v>
      </c>
      <c r="G82" s="50" t="s">
        <v>35</v>
      </c>
      <c r="H82" s="51">
        <f t="shared" si="8"/>
        <v>154.7885889223983</v>
      </c>
      <c r="I82" s="51">
        <f t="shared" si="6"/>
        <v>33.827264802809651</v>
      </c>
      <c r="J82" s="78" t="s">
        <v>270</v>
      </c>
      <c r="K82" s="116" t="s">
        <v>96</v>
      </c>
      <c r="L82" s="117"/>
      <c r="M82" s="78" t="s">
        <v>63</v>
      </c>
      <c r="N82" s="78" t="s">
        <v>272</v>
      </c>
      <c r="O82" s="78" t="s">
        <v>273</v>
      </c>
      <c r="P82" s="78" t="s">
        <v>274</v>
      </c>
      <c r="Q82" s="77">
        <v>18.898611111111112</v>
      </c>
      <c r="R82" s="77">
        <v>-6.5666666666666664</v>
      </c>
      <c r="S82" s="52">
        <f t="shared" si="5"/>
        <v>-20.866376916514753</v>
      </c>
    </row>
    <row r="83" spans="5:19" ht="17" customHeight="1">
      <c r="E83" s="49" t="str">
        <f t="shared" si="7"/>
        <v/>
      </c>
      <c r="F83" s="78" t="s">
        <v>276</v>
      </c>
      <c r="G83" s="50" t="s">
        <v>35</v>
      </c>
      <c r="H83" s="51">
        <f t="shared" si="8"/>
        <v>162.42736820165348</v>
      </c>
      <c r="I83" s="51">
        <f t="shared" si="6"/>
        <v>33.919513959655589</v>
      </c>
      <c r="J83" s="78" t="s">
        <v>270</v>
      </c>
      <c r="K83" s="116" t="s">
        <v>277</v>
      </c>
      <c r="L83" s="117"/>
      <c r="M83" s="78" t="s">
        <v>278</v>
      </c>
      <c r="N83" s="78" t="s">
        <v>279</v>
      </c>
      <c r="O83" s="80">
        <v>126</v>
      </c>
      <c r="P83" s="78" t="s">
        <v>280</v>
      </c>
      <c r="Q83" s="77">
        <v>18.484722222222224</v>
      </c>
      <c r="R83" s="77">
        <v>-8.0833333333333339</v>
      </c>
      <c r="S83" s="52">
        <f t="shared" si="5"/>
        <v>-14.658043583181438</v>
      </c>
    </row>
    <row r="84" spans="5:19" ht="17" customHeight="1">
      <c r="E84" s="49" t="str">
        <f t="shared" si="7"/>
        <v/>
      </c>
      <c r="F84" s="78" t="s">
        <v>281</v>
      </c>
      <c r="G84" s="50" t="s">
        <v>35</v>
      </c>
      <c r="H84" s="51">
        <f t="shared" si="8"/>
        <v>163.96038188228559</v>
      </c>
      <c r="I84" s="51">
        <f t="shared" si="6"/>
        <v>31.95532200241578</v>
      </c>
      <c r="J84" s="78" t="s">
        <v>270</v>
      </c>
      <c r="K84" s="116" t="s">
        <v>233</v>
      </c>
      <c r="L84" s="117"/>
      <c r="M84" s="78" t="s">
        <v>278</v>
      </c>
      <c r="N84" s="78" t="s">
        <v>279</v>
      </c>
      <c r="O84" s="80">
        <v>126</v>
      </c>
      <c r="P84" s="78" t="s">
        <v>280</v>
      </c>
      <c r="Q84" s="77">
        <v>18.426388888888891</v>
      </c>
      <c r="R84" s="77">
        <v>-10.266666666666667</v>
      </c>
      <c r="S84" s="52">
        <f t="shared" si="5"/>
        <v>-13.783043583181438</v>
      </c>
    </row>
    <row r="85" spans="5:19" ht="17" customHeight="1">
      <c r="E85" s="49" t="str">
        <f t="shared" si="7"/>
        <v/>
      </c>
      <c r="F85" s="78" t="s">
        <v>282</v>
      </c>
      <c r="G85" s="50" t="s">
        <v>35</v>
      </c>
      <c r="H85" s="51">
        <f t="shared" si="8"/>
        <v>154.52392342750559</v>
      </c>
      <c r="I85" s="51">
        <f t="shared" si="6"/>
        <v>35.033450494690499</v>
      </c>
      <c r="J85" s="78" t="s">
        <v>270</v>
      </c>
      <c r="K85" s="116" t="s">
        <v>283</v>
      </c>
      <c r="L85" s="117"/>
      <c r="M85" s="78" t="s">
        <v>63</v>
      </c>
      <c r="N85" s="78" t="s">
        <v>272</v>
      </c>
      <c r="O85" s="78" t="s">
        <v>273</v>
      </c>
      <c r="P85" s="78" t="s">
        <v>274</v>
      </c>
      <c r="Q85" s="77">
        <v>18.888611111111111</v>
      </c>
      <c r="R85" s="77">
        <v>-5.35</v>
      </c>
      <c r="S85" s="52">
        <f t="shared" si="5"/>
        <v>-20.716376916514719</v>
      </c>
    </row>
    <row r="86" spans="5:19" ht="17" customHeight="1">
      <c r="E86" s="49" t="str">
        <f t="shared" si="7"/>
        <v/>
      </c>
      <c r="F86" s="78" t="s">
        <v>284</v>
      </c>
      <c r="G86" s="50" t="s">
        <v>35</v>
      </c>
      <c r="H86" s="51">
        <f t="shared" si="8"/>
        <v>163.15063822143537</v>
      </c>
      <c r="I86" s="51">
        <f t="shared" si="6"/>
        <v>27.55966309121828</v>
      </c>
      <c r="J86" s="78" t="s">
        <v>270</v>
      </c>
      <c r="K86" s="116" t="s">
        <v>285</v>
      </c>
      <c r="L86" s="117"/>
      <c r="M86" s="78" t="s">
        <v>278</v>
      </c>
      <c r="N86" s="78" t="s">
        <v>286</v>
      </c>
      <c r="O86" s="78" t="s">
        <v>287</v>
      </c>
      <c r="P86" s="78" t="s">
        <v>288</v>
      </c>
      <c r="Q86" s="77">
        <v>18.533333333333335</v>
      </c>
      <c r="R86" s="77">
        <v>-14.433333333333334</v>
      </c>
      <c r="S86" s="52">
        <f t="shared" si="5"/>
        <v>-15.387210249848067</v>
      </c>
    </row>
    <row r="87" spans="5:19" ht="17" customHeight="1">
      <c r="E87" s="49" t="str">
        <f t="shared" si="7"/>
        <v/>
      </c>
      <c r="F87" s="78" t="s">
        <v>289</v>
      </c>
      <c r="G87" s="50" t="s">
        <v>35</v>
      </c>
      <c r="H87" s="51">
        <f t="shared" si="8"/>
        <v>155.61636225198365</v>
      </c>
      <c r="I87" s="51">
        <f t="shared" si="6"/>
        <v>37.270775150167339</v>
      </c>
      <c r="J87" s="78" t="s">
        <v>270</v>
      </c>
      <c r="K87" s="116" t="s">
        <v>206</v>
      </c>
      <c r="L87" s="117"/>
      <c r="M87" s="78" t="s">
        <v>63</v>
      </c>
      <c r="N87" s="80">
        <v>250</v>
      </c>
      <c r="O87" s="78" t="s">
        <v>290</v>
      </c>
      <c r="P87" s="78" t="s">
        <v>274</v>
      </c>
      <c r="Q87" s="77">
        <v>18.788611111111113</v>
      </c>
      <c r="R87" s="77">
        <v>-3.4666666666666668</v>
      </c>
      <c r="S87" s="52">
        <f t="shared" si="5"/>
        <v>-19.216376916514776</v>
      </c>
    </row>
    <row r="88" spans="5:19" ht="17" customHeight="1">
      <c r="E88" s="49" t="str">
        <f t="shared" si="7"/>
        <v/>
      </c>
      <c r="F88" s="78" t="s">
        <v>291</v>
      </c>
      <c r="G88" s="50" t="s">
        <v>35</v>
      </c>
      <c r="H88" s="51">
        <f t="shared" si="8"/>
        <v>154.99231482362947</v>
      </c>
      <c r="I88" s="51">
        <f t="shared" si="6"/>
        <v>33.600433580696617</v>
      </c>
      <c r="J88" s="78" t="s">
        <v>270</v>
      </c>
      <c r="K88" s="116" t="s">
        <v>292</v>
      </c>
      <c r="L88" s="117"/>
      <c r="M88" s="78" t="s">
        <v>63</v>
      </c>
      <c r="N88" s="78" t="s">
        <v>272</v>
      </c>
      <c r="O88" s="78" t="s">
        <v>273</v>
      </c>
      <c r="P88" s="78" t="s">
        <v>274</v>
      </c>
      <c r="Q88" s="77">
        <v>18.892222222222223</v>
      </c>
      <c r="R88" s="77">
        <v>-6.833333333333333</v>
      </c>
      <c r="S88" s="52">
        <f t="shared" si="5"/>
        <v>-20.77054358318145</v>
      </c>
    </row>
    <row r="89" spans="5:19" ht="17" customHeight="1">
      <c r="E89" s="49" t="str">
        <f t="shared" si="7"/>
        <v/>
      </c>
      <c r="F89" s="78" t="s">
        <v>293</v>
      </c>
      <c r="G89" s="50" t="s">
        <v>35</v>
      </c>
      <c r="H89" s="51">
        <f t="shared" si="8"/>
        <v>154.45941779662738</v>
      </c>
      <c r="I89" s="51">
        <f t="shared" si="6"/>
        <v>35.313806606085038</v>
      </c>
      <c r="J89" s="78" t="s">
        <v>270</v>
      </c>
      <c r="K89" s="116" t="s">
        <v>91</v>
      </c>
      <c r="L89" s="117"/>
      <c r="M89" s="78" t="s">
        <v>63</v>
      </c>
      <c r="N89" s="78" t="s">
        <v>272</v>
      </c>
      <c r="O89" s="78" t="s">
        <v>273</v>
      </c>
      <c r="P89" s="78" t="s">
        <v>274</v>
      </c>
      <c r="Q89" s="77">
        <v>18.886388888888888</v>
      </c>
      <c r="R89" s="77">
        <v>-5.0666666666666664</v>
      </c>
      <c r="S89" s="52">
        <f t="shared" si="5"/>
        <v>-20.683043583181359</v>
      </c>
    </row>
    <row r="90" spans="5:19" ht="17" customHeight="1">
      <c r="E90" s="49" t="str">
        <f t="shared" si="7"/>
        <v/>
      </c>
      <c r="F90" s="78" t="s">
        <v>294</v>
      </c>
      <c r="G90" s="50" t="s">
        <v>35</v>
      </c>
      <c r="H90" s="51">
        <f t="shared" si="8"/>
        <v>154.67962381066536</v>
      </c>
      <c r="I90" s="51">
        <f t="shared" si="6"/>
        <v>37.306127654362506</v>
      </c>
      <c r="J90" s="78" t="s">
        <v>270</v>
      </c>
      <c r="K90" s="116" t="s">
        <v>295</v>
      </c>
      <c r="L90" s="117"/>
      <c r="M90" s="78" t="s">
        <v>63</v>
      </c>
      <c r="N90" s="80">
        <v>250</v>
      </c>
      <c r="O90" s="78" t="s">
        <v>290</v>
      </c>
      <c r="P90" s="78" t="s">
        <v>274</v>
      </c>
      <c r="Q90" s="77">
        <v>18.835555555555555</v>
      </c>
      <c r="R90" s="77">
        <v>-3.2166666666666668</v>
      </c>
      <c r="S90" s="52">
        <f t="shared" si="5"/>
        <v>-19.92054358318137</v>
      </c>
    </row>
    <row r="91" spans="5:19" ht="17" customHeight="1">
      <c r="E91" s="49" t="str">
        <f t="shared" si="7"/>
        <v/>
      </c>
      <c r="F91" s="78" t="s">
        <v>296</v>
      </c>
      <c r="G91" s="50" t="s">
        <v>35</v>
      </c>
      <c r="H91" s="51">
        <f t="shared" si="8"/>
        <v>155.15295392307073</v>
      </c>
      <c r="I91" s="51">
        <f t="shared" si="6"/>
        <v>35.209275528943571</v>
      </c>
      <c r="J91" s="78" t="s">
        <v>270</v>
      </c>
      <c r="K91" s="116" t="s">
        <v>297</v>
      </c>
      <c r="L91" s="117"/>
      <c r="M91" s="78" t="s">
        <v>63</v>
      </c>
      <c r="N91" s="80">
        <v>295</v>
      </c>
      <c r="O91" s="78" t="s">
        <v>273</v>
      </c>
      <c r="P91" s="78" t="s">
        <v>274</v>
      </c>
      <c r="Q91" s="77">
        <v>18.852222222222224</v>
      </c>
      <c r="R91" s="77">
        <v>-5.333333333333333</v>
      </c>
      <c r="S91" s="52">
        <f t="shared" si="5"/>
        <v>-20.170543583181427</v>
      </c>
    </row>
    <row r="92" spans="5:19" ht="17" customHeight="1">
      <c r="E92" s="49" t="str">
        <f t="shared" si="7"/>
        <v/>
      </c>
      <c r="F92" s="78" t="s">
        <v>298</v>
      </c>
      <c r="G92" s="50" t="s">
        <v>35</v>
      </c>
      <c r="H92" s="51">
        <f t="shared" si="8"/>
        <v>155.73816029288292</v>
      </c>
      <c r="I92" s="51">
        <f t="shared" si="6"/>
        <v>34.97024333349993</v>
      </c>
      <c r="J92" s="78" t="s">
        <v>270</v>
      </c>
      <c r="K92" s="116" t="s">
        <v>79</v>
      </c>
      <c r="L92" s="117"/>
      <c r="M92" s="78" t="s">
        <v>63</v>
      </c>
      <c r="N92" s="80">
        <v>295</v>
      </c>
      <c r="O92" s="78" t="s">
        <v>273</v>
      </c>
      <c r="P92" s="78" t="s">
        <v>274</v>
      </c>
      <c r="Q92" s="77">
        <v>18.826111111111111</v>
      </c>
      <c r="R92" s="77">
        <v>-5.7</v>
      </c>
      <c r="S92" s="52">
        <f t="shared" si="5"/>
        <v>-19.778876916514719</v>
      </c>
    </row>
    <row r="93" spans="5:19" ht="17" customHeight="1">
      <c r="E93" s="49" t="str">
        <f t="shared" si="7"/>
        <v/>
      </c>
      <c r="F93" s="78" t="s">
        <v>299</v>
      </c>
      <c r="G93" s="50" t="s">
        <v>35</v>
      </c>
      <c r="H93" s="51">
        <f t="shared" si="8"/>
        <v>161.14663195339892</v>
      </c>
      <c r="I93" s="51">
        <f t="shared" si="6"/>
        <v>34.588855653845016</v>
      </c>
      <c r="J93" s="78" t="s">
        <v>270</v>
      </c>
      <c r="K93" s="116" t="s">
        <v>87</v>
      </c>
      <c r="L93" s="117"/>
      <c r="M93" s="78" t="s">
        <v>278</v>
      </c>
      <c r="N93" s="80">
        <v>295</v>
      </c>
      <c r="O93" s="78" t="s">
        <v>287</v>
      </c>
      <c r="P93" s="78" t="s">
        <v>280</v>
      </c>
      <c r="Q93" s="77">
        <v>18.544444444444448</v>
      </c>
      <c r="R93" s="77">
        <v>-7.2</v>
      </c>
      <c r="S93" s="52">
        <f t="shared" si="5"/>
        <v>-15.55387691651481</v>
      </c>
    </row>
    <row r="94" spans="5:19" ht="17" customHeight="1">
      <c r="E94" s="49" t="str">
        <f t="shared" si="7"/>
        <v/>
      </c>
      <c r="F94" s="78" t="s">
        <v>300</v>
      </c>
      <c r="G94" s="50" t="s">
        <v>35</v>
      </c>
      <c r="H94" s="51">
        <f t="shared" si="8"/>
        <v>161.58757651590435</v>
      </c>
      <c r="I94" s="51">
        <f t="shared" si="6"/>
        <v>32.962977934331654</v>
      </c>
      <c r="J94" s="78" t="s">
        <v>270</v>
      </c>
      <c r="K94" s="116" t="s">
        <v>301</v>
      </c>
      <c r="L94" s="117"/>
      <c r="M94" s="78" t="s">
        <v>278</v>
      </c>
      <c r="N94" s="80">
        <v>295</v>
      </c>
      <c r="O94" s="78" t="s">
        <v>287</v>
      </c>
      <c r="P94" s="78" t="s">
        <v>280</v>
      </c>
      <c r="Q94" s="77">
        <v>18.544722222222223</v>
      </c>
      <c r="R94" s="77">
        <v>-8.8666666666666671</v>
      </c>
      <c r="S94" s="52">
        <f t="shared" si="5"/>
        <v>-15.558043583181416</v>
      </c>
    </row>
    <row r="95" spans="5:19" s="53" customFormat="1" ht="17" customHeight="1">
      <c r="E95" s="49" t="str">
        <f t="shared" si="7"/>
        <v/>
      </c>
      <c r="F95" s="82" t="s">
        <v>302</v>
      </c>
      <c r="G95" s="50" t="s">
        <v>35</v>
      </c>
      <c r="H95" s="51">
        <f t="shared" si="8"/>
        <v>154.2385899440321</v>
      </c>
      <c r="I95" s="51">
        <f t="shared" si="6"/>
        <v>36.218300135783238</v>
      </c>
      <c r="J95" s="82" t="s">
        <v>270</v>
      </c>
      <c r="K95" s="120" t="s">
        <v>303</v>
      </c>
      <c r="L95" s="119"/>
      <c r="M95" s="82" t="s">
        <v>63</v>
      </c>
      <c r="N95" s="82" t="s">
        <v>304</v>
      </c>
      <c r="O95" s="82" t="s">
        <v>455</v>
      </c>
      <c r="P95" s="82" t="s">
        <v>274</v>
      </c>
      <c r="Q95" s="84">
        <v>18.879722222222224</v>
      </c>
      <c r="R95" s="84">
        <v>-4.1500000000000004</v>
      </c>
      <c r="S95" s="125">
        <f t="shared" si="5"/>
        <v>-20.58304358318145</v>
      </c>
    </row>
    <row r="96" spans="5:19" ht="17" customHeight="1">
      <c r="E96" s="49" t="str">
        <f t="shared" si="7"/>
        <v/>
      </c>
      <c r="F96" s="78" t="s">
        <v>305</v>
      </c>
      <c r="G96" s="50" t="s">
        <v>35</v>
      </c>
      <c r="H96" s="51">
        <f t="shared" si="8"/>
        <v>160.17361867395007</v>
      </c>
      <c r="I96" s="51">
        <f t="shared" si="6"/>
        <v>33.267408717673931</v>
      </c>
      <c r="J96" s="78" t="s">
        <v>270</v>
      </c>
      <c r="K96" s="116" t="s">
        <v>306</v>
      </c>
      <c r="L96" s="117"/>
      <c r="M96" s="78" t="s">
        <v>63</v>
      </c>
      <c r="N96" s="80">
        <v>295</v>
      </c>
      <c r="O96" s="78" t="s">
        <v>307</v>
      </c>
      <c r="P96" s="78" t="s">
        <v>280</v>
      </c>
      <c r="Q96" s="77">
        <v>18.617777777777778</v>
      </c>
      <c r="R96" s="77">
        <v>-8.3000000000000007</v>
      </c>
      <c r="S96" s="52">
        <f t="shared" si="5"/>
        <v>-16.653876916514719</v>
      </c>
    </row>
    <row r="97" spans="5:19" ht="17" customHeight="1">
      <c r="E97" s="49" t="str">
        <f t="shared" si="7"/>
        <v/>
      </c>
      <c r="F97" s="78" t="s">
        <v>308</v>
      </c>
      <c r="G97" s="50" t="s">
        <v>35</v>
      </c>
      <c r="H97" s="51">
        <f t="shared" si="8"/>
        <v>157.15792805083115</v>
      </c>
      <c r="I97" s="51">
        <f t="shared" si="6"/>
        <v>40.995930425089973</v>
      </c>
      <c r="J97" s="78" t="s">
        <v>309</v>
      </c>
      <c r="K97" s="116" t="s">
        <v>310</v>
      </c>
      <c r="L97" s="117"/>
      <c r="M97" s="78" t="s">
        <v>63</v>
      </c>
      <c r="N97" s="80">
        <v>250</v>
      </c>
      <c r="O97" s="78" t="s">
        <v>311</v>
      </c>
      <c r="P97" s="78" t="s">
        <v>312</v>
      </c>
      <c r="Q97" s="77">
        <v>18.643333333333334</v>
      </c>
      <c r="R97" s="77">
        <v>-0.21666666666666667</v>
      </c>
      <c r="S97" s="52">
        <f t="shared" si="5"/>
        <v>-17.037210249848101</v>
      </c>
    </row>
    <row r="98" spans="5:19" ht="17" customHeight="1">
      <c r="E98" s="49" t="str">
        <f t="shared" si="7"/>
        <v/>
      </c>
      <c r="F98" s="78" t="s">
        <v>313</v>
      </c>
      <c r="G98" s="50" t="s">
        <v>35</v>
      </c>
      <c r="H98" s="51">
        <f t="shared" si="8"/>
        <v>172.61732285313795</v>
      </c>
      <c r="I98" s="51">
        <f t="shared" si="6"/>
        <v>12.326872225985838</v>
      </c>
      <c r="J98" s="78" t="s">
        <v>314</v>
      </c>
      <c r="K98" s="116" t="s">
        <v>315</v>
      </c>
      <c r="L98" s="117"/>
      <c r="M98" s="78" t="s">
        <v>164</v>
      </c>
      <c r="N98" s="78" t="s">
        <v>316</v>
      </c>
      <c r="O98" s="80">
        <v>163</v>
      </c>
      <c r="P98" s="78" t="s">
        <v>317</v>
      </c>
      <c r="Q98" s="77">
        <v>18.068055555555556</v>
      </c>
      <c r="R98" s="77">
        <v>-30.85</v>
      </c>
      <c r="S98" s="52">
        <f t="shared" si="5"/>
        <v>-8.4080435831814384</v>
      </c>
    </row>
    <row r="99" spans="5:19" ht="17" customHeight="1">
      <c r="E99" s="49" t="str">
        <f t="shared" si="7"/>
        <v/>
      </c>
      <c r="F99" s="78" t="s">
        <v>318</v>
      </c>
      <c r="G99" s="50" t="s">
        <v>35</v>
      </c>
      <c r="H99" s="51">
        <f t="shared" si="8"/>
        <v>172.66948099224768</v>
      </c>
      <c r="I99" s="51">
        <f t="shared" si="6"/>
        <v>11.661921734270107</v>
      </c>
      <c r="J99" s="78" t="s">
        <v>314</v>
      </c>
      <c r="K99" s="116" t="s">
        <v>319</v>
      </c>
      <c r="L99" s="118" t="s">
        <v>320</v>
      </c>
      <c r="M99" s="80">
        <v>22</v>
      </c>
      <c r="N99" s="80">
        <v>377</v>
      </c>
      <c r="O99" s="80">
        <v>163</v>
      </c>
      <c r="P99" s="78" t="s">
        <v>317</v>
      </c>
      <c r="Q99" s="77">
        <v>18.069444444444443</v>
      </c>
      <c r="R99" s="77">
        <v>-31.516666666666666</v>
      </c>
      <c r="S99" s="52">
        <f t="shared" si="5"/>
        <v>-8.4288769165146959</v>
      </c>
    </row>
    <row r="100" spans="5:19" ht="17" customHeight="1">
      <c r="E100" s="49" t="str">
        <f t="shared" si="7"/>
        <v/>
      </c>
      <c r="F100" s="82" t="s">
        <v>321</v>
      </c>
      <c r="G100" s="50" t="s">
        <v>35</v>
      </c>
      <c r="H100" s="51">
        <f t="shared" si="8"/>
        <v>172.68805957587483</v>
      </c>
      <c r="I100" s="51">
        <f t="shared" si="6"/>
        <v>26.918159163228609</v>
      </c>
      <c r="J100" s="82" t="s">
        <v>314</v>
      </c>
      <c r="K100" s="120" t="s">
        <v>297</v>
      </c>
      <c r="L100" s="119"/>
      <c r="M100" s="82" t="s">
        <v>322</v>
      </c>
      <c r="N100" s="82" t="s">
        <v>323</v>
      </c>
      <c r="O100" s="82" t="s">
        <v>453</v>
      </c>
      <c r="P100" s="82" t="s">
        <v>179</v>
      </c>
      <c r="Q100" s="85">
        <v>17.960277777777776</v>
      </c>
      <c r="R100" s="85">
        <v>-16.333333333333332</v>
      </c>
      <c r="S100" s="52">
        <f t="shared" si="5"/>
        <v>-6.7913769165147073</v>
      </c>
    </row>
    <row r="101" spans="5:19" ht="17" customHeight="1">
      <c r="E101" s="49" t="str">
        <f t="shared" si="7"/>
        <v/>
      </c>
      <c r="F101" s="82" t="s">
        <v>324</v>
      </c>
      <c r="G101" s="50" t="s">
        <v>35</v>
      </c>
      <c r="H101" s="51">
        <f t="shared" si="8"/>
        <v>174.10011815360534</v>
      </c>
      <c r="I101" s="51">
        <f t="shared" si="6"/>
        <v>14.334807701355405</v>
      </c>
      <c r="J101" s="82" t="s">
        <v>314</v>
      </c>
      <c r="K101" s="120" t="s">
        <v>325</v>
      </c>
      <c r="L101" s="119"/>
      <c r="M101" s="82" t="s">
        <v>164</v>
      </c>
      <c r="N101" s="82" t="s">
        <v>316</v>
      </c>
      <c r="O101" s="82" t="s">
        <v>454</v>
      </c>
      <c r="P101" s="82" t="s">
        <v>317</v>
      </c>
      <c r="Q101" s="85">
        <v>17.943333333333335</v>
      </c>
      <c r="R101" s="85">
        <v>-28.983333333333334</v>
      </c>
      <c r="S101" s="52">
        <f t="shared" si="5"/>
        <v>-6.5372102498481013</v>
      </c>
    </row>
    <row r="102" spans="5:19" ht="17" customHeight="1">
      <c r="E102" s="49" t="str">
        <f t="shared" si="7"/>
        <v/>
      </c>
      <c r="F102" s="78" t="s">
        <v>326</v>
      </c>
      <c r="G102" s="50" t="s">
        <v>35</v>
      </c>
      <c r="H102" s="51">
        <f t="shared" si="8"/>
        <v>175.89717341313161</v>
      </c>
      <c r="I102" s="51">
        <f t="shared" si="6"/>
        <v>23.701546078267675</v>
      </c>
      <c r="J102" s="78" t="s">
        <v>314</v>
      </c>
      <c r="K102" s="116" t="s">
        <v>327</v>
      </c>
      <c r="L102" s="117"/>
      <c r="M102" s="78" t="s">
        <v>178</v>
      </c>
      <c r="N102" s="80">
        <v>338</v>
      </c>
      <c r="O102" s="80">
        <v>146</v>
      </c>
      <c r="P102" s="78" t="s">
        <v>179</v>
      </c>
      <c r="Q102" s="77">
        <v>17.773611111111109</v>
      </c>
      <c r="R102" s="77">
        <v>-19.75</v>
      </c>
      <c r="S102" s="52">
        <f t="shared" si="5"/>
        <v>-3.9913769165146959</v>
      </c>
    </row>
    <row r="103" spans="5:19" ht="17" customHeight="1">
      <c r="E103" s="49" t="str">
        <f t="shared" si="7"/>
        <v/>
      </c>
      <c r="F103" s="78" t="s">
        <v>328</v>
      </c>
      <c r="G103" s="50" t="s">
        <v>35</v>
      </c>
      <c r="H103" s="51">
        <f t="shared" si="8"/>
        <v>170.31699356599597</v>
      </c>
      <c r="I103" s="51">
        <f t="shared" si="6"/>
        <v>20.965710797543931</v>
      </c>
      <c r="J103" s="78" t="s">
        <v>314</v>
      </c>
      <c r="K103" s="116" t="s">
        <v>329</v>
      </c>
      <c r="L103" s="117"/>
      <c r="M103" s="80">
        <v>22</v>
      </c>
      <c r="N103" s="80">
        <v>339</v>
      </c>
      <c r="O103" s="78" t="s">
        <v>330</v>
      </c>
      <c r="P103" s="78" t="s">
        <v>331</v>
      </c>
      <c r="Q103" s="77">
        <v>18.157777777777778</v>
      </c>
      <c r="R103" s="77">
        <v>-22.016666666666666</v>
      </c>
      <c r="S103" s="52">
        <f t="shared" si="5"/>
        <v>-9.7538769165147414</v>
      </c>
    </row>
    <row r="104" spans="5:19" ht="17" customHeight="1"/>
    <row r="105" spans="5:19" ht="17" customHeight="1">
      <c r="R105" s="94" t="s">
        <v>461</v>
      </c>
      <c r="S105" s="46">
        <f>PI()/180</f>
        <v>1.7453292519943295E-2</v>
      </c>
    </row>
    <row r="106" spans="5:19" ht="17" customHeight="1"/>
  </sheetData>
  <sheetProtection sheet="1" objects="1" scenarios="1"/>
  <mergeCells count="31">
    <mergeCell ref="R7:R8"/>
    <mergeCell ref="S7:S8"/>
    <mergeCell ref="V7:V8"/>
    <mergeCell ref="B2:C2"/>
    <mergeCell ref="F2:S2"/>
    <mergeCell ref="V2:AI2"/>
    <mergeCell ref="F7:F8"/>
    <mergeCell ref="G7:G8"/>
    <mergeCell ref="H7:H8"/>
    <mergeCell ref="I7:I8"/>
    <mergeCell ref="J7:J8"/>
    <mergeCell ref="K7:K8"/>
    <mergeCell ref="L7:L8"/>
    <mergeCell ref="AC7:AC8"/>
    <mergeCell ref="AG7:AG8"/>
    <mergeCell ref="B36:D36"/>
    <mergeCell ref="AH7:AH8"/>
    <mergeCell ref="AI7:AI8"/>
    <mergeCell ref="B19:B24"/>
    <mergeCell ref="M7:M8"/>
    <mergeCell ref="AD7:AD8"/>
    <mergeCell ref="AF7:AF8"/>
    <mergeCell ref="W7:W8"/>
    <mergeCell ref="X7:X8"/>
    <mergeCell ref="Y7:Y8"/>
    <mergeCell ref="Z7:Z8"/>
    <mergeCell ref="AA7:AA8"/>
    <mergeCell ref="AB7:AB8"/>
    <mergeCell ref="P7:P8"/>
    <mergeCell ref="Q7:Q8"/>
    <mergeCell ref="B27:D27"/>
  </mergeCells>
  <conditionalFormatting sqref="F9:F103">
    <cfRule type="expression" dxfId="2" priority="3">
      <formula>AND($I9&gt;=$I$4,$I9&lt;=$I$6,$H9&gt;=$H$4,$H9&lt;=$H$6)</formula>
    </cfRule>
  </conditionalFormatting>
  <conditionalFormatting sqref="H9:H103">
    <cfRule type="expression" dxfId="1" priority="2">
      <formula>AND($H9&gt;=$H$4,$H9&lt;=$H$6)</formula>
    </cfRule>
  </conditionalFormatting>
  <conditionalFormatting sqref="I9:I103">
    <cfRule type="expression" dxfId="0" priority="1">
      <formula>AND($I9&gt;=$I$4,$I9&lt;=$I$6)</formula>
    </cfRule>
  </conditionalFormatting>
  <dataValidations count="3">
    <dataValidation type="list" allowBlank="1" showInputMessage="1" showErrorMessage="1" sqref="G9:G103" xr:uid="{CD43D90F-3C0E-AD4C-9DE9-982FFD210093}">
      <formula1>$C$19:$C$24</formula1>
    </dataValidation>
    <dataValidation type="list" allowBlank="1" showInputMessage="1" showErrorMessage="1" sqref="C12" xr:uid="{57982AEC-26CA-134B-AEC3-2F73ADBCE289}">
      <formula1>$B$29:$B$33</formula1>
    </dataValidation>
    <dataValidation type="list" allowBlank="1" showInputMessage="1" showErrorMessage="1" sqref="D19:D24" xr:uid="{309C148C-0AB6-3E43-97C9-9D376C9C7B93}">
      <formula1>$B$55:$B$56</formula1>
    </dataValidation>
  </dataValidations>
  <hyperlinks>
    <hyperlink ref="S3" r:id="rId1" xr:uid="{90D3BE4B-46DC-4846-9618-9246B0B80085}"/>
  </hyperlinks>
  <pageMargins left="0.7" right="0.7" top="0.75" bottom="0.75" header="0.3" footer="0.3"/>
  <pageSetup paperSize="9" scale="79" orientation="portrait" horizontalDpi="0" verticalDpi="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166C1-BD00-634C-A9B0-74683930C35C}">
  <dimension ref="B1:T209"/>
  <sheetViews>
    <sheetView showGridLines="0" workbookViewId="0">
      <selection activeCell="D37" sqref="D37"/>
    </sheetView>
  </sheetViews>
  <sheetFormatPr baseColWidth="10" defaultRowHeight="13"/>
  <cols>
    <col min="1" max="1" width="10.83203125" style="183" customWidth="1"/>
    <col min="2" max="2" width="15.83203125" style="183" customWidth="1"/>
    <col min="3" max="3" width="13.33203125" style="183" customWidth="1"/>
    <col min="4" max="4" width="15.83203125" style="183" customWidth="1"/>
    <col min="5" max="7" width="10.83203125" style="183" customWidth="1"/>
    <col min="8" max="10" width="12.1640625" style="183" customWidth="1"/>
    <col min="11" max="11" width="10.83203125" style="183" customWidth="1"/>
    <col min="12" max="12" width="15.83203125" style="183" customWidth="1"/>
    <col min="13" max="13" width="13.33203125" style="183" customWidth="1"/>
    <col min="14" max="14" width="15.83203125" style="183" customWidth="1"/>
    <col min="15" max="17" width="10.83203125" style="183" customWidth="1"/>
    <col min="18" max="20" width="12.1640625" style="183" customWidth="1"/>
    <col min="21" max="22" width="10.83203125" style="183" customWidth="1"/>
    <col min="23" max="23" width="10.1640625" style="183" bestFit="1" customWidth="1"/>
    <col min="24" max="247" width="8.83203125" style="183" customWidth="1"/>
    <col min="248" max="248" width="7.83203125" style="183" customWidth="1"/>
    <col min="249" max="249" width="7.5" style="183" customWidth="1"/>
    <col min="250" max="250" width="9" style="183" customWidth="1"/>
    <col min="251" max="251" width="8.33203125" style="183" customWidth="1"/>
    <col min="252" max="254" width="8.5" style="183" bestFit="1" customWidth="1"/>
    <col min="255" max="255" width="10" style="183" bestFit="1" customWidth="1"/>
    <col min="256" max="256" width="8.1640625" style="183" bestFit="1" customWidth="1"/>
    <col min="257" max="258" width="8.5" style="183" bestFit="1" customWidth="1"/>
    <col min="259" max="259" width="6" style="183" bestFit="1" customWidth="1"/>
    <col min="260" max="260" width="8.83203125" style="183" customWidth="1"/>
    <col min="261" max="261" width="8.5" style="183" bestFit="1" customWidth="1"/>
    <col min="262" max="262" width="7.1640625" style="183" bestFit="1" customWidth="1"/>
    <col min="263" max="263" width="4.5" style="183" bestFit="1" customWidth="1"/>
    <col min="264" max="264" width="5.5" style="183" bestFit="1" customWidth="1"/>
    <col min="265" max="267" width="6.1640625" style="183" bestFit="1" customWidth="1"/>
    <col min="268" max="268" width="7.1640625" style="183" bestFit="1" customWidth="1"/>
    <col min="269" max="278" width="8.83203125" style="183" customWidth="1"/>
    <col min="279" max="279" width="10" style="183" bestFit="1" customWidth="1"/>
    <col min="280" max="503" width="8.83203125" style="183" customWidth="1"/>
    <col min="504" max="504" width="7.83203125" style="183" customWidth="1"/>
    <col min="505" max="505" width="7.5" style="183" customWidth="1"/>
    <col min="506" max="506" width="9" style="183" customWidth="1"/>
    <col min="507" max="507" width="8.33203125" style="183" customWidth="1"/>
    <col min="508" max="510" width="8.5" style="183" bestFit="1" customWidth="1"/>
    <col min="511" max="511" width="10" style="183" bestFit="1" customWidth="1"/>
    <col min="512" max="512" width="8.1640625" style="183" bestFit="1" customWidth="1"/>
    <col min="513" max="514" width="8.5" style="183" bestFit="1" customWidth="1"/>
    <col min="515" max="515" width="6" style="183" bestFit="1" customWidth="1"/>
    <col min="516" max="516" width="8.83203125" style="183" customWidth="1"/>
    <col min="517" max="517" width="8.5" style="183" bestFit="1" customWidth="1"/>
    <col min="518" max="518" width="7.1640625" style="183" bestFit="1" customWidth="1"/>
    <col min="519" max="519" width="4.5" style="183" bestFit="1" customWidth="1"/>
    <col min="520" max="520" width="5.5" style="183" bestFit="1" customWidth="1"/>
    <col min="521" max="523" width="6.1640625" style="183" bestFit="1" customWidth="1"/>
    <col min="524" max="524" width="7.1640625" style="183" bestFit="1" customWidth="1"/>
    <col min="525" max="534" width="8.83203125" style="183" customWidth="1"/>
    <col min="535" max="535" width="10" style="183" bestFit="1" customWidth="1"/>
    <col min="536" max="759" width="8.83203125" style="183" customWidth="1"/>
    <col min="760" max="760" width="7.83203125" style="183" customWidth="1"/>
    <col min="761" max="761" width="7.5" style="183" customWidth="1"/>
    <col min="762" max="762" width="9" style="183" customWidth="1"/>
    <col min="763" max="763" width="8.33203125" style="183" customWidth="1"/>
    <col min="764" max="766" width="8.5" style="183" bestFit="1" customWidth="1"/>
    <col min="767" max="767" width="10" style="183" bestFit="1" customWidth="1"/>
    <col min="768" max="768" width="8.1640625" style="183" bestFit="1" customWidth="1"/>
    <col min="769" max="770" width="8.5" style="183" bestFit="1" customWidth="1"/>
    <col min="771" max="771" width="6" style="183" bestFit="1" customWidth="1"/>
    <col min="772" max="772" width="8.83203125" style="183" customWidth="1"/>
    <col min="773" max="773" width="8.5" style="183" bestFit="1" customWidth="1"/>
    <col min="774" max="774" width="7.1640625" style="183" bestFit="1" customWidth="1"/>
    <col min="775" max="775" width="4.5" style="183" bestFit="1" customWidth="1"/>
    <col min="776" max="776" width="5.5" style="183" bestFit="1" customWidth="1"/>
    <col min="777" max="779" width="6.1640625" style="183" bestFit="1" customWidth="1"/>
    <col min="780" max="780" width="7.1640625" style="183" bestFit="1" customWidth="1"/>
    <col min="781" max="790" width="8.83203125" style="183" customWidth="1"/>
    <col min="791" max="791" width="10" style="183" bestFit="1" customWidth="1"/>
    <col min="792" max="1015" width="8.83203125" style="183" customWidth="1"/>
    <col min="1016" max="1016" width="7.83203125" style="183" customWidth="1"/>
    <col min="1017" max="1017" width="7.5" style="183" customWidth="1"/>
    <col min="1018" max="1018" width="9" style="183" customWidth="1"/>
    <col min="1019" max="1019" width="8.33203125" style="183" customWidth="1"/>
    <col min="1020" max="1022" width="8.5" style="183" bestFit="1" customWidth="1"/>
    <col min="1023" max="1023" width="10" style="183" bestFit="1" customWidth="1"/>
    <col min="1024" max="1024" width="8.1640625" style="183" bestFit="1" customWidth="1"/>
    <col min="1025" max="1026" width="8.5" style="183" bestFit="1" customWidth="1"/>
    <col min="1027" max="1027" width="6" style="183" bestFit="1" customWidth="1"/>
    <col min="1028" max="1028" width="8.83203125" style="183" customWidth="1"/>
    <col min="1029" max="1029" width="8.5" style="183" bestFit="1" customWidth="1"/>
    <col min="1030" max="1030" width="7.1640625" style="183" bestFit="1" customWidth="1"/>
    <col min="1031" max="1031" width="4.5" style="183" bestFit="1" customWidth="1"/>
    <col min="1032" max="1032" width="5.5" style="183" bestFit="1" customWidth="1"/>
    <col min="1033" max="1035" width="6.1640625" style="183" bestFit="1" customWidth="1"/>
    <col min="1036" max="1036" width="7.1640625" style="183" bestFit="1" customWidth="1"/>
    <col min="1037" max="1046" width="8.83203125" style="183" customWidth="1"/>
    <col min="1047" max="1047" width="10" style="183" bestFit="1" customWidth="1"/>
    <col min="1048" max="1271" width="8.83203125" style="183" customWidth="1"/>
    <col min="1272" max="1272" width="7.83203125" style="183" customWidth="1"/>
    <col min="1273" max="1273" width="7.5" style="183" customWidth="1"/>
    <col min="1274" max="1274" width="9" style="183" customWidth="1"/>
    <col min="1275" max="1275" width="8.33203125" style="183" customWidth="1"/>
    <col min="1276" max="1278" width="8.5" style="183" bestFit="1" customWidth="1"/>
    <col min="1279" max="1279" width="10" style="183" bestFit="1" customWidth="1"/>
    <col min="1280" max="1280" width="8.1640625" style="183" bestFit="1" customWidth="1"/>
    <col min="1281" max="1282" width="8.5" style="183" bestFit="1" customWidth="1"/>
    <col min="1283" max="1283" width="6" style="183" bestFit="1" customWidth="1"/>
    <col min="1284" max="1284" width="8.83203125" style="183" customWidth="1"/>
    <col min="1285" max="1285" width="8.5" style="183" bestFit="1" customWidth="1"/>
    <col min="1286" max="1286" width="7.1640625" style="183" bestFit="1" customWidth="1"/>
    <col min="1287" max="1287" width="4.5" style="183" bestFit="1" customWidth="1"/>
    <col min="1288" max="1288" width="5.5" style="183" bestFit="1" customWidth="1"/>
    <col min="1289" max="1291" width="6.1640625" style="183" bestFit="1" customWidth="1"/>
    <col min="1292" max="1292" width="7.1640625" style="183" bestFit="1" customWidth="1"/>
    <col min="1293" max="1302" width="8.83203125" style="183" customWidth="1"/>
    <col min="1303" max="1303" width="10" style="183" bestFit="1" customWidth="1"/>
    <col min="1304" max="1527" width="8.83203125" style="183" customWidth="1"/>
    <col min="1528" max="1528" width="7.83203125" style="183" customWidth="1"/>
    <col min="1529" max="1529" width="7.5" style="183" customWidth="1"/>
    <col min="1530" max="1530" width="9" style="183" customWidth="1"/>
    <col min="1531" max="1531" width="8.33203125" style="183" customWidth="1"/>
    <col min="1532" max="1534" width="8.5" style="183" bestFit="1" customWidth="1"/>
    <col min="1535" max="1535" width="10" style="183" bestFit="1" customWidth="1"/>
    <col min="1536" max="1536" width="8.1640625" style="183" bestFit="1" customWidth="1"/>
    <col min="1537" max="1538" width="8.5" style="183" bestFit="1" customWidth="1"/>
    <col min="1539" max="1539" width="6" style="183" bestFit="1" customWidth="1"/>
    <col min="1540" max="1540" width="8.83203125" style="183" customWidth="1"/>
    <col min="1541" max="1541" width="8.5" style="183" bestFit="1" customWidth="1"/>
    <col min="1542" max="1542" width="7.1640625" style="183" bestFit="1" customWidth="1"/>
    <col min="1543" max="1543" width="4.5" style="183" bestFit="1" customWidth="1"/>
    <col min="1544" max="1544" width="5.5" style="183" bestFit="1" customWidth="1"/>
    <col min="1545" max="1547" width="6.1640625" style="183" bestFit="1" customWidth="1"/>
    <col min="1548" max="1548" width="7.1640625" style="183" bestFit="1" customWidth="1"/>
    <col min="1549" max="1558" width="8.83203125" style="183" customWidth="1"/>
    <col min="1559" max="1559" width="10" style="183" bestFit="1" customWidth="1"/>
    <col min="1560" max="1783" width="8.83203125" style="183" customWidth="1"/>
    <col min="1784" max="1784" width="7.83203125" style="183" customWidth="1"/>
    <col min="1785" max="1785" width="7.5" style="183" customWidth="1"/>
    <col min="1786" max="1786" width="9" style="183" customWidth="1"/>
    <col min="1787" max="1787" width="8.33203125" style="183" customWidth="1"/>
    <col min="1788" max="1790" width="8.5" style="183" bestFit="1" customWidth="1"/>
    <col min="1791" max="1791" width="10" style="183" bestFit="1" customWidth="1"/>
    <col min="1792" max="1792" width="8.1640625" style="183" bestFit="1" customWidth="1"/>
    <col min="1793" max="1794" width="8.5" style="183" bestFit="1" customWidth="1"/>
    <col min="1795" max="1795" width="6" style="183" bestFit="1" customWidth="1"/>
    <col min="1796" max="1796" width="8.83203125" style="183" customWidth="1"/>
    <col min="1797" max="1797" width="8.5" style="183" bestFit="1" customWidth="1"/>
    <col min="1798" max="1798" width="7.1640625" style="183" bestFit="1" customWidth="1"/>
    <col min="1799" max="1799" width="4.5" style="183" bestFit="1" customWidth="1"/>
    <col min="1800" max="1800" width="5.5" style="183" bestFit="1" customWidth="1"/>
    <col min="1801" max="1803" width="6.1640625" style="183" bestFit="1" customWidth="1"/>
    <col min="1804" max="1804" width="7.1640625" style="183" bestFit="1" customWidth="1"/>
    <col min="1805" max="1814" width="8.83203125" style="183" customWidth="1"/>
    <col min="1815" max="1815" width="10" style="183" bestFit="1" customWidth="1"/>
    <col min="1816" max="2039" width="8.83203125" style="183" customWidth="1"/>
    <col min="2040" max="2040" width="7.83203125" style="183" customWidth="1"/>
    <col min="2041" max="2041" width="7.5" style="183" customWidth="1"/>
    <col min="2042" max="2042" width="9" style="183" customWidth="1"/>
    <col min="2043" max="2043" width="8.33203125" style="183" customWidth="1"/>
    <col min="2044" max="2046" width="8.5" style="183" bestFit="1" customWidth="1"/>
    <col min="2047" max="2047" width="10" style="183" bestFit="1" customWidth="1"/>
    <col min="2048" max="2048" width="8.1640625" style="183" bestFit="1" customWidth="1"/>
    <col min="2049" max="2050" width="8.5" style="183" bestFit="1" customWidth="1"/>
    <col min="2051" max="2051" width="6" style="183" bestFit="1" customWidth="1"/>
    <col min="2052" max="2052" width="8.83203125" style="183" customWidth="1"/>
    <col min="2053" max="2053" width="8.5" style="183" bestFit="1" customWidth="1"/>
    <col min="2054" max="2054" width="7.1640625" style="183" bestFit="1" customWidth="1"/>
    <col min="2055" max="2055" width="4.5" style="183" bestFit="1" customWidth="1"/>
    <col min="2056" max="2056" width="5.5" style="183" bestFit="1" customWidth="1"/>
    <col min="2057" max="2059" width="6.1640625" style="183" bestFit="1" customWidth="1"/>
    <col min="2060" max="2060" width="7.1640625" style="183" bestFit="1" customWidth="1"/>
    <col min="2061" max="2070" width="8.83203125" style="183" customWidth="1"/>
    <col min="2071" max="2071" width="10" style="183" bestFit="1" customWidth="1"/>
    <col min="2072" max="2295" width="8.83203125" style="183" customWidth="1"/>
    <col min="2296" max="2296" width="7.83203125" style="183" customWidth="1"/>
    <col min="2297" max="2297" width="7.5" style="183" customWidth="1"/>
    <col min="2298" max="2298" width="9" style="183" customWidth="1"/>
    <col min="2299" max="2299" width="8.33203125" style="183" customWidth="1"/>
    <col min="2300" max="2302" width="8.5" style="183" bestFit="1" customWidth="1"/>
    <col min="2303" max="2303" width="10" style="183" bestFit="1" customWidth="1"/>
    <col min="2304" max="2304" width="8.1640625" style="183" bestFit="1" customWidth="1"/>
    <col min="2305" max="2306" width="8.5" style="183" bestFit="1" customWidth="1"/>
    <col min="2307" max="2307" width="6" style="183" bestFit="1" customWidth="1"/>
    <col min="2308" max="2308" width="8.83203125" style="183" customWidth="1"/>
    <col min="2309" max="2309" width="8.5" style="183" bestFit="1" customWidth="1"/>
    <col min="2310" max="2310" width="7.1640625" style="183" bestFit="1" customWidth="1"/>
    <col min="2311" max="2311" width="4.5" style="183" bestFit="1" customWidth="1"/>
    <col min="2312" max="2312" width="5.5" style="183" bestFit="1" customWidth="1"/>
    <col min="2313" max="2315" width="6.1640625" style="183" bestFit="1" customWidth="1"/>
    <col min="2316" max="2316" width="7.1640625" style="183" bestFit="1" customWidth="1"/>
    <col min="2317" max="2326" width="8.83203125" style="183" customWidth="1"/>
    <col min="2327" max="2327" width="10" style="183" bestFit="1" customWidth="1"/>
    <col min="2328" max="2551" width="8.83203125" style="183" customWidth="1"/>
    <col min="2552" max="2552" width="7.83203125" style="183" customWidth="1"/>
    <col min="2553" max="2553" width="7.5" style="183" customWidth="1"/>
    <col min="2554" max="2554" width="9" style="183" customWidth="1"/>
    <col min="2555" max="2555" width="8.33203125" style="183" customWidth="1"/>
    <col min="2556" max="2558" width="8.5" style="183" bestFit="1" customWidth="1"/>
    <col min="2559" max="2559" width="10" style="183" bestFit="1" customWidth="1"/>
    <col min="2560" max="2560" width="8.1640625" style="183" bestFit="1" customWidth="1"/>
    <col min="2561" max="2562" width="8.5" style="183" bestFit="1" customWidth="1"/>
    <col min="2563" max="2563" width="6" style="183" bestFit="1" customWidth="1"/>
    <col min="2564" max="2564" width="8.83203125" style="183" customWidth="1"/>
    <col min="2565" max="2565" width="8.5" style="183" bestFit="1" customWidth="1"/>
    <col min="2566" max="2566" width="7.1640625" style="183" bestFit="1" customWidth="1"/>
    <col min="2567" max="2567" width="4.5" style="183" bestFit="1" customWidth="1"/>
    <col min="2568" max="2568" width="5.5" style="183" bestFit="1" customWidth="1"/>
    <col min="2569" max="2571" width="6.1640625" style="183" bestFit="1" customWidth="1"/>
    <col min="2572" max="2572" width="7.1640625" style="183" bestFit="1" customWidth="1"/>
    <col min="2573" max="2582" width="8.83203125" style="183" customWidth="1"/>
    <col min="2583" max="2583" width="10" style="183" bestFit="1" customWidth="1"/>
    <col min="2584" max="2807" width="8.83203125" style="183" customWidth="1"/>
    <col min="2808" max="2808" width="7.83203125" style="183" customWidth="1"/>
    <col min="2809" max="2809" width="7.5" style="183" customWidth="1"/>
    <col min="2810" max="2810" width="9" style="183" customWidth="1"/>
    <col min="2811" max="2811" width="8.33203125" style="183" customWidth="1"/>
    <col min="2812" max="2814" width="8.5" style="183" bestFit="1" customWidth="1"/>
    <col min="2815" max="2815" width="10" style="183" bestFit="1" customWidth="1"/>
    <col min="2816" max="2816" width="8.1640625" style="183" bestFit="1" customWidth="1"/>
    <col min="2817" max="2818" width="8.5" style="183" bestFit="1" customWidth="1"/>
    <col min="2819" max="2819" width="6" style="183" bestFit="1" customWidth="1"/>
    <col min="2820" max="2820" width="8.83203125" style="183" customWidth="1"/>
    <col min="2821" max="2821" width="8.5" style="183" bestFit="1" customWidth="1"/>
    <col min="2822" max="2822" width="7.1640625" style="183" bestFit="1" customWidth="1"/>
    <col min="2823" max="2823" width="4.5" style="183" bestFit="1" customWidth="1"/>
    <col min="2824" max="2824" width="5.5" style="183" bestFit="1" customWidth="1"/>
    <col min="2825" max="2827" width="6.1640625" style="183" bestFit="1" customWidth="1"/>
    <col min="2828" max="2828" width="7.1640625" style="183" bestFit="1" customWidth="1"/>
    <col min="2829" max="2838" width="8.83203125" style="183" customWidth="1"/>
    <col min="2839" max="2839" width="10" style="183" bestFit="1" customWidth="1"/>
    <col min="2840" max="3063" width="8.83203125" style="183" customWidth="1"/>
    <col min="3064" max="3064" width="7.83203125" style="183" customWidth="1"/>
    <col min="3065" max="3065" width="7.5" style="183" customWidth="1"/>
    <col min="3066" max="3066" width="9" style="183" customWidth="1"/>
    <col min="3067" max="3067" width="8.33203125" style="183" customWidth="1"/>
    <col min="3068" max="3070" width="8.5" style="183" bestFit="1" customWidth="1"/>
    <col min="3071" max="3071" width="10" style="183" bestFit="1" customWidth="1"/>
    <col min="3072" max="3072" width="8.1640625" style="183" bestFit="1" customWidth="1"/>
    <col min="3073" max="3074" width="8.5" style="183" bestFit="1" customWidth="1"/>
    <col min="3075" max="3075" width="6" style="183" bestFit="1" customWidth="1"/>
    <col min="3076" max="3076" width="8.83203125" style="183" customWidth="1"/>
    <col min="3077" max="3077" width="8.5" style="183" bestFit="1" customWidth="1"/>
    <col min="3078" max="3078" width="7.1640625" style="183" bestFit="1" customWidth="1"/>
    <col min="3079" max="3079" width="4.5" style="183" bestFit="1" customWidth="1"/>
    <col min="3080" max="3080" width="5.5" style="183" bestFit="1" customWidth="1"/>
    <col min="3081" max="3083" width="6.1640625" style="183" bestFit="1" customWidth="1"/>
    <col min="3084" max="3084" width="7.1640625" style="183" bestFit="1" customWidth="1"/>
    <col min="3085" max="3094" width="8.83203125" style="183" customWidth="1"/>
    <col min="3095" max="3095" width="10" style="183" bestFit="1" customWidth="1"/>
    <col min="3096" max="3319" width="8.83203125" style="183" customWidth="1"/>
    <col min="3320" max="3320" width="7.83203125" style="183" customWidth="1"/>
    <col min="3321" max="3321" width="7.5" style="183" customWidth="1"/>
    <col min="3322" max="3322" width="9" style="183" customWidth="1"/>
    <col min="3323" max="3323" width="8.33203125" style="183" customWidth="1"/>
    <col min="3324" max="3326" width="8.5" style="183" bestFit="1" customWidth="1"/>
    <col min="3327" max="3327" width="10" style="183" bestFit="1" customWidth="1"/>
    <col min="3328" max="3328" width="8.1640625" style="183" bestFit="1" customWidth="1"/>
    <col min="3329" max="3330" width="8.5" style="183" bestFit="1" customWidth="1"/>
    <col min="3331" max="3331" width="6" style="183" bestFit="1" customWidth="1"/>
    <col min="3332" max="3332" width="8.83203125" style="183" customWidth="1"/>
    <col min="3333" max="3333" width="8.5" style="183" bestFit="1" customWidth="1"/>
    <col min="3334" max="3334" width="7.1640625" style="183" bestFit="1" customWidth="1"/>
    <col min="3335" max="3335" width="4.5" style="183" bestFit="1" customWidth="1"/>
    <col min="3336" max="3336" width="5.5" style="183" bestFit="1" customWidth="1"/>
    <col min="3337" max="3339" width="6.1640625" style="183" bestFit="1" customWidth="1"/>
    <col min="3340" max="3340" width="7.1640625" style="183" bestFit="1" customWidth="1"/>
    <col min="3341" max="3350" width="8.83203125" style="183" customWidth="1"/>
    <col min="3351" max="3351" width="10" style="183" bestFit="1" customWidth="1"/>
    <col min="3352" max="3575" width="8.83203125" style="183" customWidth="1"/>
    <col min="3576" max="3576" width="7.83203125" style="183" customWidth="1"/>
    <col min="3577" max="3577" width="7.5" style="183" customWidth="1"/>
    <col min="3578" max="3578" width="9" style="183" customWidth="1"/>
    <col min="3579" max="3579" width="8.33203125" style="183" customWidth="1"/>
    <col min="3580" max="3582" width="8.5" style="183" bestFit="1" customWidth="1"/>
    <col min="3583" max="3583" width="10" style="183" bestFit="1" customWidth="1"/>
    <col min="3584" max="3584" width="8.1640625" style="183" bestFit="1" customWidth="1"/>
    <col min="3585" max="3586" width="8.5" style="183" bestFit="1" customWidth="1"/>
    <col min="3587" max="3587" width="6" style="183" bestFit="1" customWidth="1"/>
    <col min="3588" max="3588" width="8.83203125" style="183" customWidth="1"/>
    <col min="3589" max="3589" width="8.5" style="183" bestFit="1" customWidth="1"/>
    <col min="3590" max="3590" width="7.1640625" style="183" bestFit="1" customWidth="1"/>
    <col min="3591" max="3591" width="4.5" style="183" bestFit="1" customWidth="1"/>
    <col min="3592" max="3592" width="5.5" style="183" bestFit="1" customWidth="1"/>
    <col min="3593" max="3595" width="6.1640625" style="183" bestFit="1" customWidth="1"/>
    <col min="3596" max="3596" width="7.1640625" style="183" bestFit="1" customWidth="1"/>
    <col min="3597" max="3606" width="8.83203125" style="183" customWidth="1"/>
    <col min="3607" max="3607" width="10" style="183" bestFit="1" customWidth="1"/>
    <col min="3608" max="3831" width="8.83203125" style="183" customWidth="1"/>
    <col min="3832" max="3832" width="7.83203125" style="183" customWidth="1"/>
    <col min="3833" max="3833" width="7.5" style="183" customWidth="1"/>
    <col min="3834" max="3834" width="9" style="183" customWidth="1"/>
    <col min="3835" max="3835" width="8.33203125" style="183" customWidth="1"/>
    <col min="3836" max="3838" width="8.5" style="183" bestFit="1" customWidth="1"/>
    <col min="3839" max="3839" width="10" style="183" bestFit="1" customWidth="1"/>
    <col min="3840" max="3840" width="8.1640625" style="183" bestFit="1" customWidth="1"/>
    <col min="3841" max="3842" width="8.5" style="183" bestFit="1" customWidth="1"/>
    <col min="3843" max="3843" width="6" style="183" bestFit="1" customWidth="1"/>
    <col min="3844" max="3844" width="8.83203125" style="183" customWidth="1"/>
    <col min="3845" max="3845" width="8.5" style="183" bestFit="1" customWidth="1"/>
    <col min="3846" max="3846" width="7.1640625" style="183" bestFit="1" customWidth="1"/>
    <col min="3847" max="3847" width="4.5" style="183" bestFit="1" customWidth="1"/>
    <col min="3848" max="3848" width="5.5" style="183" bestFit="1" customWidth="1"/>
    <col min="3849" max="3851" width="6.1640625" style="183" bestFit="1" customWidth="1"/>
    <col min="3852" max="3852" width="7.1640625" style="183" bestFit="1" customWidth="1"/>
    <col min="3853" max="3862" width="8.83203125" style="183" customWidth="1"/>
    <col min="3863" max="3863" width="10" style="183" bestFit="1" customWidth="1"/>
    <col min="3864" max="4087" width="8.83203125" style="183" customWidth="1"/>
    <col min="4088" max="4088" width="7.83203125" style="183" customWidth="1"/>
    <col min="4089" max="4089" width="7.5" style="183" customWidth="1"/>
    <col min="4090" max="4090" width="9" style="183" customWidth="1"/>
    <col min="4091" max="4091" width="8.33203125" style="183" customWidth="1"/>
    <col min="4092" max="4094" width="8.5" style="183" bestFit="1" customWidth="1"/>
    <col min="4095" max="4095" width="10" style="183" bestFit="1" customWidth="1"/>
    <col min="4096" max="4096" width="8.1640625" style="183" bestFit="1" customWidth="1"/>
    <col min="4097" max="4098" width="8.5" style="183" bestFit="1" customWidth="1"/>
    <col min="4099" max="4099" width="6" style="183" bestFit="1" customWidth="1"/>
    <col min="4100" max="4100" width="8.83203125" style="183" customWidth="1"/>
    <col min="4101" max="4101" width="8.5" style="183" bestFit="1" customWidth="1"/>
    <col min="4102" max="4102" width="7.1640625" style="183" bestFit="1" customWidth="1"/>
    <col min="4103" max="4103" width="4.5" style="183" bestFit="1" customWidth="1"/>
    <col min="4104" max="4104" width="5.5" style="183" bestFit="1" customWidth="1"/>
    <col min="4105" max="4107" width="6.1640625" style="183" bestFit="1" customWidth="1"/>
    <col min="4108" max="4108" width="7.1640625" style="183" bestFit="1" customWidth="1"/>
    <col min="4109" max="4118" width="8.83203125" style="183" customWidth="1"/>
    <col min="4119" max="4119" width="10" style="183" bestFit="1" customWidth="1"/>
    <col min="4120" max="4343" width="8.83203125" style="183" customWidth="1"/>
    <col min="4344" max="4344" width="7.83203125" style="183" customWidth="1"/>
    <col min="4345" max="4345" width="7.5" style="183" customWidth="1"/>
    <col min="4346" max="4346" width="9" style="183" customWidth="1"/>
    <col min="4347" max="4347" width="8.33203125" style="183" customWidth="1"/>
    <col min="4348" max="4350" width="8.5" style="183" bestFit="1" customWidth="1"/>
    <col min="4351" max="4351" width="10" style="183" bestFit="1" customWidth="1"/>
    <col min="4352" max="4352" width="8.1640625" style="183" bestFit="1" customWidth="1"/>
    <col min="4353" max="4354" width="8.5" style="183" bestFit="1" customWidth="1"/>
    <col min="4355" max="4355" width="6" style="183" bestFit="1" customWidth="1"/>
    <col min="4356" max="4356" width="8.83203125" style="183" customWidth="1"/>
    <col min="4357" max="4357" width="8.5" style="183" bestFit="1" customWidth="1"/>
    <col min="4358" max="4358" width="7.1640625" style="183" bestFit="1" customWidth="1"/>
    <col min="4359" max="4359" width="4.5" style="183" bestFit="1" customWidth="1"/>
    <col min="4360" max="4360" width="5.5" style="183" bestFit="1" customWidth="1"/>
    <col min="4361" max="4363" width="6.1640625" style="183" bestFit="1" customWidth="1"/>
    <col min="4364" max="4364" width="7.1640625" style="183" bestFit="1" customWidth="1"/>
    <col min="4365" max="4374" width="8.83203125" style="183" customWidth="1"/>
    <col min="4375" max="4375" width="10" style="183" bestFit="1" customWidth="1"/>
    <col min="4376" max="4599" width="8.83203125" style="183" customWidth="1"/>
    <col min="4600" max="4600" width="7.83203125" style="183" customWidth="1"/>
    <col min="4601" max="4601" width="7.5" style="183" customWidth="1"/>
    <col min="4602" max="4602" width="9" style="183" customWidth="1"/>
    <col min="4603" max="4603" width="8.33203125" style="183" customWidth="1"/>
    <col min="4604" max="4606" width="8.5" style="183" bestFit="1" customWidth="1"/>
    <col min="4607" max="4607" width="10" style="183" bestFit="1" customWidth="1"/>
    <col min="4608" max="4608" width="8.1640625" style="183" bestFit="1" customWidth="1"/>
    <col min="4609" max="4610" width="8.5" style="183" bestFit="1" customWidth="1"/>
    <col min="4611" max="4611" width="6" style="183" bestFit="1" customWidth="1"/>
    <col min="4612" max="4612" width="8.83203125" style="183" customWidth="1"/>
    <col min="4613" max="4613" width="8.5" style="183" bestFit="1" customWidth="1"/>
    <col min="4614" max="4614" width="7.1640625" style="183" bestFit="1" customWidth="1"/>
    <col min="4615" max="4615" width="4.5" style="183" bestFit="1" customWidth="1"/>
    <col min="4616" max="4616" width="5.5" style="183" bestFit="1" customWidth="1"/>
    <col min="4617" max="4619" width="6.1640625" style="183" bestFit="1" customWidth="1"/>
    <col min="4620" max="4620" width="7.1640625" style="183" bestFit="1" customWidth="1"/>
    <col min="4621" max="4630" width="8.83203125" style="183" customWidth="1"/>
    <col min="4631" max="4631" width="10" style="183" bestFit="1" customWidth="1"/>
    <col min="4632" max="4855" width="8.83203125" style="183" customWidth="1"/>
    <col min="4856" max="4856" width="7.83203125" style="183" customWidth="1"/>
    <col min="4857" max="4857" width="7.5" style="183" customWidth="1"/>
    <col min="4858" max="4858" width="9" style="183" customWidth="1"/>
    <col min="4859" max="4859" width="8.33203125" style="183" customWidth="1"/>
    <col min="4860" max="4862" width="8.5" style="183" bestFit="1" customWidth="1"/>
    <col min="4863" max="4863" width="10" style="183" bestFit="1" customWidth="1"/>
    <col min="4864" max="4864" width="8.1640625" style="183" bestFit="1" customWidth="1"/>
    <col min="4865" max="4866" width="8.5" style="183" bestFit="1" customWidth="1"/>
    <col min="4867" max="4867" width="6" style="183" bestFit="1" customWidth="1"/>
    <col min="4868" max="4868" width="8.83203125" style="183" customWidth="1"/>
    <col min="4869" max="4869" width="8.5" style="183" bestFit="1" customWidth="1"/>
    <col min="4870" max="4870" width="7.1640625" style="183" bestFit="1" customWidth="1"/>
    <col min="4871" max="4871" width="4.5" style="183" bestFit="1" customWidth="1"/>
    <col min="4872" max="4872" width="5.5" style="183" bestFit="1" customWidth="1"/>
    <col min="4873" max="4875" width="6.1640625" style="183" bestFit="1" customWidth="1"/>
    <col min="4876" max="4876" width="7.1640625" style="183" bestFit="1" customWidth="1"/>
    <col min="4877" max="4886" width="8.83203125" style="183" customWidth="1"/>
    <col min="4887" max="4887" width="10" style="183" bestFit="1" customWidth="1"/>
    <col min="4888" max="5111" width="8.83203125" style="183" customWidth="1"/>
    <col min="5112" max="5112" width="7.83203125" style="183" customWidth="1"/>
    <col min="5113" max="5113" width="7.5" style="183" customWidth="1"/>
    <col min="5114" max="5114" width="9" style="183" customWidth="1"/>
    <col min="5115" max="5115" width="8.33203125" style="183" customWidth="1"/>
    <col min="5116" max="5118" width="8.5" style="183" bestFit="1" customWidth="1"/>
    <col min="5119" max="5119" width="10" style="183" bestFit="1" customWidth="1"/>
    <col min="5120" max="5120" width="8.1640625" style="183" bestFit="1" customWidth="1"/>
    <col min="5121" max="5122" width="8.5" style="183" bestFit="1" customWidth="1"/>
    <col min="5123" max="5123" width="6" style="183" bestFit="1" customWidth="1"/>
    <col min="5124" max="5124" width="8.83203125" style="183" customWidth="1"/>
    <col min="5125" max="5125" width="8.5" style="183" bestFit="1" customWidth="1"/>
    <col min="5126" max="5126" width="7.1640625" style="183" bestFit="1" customWidth="1"/>
    <col min="5127" max="5127" width="4.5" style="183" bestFit="1" customWidth="1"/>
    <col min="5128" max="5128" width="5.5" style="183" bestFit="1" customWidth="1"/>
    <col min="5129" max="5131" width="6.1640625" style="183" bestFit="1" customWidth="1"/>
    <col min="5132" max="5132" width="7.1640625" style="183" bestFit="1" customWidth="1"/>
    <col min="5133" max="5142" width="8.83203125" style="183" customWidth="1"/>
    <col min="5143" max="5143" width="10" style="183" bestFit="1" customWidth="1"/>
    <col min="5144" max="5367" width="8.83203125" style="183" customWidth="1"/>
    <col min="5368" max="5368" width="7.83203125" style="183" customWidth="1"/>
    <col min="5369" max="5369" width="7.5" style="183" customWidth="1"/>
    <col min="5370" max="5370" width="9" style="183" customWidth="1"/>
    <col min="5371" max="5371" width="8.33203125" style="183" customWidth="1"/>
    <col min="5372" max="5374" width="8.5" style="183" bestFit="1" customWidth="1"/>
    <col min="5375" max="5375" width="10" style="183" bestFit="1" customWidth="1"/>
    <col min="5376" max="5376" width="8.1640625" style="183" bestFit="1" customWidth="1"/>
    <col min="5377" max="5378" width="8.5" style="183" bestFit="1" customWidth="1"/>
    <col min="5379" max="5379" width="6" style="183" bestFit="1" customWidth="1"/>
    <col min="5380" max="5380" width="8.83203125" style="183" customWidth="1"/>
    <col min="5381" max="5381" width="8.5" style="183" bestFit="1" customWidth="1"/>
    <col min="5382" max="5382" width="7.1640625" style="183" bestFit="1" customWidth="1"/>
    <col min="5383" max="5383" width="4.5" style="183" bestFit="1" customWidth="1"/>
    <col min="5384" max="5384" width="5.5" style="183" bestFit="1" customWidth="1"/>
    <col min="5385" max="5387" width="6.1640625" style="183" bestFit="1" customWidth="1"/>
    <col min="5388" max="5388" width="7.1640625" style="183" bestFit="1" customWidth="1"/>
    <col min="5389" max="5398" width="8.83203125" style="183" customWidth="1"/>
    <col min="5399" max="5399" width="10" style="183" bestFit="1" customWidth="1"/>
    <col min="5400" max="5623" width="8.83203125" style="183" customWidth="1"/>
    <col min="5624" max="5624" width="7.83203125" style="183" customWidth="1"/>
    <col min="5625" max="5625" width="7.5" style="183" customWidth="1"/>
    <col min="5626" max="5626" width="9" style="183" customWidth="1"/>
    <col min="5627" max="5627" width="8.33203125" style="183" customWidth="1"/>
    <col min="5628" max="5630" width="8.5" style="183" bestFit="1" customWidth="1"/>
    <col min="5631" max="5631" width="10" style="183" bestFit="1" customWidth="1"/>
    <col min="5632" max="5632" width="8.1640625" style="183" bestFit="1" customWidth="1"/>
    <col min="5633" max="5634" width="8.5" style="183" bestFit="1" customWidth="1"/>
    <col min="5635" max="5635" width="6" style="183" bestFit="1" customWidth="1"/>
    <col min="5636" max="5636" width="8.83203125" style="183" customWidth="1"/>
    <col min="5637" max="5637" width="8.5" style="183" bestFit="1" customWidth="1"/>
    <col min="5638" max="5638" width="7.1640625" style="183" bestFit="1" customWidth="1"/>
    <col min="5639" max="5639" width="4.5" style="183" bestFit="1" customWidth="1"/>
    <col min="5640" max="5640" width="5.5" style="183" bestFit="1" customWidth="1"/>
    <col min="5641" max="5643" width="6.1640625" style="183" bestFit="1" customWidth="1"/>
    <col min="5644" max="5644" width="7.1640625" style="183" bestFit="1" customWidth="1"/>
    <col min="5645" max="5654" width="8.83203125" style="183" customWidth="1"/>
    <col min="5655" max="5655" width="10" style="183" bestFit="1" customWidth="1"/>
    <col min="5656" max="5879" width="8.83203125" style="183" customWidth="1"/>
    <col min="5880" max="5880" width="7.83203125" style="183" customWidth="1"/>
    <col min="5881" max="5881" width="7.5" style="183" customWidth="1"/>
    <col min="5882" max="5882" width="9" style="183" customWidth="1"/>
    <col min="5883" max="5883" width="8.33203125" style="183" customWidth="1"/>
    <col min="5884" max="5886" width="8.5" style="183" bestFit="1" customWidth="1"/>
    <col min="5887" max="5887" width="10" style="183" bestFit="1" customWidth="1"/>
    <col min="5888" max="5888" width="8.1640625" style="183" bestFit="1" customWidth="1"/>
    <col min="5889" max="5890" width="8.5" style="183" bestFit="1" customWidth="1"/>
    <col min="5891" max="5891" width="6" style="183" bestFit="1" customWidth="1"/>
    <col min="5892" max="5892" width="8.83203125" style="183" customWidth="1"/>
    <col min="5893" max="5893" width="8.5" style="183" bestFit="1" customWidth="1"/>
    <col min="5894" max="5894" width="7.1640625" style="183" bestFit="1" customWidth="1"/>
    <col min="5895" max="5895" width="4.5" style="183" bestFit="1" customWidth="1"/>
    <col min="5896" max="5896" width="5.5" style="183" bestFit="1" customWidth="1"/>
    <col min="5897" max="5899" width="6.1640625" style="183" bestFit="1" customWidth="1"/>
    <col min="5900" max="5900" width="7.1640625" style="183" bestFit="1" customWidth="1"/>
    <col min="5901" max="5910" width="8.83203125" style="183" customWidth="1"/>
    <col min="5911" max="5911" width="10" style="183" bestFit="1" customWidth="1"/>
    <col min="5912" max="6135" width="8.83203125" style="183" customWidth="1"/>
    <col min="6136" max="6136" width="7.83203125" style="183" customWidth="1"/>
    <col min="6137" max="6137" width="7.5" style="183" customWidth="1"/>
    <col min="6138" max="6138" width="9" style="183" customWidth="1"/>
    <col min="6139" max="6139" width="8.33203125" style="183" customWidth="1"/>
    <col min="6140" max="6142" width="8.5" style="183" bestFit="1" customWidth="1"/>
    <col min="6143" max="6143" width="10" style="183" bestFit="1" customWidth="1"/>
    <col min="6144" max="6144" width="8.1640625" style="183" bestFit="1" customWidth="1"/>
    <col min="6145" max="6146" width="8.5" style="183" bestFit="1" customWidth="1"/>
    <col min="6147" max="6147" width="6" style="183" bestFit="1" customWidth="1"/>
    <col min="6148" max="6148" width="8.83203125" style="183" customWidth="1"/>
    <col min="6149" max="6149" width="8.5" style="183" bestFit="1" customWidth="1"/>
    <col min="6150" max="6150" width="7.1640625" style="183" bestFit="1" customWidth="1"/>
    <col min="6151" max="6151" width="4.5" style="183" bestFit="1" customWidth="1"/>
    <col min="6152" max="6152" width="5.5" style="183" bestFit="1" customWidth="1"/>
    <col min="6153" max="6155" width="6.1640625" style="183" bestFit="1" customWidth="1"/>
    <col min="6156" max="6156" width="7.1640625" style="183" bestFit="1" customWidth="1"/>
    <col min="6157" max="6166" width="8.83203125" style="183" customWidth="1"/>
    <col min="6167" max="6167" width="10" style="183" bestFit="1" customWidth="1"/>
    <col min="6168" max="6391" width="8.83203125" style="183" customWidth="1"/>
    <col min="6392" max="6392" width="7.83203125" style="183" customWidth="1"/>
    <col min="6393" max="6393" width="7.5" style="183" customWidth="1"/>
    <col min="6394" max="6394" width="9" style="183" customWidth="1"/>
    <col min="6395" max="6395" width="8.33203125" style="183" customWidth="1"/>
    <col min="6396" max="6398" width="8.5" style="183" bestFit="1" customWidth="1"/>
    <col min="6399" max="6399" width="10" style="183" bestFit="1" customWidth="1"/>
    <col min="6400" max="6400" width="8.1640625" style="183" bestFit="1" customWidth="1"/>
    <col min="6401" max="6402" width="8.5" style="183" bestFit="1" customWidth="1"/>
    <col min="6403" max="6403" width="6" style="183" bestFit="1" customWidth="1"/>
    <col min="6404" max="6404" width="8.83203125" style="183" customWidth="1"/>
    <col min="6405" max="6405" width="8.5" style="183" bestFit="1" customWidth="1"/>
    <col min="6406" max="6406" width="7.1640625" style="183" bestFit="1" customWidth="1"/>
    <col min="6407" max="6407" width="4.5" style="183" bestFit="1" customWidth="1"/>
    <col min="6408" max="6408" width="5.5" style="183" bestFit="1" customWidth="1"/>
    <col min="6409" max="6411" width="6.1640625" style="183" bestFit="1" customWidth="1"/>
    <col min="6412" max="6412" width="7.1640625" style="183" bestFit="1" customWidth="1"/>
    <col min="6413" max="6422" width="8.83203125" style="183" customWidth="1"/>
    <col min="6423" max="6423" width="10" style="183" bestFit="1" customWidth="1"/>
    <col min="6424" max="6647" width="8.83203125" style="183" customWidth="1"/>
    <col min="6648" max="6648" width="7.83203125" style="183" customWidth="1"/>
    <col min="6649" max="6649" width="7.5" style="183" customWidth="1"/>
    <col min="6650" max="6650" width="9" style="183" customWidth="1"/>
    <col min="6651" max="6651" width="8.33203125" style="183" customWidth="1"/>
    <col min="6652" max="6654" width="8.5" style="183" bestFit="1" customWidth="1"/>
    <col min="6655" max="6655" width="10" style="183" bestFit="1" customWidth="1"/>
    <col min="6656" max="6656" width="8.1640625" style="183" bestFit="1" customWidth="1"/>
    <col min="6657" max="6658" width="8.5" style="183" bestFit="1" customWidth="1"/>
    <col min="6659" max="6659" width="6" style="183" bestFit="1" customWidth="1"/>
    <col min="6660" max="6660" width="8.83203125" style="183" customWidth="1"/>
    <col min="6661" max="6661" width="8.5" style="183" bestFit="1" customWidth="1"/>
    <col min="6662" max="6662" width="7.1640625" style="183" bestFit="1" customWidth="1"/>
    <col min="6663" max="6663" width="4.5" style="183" bestFit="1" customWidth="1"/>
    <col min="6664" max="6664" width="5.5" style="183" bestFit="1" customWidth="1"/>
    <col min="6665" max="6667" width="6.1640625" style="183" bestFit="1" customWidth="1"/>
    <col min="6668" max="6668" width="7.1640625" style="183" bestFit="1" customWidth="1"/>
    <col min="6669" max="6678" width="8.83203125" style="183" customWidth="1"/>
    <col min="6679" max="6679" width="10" style="183" bestFit="1" customWidth="1"/>
    <col min="6680" max="6903" width="8.83203125" style="183" customWidth="1"/>
    <col min="6904" max="6904" width="7.83203125" style="183" customWidth="1"/>
    <col min="6905" max="6905" width="7.5" style="183" customWidth="1"/>
    <col min="6906" max="6906" width="9" style="183" customWidth="1"/>
    <col min="6907" max="6907" width="8.33203125" style="183" customWidth="1"/>
    <col min="6908" max="6910" width="8.5" style="183" bestFit="1" customWidth="1"/>
    <col min="6911" max="6911" width="10" style="183" bestFit="1" customWidth="1"/>
    <col min="6912" max="6912" width="8.1640625" style="183" bestFit="1" customWidth="1"/>
    <col min="6913" max="6914" width="8.5" style="183" bestFit="1" customWidth="1"/>
    <col min="6915" max="6915" width="6" style="183" bestFit="1" customWidth="1"/>
    <col min="6916" max="6916" width="8.83203125" style="183" customWidth="1"/>
    <col min="6917" max="6917" width="8.5" style="183" bestFit="1" customWidth="1"/>
    <col min="6918" max="6918" width="7.1640625" style="183" bestFit="1" customWidth="1"/>
    <col min="6919" max="6919" width="4.5" style="183" bestFit="1" customWidth="1"/>
    <col min="6920" max="6920" width="5.5" style="183" bestFit="1" customWidth="1"/>
    <col min="6921" max="6923" width="6.1640625" style="183" bestFit="1" customWidth="1"/>
    <col min="6924" max="6924" width="7.1640625" style="183" bestFit="1" customWidth="1"/>
    <col min="6925" max="6934" width="8.83203125" style="183" customWidth="1"/>
    <col min="6935" max="6935" width="10" style="183" bestFit="1" customWidth="1"/>
    <col min="6936" max="7159" width="8.83203125" style="183" customWidth="1"/>
    <col min="7160" max="7160" width="7.83203125" style="183" customWidth="1"/>
    <col min="7161" max="7161" width="7.5" style="183" customWidth="1"/>
    <col min="7162" max="7162" width="9" style="183" customWidth="1"/>
    <col min="7163" max="7163" width="8.33203125" style="183" customWidth="1"/>
    <col min="7164" max="7166" width="8.5" style="183" bestFit="1" customWidth="1"/>
    <col min="7167" max="7167" width="10" style="183" bestFit="1" customWidth="1"/>
    <col min="7168" max="7168" width="8.1640625" style="183" bestFit="1" customWidth="1"/>
    <col min="7169" max="7170" width="8.5" style="183" bestFit="1" customWidth="1"/>
    <col min="7171" max="7171" width="6" style="183" bestFit="1" customWidth="1"/>
    <col min="7172" max="7172" width="8.83203125" style="183" customWidth="1"/>
    <col min="7173" max="7173" width="8.5" style="183" bestFit="1" customWidth="1"/>
    <col min="7174" max="7174" width="7.1640625" style="183" bestFit="1" customWidth="1"/>
    <col min="7175" max="7175" width="4.5" style="183" bestFit="1" customWidth="1"/>
    <col min="7176" max="7176" width="5.5" style="183" bestFit="1" customWidth="1"/>
    <col min="7177" max="7179" width="6.1640625" style="183" bestFit="1" customWidth="1"/>
    <col min="7180" max="7180" width="7.1640625" style="183" bestFit="1" customWidth="1"/>
    <col min="7181" max="7190" width="8.83203125" style="183" customWidth="1"/>
    <col min="7191" max="7191" width="10" style="183" bestFit="1" customWidth="1"/>
    <col min="7192" max="7415" width="8.83203125" style="183" customWidth="1"/>
    <col min="7416" max="7416" width="7.83203125" style="183" customWidth="1"/>
    <col min="7417" max="7417" width="7.5" style="183" customWidth="1"/>
    <col min="7418" max="7418" width="9" style="183" customWidth="1"/>
    <col min="7419" max="7419" width="8.33203125" style="183" customWidth="1"/>
    <col min="7420" max="7422" width="8.5" style="183" bestFit="1" customWidth="1"/>
    <col min="7423" max="7423" width="10" style="183" bestFit="1" customWidth="1"/>
    <col min="7424" max="7424" width="8.1640625" style="183" bestFit="1" customWidth="1"/>
    <col min="7425" max="7426" width="8.5" style="183" bestFit="1" customWidth="1"/>
    <col min="7427" max="7427" width="6" style="183" bestFit="1" customWidth="1"/>
    <col min="7428" max="7428" width="8.83203125" style="183" customWidth="1"/>
    <col min="7429" max="7429" width="8.5" style="183" bestFit="1" customWidth="1"/>
    <col min="7430" max="7430" width="7.1640625" style="183" bestFit="1" customWidth="1"/>
    <col min="7431" max="7431" width="4.5" style="183" bestFit="1" customWidth="1"/>
    <col min="7432" max="7432" width="5.5" style="183" bestFit="1" customWidth="1"/>
    <col min="7433" max="7435" width="6.1640625" style="183" bestFit="1" customWidth="1"/>
    <col min="7436" max="7436" width="7.1640625" style="183" bestFit="1" customWidth="1"/>
    <col min="7437" max="7446" width="8.83203125" style="183" customWidth="1"/>
    <col min="7447" max="7447" width="10" style="183" bestFit="1" customWidth="1"/>
    <col min="7448" max="7671" width="8.83203125" style="183" customWidth="1"/>
    <col min="7672" max="7672" width="7.83203125" style="183" customWidth="1"/>
    <col min="7673" max="7673" width="7.5" style="183" customWidth="1"/>
    <col min="7674" max="7674" width="9" style="183" customWidth="1"/>
    <col min="7675" max="7675" width="8.33203125" style="183" customWidth="1"/>
    <col min="7676" max="7678" width="8.5" style="183" bestFit="1" customWidth="1"/>
    <col min="7679" max="7679" width="10" style="183" bestFit="1" customWidth="1"/>
    <col min="7680" max="7680" width="8.1640625" style="183" bestFit="1" customWidth="1"/>
    <col min="7681" max="7682" width="8.5" style="183" bestFit="1" customWidth="1"/>
    <col min="7683" max="7683" width="6" style="183" bestFit="1" customWidth="1"/>
    <col min="7684" max="7684" width="8.83203125" style="183" customWidth="1"/>
    <col min="7685" max="7685" width="8.5" style="183" bestFit="1" customWidth="1"/>
    <col min="7686" max="7686" width="7.1640625" style="183" bestFit="1" customWidth="1"/>
    <col min="7687" max="7687" width="4.5" style="183" bestFit="1" customWidth="1"/>
    <col min="7688" max="7688" width="5.5" style="183" bestFit="1" customWidth="1"/>
    <col min="7689" max="7691" width="6.1640625" style="183" bestFit="1" customWidth="1"/>
    <col min="7692" max="7692" width="7.1640625" style="183" bestFit="1" customWidth="1"/>
    <col min="7693" max="7702" width="8.83203125" style="183" customWidth="1"/>
    <col min="7703" max="7703" width="10" style="183" bestFit="1" customWidth="1"/>
    <col min="7704" max="7927" width="8.83203125" style="183" customWidth="1"/>
    <col min="7928" max="7928" width="7.83203125" style="183" customWidth="1"/>
    <col min="7929" max="7929" width="7.5" style="183" customWidth="1"/>
    <col min="7930" max="7930" width="9" style="183" customWidth="1"/>
    <col min="7931" max="7931" width="8.33203125" style="183" customWidth="1"/>
    <col min="7932" max="7934" width="8.5" style="183" bestFit="1" customWidth="1"/>
    <col min="7935" max="7935" width="10" style="183" bestFit="1" customWidth="1"/>
    <col min="7936" max="7936" width="8.1640625" style="183" bestFit="1" customWidth="1"/>
    <col min="7937" max="7938" width="8.5" style="183" bestFit="1" customWidth="1"/>
    <col min="7939" max="7939" width="6" style="183" bestFit="1" customWidth="1"/>
    <col min="7940" max="7940" width="8.83203125" style="183" customWidth="1"/>
    <col min="7941" max="7941" width="8.5" style="183" bestFit="1" customWidth="1"/>
    <col min="7942" max="7942" width="7.1640625" style="183" bestFit="1" customWidth="1"/>
    <col min="7943" max="7943" width="4.5" style="183" bestFit="1" customWidth="1"/>
    <col min="7944" max="7944" width="5.5" style="183" bestFit="1" customWidth="1"/>
    <col min="7945" max="7947" width="6.1640625" style="183" bestFit="1" customWidth="1"/>
    <col min="7948" max="7948" width="7.1640625" style="183" bestFit="1" customWidth="1"/>
    <col min="7949" max="7958" width="8.83203125" style="183" customWidth="1"/>
    <col min="7959" max="7959" width="10" style="183" bestFit="1" customWidth="1"/>
    <col min="7960" max="8183" width="8.83203125" style="183" customWidth="1"/>
    <col min="8184" max="8184" width="7.83203125" style="183" customWidth="1"/>
    <col min="8185" max="8185" width="7.5" style="183" customWidth="1"/>
    <col min="8186" max="8186" width="9" style="183" customWidth="1"/>
    <col min="8187" max="8187" width="8.33203125" style="183" customWidth="1"/>
    <col min="8188" max="8190" width="8.5" style="183" bestFit="1" customWidth="1"/>
    <col min="8191" max="8191" width="10" style="183" bestFit="1" customWidth="1"/>
    <col min="8192" max="8192" width="8.1640625" style="183" bestFit="1" customWidth="1"/>
    <col min="8193" max="8194" width="8.5" style="183" bestFit="1" customWidth="1"/>
    <col min="8195" max="8195" width="6" style="183" bestFit="1" customWidth="1"/>
    <col min="8196" max="8196" width="8.83203125" style="183" customWidth="1"/>
    <col min="8197" max="8197" width="8.5" style="183" bestFit="1" customWidth="1"/>
    <col min="8198" max="8198" width="7.1640625" style="183" bestFit="1" customWidth="1"/>
    <col min="8199" max="8199" width="4.5" style="183" bestFit="1" customWidth="1"/>
    <col min="8200" max="8200" width="5.5" style="183" bestFit="1" customWidth="1"/>
    <col min="8201" max="8203" width="6.1640625" style="183" bestFit="1" customWidth="1"/>
    <col min="8204" max="8204" width="7.1640625" style="183" bestFit="1" customWidth="1"/>
    <col min="8205" max="8214" width="8.83203125" style="183" customWidth="1"/>
    <col min="8215" max="8215" width="10" style="183" bestFit="1" customWidth="1"/>
    <col min="8216" max="8439" width="8.83203125" style="183" customWidth="1"/>
    <col min="8440" max="8440" width="7.83203125" style="183" customWidth="1"/>
    <col min="8441" max="8441" width="7.5" style="183" customWidth="1"/>
    <col min="8442" max="8442" width="9" style="183" customWidth="1"/>
    <col min="8443" max="8443" width="8.33203125" style="183" customWidth="1"/>
    <col min="8444" max="8446" width="8.5" style="183" bestFit="1" customWidth="1"/>
    <col min="8447" max="8447" width="10" style="183" bestFit="1" customWidth="1"/>
    <col min="8448" max="8448" width="8.1640625" style="183" bestFit="1" customWidth="1"/>
    <col min="8449" max="8450" width="8.5" style="183" bestFit="1" customWidth="1"/>
    <col min="8451" max="8451" width="6" style="183" bestFit="1" customWidth="1"/>
    <col min="8452" max="8452" width="8.83203125" style="183" customWidth="1"/>
    <col min="8453" max="8453" width="8.5" style="183" bestFit="1" customWidth="1"/>
    <col min="8454" max="8454" width="7.1640625" style="183" bestFit="1" customWidth="1"/>
    <col min="8455" max="8455" width="4.5" style="183" bestFit="1" customWidth="1"/>
    <col min="8456" max="8456" width="5.5" style="183" bestFit="1" customWidth="1"/>
    <col min="8457" max="8459" width="6.1640625" style="183" bestFit="1" customWidth="1"/>
    <col min="8460" max="8460" width="7.1640625" style="183" bestFit="1" customWidth="1"/>
    <col min="8461" max="8470" width="8.83203125" style="183" customWidth="1"/>
    <col min="8471" max="8471" width="10" style="183" bestFit="1" customWidth="1"/>
    <col min="8472" max="8695" width="8.83203125" style="183" customWidth="1"/>
    <col min="8696" max="8696" width="7.83203125" style="183" customWidth="1"/>
    <col min="8697" max="8697" width="7.5" style="183" customWidth="1"/>
    <col min="8698" max="8698" width="9" style="183" customWidth="1"/>
    <col min="8699" max="8699" width="8.33203125" style="183" customWidth="1"/>
    <col min="8700" max="8702" width="8.5" style="183" bestFit="1" customWidth="1"/>
    <col min="8703" max="8703" width="10" style="183" bestFit="1" customWidth="1"/>
    <col min="8704" max="8704" width="8.1640625" style="183" bestFit="1" customWidth="1"/>
    <col min="8705" max="8706" width="8.5" style="183" bestFit="1" customWidth="1"/>
    <col min="8707" max="8707" width="6" style="183" bestFit="1" customWidth="1"/>
    <col min="8708" max="8708" width="8.83203125" style="183" customWidth="1"/>
    <col min="8709" max="8709" width="8.5" style="183" bestFit="1" customWidth="1"/>
    <col min="8710" max="8710" width="7.1640625" style="183" bestFit="1" customWidth="1"/>
    <col min="8711" max="8711" width="4.5" style="183" bestFit="1" customWidth="1"/>
    <col min="8712" max="8712" width="5.5" style="183" bestFit="1" customWidth="1"/>
    <col min="8713" max="8715" width="6.1640625" style="183" bestFit="1" customWidth="1"/>
    <col min="8716" max="8716" width="7.1640625" style="183" bestFit="1" customWidth="1"/>
    <col min="8717" max="8726" width="8.83203125" style="183" customWidth="1"/>
    <col min="8727" max="8727" width="10" style="183" bestFit="1" customWidth="1"/>
    <col min="8728" max="8951" width="8.83203125" style="183" customWidth="1"/>
    <col min="8952" max="8952" width="7.83203125" style="183" customWidth="1"/>
    <col min="8953" max="8953" width="7.5" style="183" customWidth="1"/>
    <col min="8954" max="8954" width="9" style="183" customWidth="1"/>
    <col min="8955" max="8955" width="8.33203125" style="183" customWidth="1"/>
    <col min="8956" max="8958" width="8.5" style="183" bestFit="1" customWidth="1"/>
    <col min="8959" max="8959" width="10" style="183" bestFit="1" customWidth="1"/>
    <col min="8960" max="8960" width="8.1640625" style="183" bestFit="1" customWidth="1"/>
    <col min="8961" max="8962" width="8.5" style="183" bestFit="1" customWidth="1"/>
    <col min="8963" max="8963" width="6" style="183" bestFit="1" customWidth="1"/>
    <col min="8964" max="8964" width="8.83203125" style="183" customWidth="1"/>
    <col min="8965" max="8965" width="8.5" style="183" bestFit="1" customWidth="1"/>
    <col min="8966" max="8966" width="7.1640625" style="183" bestFit="1" customWidth="1"/>
    <col min="8967" max="8967" width="4.5" style="183" bestFit="1" customWidth="1"/>
    <col min="8968" max="8968" width="5.5" style="183" bestFit="1" customWidth="1"/>
    <col min="8969" max="8971" width="6.1640625" style="183" bestFit="1" customWidth="1"/>
    <col min="8972" max="8972" width="7.1640625" style="183" bestFit="1" customWidth="1"/>
    <col min="8973" max="8982" width="8.83203125" style="183" customWidth="1"/>
    <col min="8983" max="8983" width="10" style="183" bestFit="1" customWidth="1"/>
    <col min="8984" max="9207" width="8.83203125" style="183" customWidth="1"/>
    <col min="9208" max="9208" width="7.83203125" style="183" customWidth="1"/>
    <col min="9209" max="9209" width="7.5" style="183" customWidth="1"/>
    <col min="9210" max="9210" width="9" style="183" customWidth="1"/>
    <col min="9211" max="9211" width="8.33203125" style="183" customWidth="1"/>
    <col min="9212" max="9214" width="8.5" style="183" bestFit="1" customWidth="1"/>
    <col min="9215" max="9215" width="10" style="183" bestFit="1" customWidth="1"/>
    <col min="9216" max="9216" width="8.1640625" style="183" bestFit="1" customWidth="1"/>
    <col min="9217" max="9218" width="8.5" style="183" bestFit="1" customWidth="1"/>
    <col min="9219" max="9219" width="6" style="183" bestFit="1" customWidth="1"/>
    <col min="9220" max="9220" width="8.83203125" style="183" customWidth="1"/>
    <col min="9221" max="9221" width="8.5" style="183" bestFit="1" customWidth="1"/>
    <col min="9222" max="9222" width="7.1640625" style="183" bestFit="1" customWidth="1"/>
    <col min="9223" max="9223" width="4.5" style="183" bestFit="1" customWidth="1"/>
    <col min="9224" max="9224" width="5.5" style="183" bestFit="1" customWidth="1"/>
    <col min="9225" max="9227" width="6.1640625" style="183" bestFit="1" customWidth="1"/>
    <col min="9228" max="9228" width="7.1640625" style="183" bestFit="1" customWidth="1"/>
    <col min="9229" max="9238" width="8.83203125" style="183" customWidth="1"/>
    <col min="9239" max="9239" width="10" style="183" bestFit="1" customWidth="1"/>
    <col min="9240" max="9463" width="8.83203125" style="183" customWidth="1"/>
    <col min="9464" max="9464" width="7.83203125" style="183" customWidth="1"/>
    <col min="9465" max="9465" width="7.5" style="183" customWidth="1"/>
    <col min="9466" max="9466" width="9" style="183" customWidth="1"/>
    <col min="9467" max="9467" width="8.33203125" style="183" customWidth="1"/>
    <col min="9468" max="9470" width="8.5" style="183" bestFit="1" customWidth="1"/>
    <col min="9471" max="9471" width="10" style="183" bestFit="1" customWidth="1"/>
    <col min="9472" max="9472" width="8.1640625" style="183" bestFit="1" customWidth="1"/>
    <col min="9473" max="9474" width="8.5" style="183" bestFit="1" customWidth="1"/>
    <col min="9475" max="9475" width="6" style="183" bestFit="1" customWidth="1"/>
    <col min="9476" max="9476" width="8.83203125" style="183" customWidth="1"/>
    <col min="9477" max="9477" width="8.5" style="183" bestFit="1" customWidth="1"/>
    <col min="9478" max="9478" width="7.1640625" style="183" bestFit="1" customWidth="1"/>
    <col min="9479" max="9479" width="4.5" style="183" bestFit="1" customWidth="1"/>
    <col min="9480" max="9480" width="5.5" style="183" bestFit="1" customWidth="1"/>
    <col min="9481" max="9483" width="6.1640625" style="183" bestFit="1" customWidth="1"/>
    <col min="9484" max="9484" width="7.1640625" style="183" bestFit="1" customWidth="1"/>
    <col min="9485" max="9494" width="8.83203125" style="183" customWidth="1"/>
    <col min="9495" max="9495" width="10" style="183" bestFit="1" customWidth="1"/>
    <col min="9496" max="9719" width="8.83203125" style="183" customWidth="1"/>
    <col min="9720" max="9720" width="7.83203125" style="183" customWidth="1"/>
    <col min="9721" max="9721" width="7.5" style="183" customWidth="1"/>
    <col min="9722" max="9722" width="9" style="183" customWidth="1"/>
    <col min="9723" max="9723" width="8.33203125" style="183" customWidth="1"/>
    <col min="9724" max="9726" width="8.5" style="183" bestFit="1" customWidth="1"/>
    <col min="9727" max="9727" width="10" style="183" bestFit="1" customWidth="1"/>
    <col min="9728" max="9728" width="8.1640625" style="183" bestFit="1" customWidth="1"/>
    <col min="9729" max="9730" width="8.5" style="183" bestFit="1" customWidth="1"/>
    <col min="9731" max="9731" width="6" style="183" bestFit="1" customWidth="1"/>
    <col min="9732" max="9732" width="8.83203125" style="183" customWidth="1"/>
    <col min="9733" max="9733" width="8.5" style="183" bestFit="1" customWidth="1"/>
    <col min="9734" max="9734" width="7.1640625" style="183" bestFit="1" customWidth="1"/>
    <col min="9735" max="9735" width="4.5" style="183" bestFit="1" customWidth="1"/>
    <col min="9736" max="9736" width="5.5" style="183" bestFit="1" customWidth="1"/>
    <col min="9737" max="9739" width="6.1640625" style="183" bestFit="1" customWidth="1"/>
    <col min="9740" max="9740" width="7.1640625" style="183" bestFit="1" customWidth="1"/>
    <col min="9741" max="9750" width="8.83203125" style="183" customWidth="1"/>
    <col min="9751" max="9751" width="10" style="183" bestFit="1" customWidth="1"/>
    <col min="9752" max="9975" width="8.83203125" style="183" customWidth="1"/>
    <col min="9976" max="9976" width="7.83203125" style="183" customWidth="1"/>
    <col min="9977" max="9977" width="7.5" style="183" customWidth="1"/>
    <col min="9978" max="9978" width="9" style="183" customWidth="1"/>
    <col min="9979" max="9979" width="8.33203125" style="183" customWidth="1"/>
    <col min="9980" max="9982" width="8.5" style="183" bestFit="1" customWidth="1"/>
    <col min="9983" max="9983" width="10" style="183" bestFit="1" customWidth="1"/>
    <col min="9984" max="9984" width="8.1640625" style="183" bestFit="1" customWidth="1"/>
    <col min="9985" max="9986" width="8.5" style="183" bestFit="1" customWidth="1"/>
    <col min="9987" max="9987" width="6" style="183" bestFit="1" customWidth="1"/>
    <col min="9988" max="9988" width="8.83203125" style="183" customWidth="1"/>
    <col min="9989" max="9989" width="8.5" style="183" bestFit="1" customWidth="1"/>
    <col min="9990" max="9990" width="7.1640625" style="183" bestFit="1" customWidth="1"/>
    <col min="9991" max="9991" width="4.5" style="183" bestFit="1" customWidth="1"/>
    <col min="9992" max="9992" width="5.5" style="183" bestFit="1" customWidth="1"/>
    <col min="9993" max="9995" width="6.1640625" style="183" bestFit="1" customWidth="1"/>
    <col min="9996" max="9996" width="7.1640625" style="183" bestFit="1" customWidth="1"/>
    <col min="9997" max="10006" width="8.83203125" style="183" customWidth="1"/>
    <col min="10007" max="10007" width="10" style="183" bestFit="1" customWidth="1"/>
    <col min="10008" max="10231" width="8.83203125" style="183" customWidth="1"/>
    <col min="10232" max="10232" width="7.83203125" style="183" customWidth="1"/>
    <col min="10233" max="10233" width="7.5" style="183" customWidth="1"/>
    <col min="10234" max="10234" width="9" style="183" customWidth="1"/>
    <col min="10235" max="10235" width="8.33203125" style="183" customWidth="1"/>
    <col min="10236" max="10238" width="8.5" style="183" bestFit="1" customWidth="1"/>
    <col min="10239" max="10239" width="10" style="183" bestFit="1" customWidth="1"/>
    <col min="10240" max="10240" width="8.1640625" style="183" bestFit="1" customWidth="1"/>
    <col min="10241" max="10242" width="8.5" style="183" bestFit="1" customWidth="1"/>
    <col min="10243" max="10243" width="6" style="183" bestFit="1" customWidth="1"/>
    <col min="10244" max="10244" width="8.83203125" style="183" customWidth="1"/>
    <col min="10245" max="10245" width="8.5" style="183" bestFit="1" customWidth="1"/>
    <col min="10246" max="10246" width="7.1640625" style="183" bestFit="1" customWidth="1"/>
    <col min="10247" max="10247" width="4.5" style="183" bestFit="1" customWidth="1"/>
    <col min="10248" max="10248" width="5.5" style="183" bestFit="1" customWidth="1"/>
    <col min="10249" max="10251" width="6.1640625" style="183" bestFit="1" customWidth="1"/>
    <col min="10252" max="10252" width="7.1640625" style="183" bestFit="1" customWidth="1"/>
    <col min="10253" max="10262" width="8.83203125" style="183" customWidth="1"/>
    <col min="10263" max="10263" width="10" style="183" bestFit="1" customWidth="1"/>
    <col min="10264" max="10487" width="8.83203125" style="183" customWidth="1"/>
    <col min="10488" max="10488" width="7.83203125" style="183" customWidth="1"/>
    <col min="10489" max="10489" width="7.5" style="183" customWidth="1"/>
    <col min="10490" max="10490" width="9" style="183" customWidth="1"/>
    <col min="10491" max="10491" width="8.33203125" style="183" customWidth="1"/>
    <col min="10492" max="10494" width="8.5" style="183" bestFit="1" customWidth="1"/>
    <col min="10495" max="10495" width="10" style="183" bestFit="1" customWidth="1"/>
    <col min="10496" max="10496" width="8.1640625" style="183" bestFit="1" customWidth="1"/>
    <col min="10497" max="10498" width="8.5" style="183" bestFit="1" customWidth="1"/>
    <col min="10499" max="10499" width="6" style="183" bestFit="1" customWidth="1"/>
    <col min="10500" max="10500" width="8.83203125" style="183" customWidth="1"/>
    <col min="10501" max="10501" width="8.5" style="183" bestFit="1" customWidth="1"/>
    <col min="10502" max="10502" width="7.1640625" style="183" bestFit="1" customWidth="1"/>
    <col min="10503" max="10503" width="4.5" style="183" bestFit="1" customWidth="1"/>
    <col min="10504" max="10504" width="5.5" style="183" bestFit="1" customWidth="1"/>
    <col min="10505" max="10507" width="6.1640625" style="183" bestFit="1" customWidth="1"/>
    <col min="10508" max="10508" width="7.1640625" style="183" bestFit="1" customWidth="1"/>
    <col min="10509" max="10518" width="8.83203125" style="183" customWidth="1"/>
    <col min="10519" max="10519" width="10" style="183" bestFit="1" customWidth="1"/>
    <col min="10520" max="10743" width="8.83203125" style="183" customWidth="1"/>
    <col min="10744" max="10744" width="7.83203125" style="183" customWidth="1"/>
    <col min="10745" max="10745" width="7.5" style="183" customWidth="1"/>
    <col min="10746" max="10746" width="9" style="183" customWidth="1"/>
    <col min="10747" max="10747" width="8.33203125" style="183" customWidth="1"/>
    <col min="10748" max="10750" width="8.5" style="183" bestFit="1" customWidth="1"/>
    <col min="10751" max="10751" width="10" style="183" bestFit="1" customWidth="1"/>
    <col min="10752" max="10752" width="8.1640625" style="183" bestFit="1" customWidth="1"/>
    <col min="10753" max="10754" width="8.5" style="183" bestFit="1" customWidth="1"/>
    <col min="10755" max="10755" width="6" style="183" bestFit="1" customWidth="1"/>
    <col min="10756" max="10756" width="8.83203125" style="183" customWidth="1"/>
    <col min="10757" max="10757" width="8.5" style="183" bestFit="1" customWidth="1"/>
    <col min="10758" max="10758" width="7.1640625" style="183" bestFit="1" customWidth="1"/>
    <col min="10759" max="10759" width="4.5" style="183" bestFit="1" customWidth="1"/>
    <col min="10760" max="10760" width="5.5" style="183" bestFit="1" customWidth="1"/>
    <col min="10761" max="10763" width="6.1640625" style="183" bestFit="1" customWidth="1"/>
    <col min="10764" max="10764" width="7.1640625" style="183" bestFit="1" customWidth="1"/>
    <col min="10765" max="10774" width="8.83203125" style="183" customWidth="1"/>
    <col min="10775" max="10775" width="10" style="183" bestFit="1" customWidth="1"/>
    <col min="10776" max="10999" width="8.83203125" style="183" customWidth="1"/>
    <col min="11000" max="11000" width="7.83203125" style="183" customWidth="1"/>
    <col min="11001" max="11001" width="7.5" style="183" customWidth="1"/>
    <col min="11002" max="11002" width="9" style="183" customWidth="1"/>
    <col min="11003" max="11003" width="8.33203125" style="183" customWidth="1"/>
    <col min="11004" max="11006" width="8.5" style="183" bestFit="1" customWidth="1"/>
    <col min="11007" max="11007" width="10" style="183" bestFit="1" customWidth="1"/>
    <col min="11008" max="11008" width="8.1640625" style="183" bestFit="1" customWidth="1"/>
    <col min="11009" max="11010" width="8.5" style="183" bestFit="1" customWidth="1"/>
    <col min="11011" max="11011" width="6" style="183" bestFit="1" customWidth="1"/>
    <col min="11012" max="11012" width="8.83203125" style="183" customWidth="1"/>
    <col min="11013" max="11013" width="8.5" style="183" bestFit="1" customWidth="1"/>
    <col min="11014" max="11014" width="7.1640625" style="183" bestFit="1" customWidth="1"/>
    <col min="11015" max="11015" width="4.5" style="183" bestFit="1" customWidth="1"/>
    <col min="11016" max="11016" width="5.5" style="183" bestFit="1" customWidth="1"/>
    <col min="11017" max="11019" width="6.1640625" style="183" bestFit="1" customWidth="1"/>
    <col min="11020" max="11020" width="7.1640625" style="183" bestFit="1" customWidth="1"/>
    <col min="11021" max="11030" width="8.83203125" style="183" customWidth="1"/>
    <col min="11031" max="11031" width="10" style="183" bestFit="1" customWidth="1"/>
    <col min="11032" max="11255" width="8.83203125" style="183" customWidth="1"/>
    <col min="11256" max="11256" width="7.83203125" style="183" customWidth="1"/>
    <col min="11257" max="11257" width="7.5" style="183" customWidth="1"/>
    <col min="11258" max="11258" width="9" style="183" customWidth="1"/>
    <col min="11259" max="11259" width="8.33203125" style="183" customWidth="1"/>
    <col min="11260" max="11262" width="8.5" style="183" bestFit="1" customWidth="1"/>
    <col min="11263" max="11263" width="10" style="183" bestFit="1" customWidth="1"/>
    <col min="11264" max="11264" width="8.1640625" style="183" bestFit="1" customWidth="1"/>
    <col min="11265" max="11266" width="8.5" style="183" bestFit="1" customWidth="1"/>
    <col min="11267" max="11267" width="6" style="183" bestFit="1" customWidth="1"/>
    <col min="11268" max="11268" width="8.83203125" style="183" customWidth="1"/>
    <col min="11269" max="11269" width="8.5" style="183" bestFit="1" customWidth="1"/>
    <col min="11270" max="11270" width="7.1640625" style="183" bestFit="1" customWidth="1"/>
    <col min="11271" max="11271" width="4.5" style="183" bestFit="1" customWidth="1"/>
    <col min="11272" max="11272" width="5.5" style="183" bestFit="1" customWidth="1"/>
    <col min="11273" max="11275" width="6.1640625" style="183" bestFit="1" customWidth="1"/>
    <col min="11276" max="11276" width="7.1640625" style="183" bestFit="1" customWidth="1"/>
    <col min="11277" max="11286" width="8.83203125" style="183" customWidth="1"/>
    <col min="11287" max="11287" width="10" style="183" bestFit="1" customWidth="1"/>
    <col min="11288" max="11511" width="8.83203125" style="183" customWidth="1"/>
    <col min="11512" max="11512" width="7.83203125" style="183" customWidth="1"/>
    <col min="11513" max="11513" width="7.5" style="183" customWidth="1"/>
    <col min="11514" max="11514" width="9" style="183" customWidth="1"/>
    <col min="11515" max="11515" width="8.33203125" style="183" customWidth="1"/>
    <col min="11516" max="11518" width="8.5" style="183" bestFit="1" customWidth="1"/>
    <col min="11519" max="11519" width="10" style="183" bestFit="1" customWidth="1"/>
    <col min="11520" max="11520" width="8.1640625" style="183" bestFit="1" customWidth="1"/>
    <col min="11521" max="11522" width="8.5" style="183" bestFit="1" customWidth="1"/>
    <col min="11523" max="11523" width="6" style="183" bestFit="1" customWidth="1"/>
    <col min="11524" max="11524" width="8.83203125" style="183" customWidth="1"/>
    <col min="11525" max="11525" width="8.5" style="183" bestFit="1" customWidth="1"/>
    <col min="11526" max="11526" width="7.1640625" style="183" bestFit="1" customWidth="1"/>
    <col min="11527" max="11527" width="4.5" style="183" bestFit="1" customWidth="1"/>
    <col min="11528" max="11528" width="5.5" style="183" bestFit="1" customWidth="1"/>
    <col min="11529" max="11531" width="6.1640625" style="183" bestFit="1" customWidth="1"/>
    <col min="11532" max="11532" width="7.1640625" style="183" bestFit="1" customWidth="1"/>
    <col min="11533" max="11542" width="8.83203125" style="183" customWidth="1"/>
    <col min="11543" max="11543" width="10" style="183" bestFit="1" customWidth="1"/>
    <col min="11544" max="11767" width="8.83203125" style="183" customWidth="1"/>
    <col min="11768" max="11768" width="7.83203125" style="183" customWidth="1"/>
    <col min="11769" max="11769" width="7.5" style="183" customWidth="1"/>
    <col min="11770" max="11770" width="9" style="183" customWidth="1"/>
    <col min="11771" max="11771" width="8.33203125" style="183" customWidth="1"/>
    <col min="11772" max="11774" width="8.5" style="183" bestFit="1" customWidth="1"/>
    <col min="11775" max="11775" width="10" style="183" bestFit="1" customWidth="1"/>
    <col min="11776" max="11776" width="8.1640625" style="183" bestFit="1" customWidth="1"/>
    <col min="11777" max="11778" width="8.5" style="183" bestFit="1" customWidth="1"/>
    <col min="11779" max="11779" width="6" style="183" bestFit="1" customWidth="1"/>
    <col min="11780" max="11780" width="8.83203125" style="183" customWidth="1"/>
    <col min="11781" max="11781" width="8.5" style="183" bestFit="1" customWidth="1"/>
    <col min="11782" max="11782" width="7.1640625" style="183" bestFit="1" customWidth="1"/>
    <col min="11783" max="11783" width="4.5" style="183" bestFit="1" customWidth="1"/>
    <col min="11784" max="11784" width="5.5" style="183" bestFit="1" customWidth="1"/>
    <col min="11785" max="11787" width="6.1640625" style="183" bestFit="1" customWidth="1"/>
    <col min="11788" max="11788" width="7.1640625" style="183" bestFit="1" customWidth="1"/>
    <col min="11789" max="11798" width="8.83203125" style="183" customWidth="1"/>
    <col min="11799" max="11799" width="10" style="183" bestFit="1" customWidth="1"/>
    <col min="11800" max="12023" width="8.83203125" style="183" customWidth="1"/>
    <col min="12024" max="12024" width="7.83203125" style="183" customWidth="1"/>
    <col min="12025" max="12025" width="7.5" style="183" customWidth="1"/>
    <col min="12026" max="12026" width="9" style="183" customWidth="1"/>
    <col min="12027" max="12027" width="8.33203125" style="183" customWidth="1"/>
    <col min="12028" max="12030" width="8.5" style="183" bestFit="1" customWidth="1"/>
    <col min="12031" max="12031" width="10" style="183" bestFit="1" customWidth="1"/>
    <col min="12032" max="12032" width="8.1640625" style="183" bestFit="1" customWidth="1"/>
    <col min="12033" max="12034" width="8.5" style="183" bestFit="1" customWidth="1"/>
    <col min="12035" max="12035" width="6" style="183" bestFit="1" customWidth="1"/>
    <col min="12036" max="12036" width="8.83203125" style="183" customWidth="1"/>
    <col min="12037" max="12037" width="8.5" style="183" bestFit="1" customWidth="1"/>
    <col min="12038" max="12038" width="7.1640625" style="183" bestFit="1" customWidth="1"/>
    <col min="12039" max="12039" width="4.5" style="183" bestFit="1" customWidth="1"/>
    <col min="12040" max="12040" width="5.5" style="183" bestFit="1" customWidth="1"/>
    <col min="12041" max="12043" width="6.1640625" style="183" bestFit="1" customWidth="1"/>
    <col min="12044" max="12044" width="7.1640625" style="183" bestFit="1" customWidth="1"/>
    <col min="12045" max="12054" width="8.83203125" style="183" customWidth="1"/>
    <col min="12055" max="12055" width="10" style="183" bestFit="1" customWidth="1"/>
    <col min="12056" max="12279" width="8.83203125" style="183" customWidth="1"/>
    <col min="12280" max="12280" width="7.83203125" style="183" customWidth="1"/>
    <col min="12281" max="12281" width="7.5" style="183" customWidth="1"/>
    <col min="12282" max="12282" width="9" style="183" customWidth="1"/>
    <col min="12283" max="12283" width="8.33203125" style="183" customWidth="1"/>
    <col min="12284" max="12286" width="8.5" style="183" bestFit="1" customWidth="1"/>
    <col min="12287" max="12287" width="10" style="183" bestFit="1" customWidth="1"/>
    <col min="12288" max="12288" width="8.1640625" style="183" bestFit="1" customWidth="1"/>
    <col min="12289" max="12290" width="8.5" style="183" bestFit="1" customWidth="1"/>
    <col min="12291" max="12291" width="6" style="183" bestFit="1" customWidth="1"/>
    <col min="12292" max="12292" width="8.83203125" style="183" customWidth="1"/>
    <col min="12293" max="12293" width="8.5" style="183" bestFit="1" customWidth="1"/>
    <col min="12294" max="12294" width="7.1640625" style="183" bestFit="1" customWidth="1"/>
    <col min="12295" max="12295" width="4.5" style="183" bestFit="1" customWidth="1"/>
    <col min="12296" max="12296" width="5.5" style="183" bestFit="1" customWidth="1"/>
    <col min="12297" max="12299" width="6.1640625" style="183" bestFit="1" customWidth="1"/>
    <col min="12300" max="12300" width="7.1640625" style="183" bestFit="1" customWidth="1"/>
    <col min="12301" max="12310" width="8.83203125" style="183" customWidth="1"/>
    <col min="12311" max="12311" width="10" style="183" bestFit="1" customWidth="1"/>
    <col min="12312" max="12535" width="8.83203125" style="183" customWidth="1"/>
    <col min="12536" max="12536" width="7.83203125" style="183" customWidth="1"/>
    <col min="12537" max="12537" width="7.5" style="183" customWidth="1"/>
    <col min="12538" max="12538" width="9" style="183" customWidth="1"/>
    <col min="12539" max="12539" width="8.33203125" style="183" customWidth="1"/>
    <col min="12540" max="12542" width="8.5" style="183" bestFit="1" customWidth="1"/>
    <col min="12543" max="12543" width="10" style="183" bestFit="1" customWidth="1"/>
    <col min="12544" max="12544" width="8.1640625" style="183" bestFit="1" customWidth="1"/>
    <col min="12545" max="12546" width="8.5" style="183" bestFit="1" customWidth="1"/>
    <col min="12547" max="12547" width="6" style="183" bestFit="1" customWidth="1"/>
    <col min="12548" max="12548" width="8.83203125" style="183" customWidth="1"/>
    <col min="12549" max="12549" width="8.5" style="183" bestFit="1" customWidth="1"/>
    <col min="12550" max="12550" width="7.1640625" style="183" bestFit="1" customWidth="1"/>
    <col min="12551" max="12551" width="4.5" style="183" bestFit="1" customWidth="1"/>
    <col min="12552" max="12552" width="5.5" style="183" bestFit="1" customWidth="1"/>
    <col min="12553" max="12555" width="6.1640625" style="183" bestFit="1" customWidth="1"/>
    <col min="12556" max="12556" width="7.1640625" style="183" bestFit="1" customWidth="1"/>
    <col min="12557" max="12566" width="8.83203125" style="183" customWidth="1"/>
    <col min="12567" max="12567" width="10" style="183" bestFit="1" customWidth="1"/>
    <col min="12568" max="12791" width="8.83203125" style="183" customWidth="1"/>
    <col min="12792" max="12792" width="7.83203125" style="183" customWidth="1"/>
    <col min="12793" max="12793" width="7.5" style="183" customWidth="1"/>
    <col min="12794" max="12794" width="9" style="183" customWidth="1"/>
    <col min="12795" max="12795" width="8.33203125" style="183" customWidth="1"/>
    <col min="12796" max="12798" width="8.5" style="183" bestFit="1" customWidth="1"/>
    <col min="12799" max="12799" width="10" style="183" bestFit="1" customWidth="1"/>
    <col min="12800" max="12800" width="8.1640625" style="183" bestFit="1" customWidth="1"/>
    <col min="12801" max="12802" width="8.5" style="183" bestFit="1" customWidth="1"/>
    <col min="12803" max="12803" width="6" style="183" bestFit="1" customWidth="1"/>
    <col min="12804" max="12804" width="8.83203125" style="183" customWidth="1"/>
    <col min="12805" max="12805" width="8.5" style="183" bestFit="1" customWidth="1"/>
    <col min="12806" max="12806" width="7.1640625" style="183" bestFit="1" customWidth="1"/>
    <col min="12807" max="12807" width="4.5" style="183" bestFit="1" customWidth="1"/>
    <col min="12808" max="12808" width="5.5" style="183" bestFit="1" customWidth="1"/>
    <col min="12809" max="12811" width="6.1640625" style="183" bestFit="1" customWidth="1"/>
    <col min="12812" max="12812" width="7.1640625" style="183" bestFit="1" customWidth="1"/>
    <col min="12813" max="12822" width="8.83203125" style="183" customWidth="1"/>
    <col min="12823" max="12823" width="10" style="183" bestFit="1" customWidth="1"/>
    <col min="12824" max="13047" width="8.83203125" style="183" customWidth="1"/>
    <col min="13048" max="13048" width="7.83203125" style="183" customWidth="1"/>
    <col min="13049" max="13049" width="7.5" style="183" customWidth="1"/>
    <col min="13050" max="13050" width="9" style="183" customWidth="1"/>
    <col min="13051" max="13051" width="8.33203125" style="183" customWidth="1"/>
    <col min="13052" max="13054" width="8.5" style="183" bestFit="1" customWidth="1"/>
    <col min="13055" max="13055" width="10" style="183" bestFit="1" customWidth="1"/>
    <col min="13056" max="13056" width="8.1640625" style="183" bestFit="1" customWidth="1"/>
    <col min="13057" max="13058" width="8.5" style="183" bestFit="1" customWidth="1"/>
    <col min="13059" max="13059" width="6" style="183" bestFit="1" customWidth="1"/>
    <col min="13060" max="13060" width="8.83203125" style="183" customWidth="1"/>
    <col min="13061" max="13061" width="8.5" style="183" bestFit="1" customWidth="1"/>
    <col min="13062" max="13062" width="7.1640625" style="183" bestFit="1" customWidth="1"/>
    <col min="13063" max="13063" width="4.5" style="183" bestFit="1" customWidth="1"/>
    <col min="13064" max="13064" width="5.5" style="183" bestFit="1" customWidth="1"/>
    <col min="13065" max="13067" width="6.1640625" style="183" bestFit="1" customWidth="1"/>
    <col min="13068" max="13068" width="7.1640625" style="183" bestFit="1" customWidth="1"/>
    <col min="13069" max="13078" width="8.83203125" style="183" customWidth="1"/>
    <col min="13079" max="13079" width="10" style="183" bestFit="1" customWidth="1"/>
    <col min="13080" max="13303" width="8.83203125" style="183" customWidth="1"/>
    <col min="13304" max="13304" width="7.83203125" style="183" customWidth="1"/>
    <col min="13305" max="13305" width="7.5" style="183" customWidth="1"/>
    <col min="13306" max="13306" width="9" style="183" customWidth="1"/>
    <col min="13307" max="13307" width="8.33203125" style="183" customWidth="1"/>
    <col min="13308" max="13310" width="8.5" style="183" bestFit="1" customWidth="1"/>
    <col min="13311" max="13311" width="10" style="183" bestFit="1" customWidth="1"/>
    <col min="13312" max="13312" width="8.1640625" style="183" bestFit="1" customWidth="1"/>
    <col min="13313" max="13314" width="8.5" style="183" bestFit="1" customWidth="1"/>
    <col min="13315" max="13315" width="6" style="183" bestFit="1" customWidth="1"/>
    <col min="13316" max="13316" width="8.83203125" style="183" customWidth="1"/>
    <col min="13317" max="13317" width="8.5" style="183" bestFit="1" customWidth="1"/>
    <col min="13318" max="13318" width="7.1640625" style="183" bestFit="1" customWidth="1"/>
    <col min="13319" max="13319" width="4.5" style="183" bestFit="1" customWidth="1"/>
    <col min="13320" max="13320" width="5.5" style="183" bestFit="1" customWidth="1"/>
    <col min="13321" max="13323" width="6.1640625" style="183" bestFit="1" customWidth="1"/>
    <col min="13324" max="13324" width="7.1640625" style="183" bestFit="1" customWidth="1"/>
    <col min="13325" max="13334" width="8.83203125" style="183" customWidth="1"/>
    <col min="13335" max="13335" width="10" style="183" bestFit="1" customWidth="1"/>
    <col min="13336" max="13559" width="8.83203125" style="183" customWidth="1"/>
    <col min="13560" max="13560" width="7.83203125" style="183" customWidth="1"/>
    <col min="13561" max="13561" width="7.5" style="183" customWidth="1"/>
    <col min="13562" max="13562" width="9" style="183" customWidth="1"/>
    <col min="13563" max="13563" width="8.33203125" style="183" customWidth="1"/>
    <col min="13564" max="13566" width="8.5" style="183" bestFit="1" customWidth="1"/>
    <col min="13567" max="13567" width="10" style="183" bestFit="1" customWidth="1"/>
    <col min="13568" max="13568" width="8.1640625" style="183" bestFit="1" customWidth="1"/>
    <col min="13569" max="13570" width="8.5" style="183" bestFit="1" customWidth="1"/>
    <col min="13571" max="13571" width="6" style="183" bestFit="1" customWidth="1"/>
    <col min="13572" max="13572" width="8.83203125" style="183" customWidth="1"/>
    <col min="13573" max="13573" width="8.5" style="183" bestFit="1" customWidth="1"/>
    <col min="13574" max="13574" width="7.1640625" style="183" bestFit="1" customWidth="1"/>
    <col min="13575" max="13575" width="4.5" style="183" bestFit="1" customWidth="1"/>
    <col min="13576" max="13576" width="5.5" style="183" bestFit="1" customWidth="1"/>
    <col min="13577" max="13579" width="6.1640625" style="183" bestFit="1" customWidth="1"/>
    <col min="13580" max="13580" width="7.1640625" style="183" bestFit="1" customWidth="1"/>
    <col min="13581" max="13590" width="8.83203125" style="183" customWidth="1"/>
    <col min="13591" max="13591" width="10" style="183" bestFit="1" customWidth="1"/>
    <col min="13592" max="13815" width="8.83203125" style="183" customWidth="1"/>
    <col min="13816" max="13816" width="7.83203125" style="183" customWidth="1"/>
    <col min="13817" max="13817" width="7.5" style="183" customWidth="1"/>
    <col min="13818" max="13818" width="9" style="183" customWidth="1"/>
    <col min="13819" max="13819" width="8.33203125" style="183" customWidth="1"/>
    <col min="13820" max="13822" width="8.5" style="183" bestFit="1" customWidth="1"/>
    <col min="13823" max="13823" width="10" style="183" bestFit="1" customWidth="1"/>
    <col min="13824" max="13824" width="8.1640625" style="183" bestFit="1" customWidth="1"/>
    <col min="13825" max="13826" width="8.5" style="183" bestFit="1" customWidth="1"/>
    <col min="13827" max="13827" width="6" style="183" bestFit="1" customWidth="1"/>
    <col min="13828" max="13828" width="8.83203125" style="183" customWidth="1"/>
    <col min="13829" max="13829" width="8.5" style="183" bestFit="1" customWidth="1"/>
    <col min="13830" max="13830" width="7.1640625" style="183" bestFit="1" customWidth="1"/>
    <col min="13831" max="13831" width="4.5" style="183" bestFit="1" customWidth="1"/>
    <col min="13832" max="13832" width="5.5" style="183" bestFit="1" customWidth="1"/>
    <col min="13833" max="13835" width="6.1640625" style="183" bestFit="1" customWidth="1"/>
    <col min="13836" max="13836" width="7.1640625" style="183" bestFit="1" customWidth="1"/>
    <col min="13837" max="13846" width="8.83203125" style="183" customWidth="1"/>
    <col min="13847" max="13847" width="10" style="183" bestFit="1" customWidth="1"/>
    <col min="13848" max="14071" width="8.83203125" style="183" customWidth="1"/>
    <col min="14072" max="14072" width="7.83203125" style="183" customWidth="1"/>
    <col min="14073" max="14073" width="7.5" style="183" customWidth="1"/>
    <col min="14074" max="14074" width="9" style="183" customWidth="1"/>
    <col min="14075" max="14075" width="8.33203125" style="183" customWidth="1"/>
    <col min="14076" max="14078" width="8.5" style="183" bestFit="1" customWidth="1"/>
    <col min="14079" max="14079" width="10" style="183" bestFit="1" customWidth="1"/>
    <col min="14080" max="14080" width="8.1640625" style="183" bestFit="1" customWidth="1"/>
    <col min="14081" max="14082" width="8.5" style="183" bestFit="1" customWidth="1"/>
    <col min="14083" max="14083" width="6" style="183" bestFit="1" customWidth="1"/>
    <col min="14084" max="14084" width="8.83203125" style="183" customWidth="1"/>
    <col min="14085" max="14085" width="8.5" style="183" bestFit="1" customWidth="1"/>
    <col min="14086" max="14086" width="7.1640625" style="183" bestFit="1" customWidth="1"/>
    <col min="14087" max="14087" width="4.5" style="183" bestFit="1" customWidth="1"/>
    <col min="14088" max="14088" width="5.5" style="183" bestFit="1" customWidth="1"/>
    <col min="14089" max="14091" width="6.1640625" style="183" bestFit="1" customWidth="1"/>
    <col min="14092" max="14092" width="7.1640625" style="183" bestFit="1" customWidth="1"/>
    <col min="14093" max="14102" width="8.83203125" style="183" customWidth="1"/>
    <col min="14103" max="14103" width="10" style="183" bestFit="1" customWidth="1"/>
    <col min="14104" max="14327" width="8.83203125" style="183" customWidth="1"/>
    <col min="14328" max="14328" width="7.83203125" style="183" customWidth="1"/>
    <col min="14329" max="14329" width="7.5" style="183" customWidth="1"/>
    <col min="14330" max="14330" width="9" style="183" customWidth="1"/>
    <col min="14331" max="14331" width="8.33203125" style="183" customWidth="1"/>
    <col min="14332" max="14334" width="8.5" style="183" bestFit="1" customWidth="1"/>
    <col min="14335" max="14335" width="10" style="183" bestFit="1" customWidth="1"/>
    <col min="14336" max="14336" width="8.1640625" style="183" bestFit="1" customWidth="1"/>
    <col min="14337" max="14338" width="8.5" style="183" bestFit="1" customWidth="1"/>
    <col min="14339" max="14339" width="6" style="183" bestFit="1" customWidth="1"/>
    <col min="14340" max="14340" width="8.83203125" style="183" customWidth="1"/>
    <col min="14341" max="14341" width="8.5" style="183" bestFit="1" customWidth="1"/>
    <col min="14342" max="14342" width="7.1640625" style="183" bestFit="1" customWidth="1"/>
    <col min="14343" max="14343" width="4.5" style="183" bestFit="1" customWidth="1"/>
    <col min="14344" max="14344" width="5.5" style="183" bestFit="1" customWidth="1"/>
    <col min="14345" max="14347" width="6.1640625" style="183" bestFit="1" customWidth="1"/>
    <col min="14348" max="14348" width="7.1640625" style="183" bestFit="1" customWidth="1"/>
    <col min="14349" max="14358" width="8.83203125" style="183" customWidth="1"/>
    <col min="14359" max="14359" width="10" style="183" bestFit="1" customWidth="1"/>
    <col min="14360" max="14583" width="8.83203125" style="183" customWidth="1"/>
    <col min="14584" max="14584" width="7.83203125" style="183" customWidth="1"/>
    <col min="14585" max="14585" width="7.5" style="183" customWidth="1"/>
    <col min="14586" max="14586" width="9" style="183" customWidth="1"/>
    <col min="14587" max="14587" width="8.33203125" style="183" customWidth="1"/>
    <col min="14588" max="14590" width="8.5" style="183" bestFit="1" customWidth="1"/>
    <col min="14591" max="14591" width="10" style="183" bestFit="1" customWidth="1"/>
    <col min="14592" max="14592" width="8.1640625" style="183" bestFit="1" customWidth="1"/>
    <col min="14593" max="14594" width="8.5" style="183" bestFit="1" customWidth="1"/>
    <col min="14595" max="14595" width="6" style="183" bestFit="1" customWidth="1"/>
    <col min="14596" max="14596" width="8.83203125" style="183" customWidth="1"/>
    <col min="14597" max="14597" width="8.5" style="183" bestFit="1" customWidth="1"/>
    <col min="14598" max="14598" width="7.1640625" style="183" bestFit="1" customWidth="1"/>
    <col min="14599" max="14599" width="4.5" style="183" bestFit="1" customWidth="1"/>
    <col min="14600" max="14600" width="5.5" style="183" bestFit="1" customWidth="1"/>
    <col min="14601" max="14603" width="6.1640625" style="183" bestFit="1" customWidth="1"/>
    <col min="14604" max="14604" width="7.1640625" style="183" bestFit="1" customWidth="1"/>
    <col min="14605" max="14614" width="8.83203125" style="183" customWidth="1"/>
    <col min="14615" max="14615" width="10" style="183" bestFit="1" customWidth="1"/>
    <col min="14616" max="14839" width="8.83203125" style="183" customWidth="1"/>
    <col min="14840" max="14840" width="7.83203125" style="183" customWidth="1"/>
    <col min="14841" max="14841" width="7.5" style="183" customWidth="1"/>
    <col min="14842" max="14842" width="9" style="183" customWidth="1"/>
    <col min="14843" max="14843" width="8.33203125" style="183" customWidth="1"/>
    <col min="14844" max="14846" width="8.5" style="183" bestFit="1" customWidth="1"/>
    <col min="14847" max="14847" width="10" style="183" bestFit="1" customWidth="1"/>
    <col min="14848" max="14848" width="8.1640625" style="183" bestFit="1" customWidth="1"/>
    <col min="14849" max="14850" width="8.5" style="183" bestFit="1" customWidth="1"/>
    <col min="14851" max="14851" width="6" style="183" bestFit="1" customWidth="1"/>
    <col min="14852" max="14852" width="8.83203125" style="183" customWidth="1"/>
    <col min="14853" max="14853" width="8.5" style="183" bestFit="1" customWidth="1"/>
    <col min="14854" max="14854" width="7.1640625" style="183" bestFit="1" customWidth="1"/>
    <col min="14855" max="14855" width="4.5" style="183" bestFit="1" customWidth="1"/>
    <col min="14856" max="14856" width="5.5" style="183" bestFit="1" customWidth="1"/>
    <col min="14857" max="14859" width="6.1640625" style="183" bestFit="1" customWidth="1"/>
    <col min="14860" max="14860" width="7.1640625" style="183" bestFit="1" customWidth="1"/>
    <col min="14861" max="14870" width="8.83203125" style="183" customWidth="1"/>
    <col min="14871" max="14871" width="10" style="183" bestFit="1" customWidth="1"/>
    <col min="14872" max="15095" width="8.83203125" style="183" customWidth="1"/>
    <col min="15096" max="15096" width="7.83203125" style="183" customWidth="1"/>
    <col min="15097" max="15097" width="7.5" style="183" customWidth="1"/>
    <col min="15098" max="15098" width="9" style="183" customWidth="1"/>
    <col min="15099" max="15099" width="8.33203125" style="183" customWidth="1"/>
    <col min="15100" max="15102" width="8.5" style="183" bestFit="1" customWidth="1"/>
    <col min="15103" max="15103" width="10" style="183" bestFit="1" customWidth="1"/>
    <col min="15104" max="15104" width="8.1640625" style="183" bestFit="1" customWidth="1"/>
    <col min="15105" max="15106" width="8.5" style="183" bestFit="1" customWidth="1"/>
    <col min="15107" max="15107" width="6" style="183" bestFit="1" customWidth="1"/>
    <col min="15108" max="15108" width="8.83203125" style="183" customWidth="1"/>
    <col min="15109" max="15109" width="8.5" style="183" bestFit="1" customWidth="1"/>
    <col min="15110" max="15110" width="7.1640625" style="183" bestFit="1" customWidth="1"/>
    <col min="15111" max="15111" width="4.5" style="183" bestFit="1" customWidth="1"/>
    <col min="15112" max="15112" width="5.5" style="183" bestFit="1" customWidth="1"/>
    <col min="15113" max="15115" width="6.1640625" style="183" bestFit="1" customWidth="1"/>
    <col min="15116" max="15116" width="7.1640625" style="183" bestFit="1" customWidth="1"/>
    <col min="15117" max="15126" width="8.83203125" style="183" customWidth="1"/>
    <col min="15127" max="15127" width="10" style="183" bestFit="1" customWidth="1"/>
    <col min="15128" max="15351" width="8.83203125" style="183" customWidth="1"/>
    <col min="15352" max="15352" width="7.83203125" style="183" customWidth="1"/>
    <col min="15353" max="15353" width="7.5" style="183" customWidth="1"/>
    <col min="15354" max="15354" width="9" style="183" customWidth="1"/>
    <col min="15355" max="15355" width="8.33203125" style="183" customWidth="1"/>
    <col min="15356" max="15358" width="8.5" style="183" bestFit="1" customWidth="1"/>
    <col min="15359" max="15359" width="10" style="183" bestFit="1" customWidth="1"/>
    <col min="15360" max="15360" width="8.1640625" style="183" bestFit="1" customWidth="1"/>
    <col min="15361" max="15362" width="8.5" style="183" bestFit="1" customWidth="1"/>
    <col min="15363" max="15363" width="6" style="183" bestFit="1" customWidth="1"/>
    <col min="15364" max="15364" width="8.83203125" style="183" customWidth="1"/>
    <col min="15365" max="15365" width="8.5" style="183" bestFit="1" customWidth="1"/>
    <col min="15366" max="15366" width="7.1640625" style="183" bestFit="1" customWidth="1"/>
    <col min="15367" max="15367" width="4.5" style="183" bestFit="1" customWidth="1"/>
    <col min="15368" max="15368" width="5.5" style="183" bestFit="1" customWidth="1"/>
    <col min="15369" max="15371" width="6.1640625" style="183" bestFit="1" customWidth="1"/>
    <col min="15372" max="15372" width="7.1640625" style="183" bestFit="1" customWidth="1"/>
    <col min="15373" max="15382" width="8.83203125" style="183" customWidth="1"/>
    <col min="15383" max="15383" width="10" style="183" bestFit="1" customWidth="1"/>
    <col min="15384" max="15607" width="8.83203125" style="183" customWidth="1"/>
    <col min="15608" max="15608" width="7.83203125" style="183" customWidth="1"/>
    <col min="15609" max="15609" width="7.5" style="183" customWidth="1"/>
    <col min="15610" max="15610" width="9" style="183" customWidth="1"/>
    <col min="15611" max="15611" width="8.33203125" style="183" customWidth="1"/>
    <col min="15612" max="15614" width="8.5" style="183" bestFit="1" customWidth="1"/>
    <col min="15615" max="15615" width="10" style="183" bestFit="1" customWidth="1"/>
    <col min="15616" max="15616" width="8.1640625" style="183" bestFit="1" customWidth="1"/>
    <col min="15617" max="15618" width="8.5" style="183" bestFit="1" customWidth="1"/>
    <col min="15619" max="15619" width="6" style="183" bestFit="1" customWidth="1"/>
    <col min="15620" max="15620" width="8.83203125" style="183" customWidth="1"/>
    <col min="15621" max="15621" width="8.5" style="183" bestFit="1" customWidth="1"/>
    <col min="15622" max="15622" width="7.1640625" style="183" bestFit="1" customWidth="1"/>
    <col min="15623" max="15623" width="4.5" style="183" bestFit="1" customWidth="1"/>
    <col min="15624" max="15624" width="5.5" style="183" bestFit="1" customWidth="1"/>
    <col min="15625" max="15627" width="6.1640625" style="183" bestFit="1" customWidth="1"/>
    <col min="15628" max="15628" width="7.1640625" style="183" bestFit="1" customWidth="1"/>
    <col min="15629" max="15638" width="8.83203125" style="183" customWidth="1"/>
    <col min="15639" max="15639" width="10" style="183" bestFit="1" customWidth="1"/>
    <col min="15640" max="15863" width="8.83203125" style="183" customWidth="1"/>
    <col min="15864" max="15864" width="7.83203125" style="183" customWidth="1"/>
    <col min="15865" max="15865" width="7.5" style="183" customWidth="1"/>
    <col min="15866" max="15866" width="9" style="183" customWidth="1"/>
    <col min="15867" max="15867" width="8.33203125" style="183" customWidth="1"/>
    <col min="15868" max="15870" width="8.5" style="183" bestFit="1" customWidth="1"/>
    <col min="15871" max="15871" width="10" style="183" bestFit="1" customWidth="1"/>
    <col min="15872" max="15872" width="8.1640625" style="183" bestFit="1" customWidth="1"/>
    <col min="15873" max="15874" width="8.5" style="183" bestFit="1" customWidth="1"/>
    <col min="15875" max="15875" width="6" style="183" bestFit="1" customWidth="1"/>
    <col min="15876" max="15876" width="8.83203125" style="183" customWidth="1"/>
    <col min="15877" max="15877" width="8.5" style="183" bestFit="1" customWidth="1"/>
    <col min="15878" max="15878" width="7.1640625" style="183" bestFit="1" customWidth="1"/>
    <col min="15879" max="15879" width="4.5" style="183" bestFit="1" customWidth="1"/>
    <col min="15880" max="15880" width="5.5" style="183" bestFit="1" customWidth="1"/>
    <col min="15881" max="15883" width="6.1640625" style="183" bestFit="1" customWidth="1"/>
    <col min="15884" max="15884" width="7.1640625" style="183" bestFit="1" customWidth="1"/>
    <col min="15885" max="15894" width="8.83203125" style="183" customWidth="1"/>
    <col min="15895" max="15895" width="10" style="183" bestFit="1" customWidth="1"/>
    <col min="15896" max="16119" width="8.83203125" style="183" customWidth="1"/>
    <col min="16120" max="16120" width="7.83203125" style="183" customWidth="1"/>
    <col min="16121" max="16121" width="7.5" style="183" customWidth="1"/>
    <col min="16122" max="16122" width="9" style="183" customWidth="1"/>
    <col min="16123" max="16123" width="8.33203125" style="183" customWidth="1"/>
    <col min="16124" max="16126" width="8.5" style="183" bestFit="1" customWidth="1"/>
    <col min="16127" max="16127" width="10" style="183" bestFit="1" customWidth="1"/>
    <col min="16128" max="16128" width="8.1640625" style="183" bestFit="1" customWidth="1"/>
    <col min="16129" max="16130" width="8.5" style="183" bestFit="1" customWidth="1"/>
    <col min="16131" max="16131" width="6" style="183" bestFit="1" customWidth="1"/>
    <col min="16132" max="16132" width="8.83203125" style="183" customWidth="1"/>
    <col min="16133" max="16133" width="8.5" style="183" bestFit="1" customWidth="1"/>
    <col min="16134" max="16134" width="7.1640625" style="183" bestFit="1" customWidth="1"/>
    <col min="16135" max="16135" width="4.5" style="183" bestFit="1" customWidth="1"/>
    <col min="16136" max="16136" width="5.5" style="183" bestFit="1" customWidth="1"/>
    <col min="16137" max="16139" width="6.1640625" style="183" bestFit="1" customWidth="1"/>
    <col min="16140" max="16140" width="7.1640625" style="183" bestFit="1" customWidth="1"/>
    <col min="16141" max="16150" width="8.83203125" style="183" customWidth="1"/>
    <col min="16151" max="16151" width="10" style="183" bestFit="1" customWidth="1"/>
    <col min="16152" max="16384" width="8.83203125" style="183" customWidth="1"/>
  </cols>
  <sheetData>
    <row r="1" spans="2:20" s="143" customFormat="1" ht="14" customHeight="1"/>
    <row r="2" spans="2:20" s="143" customFormat="1" ht="14" customHeight="1">
      <c r="B2" s="144" t="s">
        <v>461</v>
      </c>
      <c r="C2" s="145">
        <f>PI()/180</f>
        <v>1.7453292519943295E-2</v>
      </c>
      <c r="F2" s="146" t="s">
        <v>462</v>
      </c>
      <c r="G2" s="147">
        <f>'Illumination (VR)'!C21</f>
        <v>100.27097802406084</v>
      </c>
      <c r="H2" s="148"/>
      <c r="I2" s="149"/>
      <c r="J2" s="150"/>
      <c r="L2" s="144" t="s">
        <v>461</v>
      </c>
      <c r="M2" s="145">
        <f>PI()/180</f>
        <v>1.7453292519943295E-2</v>
      </c>
      <c r="P2" s="146" t="s">
        <v>462</v>
      </c>
      <c r="Q2" s="147">
        <f>'Illumination (VR)'!M21</f>
        <v>175.94709148679169</v>
      </c>
      <c r="R2" s="148"/>
      <c r="S2" s="149"/>
      <c r="T2" s="150"/>
    </row>
    <row r="3" spans="2:20" s="143" customFormat="1" ht="14" customHeight="1">
      <c r="B3" s="151" t="s">
        <v>345</v>
      </c>
      <c r="C3" s="152">
        <f>('Visibility (Required)'!C10-2451545)/36525</f>
        <v>0.24371206935889086</v>
      </c>
      <c r="F3" s="153" t="s">
        <v>463</v>
      </c>
      <c r="G3" s="154">
        <v>200</v>
      </c>
      <c r="H3" s="154"/>
      <c r="I3" s="154" t="s">
        <v>464</v>
      </c>
      <c r="J3" s="155">
        <f>MOD(360-'Illumination (VR)'!G2+180,360)</f>
        <v>79.72902197593919</v>
      </c>
      <c r="L3" s="151" t="s">
        <v>345</v>
      </c>
      <c r="M3" s="152">
        <f>('Visibility (Optional)'!C10-2451545)/36525</f>
        <v>0.24387634040611877</v>
      </c>
      <c r="P3" s="153" t="s">
        <v>463</v>
      </c>
      <c r="Q3" s="154">
        <v>200</v>
      </c>
      <c r="R3" s="154"/>
      <c r="S3" s="154" t="s">
        <v>464</v>
      </c>
      <c r="T3" s="155">
        <f>MOD(360-'Illumination (VR)'!Q2+180,360)</f>
        <v>4.0529085132083082</v>
      </c>
    </row>
    <row r="4" spans="2:20" s="143" customFormat="1" ht="14" customHeight="1">
      <c r="B4" s="151" t="s">
        <v>465</v>
      </c>
      <c r="C4" s="152">
        <f>MOD(297.8502042+445267.1115168*$C$3-0.00163*POWER($C$3,2)+(POWER($C$3,3)/545868)-(POWER($C$3,4)/113065000),360)</f>
        <v>94.819272627064493</v>
      </c>
      <c r="F4" s="153" t="s">
        <v>466</v>
      </c>
      <c r="G4" s="154">
        <f>2/G3</f>
        <v>0.01</v>
      </c>
      <c r="H4" s="154"/>
      <c r="I4" s="154" t="s">
        <v>467</v>
      </c>
      <c r="J4" s="156">
        <f>COS(RADIANS(J3))</f>
        <v>0.17830382586049062</v>
      </c>
      <c r="L4" s="151" t="s">
        <v>465</v>
      </c>
      <c r="M4" s="152">
        <f>MOD(297.8502042+445267.1115168*$M$3-0.00163*POWER($M$3,2)+(POWER($M$3,3)/545868)-(POWER($M$3,4)/113065000),360)</f>
        <v>167.9637672015815</v>
      </c>
      <c r="P4" s="153" t="s">
        <v>466</v>
      </c>
      <c r="Q4" s="154">
        <f>2/Q3</f>
        <v>0.01</v>
      </c>
      <c r="R4" s="154"/>
      <c r="S4" s="154" t="s">
        <v>467</v>
      </c>
      <c r="T4" s="156">
        <f>COS(RADIANS(T3))</f>
        <v>0.99749920988404428</v>
      </c>
    </row>
    <row r="5" spans="2:20" s="143" customFormat="1" ht="14" customHeight="1">
      <c r="B5" s="151" t="s">
        <v>468</v>
      </c>
      <c r="C5" s="152">
        <f>MOD(357.5291092+35999.0502909*$C$3-0.0001536*POWER($C$3,2)+(POWER($C$3,3)/24490000),360)</f>
        <v>130.93214142745273</v>
      </c>
      <c r="F5" s="153"/>
      <c r="G5" s="154"/>
      <c r="H5" s="154"/>
      <c r="I5" s="154" t="s">
        <v>469</v>
      </c>
      <c r="J5" s="157">
        <f>ABS(J4)</f>
        <v>0.17830382586049062</v>
      </c>
      <c r="L5" s="151" t="s">
        <v>468</v>
      </c>
      <c r="M5" s="152">
        <f>MOD(357.5291092+35999.0502909*$M$3-0.0001536*POWER($M$3,2)+(POWER($M$3,3)/24490000),360)</f>
        <v>136.84574310564858</v>
      </c>
      <c r="P5" s="153"/>
      <c r="Q5" s="154"/>
      <c r="R5" s="154"/>
      <c r="S5" s="154" t="s">
        <v>469</v>
      </c>
      <c r="T5" s="157">
        <f>ABS(T4)</f>
        <v>0.99749920988404428</v>
      </c>
    </row>
    <row r="6" spans="2:20" s="143" customFormat="1" ht="14" customHeight="1">
      <c r="B6" s="151" t="s">
        <v>470</v>
      </c>
      <c r="C6" s="152">
        <f>MOD(134.9634114+477198.8676313*$C$3+0.008997*POWER($C$3,2)+(POWER($C$3,3)/69699)-(POWER($C$3,4)/14712000),360)</f>
        <v>154.08747213297465</v>
      </c>
      <c r="F6" s="158"/>
      <c r="G6" s="159"/>
      <c r="H6" s="159"/>
      <c r="I6" s="159" t="s">
        <v>471</v>
      </c>
      <c r="J6" s="160">
        <v>1</v>
      </c>
      <c r="L6" s="151" t="s">
        <v>470</v>
      </c>
      <c r="M6" s="152">
        <f>MOD(134.9634114+477198.8676313*$M$3+0.008997*POWER($M$3,2)+(POWER($M$3,3)/69699)-(POWER($M$3,4)/14712000),360)</f>
        <v>232.47743057578919</v>
      </c>
      <c r="P6" s="158"/>
      <c r="Q6" s="159"/>
      <c r="R6" s="159"/>
      <c r="S6" s="159" t="s">
        <v>471</v>
      </c>
      <c r="T6" s="160">
        <v>1</v>
      </c>
    </row>
    <row r="7" spans="2:20" s="143" customFormat="1" ht="14" customHeight="1">
      <c r="B7" s="151" t="s">
        <v>472</v>
      </c>
      <c r="C7" s="152">
        <f>180-C4-6.289*SIN($C$2*C6)+2.1*SIN($C$2*C5)-1.274*SIN($C$2*(2*C4-C6))-0.658*SIN($C$2*2*C4)-0.214*SIN($C$2*2*C6)-0.11*SIN($C$2*C4)</f>
        <v>83.447015310449501</v>
      </c>
      <c r="F7" s="153"/>
      <c r="G7" s="154"/>
      <c r="H7" s="154"/>
      <c r="I7" s="154"/>
      <c r="J7" s="157"/>
      <c r="L7" s="151" t="s">
        <v>472</v>
      </c>
      <c r="M7" s="152">
        <f>180-M4-6.289*SIN($M$2*M6)+2.1*SIN($M$2*M5)-1.274*SIN($M$2*(2*M4-M6))-0.658*SIN($M$2*2*M4)-0.214*SIN($M$2*2*M6)-0.11*SIN($M$2*M4)</f>
        <v>17.260094709251376</v>
      </c>
      <c r="P7" s="153"/>
      <c r="Q7" s="154"/>
      <c r="R7" s="154"/>
      <c r="S7" s="154"/>
      <c r="T7" s="157"/>
    </row>
    <row r="8" spans="2:20" s="143" customFormat="1" ht="14" customHeight="1">
      <c r="B8" s="161" t="s">
        <v>473</v>
      </c>
      <c r="C8" s="162">
        <f>(1+COS($C$2*C7))/2</f>
        <v>0.55706098902256018</v>
      </c>
      <c r="F8" s="163" t="s">
        <v>33</v>
      </c>
      <c r="G8" s="164" t="s">
        <v>474</v>
      </c>
      <c r="H8" s="164" t="s">
        <v>475</v>
      </c>
      <c r="I8" s="164" t="s">
        <v>476</v>
      </c>
      <c r="J8" s="165" t="s">
        <v>477</v>
      </c>
      <c r="L8" s="161" t="s">
        <v>473</v>
      </c>
      <c r="M8" s="162">
        <f>(1+COS($M$2*M7))/2</f>
        <v>0.97748384159328716</v>
      </c>
      <c r="P8" s="163" t="s">
        <v>33</v>
      </c>
      <c r="Q8" s="164" t="s">
        <v>474</v>
      </c>
      <c r="R8" s="164" t="s">
        <v>475</v>
      </c>
      <c r="S8" s="164" t="s">
        <v>476</v>
      </c>
      <c r="T8" s="165" t="s">
        <v>477</v>
      </c>
    </row>
    <row r="9" spans="2:20" s="143" customFormat="1" ht="14" customHeight="1">
      <c r="F9" s="166">
        <v>-1</v>
      </c>
      <c r="G9" s="167">
        <f t="shared" ref="G9:G72" si="0">IFERROR(IF(SQRT(1-(F9*F9)/($J$5*$J$5))&lt;0.05,0,SQRT(1-(F9*F9)/($J$5*$J$5))),0)</f>
        <v>0</v>
      </c>
      <c r="H9" s="167">
        <f t="shared" ref="H9:H72" si="1">CHOOSE(MATCH($J$3,degrees),IF(F9&lt;0,IFERROR(1-G9,1),0),0,0,IF(F9&gt;0,IFERROR(1-G9,1),0))</f>
        <v>1</v>
      </c>
      <c r="I9" s="167">
        <f t="shared" ref="I9:I72" si="2">CHOOSE(MATCH($J$3,degrees),IF(F9&lt;0,2*G9,2),IF(F9&lt;0,0,1-G9),IF(F9&gt;0,0,1-G9),IF(F9&gt;0,2*G9,2))</f>
        <v>0</v>
      </c>
      <c r="J9" s="156">
        <f t="shared" ref="J9:J72" si="3">CHOOSE(MATCH($J$3,degrees),IF(F9&lt;0,G9+1,2),IF(F9&lt;0,2,2*G9),IF(F9&gt;0,2,2*G9),IF(F9&gt;0,G9+1,2))</f>
        <v>1</v>
      </c>
      <c r="P9" s="166">
        <v>-1</v>
      </c>
      <c r="Q9" s="167">
        <f>IFERROR(IF(SQRT(1-(P9*P9)/($T$5*$T$5))&lt;0.05,0,SQRT(1-(P9*P9)/($T$5*$T$5))),0)</f>
        <v>0</v>
      </c>
      <c r="R9" s="167">
        <f t="shared" ref="R9:R72" si="4">CHOOSE(MATCH($T$3,degrees),IF(P9&lt;0,IFERROR(1-Q9,1),0),0,0,IF(P9&gt;0,IFERROR(1-Q9,1),0))</f>
        <v>1</v>
      </c>
      <c r="S9" s="167">
        <f t="shared" ref="S9:S72" si="5">CHOOSE(MATCH($T$3,degrees),IF(P9&lt;0,2*Q9,2),IF(P9&lt;0,0,1-Q9),IF(P9&gt;0,0,1-Q9),IF(P9&gt;0,2*Q9,2))</f>
        <v>0</v>
      </c>
      <c r="T9" s="156">
        <f t="shared" ref="T9:T72" si="6">CHOOSE(MATCH($T$3,degrees),IF(P9&lt;0,Q9+1,2),IF(P9&lt;0,2,2*Q9),IF(P9&gt;0,2,2*Q9),IF(P9&gt;0,Q9+1,2))</f>
        <v>1</v>
      </c>
    </row>
    <row r="10" spans="2:20" s="143" customFormat="1" ht="14" customHeight="1">
      <c r="F10" s="166">
        <f t="shared" ref="F10:F73" si="7">F9+$G$4</f>
        <v>-0.99</v>
      </c>
      <c r="G10" s="167">
        <f t="shared" si="0"/>
        <v>0</v>
      </c>
      <c r="H10" s="167">
        <f t="shared" si="1"/>
        <v>1</v>
      </c>
      <c r="I10" s="167">
        <f t="shared" si="2"/>
        <v>0</v>
      </c>
      <c r="J10" s="156">
        <f t="shared" si="3"/>
        <v>1</v>
      </c>
      <c r="P10" s="166">
        <f t="shared" ref="P10:P73" si="8">P9+$G$4</f>
        <v>-0.99</v>
      </c>
      <c r="Q10" s="167">
        <f t="shared" ref="Q10:Q73" si="9">IFERROR(IF(SQRT(1-(P10*P10)/($T$5*$T$5))&lt;0.05,0,SQRT(1-(P10*P10)/($T$5*$T$5))),0)</f>
        <v>0.12239077259085226</v>
      </c>
      <c r="R10" s="167">
        <f t="shared" si="4"/>
        <v>0.87760922740914771</v>
      </c>
      <c r="S10" s="167">
        <f t="shared" si="5"/>
        <v>0.24478154518170453</v>
      </c>
      <c r="T10" s="156">
        <f t="shared" si="6"/>
        <v>1.1223907725908522</v>
      </c>
    </row>
    <row r="11" spans="2:20" s="143" customFormat="1" ht="16" customHeight="1">
      <c r="F11" s="166">
        <f t="shared" si="7"/>
        <v>-0.98</v>
      </c>
      <c r="G11" s="167">
        <f t="shared" si="0"/>
        <v>0</v>
      </c>
      <c r="H11" s="167">
        <f t="shared" si="1"/>
        <v>1</v>
      </c>
      <c r="I11" s="167">
        <f t="shared" si="2"/>
        <v>0</v>
      </c>
      <c r="J11" s="156">
        <f t="shared" si="3"/>
        <v>1</v>
      </c>
      <c r="P11" s="166">
        <f t="shared" si="8"/>
        <v>-0.98</v>
      </c>
      <c r="Q11" s="167">
        <f t="shared" si="9"/>
        <v>0.18648968655331163</v>
      </c>
      <c r="R11" s="167">
        <f t="shared" si="4"/>
        <v>0.81351031344668834</v>
      </c>
      <c r="S11" s="167">
        <f t="shared" si="5"/>
        <v>0.37297937310662327</v>
      </c>
      <c r="T11" s="156">
        <f t="shared" si="6"/>
        <v>1.1864896865533117</v>
      </c>
    </row>
    <row r="12" spans="2:20" s="143" customFormat="1" ht="16" customHeight="1">
      <c r="F12" s="166">
        <f t="shared" si="7"/>
        <v>-0.97</v>
      </c>
      <c r="G12" s="167">
        <f t="shared" si="0"/>
        <v>0</v>
      </c>
      <c r="H12" s="167">
        <f t="shared" si="1"/>
        <v>1</v>
      </c>
      <c r="I12" s="167">
        <f t="shared" si="2"/>
        <v>0</v>
      </c>
      <c r="J12" s="156">
        <f t="shared" si="3"/>
        <v>1</v>
      </c>
      <c r="P12" s="166">
        <f t="shared" si="8"/>
        <v>-0.97</v>
      </c>
      <c r="Q12" s="167">
        <f t="shared" si="9"/>
        <v>0.23318726612993021</v>
      </c>
      <c r="R12" s="167">
        <f t="shared" si="4"/>
        <v>0.76681273387006976</v>
      </c>
      <c r="S12" s="167">
        <f t="shared" si="5"/>
        <v>0.46637453225986042</v>
      </c>
      <c r="T12" s="156">
        <f t="shared" si="6"/>
        <v>1.2331872661299301</v>
      </c>
    </row>
    <row r="13" spans="2:20" s="143" customFormat="1" ht="16" customHeight="1">
      <c r="F13" s="166">
        <f t="shared" si="7"/>
        <v>-0.96</v>
      </c>
      <c r="G13" s="167">
        <f t="shared" si="0"/>
        <v>0</v>
      </c>
      <c r="H13" s="167">
        <f t="shared" si="1"/>
        <v>1</v>
      </c>
      <c r="I13" s="167">
        <f t="shared" si="2"/>
        <v>0</v>
      </c>
      <c r="J13" s="156">
        <f t="shared" si="3"/>
        <v>1</v>
      </c>
      <c r="P13" s="166">
        <f t="shared" si="8"/>
        <v>-0.96</v>
      </c>
      <c r="Q13" s="167">
        <f t="shared" si="9"/>
        <v>0.27161221419255294</v>
      </c>
      <c r="R13" s="167">
        <f t="shared" si="4"/>
        <v>0.72838778580744701</v>
      </c>
      <c r="S13" s="167">
        <f t="shared" si="5"/>
        <v>0.54322442838510587</v>
      </c>
      <c r="T13" s="156">
        <f t="shared" si="6"/>
        <v>1.271612214192553</v>
      </c>
    </row>
    <row r="14" spans="2:20" s="143" customFormat="1" ht="16" customHeight="1">
      <c r="E14" s="168"/>
      <c r="F14" s="166">
        <f t="shared" si="7"/>
        <v>-0.95</v>
      </c>
      <c r="G14" s="167">
        <f t="shared" si="0"/>
        <v>0</v>
      </c>
      <c r="H14" s="167">
        <f t="shared" si="1"/>
        <v>1</v>
      </c>
      <c r="I14" s="167">
        <f t="shared" si="2"/>
        <v>0</v>
      </c>
      <c r="J14" s="156">
        <f t="shared" si="3"/>
        <v>1</v>
      </c>
      <c r="O14" s="168"/>
      <c r="P14" s="166">
        <f t="shared" si="8"/>
        <v>-0.95</v>
      </c>
      <c r="Q14" s="167">
        <f t="shared" si="9"/>
        <v>0.30490832168217935</v>
      </c>
      <c r="R14" s="167">
        <f t="shared" si="4"/>
        <v>0.6950916783178207</v>
      </c>
      <c r="S14" s="167">
        <f t="shared" si="5"/>
        <v>0.6098166433643587</v>
      </c>
      <c r="T14" s="156">
        <f t="shared" si="6"/>
        <v>1.3049083216821793</v>
      </c>
    </row>
    <row r="15" spans="2:20" s="143" customFormat="1" ht="16" customHeight="1">
      <c r="E15" s="168"/>
      <c r="F15" s="166">
        <f t="shared" si="7"/>
        <v>-0.94</v>
      </c>
      <c r="G15" s="167">
        <f t="shared" si="0"/>
        <v>0</v>
      </c>
      <c r="H15" s="167">
        <f t="shared" si="1"/>
        <v>1</v>
      </c>
      <c r="I15" s="167">
        <f t="shared" si="2"/>
        <v>0</v>
      </c>
      <c r="J15" s="156">
        <f t="shared" si="3"/>
        <v>1</v>
      </c>
      <c r="O15" s="168"/>
      <c r="P15" s="166">
        <f t="shared" si="8"/>
        <v>-0.94</v>
      </c>
      <c r="Q15" s="167">
        <f t="shared" si="9"/>
        <v>0.33461017659739123</v>
      </c>
      <c r="R15" s="167">
        <f t="shared" si="4"/>
        <v>0.66538982340260877</v>
      </c>
      <c r="S15" s="167">
        <f t="shared" si="5"/>
        <v>0.66922035319478246</v>
      </c>
      <c r="T15" s="156">
        <f t="shared" si="6"/>
        <v>1.3346101765973912</v>
      </c>
    </row>
    <row r="16" spans="2:20" s="143" customFormat="1" ht="16" customHeight="1">
      <c r="E16" s="168"/>
      <c r="F16" s="166">
        <f t="shared" si="7"/>
        <v>-0.92999999999999994</v>
      </c>
      <c r="G16" s="167">
        <f t="shared" si="0"/>
        <v>0</v>
      </c>
      <c r="H16" s="167">
        <f t="shared" si="1"/>
        <v>1</v>
      </c>
      <c r="I16" s="167">
        <f t="shared" si="2"/>
        <v>0</v>
      </c>
      <c r="J16" s="156">
        <f t="shared" si="3"/>
        <v>1</v>
      </c>
      <c r="O16" s="168"/>
      <c r="P16" s="166">
        <f t="shared" si="8"/>
        <v>-0.92999999999999994</v>
      </c>
      <c r="Q16" s="167">
        <f t="shared" si="9"/>
        <v>0.36160455175932604</v>
      </c>
      <c r="R16" s="167">
        <f t="shared" si="4"/>
        <v>0.63839544824067396</v>
      </c>
      <c r="S16" s="167">
        <f t="shared" si="5"/>
        <v>0.72320910351865209</v>
      </c>
      <c r="T16" s="156">
        <f t="shared" si="6"/>
        <v>1.361604551759326</v>
      </c>
    </row>
    <row r="17" spans="2:20" s="143" customFormat="1" ht="16" customHeight="1">
      <c r="E17" s="168"/>
      <c r="F17" s="166">
        <f t="shared" si="7"/>
        <v>-0.91999999999999993</v>
      </c>
      <c r="G17" s="167">
        <f t="shared" si="0"/>
        <v>0</v>
      </c>
      <c r="H17" s="167">
        <f t="shared" si="1"/>
        <v>1</v>
      </c>
      <c r="I17" s="167">
        <f t="shared" si="2"/>
        <v>0</v>
      </c>
      <c r="J17" s="156">
        <f t="shared" si="3"/>
        <v>1</v>
      </c>
      <c r="O17" s="168"/>
      <c r="P17" s="166">
        <f t="shared" si="8"/>
        <v>-0.91999999999999993</v>
      </c>
      <c r="Q17" s="167">
        <f t="shared" si="9"/>
        <v>0.3864592208016529</v>
      </c>
      <c r="R17" s="167">
        <f t="shared" si="4"/>
        <v>0.61354077919834715</v>
      </c>
      <c r="S17" s="167">
        <f t="shared" si="5"/>
        <v>0.77291844160330581</v>
      </c>
      <c r="T17" s="156">
        <f t="shared" si="6"/>
        <v>1.3864592208016528</v>
      </c>
    </row>
    <row r="18" spans="2:20" s="143" customFormat="1" ht="16" customHeight="1">
      <c r="E18" s="168"/>
      <c r="F18" s="166">
        <f t="shared" si="7"/>
        <v>-0.90999999999999992</v>
      </c>
      <c r="G18" s="167">
        <f t="shared" si="0"/>
        <v>0</v>
      </c>
      <c r="H18" s="167">
        <f t="shared" si="1"/>
        <v>1</v>
      </c>
      <c r="I18" s="167">
        <f t="shared" si="2"/>
        <v>0</v>
      </c>
      <c r="J18" s="156">
        <f t="shared" si="3"/>
        <v>1</v>
      </c>
      <c r="O18" s="168"/>
      <c r="P18" s="166">
        <f t="shared" si="8"/>
        <v>-0.90999999999999992</v>
      </c>
      <c r="Q18" s="167">
        <f t="shared" si="9"/>
        <v>0.40956391778477036</v>
      </c>
      <c r="R18" s="167">
        <f t="shared" si="4"/>
        <v>0.5904360822152297</v>
      </c>
      <c r="S18" s="167">
        <f t="shared" si="5"/>
        <v>0.81912783556954072</v>
      </c>
      <c r="T18" s="156">
        <f t="shared" si="6"/>
        <v>1.4095639177847703</v>
      </c>
    </row>
    <row r="19" spans="2:20" s="143" customFormat="1" ht="16" customHeight="1">
      <c r="B19" s="169" t="s">
        <v>478</v>
      </c>
      <c r="C19" s="170">
        <v>2460438.64</v>
      </c>
      <c r="D19" s="143" t="s">
        <v>479</v>
      </c>
      <c r="E19" s="168"/>
      <c r="F19" s="166">
        <f t="shared" si="7"/>
        <v>-0.89999999999999991</v>
      </c>
      <c r="G19" s="167">
        <f t="shared" si="0"/>
        <v>0</v>
      </c>
      <c r="H19" s="167">
        <f t="shared" si="1"/>
        <v>1</v>
      </c>
      <c r="I19" s="167">
        <f t="shared" si="2"/>
        <v>0</v>
      </c>
      <c r="J19" s="156">
        <f t="shared" si="3"/>
        <v>1</v>
      </c>
      <c r="L19" s="169" t="s">
        <v>478</v>
      </c>
      <c r="M19" s="170">
        <v>2460438.64</v>
      </c>
      <c r="N19" s="143" t="s">
        <v>479</v>
      </c>
      <c r="O19" s="168"/>
      <c r="P19" s="166">
        <f t="shared" si="8"/>
        <v>-0.89999999999999991</v>
      </c>
      <c r="Q19" s="167">
        <f t="shared" si="9"/>
        <v>0.43120003719715894</v>
      </c>
      <c r="R19" s="167">
        <f t="shared" si="4"/>
        <v>0.56879996280284106</v>
      </c>
      <c r="S19" s="167">
        <f t="shared" si="5"/>
        <v>0.86240007439431787</v>
      </c>
      <c r="T19" s="156">
        <f t="shared" si="6"/>
        <v>1.4312000371971589</v>
      </c>
    </row>
    <row r="20" spans="2:20" s="143" customFormat="1" ht="16" customHeight="1">
      <c r="B20" s="171" t="s">
        <v>480</v>
      </c>
      <c r="C20" s="172">
        <f>(('Visibility (Required)'!C10-C19)/29.530588853)-INT(('Visibility (Required)'!C10-C19)/29.530588853)</f>
        <v>0.26898662173311888</v>
      </c>
      <c r="D20" s="143" t="str">
        <f>IF(C20&lt;0.5,"(before FM)","(after FM)")</f>
        <v>(before FM)</v>
      </c>
      <c r="E20" s="168"/>
      <c r="F20" s="166">
        <f t="shared" si="7"/>
        <v>-0.8899999999999999</v>
      </c>
      <c r="G20" s="167">
        <f t="shared" si="0"/>
        <v>0</v>
      </c>
      <c r="H20" s="167">
        <f t="shared" si="1"/>
        <v>1</v>
      </c>
      <c r="I20" s="167">
        <f t="shared" si="2"/>
        <v>0</v>
      </c>
      <c r="J20" s="156">
        <f t="shared" si="3"/>
        <v>1</v>
      </c>
      <c r="L20" s="171" t="s">
        <v>480</v>
      </c>
      <c r="M20" s="172">
        <f>('Visibility (Optional)'!C10-M19)/29.530588853</f>
        <v>0.47216577369203633</v>
      </c>
      <c r="N20" s="143" t="str">
        <f>IF(M20&lt;0.5,"(before FM)","(after FM)")</f>
        <v>(before FM)</v>
      </c>
      <c r="O20" s="168"/>
      <c r="P20" s="166">
        <f t="shared" si="8"/>
        <v>-0.8899999999999999</v>
      </c>
      <c r="Q20" s="167">
        <f t="shared" si="9"/>
        <v>0.45157871664360388</v>
      </c>
      <c r="R20" s="167">
        <f t="shared" si="4"/>
        <v>0.54842128335639617</v>
      </c>
      <c r="S20" s="167">
        <f t="shared" si="5"/>
        <v>0.90315743328720777</v>
      </c>
      <c r="T20" s="156">
        <f t="shared" si="6"/>
        <v>1.4515787166436038</v>
      </c>
    </row>
    <row r="21" spans="2:20" s="143" customFormat="1" ht="16" customHeight="1">
      <c r="B21" s="161" t="s">
        <v>481</v>
      </c>
      <c r="C21" s="173">
        <f>IF(C20&lt;0.5,180*C8,360-180*C8)</f>
        <v>100.27097802406084</v>
      </c>
      <c r="E21" s="168"/>
      <c r="F21" s="166">
        <f t="shared" si="7"/>
        <v>-0.87999999999999989</v>
      </c>
      <c r="G21" s="167">
        <f t="shared" si="0"/>
        <v>0</v>
      </c>
      <c r="H21" s="167">
        <f t="shared" si="1"/>
        <v>1</v>
      </c>
      <c r="I21" s="167">
        <f t="shared" si="2"/>
        <v>0</v>
      </c>
      <c r="J21" s="156">
        <f t="shared" si="3"/>
        <v>1</v>
      </c>
      <c r="L21" s="161" t="s">
        <v>481</v>
      </c>
      <c r="M21" s="173">
        <f>IF(M20&lt;0.5,180*M8,360-180*M8)</f>
        <v>175.94709148679169</v>
      </c>
      <c r="O21" s="168"/>
      <c r="P21" s="166">
        <f t="shared" si="8"/>
        <v>-0.87999999999999989</v>
      </c>
      <c r="Q21" s="167">
        <f t="shared" si="9"/>
        <v>0.47086324818483027</v>
      </c>
      <c r="R21" s="167">
        <f t="shared" si="4"/>
        <v>0.52913675181516973</v>
      </c>
      <c r="S21" s="167">
        <f t="shared" si="5"/>
        <v>0.94172649636966055</v>
      </c>
      <c r="T21" s="156">
        <f t="shared" si="6"/>
        <v>1.4708632481848303</v>
      </c>
    </row>
    <row r="22" spans="2:20" s="143" customFormat="1" ht="16" customHeight="1">
      <c r="E22" s="168"/>
      <c r="F22" s="166">
        <f t="shared" si="7"/>
        <v>-0.86999999999999988</v>
      </c>
      <c r="G22" s="167">
        <f t="shared" si="0"/>
        <v>0</v>
      </c>
      <c r="H22" s="167">
        <f t="shared" si="1"/>
        <v>1</v>
      </c>
      <c r="I22" s="167">
        <f t="shared" si="2"/>
        <v>0</v>
      </c>
      <c r="J22" s="156">
        <f t="shared" si="3"/>
        <v>1</v>
      </c>
      <c r="O22" s="168"/>
      <c r="P22" s="166">
        <f t="shared" si="8"/>
        <v>-0.86999999999999988</v>
      </c>
      <c r="Q22" s="167">
        <f t="shared" si="9"/>
        <v>0.48918304915019872</v>
      </c>
      <c r="R22" s="167">
        <f t="shared" si="4"/>
        <v>0.51081695084980128</v>
      </c>
      <c r="S22" s="167">
        <f t="shared" si="5"/>
        <v>0.97836609830039745</v>
      </c>
      <c r="T22" s="156">
        <f t="shared" si="6"/>
        <v>1.4891830491501987</v>
      </c>
    </row>
    <row r="23" spans="2:20" s="143" customFormat="1" ht="16" customHeight="1">
      <c r="B23" s="174">
        <v>0</v>
      </c>
      <c r="C23" s="175">
        <v>0</v>
      </c>
      <c r="D23" s="176" t="s">
        <v>482</v>
      </c>
      <c r="F23" s="166">
        <f t="shared" si="7"/>
        <v>-0.85999999999999988</v>
      </c>
      <c r="G23" s="167">
        <f t="shared" si="0"/>
        <v>0</v>
      </c>
      <c r="H23" s="167">
        <f t="shared" si="1"/>
        <v>1</v>
      </c>
      <c r="I23" s="167">
        <f t="shared" si="2"/>
        <v>0</v>
      </c>
      <c r="J23" s="156">
        <f t="shared" si="3"/>
        <v>1</v>
      </c>
      <c r="L23" s="174">
        <v>0</v>
      </c>
      <c r="M23" s="175">
        <v>0</v>
      </c>
      <c r="N23" s="176" t="s">
        <v>482</v>
      </c>
      <c r="P23" s="166">
        <f t="shared" si="8"/>
        <v>-0.85999999999999988</v>
      </c>
      <c r="Q23" s="167">
        <f t="shared" si="9"/>
        <v>0.50664278202658153</v>
      </c>
      <c r="R23" s="167">
        <f t="shared" si="4"/>
        <v>0.49335721797341847</v>
      </c>
      <c r="S23" s="167">
        <f t="shared" si="5"/>
        <v>1.0132855640531631</v>
      </c>
      <c r="T23" s="156">
        <f t="shared" si="6"/>
        <v>1.5066427820265815</v>
      </c>
    </row>
    <row r="24" spans="2:20" s="143" customFormat="1" ht="16" customHeight="1">
      <c r="B24" s="177">
        <f t="shared" ref="B24:B31" si="10">B23+45</f>
        <v>45</v>
      </c>
      <c r="C24" s="178">
        <f t="shared" ref="C24:C31" si="11">B24-22.5</f>
        <v>22.5</v>
      </c>
      <c r="D24" s="179" t="s">
        <v>483</v>
      </c>
      <c r="F24" s="166">
        <f t="shared" si="7"/>
        <v>-0.84999999999999987</v>
      </c>
      <c r="G24" s="167">
        <f t="shared" si="0"/>
        <v>0</v>
      </c>
      <c r="H24" s="167">
        <f t="shared" si="1"/>
        <v>1</v>
      </c>
      <c r="I24" s="167">
        <f t="shared" si="2"/>
        <v>0</v>
      </c>
      <c r="J24" s="156">
        <f t="shared" si="3"/>
        <v>1</v>
      </c>
      <c r="L24" s="177">
        <f t="shared" ref="L24:L31" si="12">L23+45</f>
        <v>45</v>
      </c>
      <c r="M24" s="178">
        <f t="shared" ref="M24:M31" si="13">L24-22.5</f>
        <v>22.5</v>
      </c>
      <c r="N24" s="179" t="s">
        <v>483</v>
      </c>
      <c r="P24" s="166">
        <f t="shared" si="8"/>
        <v>-0.84999999999999987</v>
      </c>
      <c r="Q24" s="167">
        <f t="shared" si="9"/>
        <v>0.52332853686992298</v>
      </c>
      <c r="R24" s="167">
        <f t="shared" si="4"/>
        <v>0.47667146313007702</v>
      </c>
      <c r="S24" s="167">
        <f t="shared" si="5"/>
        <v>1.046657073739846</v>
      </c>
      <c r="T24" s="156">
        <f t="shared" si="6"/>
        <v>1.523328536869923</v>
      </c>
    </row>
    <row r="25" spans="2:20" s="143" customFormat="1" ht="16" customHeight="1">
      <c r="B25" s="177">
        <f t="shared" si="10"/>
        <v>90</v>
      </c>
      <c r="C25" s="178">
        <f t="shared" si="11"/>
        <v>67.5</v>
      </c>
      <c r="D25" s="179" t="s">
        <v>484</v>
      </c>
      <c r="F25" s="166">
        <f t="shared" si="7"/>
        <v>-0.83999999999999986</v>
      </c>
      <c r="G25" s="167">
        <f t="shared" si="0"/>
        <v>0</v>
      </c>
      <c r="H25" s="167">
        <f t="shared" si="1"/>
        <v>1</v>
      </c>
      <c r="I25" s="167">
        <f t="shared" si="2"/>
        <v>0</v>
      </c>
      <c r="J25" s="156">
        <f t="shared" si="3"/>
        <v>1</v>
      </c>
      <c r="L25" s="177">
        <f t="shared" si="12"/>
        <v>90</v>
      </c>
      <c r="M25" s="178">
        <f t="shared" si="13"/>
        <v>67.5</v>
      </c>
      <c r="N25" s="179" t="s">
        <v>484</v>
      </c>
      <c r="P25" s="166">
        <f t="shared" si="8"/>
        <v>-0.83999999999999986</v>
      </c>
      <c r="Q25" s="167">
        <f t="shared" si="9"/>
        <v>0.53931215668129195</v>
      </c>
      <c r="R25" s="167">
        <f t="shared" si="4"/>
        <v>0.46068784331870805</v>
      </c>
      <c r="S25" s="167">
        <f t="shared" si="5"/>
        <v>1.0786243133625839</v>
      </c>
      <c r="T25" s="156">
        <f t="shared" si="6"/>
        <v>1.539312156681292</v>
      </c>
    </row>
    <row r="26" spans="2:20" s="143" customFormat="1" ht="16" customHeight="1">
      <c r="B26" s="177">
        <f t="shared" si="10"/>
        <v>135</v>
      </c>
      <c r="C26" s="178">
        <f t="shared" si="11"/>
        <v>112.5</v>
      </c>
      <c r="D26" s="179" t="s">
        <v>485</v>
      </c>
      <c r="F26" s="166">
        <f t="shared" si="7"/>
        <v>-0.82999999999999985</v>
      </c>
      <c r="G26" s="167">
        <f t="shared" si="0"/>
        <v>0</v>
      </c>
      <c r="H26" s="167">
        <f t="shared" si="1"/>
        <v>1</v>
      </c>
      <c r="I26" s="167">
        <f t="shared" si="2"/>
        <v>0</v>
      </c>
      <c r="J26" s="156">
        <f t="shared" si="3"/>
        <v>1</v>
      </c>
      <c r="L26" s="177">
        <f t="shared" si="12"/>
        <v>135</v>
      </c>
      <c r="M26" s="178">
        <f t="shared" si="13"/>
        <v>112.5</v>
      </c>
      <c r="N26" s="179" t="s">
        <v>485</v>
      </c>
      <c r="P26" s="166">
        <f t="shared" si="8"/>
        <v>-0.82999999999999985</v>
      </c>
      <c r="Q26" s="167">
        <f t="shared" si="9"/>
        <v>0.5546543456109132</v>
      </c>
      <c r="R26" s="167">
        <f t="shared" si="4"/>
        <v>0.4453456543890868</v>
      </c>
      <c r="S26" s="167">
        <f t="shared" si="5"/>
        <v>1.1093086912218264</v>
      </c>
      <c r="T26" s="156">
        <f t="shared" si="6"/>
        <v>1.5546543456109132</v>
      </c>
    </row>
    <row r="27" spans="2:20" s="143" customFormat="1" ht="16" customHeight="1">
      <c r="B27" s="177">
        <f t="shared" si="10"/>
        <v>180</v>
      </c>
      <c r="C27" s="178">
        <f t="shared" si="11"/>
        <v>157.5</v>
      </c>
      <c r="D27" s="179" t="s">
        <v>486</v>
      </c>
      <c r="F27" s="166">
        <f t="shared" si="7"/>
        <v>-0.81999999999999984</v>
      </c>
      <c r="G27" s="167">
        <f t="shared" si="0"/>
        <v>0</v>
      </c>
      <c r="H27" s="167">
        <f t="shared" si="1"/>
        <v>1</v>
      </c>
      <c r="I27" s="167">
        <f t="shared" si="2"/>
        <v>0</v>
      </c>
      <c r="J27" s="156">
        <f t="shared" si="3"/>
        <v>1</v>
      </c>
      <c r="L27" s="177">
        <f t="shared" si="12"/>
        <v>180</v>
      </c>
      <c r="M27" s="178">
        <f t="shared" si="13"/>
        <v>157.5</v>
      </c>
      <c r="N27" s="179" t="s">
        <v>486</v>
      </c>
      <c r="P27" s="166">
        <f t="shared" si="8"/>
        <v>-0.81999999999999984</v>
      </c>
      <c r="Q27" s="167">
        <f t="shared" si="9"/>
        <v>0.56940695445783407</v>
      </c>
      <c r="R27" s="167">
        <f t="shared" si="4"/>
        <v>0.43059304554216593</v>
      </c>
      <c r="S27" s="167">
        <f t="shared" si="5"/>
        <v>1.1388139089156681</v>
      </c>
      <c r="T27" s="156">
        <f t="shared" si="6"/>
        <v>1.569406954457834</v>
      </c>
    </row>
    <row r="28" spans="2:20" s="143" customFormat="1" ht="16" customHeight="1">
      <c r="B28" s="177">
        <f t="shared" si="10"/>
        <v>225</v>
      </c>
      <c r="C28" s="178">
        <f t="shared" si="11"/>
        <v>202.5</v>
      </c>
      <c r="D28" s="179" t="s">
        <v>487</v>
      </c>
      <c r="F28" s="166">
        <f t="shared" si="7"/>
        <v>-0.80999999999999983</v>
      </c>
      <c r="G28" s="167">
        <f t="shared" si="0"/>
        <v>0</v>
      </c>
      <c r="H28" s="167">
        <f t="shared" si="1"/>
        <v>1</v>
      </c>
      <c r="I28" s="167">
        <f t="shared" si="2"/>
        <v>0</v>
      </c>
      <c r="J28" s="156">
        <f t="shared" si="3"/>
        <v>1</v>
      </c>
      <c r="L28" s="177">
        <f t="shared" si="12"/>
        <v>225</v>
      </c>
      <c r="M28" s="178">
        <f t="shared" si="13"/>
        <v>202.5</v>
      </c>
      <c r="N28" s="179" t="s">
        <v>487</v>
      </c>
      <c r="P28" s="166">
        <f t="shared" si="8"/>
        <v>-0.80999999999999983</v>
      </c>
      <c r="Q28" s="167">
        <f t="shared" si="9"/>
        <v>0.58361469514042696</v>
      </c>
      <c r="R28" s="167">
        <f t="shared" si="4"/>
        <v>0.41638530485957304</v>
      </c>
      <c r="S28" s="167">
        <f t="shared" si="5"/>
        <v>1.1672293902808539</v>
      </c>
      <c r="T28" s="156">
        <f t="shared" si="6"/>
        <v>1.5836146951404269</v>
      </c>
    </row>
    <row r="29" spans="2:20" s="143" customFormat="1" ht="16" customHeight="1">
      <c r="B29" s="177">
        <f t="shared" si="10"/>
        <v>270</v>
      </c>
      <c r="C29" s="178">
        <f t="shared" si="11"/>
        <v>247.5</v>
      </c>
      <c r="D29" s="179" t="s">
        <v>488</v>
      </c>
      <c r="F29" s="166">
        <f t="shared" si="7"/>
        <v>-0.79999999999999982</v>
      </c>
      <c r="G29" s="167">
        <f t="shared" si="0"/>
        <v>0</v>
      </c>
      <c r="H29" s="167">
        <f t="shared" si="1"/>
        <v>1</v>
      </c>
      <c r="I29" s="167">
        <f t="shared" si="2"/>
        <v>0</v>
      </c>
      <c r="J29" s="156">
        <f t="shared" si="3"/>
        <v>1</v>
      </c>
      <c r="L29" s="177">
        <f t="shared" si="12"/>
        <v>270</v>
      </c>
      <c r="M29" s="178">
        <f t="shared" si="13"/>
        <v>247.5</v>
      </c>
      <c r="N29" s="179" t="s">
        <v>488</v>
      </c>
      <c r="P29" s="166">
        <f t="shared" si="8"/>
        <v>-0.79999999999999982</v>
      </c>
      <c r="Q29" s="167">
        <f t="shared" si="9"/>
        <v>0.59731644954897467</v>
      </c>
      <c r="R29" s="167">
        <f t="shared" si="4"/>
        <v>0.40268355045102533</v>
      </c>
      <c r="S29" s="167">
        <f t="shared" si="5"/>
        <v>1.1946328990979493</v>
      </c>
      <c r="T29" s="156">
        <f t="shared" si="6"/>
        <v>1.5973164495489747</v>
      </c>
    </row>
    <row r="30" spans="2:20" s="143" customFormat="1" ht="16" customHeight="1">
      <c r="B30" s="177">
        <f t="shared" si="10"/>
        <v>315</v>
      </c>
      <c r="C30" s="178">
        <f t="shared" si="11"/>
        <v>292.5</v>
      </c>
      <c r="D30" s="179" t="s">
        <v>489</v>
      </c>
      <c r="F30" s="166">
        <f t="shared" si="7"/>
        <v>-0.78999999999999981</v>
      </c>
      <c r="G30" s="167">
        <f t="shared" si="0"/>
        <v>0</v>
      </c>
      <c r="H30" s="167">
        <f t="shared" si="1"/>
        <v>1</v>
      </c>
      <c r="I30" s="167">
        <f t="shared" si="2"/>
        <v>0</v>
      </c>
      <c r="J30" s="156">
        <f t="shared" si="3"/>
        <v>1</v>
      </c>
      <c r="L30" s="177">
        <f t="shared" si="12"/>
        <v>315</v>
      </c>
      <c r="M30" s="178">
        <f t="shared" si="13"/>
        <v>292.5</v>
      </c>
      <c r="N30" s="179" t="s">
        <v>489</v>
      </c>
      <c r="P30" s="166">
        <f t="shared" si="8"/>
        <v>-0.78999999999999981</v>
      </c>
      <c r="Q30" s="167">
        <f t="shared" si="9"/>
        <v>0.6105462843542363</v>
      </c>
      <c r="R30" s="167">
        <f t="shared" si="4"/>
        <v>0.3894537156457637</v>
      </c>
      <c r="S30" s="167">
        <f t="shared" si="5"/>
        <v>1.2210925687084726</v>
      </c>
      <c r="T30" s="156">
        <f t="shared" si="6"/>
        <v>1.6105462843542364</v>
      </c>
    </row>
    <row r="31" spans="2:20" s="143" customFormat="1" ht="16" customHeight="1">
      <c r="B31" s="180">
        <f t="shared" si="10"/>
        <v>360</v>
      </c>
      <c r="C31" s="181">
        <f t="shared" si="11"/>
        <v>337.5</v>
      </c>
      <c r="D31" s="182" t="s">
        <v>482</v>
      </c>
      <c r="F31" s="166">
        <f t="shared" si="7"/>
        <v>-0.7799999999999998</v>
      </c>
      <c r="G31" s="167">
        <f t="shared" si="0"/>
        <v>0</v>
      </c>
      <c r="H31" s="167">
        <f t="shared" si="1"/>
        <v>1</v>
      </c>
      <c r="I31" s="167">
        <f t="shared" si="2"/>
        <v>0</v>
      </c>
      <c r="J31" s="156">
        <f t="shared" si="3"/>
        <v>1</v>
      </c>
      <c r="L31" s="180">
        <f t="shared" si="12"/>
        <v>360</v>
      </c>
      <c r="M31" s="181">
        <f t="shared" si="13"/>
        <v>337.5</v>
      </c>
      <c r="N31" s="182" t="s">
        <v>482</v>
      </c>
      <c r="P31" s="166">
        <f t="shared" si="8"/>
        <v>-0.7799999999999998</v>
      </c>
      <c r="Q31" s="167">
        <f t="shared" si="9"/>
        <v>0.62333424877409616</v>
      </c>
      <c r="R31" s="167">
        <f t="shared" si="4"/>
        <v>0.37666575122590384</v>
      </c>
      <c r="S31" s="167">
        <f t="shared" si="5"/>
        <v>1.2466684975481923</v>
      </c>
      <c r="T31" s="156">
        <f t="shared" si="6"/>
        <v>1.6233342487740963</v>
      </c>
    </row>
    <row r="32" spans="2:20" s="143" customFormat="1" ht="16" customHeight="1">
      <c r="F32" s="166">
        <f t="shared" si="7"/>
        <v>-0.7699999999999998</v>
      </c>
      <c r="G32" s="167">
        <f t="shared" si="0"/>
        <v>0</v>
      </c>
      <c r="H32" s="167">
        <f t="shared" si="1"/>
        <v>1</v>
      </c>
      <c r="I32" s="167">
        <f t="shared" si="2"/>
        <v>0</v>
      </c>
      <c r="J32" s="156">
        <f t="shared" si="3"/>
        <v>1</v>
      </c>
      <c r="P32" s="166">
        <f t="shared" si="8"/>
        <v>-0.7699999999999998</v>
      </c>
      <c r="Q32" s="167">
        <f t="shared" si="9"/>
        <v>0.63570700953332393</v>
      </c>
      <c r="R32" s="167">
        <f t="shared" si="4"/>
        <v>0.36429299046667607</v>
      </c>
      <c r="S32" s="167">
        <f t="shared" si="5"/>
        <v>1.2714140190666479</v>
      </c>
      <c r="T32" s="156">
        <f t="shared" si="6"/>
        <v>1.6357070095333239</v>
      </c>
    </row>
    <row r="33" spans="6:20" s="143" customFormat="1" ht="16" customHeight="1">
      <c r="F33" s="166">
        <f t="shared" si="7"/>
        <v>-0.75999999999999979</v>
      </c>
      <c r="G33" s="167">
        <f t="shared" si="0"/>
        <v>0</v>
      </c>
      <c r="H33" s="167">
        <f t="shared" si="1"/>
        <v>1</v>
      </c>
      <c r="I33" s="167">
        <f t="shared" si="2"/>
        <v>0</v>
      </c>
      <c r="J33" s="156">
        <f t="shared" si="3"/>
        <v>1</v>
      </c>
      <c r="P33" s="166">
        <f t="shared" si="8"/>
        <v>-0.75999999999999979</v>
      </c>
      <c r="Q33" s="167">
        <f t="shared" si="9"/>
        <v>0.64768836191788104</v>
      </c>
      <c r="R33" s="167">
        <f t="shared" si="4"/>
        <v>0.35231163808211896</v>
      </c>
      <c r="S33" s="167">
        <f t="shared" si="5"/>
        <v>1.2953767238357621</v>
      </c>
      <c r="T33" s="156">
        <f t="shared" si="6"/>
        <v>1.647688361917881</v>
      </c>
    </row>
    <row r="34" spans="6:20" s="143" customFormat="1" ht="16" customHeight="1">
      <c r="F34" s="166">
        <f t="shared" si="7"/>
        <v>-0.74999999999999978</v>
      </c>
      <c r="G34" s="167">
        <f t="shared" si="0"/>
        <v>0</v>
      </c>
      <c r="H34" s="167">
        <f t="shared" si="1"/>
        <v>1</v>
      </c>
      <c r="I34" s="167">
        <f t="shared" si="2"/>
        <v>0</v>
      </c>
      <c r="J34" s="156">
        <f t="shared" si="3"/>
        <v>1</v>
      </c>
      <c r="P34" s="166">
        <f t="shared" si="8"/>
        <v>-0.74999999999999978</v>
      </c>
      <c r="Q34" s="167">
        <f t="shared" si="9"/>
        <v>0.65929964528806362</v>
      </c>
      <c r="R34" s="167">
        <f t="shared" si="4"/>
        <v>0.34070035471193638</v>
      </c>
      <c r="S34" s="167">
        <f t="shared" si="5"/>
        <v>1.3185992905761272</v>
      </c>
      <c r="T34" s="156">
        <f t="shared" si="6"/>
        <v>1.6592996452880637</v>
      </c>
    </row>
    <row r="35" spans="6:20" s="143" customFormat="1" ht="16" customHeight="1">
      <c r="F35" s="166">
        <f t="shared" si="7"/>
        <v>-0.73999999999999977</v>
      </c>
      <c r="G35" s="167">
        <f t="shared" si="0"/>
        <v>0</v>
      </c>
      <c r="H35" s="167">
        <f t="shared" si="1"/>
        <v>1</v>
      </c>
      <c r="I35" s="167">
        <f t="shared" si="2"/>
        <v>0</v>
      </c>
      <c r="J35" s="156">
        <f t="shared" si="3"/>
        <v>1</v>
      </c>
      <c r="P35" s="166">
        <f t="shared" si="8"/>
        <v>-0.73999999999999977</v>
      </c>
      <c r="Q35" s="167">
        <f t="shared" si="9"/>
        <v>0.67056008404101763</v>
      </c>
      <c r="R35" s="167">
        <f t="shared" si="4"/>
        <v>0.32943991595898237</v>
      </c>
      <c r="S35" s="167">
        <f t="shared" si="5"/>
        <v>1.3411201680820353</v>
      </c>
      <c r="T35" s="156">
        <f t="shared" si="6"/>
        <v>1.6705600840410177</v>
      </c>
    </row>
    <row r="36" spans="6:20" s="143" customFormat="1" ht="16" customHeight="1">
      <c r="F36" s="166">
        <f t="shared" si="7"/>
        <v>-0.72999999999999976</v>
      </c>
      <c r="G36" s="167">
        <f t="shared" si="0"/>
        <v>0</v>
      </c>
      <c r="H36" s="167">
        <f t="shared" si="1"/>
        <v>1</v>
      </c>
      <c r="I36" s="167">
        <f t="shared" si="2"/>
        <v>0</v>
      </c>
      <c r="J36" s="156">
        <f t="shared" si="3"/>
        <v>1</v>
      </c>
      <c r="P36" s="166">
        <f t="shared" si="8"/>
        <v>-0.72999999999999976</v>
      </c>
      <c r="Q36" s="167">
        <f t="shared" si="9"/>
        <v>0.68148706976747442</v>
      </c>
      <c r="R36" s="167">
        <f t="shared" si="4"/>
        <v>0.31851293023252558</v>
      </c>
      <c r="S36" s="167">
        <f t="shared" si="5"/>
        <v>1.3629741395349488</v>
      </c>
      <c r="T36" s="156">
        <f t="shared" si="6"/>
        <v>1.6814870697674744</v>
      </c>
    </row>
    <row r="37" spans="6:20" s="143" customFormat="1" ht="16" customHeight="1">
      <c r="F37" s="166">
        <f t="shared" si="7"/>
        <v>-0.71999999999999975</v>
      </c>
      <c r="G37" s="167">
        <f t="shared" si="0"/>
        <v>0</v>
      </c>
      <c r="H37" s="167">
        <f t="shared" si="1"/>
        <v>1</v>
      </c>
      <c r="I37" s="167">
        <f t="shared" si="2"/>
        <v>0</v>
      </c>
      <c r="J37" s="156">
        <f t="shared" si="3"/>
        <v>1</v>
      </c>
      <c r="P37" s="166">
        <f t="shared" si="8"/>
        <v>-0.71999999999999975</v>
      </c>
      <c r="Q37" s="167">
        <f t="shared" si="9"/>
        <v>0.69209639655936095</v>
      </c>
      <c r="R37" s="167">
        <f t="shared" si="4"/>
        <v>0.30790360344063905</v>
      </c>
      <c r="S37" s="167">
        <f t="shared" si="5"/>
        <v>1.3841927931187219</v>
      </c>
      <c r="T37" s="156">
        <f t="shared" si="6"/>
        <v>1.6920963965593609</v>
      </c>
    </row>
    <row r="38" spans="6:20" s="143" customFormat="1" ht="16" customHeight="1">
      <c r="F38" s="166">
        <f t="shared" si="7"/>
        <v>-0.70999999999999974</v>
      </c>
      <c r="G38" s="167">
        <f t="shared" si="0"/>
        <v>0</v>
      </c>
      <c r="H38" s="167">
        <f t="shared" si="1"/>
        <v>1</v>
      </c>
      <c r="I38" s="167">
        <f t="shared" si="2"/>
        <v>0</v>
      </c>
      <c r="J38" s="156">
        <f t="shared" si="3"/>
        <v>1</v>
      </c>
      <c r="P38" s="166">
        <f t="shared" si="8"/>
        <v>-0.70999999999999974</v>
      </c>
      <c r="Q38" s="167">
        <f t="shared" si="9"/>
        <v>0.70240245865150397</v>
      </c>
      <c r="R38" s="167">
        <f t="shared" si="4"/>
        <v>0.29759754134849603</v>
      </c>
      <c r="S38" s="167">
        <f t="shared" si="5"/>
        <v>1.4048049173030079</v>
      </c>
      <c r="T38" s="156">
        <f t="shared" si="6"/>
        <v>1.7024024586515041</v>
      </c>
    </row>
    <row r="39" spans="6:20" s="143" customFormat="1" ht="16" customHeight="1">
      <c r="F39" s="166">
        <f t="shared" si="7"/>
        <v>-0.69999999999999973</v>
      </c>
      <c r="G39" s="167">
        <f t="shared" si="0"/>
        <v>0</v>
      </c>
      <c r="H39" s="167">
        <f t="shared" si="1"/>
        <v>1</v>
      </c>
      <c r="I39" s="167">
        <f t="shared" si="2"/>
        <v>0</v>
      </c>
      <c r="J39" s="156">
        <f t="shared" si="3"/>
        <v>1</v>
      </c>
      <c r="P39" s="166">
        <f t="shared" si="8"/>
        <v>-0.69999999999999973</v>
      </c>
      <c r="Q39" s="167">
        <f t="shared" si="9"/>
        <v>0.7124184175243754</v>
      </c>
      <c r="R39" s="167">
        <f t="shared" si="4"/>
        <v>0.2875815824756246</v>
      </c>
      <c r="S39" s="167">
        <f t="shared" si="5"/>
        <v>1.4248368350487508</v>
      </c>
      <c r="T39" s="156">
        <f t="shared" si="6"/>
        <v>1.7124184175243755</v>
      </c>
    </row>
    <row r="40" spans="6:20" s="143" customFormat="1" ht="16" customHeight="1">
      <c r="F40" s="166">
        <f t="shared" si="7"/>
        <v>-0.68999999999999972</v>
      </c>
      <c r="G40" s="167">
        <f t="shared" si="0"/>
        <v>0</v>
      </c>
      <c r="H40" s="167">
        <f t="shared" si="1"/>
        <v>1</v>
      </c>
      <c r="I40" s="167">
        <f t="shared" si="2"/>
        <v>0</v>
      </c>
      <c r="J40" s="156">
        <f t="shared" si="3"/>
        <v>1</v>
      </c>
      <c r="P40" s="166">
        <f t="shared" si="8"/>
        <v>-0.68999999999999972</v>
      </c>
      <c r="Q40" s="167">
        <f t="shared" si="9"/>
        <v>0.72215634405246654</v>
      </c>
      <c r="R40" s="167">
        <f t="shared" si="4"/>
        <v>0.27784365594753346</v>
      </c>
      <c r="S40" s="167">
        <f t="shared" si="5"/>
        <v>1.4443126881049331</v>
      </c>
      <c r="T40" s="156">
        <f t="shared" si="6"/>
        <v>1.7221563440524665</v>
      </c>
    </row>
    <row r="41" spans="6:20" s="143" customFormat="1" ht="16" customHeight="1">
      <c r="F41" s="166">
        <f t="shared" si="7"/>
        <v>-0.67999999999999972</v>
      </c>
      <c r="G41" s="167">
        <f t="shared" si="0"/>
        <v>0</v>
      </c>
      <c r="H41" s="167">
        <f t="shared" si="1"/>
        <v>1</v>
      </c>
      <c r="I41" s="167">
        <f t="shared" si="2"/>
        <v>0</v>
      </c>
      <c r="J41" s="156">
        <f t="shared" si="3"/>
        <v>1</v>
      </c>
      <c r="P41" s="166">
        <f t="shared" si="8"/>
        <v>-0.67999999999999972</v>
      </c>
      <c r="Q41" s="167">
        <f t="shared" si="9"/>
        <v>0.73162734011349351</v>
      </c>
      <c r="R41" s="167">
        <f t="shared" si="4"/>
        <v>0.26837265988650649</v>
      </c>
      <c r="S41" s="167">
        <f t="shared" si="5"/>
        <v>1.463254680226987</v>
      </c>
      <c r="T41" s="156">
        <f t="shared" si="6"/>
        <v>1.7316273401134934</v>
      </c>
    </row>
    <row r="42" spans="6:20" s="143" customFormat="1" ht="16" customHeight="1">
      <c r="F42" s="166">
        <f t="shared" si="7"/>
        <v>-0.66999999999999971</v>
      </c>
      <c r="G42" s="167">
        <f t="shared" si="0"/>
        <v>0</v>
      </c>
      <c r="H42" s="167">
        <f t="shared" si="1"/>
        <v>1</v>
      </c>
      <c r="I42" s="167">
        <f t="shared" si="2"/>
        <v>0</v>
      </c>
      <c r="J42" s="156">
        <f t="shared" si="3"/>
        <v>1</v>
      </c>
      <c r="P42" s="166">
        <f t="shared" si="8"/>
        <v>-0.66999999999999971</v>
      </c>
      <c r="Q42" s="167">
        <f t="shared" si="9"/>
        <v>0.74084164317814793</v>
      </c>
      <c r="R42" s="167">
        <f t="shared" si="4"/>
        <v>0.25915835682185207</v>
      </c>
      <c r="S42" s="167">
        <f t="shared" si="5"/>
        <v>1.4816832863562959</v>
      </c>
      <c r="T42" s="156">
        <f t="shared" si="6"/>
        <v>1.7408416431781479</v>
      </c>
    </row>
    <row r="43" spans="6:20" s="143" customFormat="1" ht="16" customHeight="1">
      <c r="F43" s="166">
        <f t="shared" si="7"/>
        <v>-0.6599999999999997</v>
      </c>
      <c r="G43" s="167">
        <f t="shared" si="0"/>
        <v>0</v>
      </c>
      <c r="H43" s="167">
        <f t="shared" si="1"/>
        <v>1</v>
      </c>
      <c r="I43" s="167">
        <f t="shared" si="2"/>
        <v>0</v>
      </c>
      <c r="J43" s="156">
        <f t="shared" si="3"/>
        <v>1</v>
      </c>
      <c r="P43" s="166">
        <f t="shared" si="8"/>
        <v>-0.6599999999999997</v>
      </c>
      <c r="Q43" s="167">
        <f t="shared" si="9"/>
        <v>0.7498087167079901</v>
      </c>
      <c r="R43" s="167">
        <f t="shared" si="4"/>
        <v>0.2501912832920099</v>
      </c>
      <c r="S43" s="167">
        <f t="shared" si="5"/>
        <v>1.4996174334159802</v>
      </c>
      <c r="T43" s="156">
        <f t="shared" si="6"/>
        <v>1.7498087167079901</v>
      </c>
    </row>
    <row r="44" spans="6:20" s="143" customFormat="1" ht="16" customHeight="1">
      <c r="F44" s="166">
        <f t="shared" si="7"/>
        <v>-0.64999999999999969</v>
      </c>
      <c r="G44" s="167">
        <f t="shared" si="0"/>
        <v>0</v>
      </c>
      <c r="H44" s="167">
        <f t="shared" si="1"/>
        <v>1</v>
      </c>
      <c r="I44" s="167">
        <f t="shared" si="2"/>
        <v>0</v>
      </c>
      <c r="J44" s="156">
        <f t="shared" si="3"/>
        <v>1</v>
      </c>
      <c r="P44" s="166">
        <f t="shared" si="8"/>
        <v>-0.64999999999999969</v>
      </c>
      <c r="Q44" s="167">
        <f t="shared" si="9"/>
        <v>0.75853732864948675</v>
      </c>
      <c r="R44" s="167">
        <f t="shared" si="4"/>
        <v>0.24146267135051325</v>
      </c>
      <c r="S44" s="167">
        <f t="shared" si="5"/>
        <v>1.5170746572989735</v>
      </c>
      <c r="T44" s="156">
        <f t="shared" si="6"/>
        <v>1.7585373286494868</v>
      </c>
    </row>
    <row r="45" spans="6:20" s="143" customFormat="1" ht="16" customHeight="1">
      <c r="F45" s="166">
        <f t="shared" si="7"/>
        <v>-0.63999999999999968</v>
      </c>
      <c r="G45" s="167">
        <f t="shared" si="0"/>
        <v>0</v>
      </c>
      <c r="H45" s="167">
        <f t="shared" si="1"/>
        <v>1</v>
      </c>
      <c r="I45" s="167">
        <f t="shared" si="2"/>
        <v>0</v>
      </c>
      <c r="J45" s="156">
        <f t="shared" si="3"/>
        <v>1</v>
      </c>
      <c r="P45" s="166">
        <f t="shared" si="8"/>
        <v>-0.63999999999999968</v>
      </c>
      <c r="Q45" s="167">
        <f t="shared" si="9"/>
        <v>0.76703561988811686</v>
      </c>
      <c r="R45" s="167">
        <f t="shared" si="4"/>
        <v>0.23296438011188314</v>
      </c>
      <c r="S45" s="167">
        <f t="shared" si="5"/>
        <v>1.5340712397762337</v>
      </c>
      <c r="T45" s="156">
        <f t="shared" si="6"/>
        <v>1.7670356198881167</v>
      </c>
    </row>
    <row r="46" spans="6:20" s="143" customFormat="1" ht="16" customHeight="1">
      <c r="F46" s="166">
        <f t="shared" si="7"/>
        <v>-0.62999999999999967</v>
      </c>
      <c r="G46" s="167">
        <f t="shared" si="0"/>
        <v>0</v>
      </c>
      <c r="H46" s="167">
        <f t="shared" si="1"/>
        <v>1</v>
      </c>
      <c r="I46" s="167">
        <f t="shared" si="2"/>
        <v>0</v>
      </c>
      <c r="J46" s="156">
        <f t="shared" si="3"/>
        <v>1</v>
      </c>
      <c r="P46" s="166">
        <f t="shared" si="8"/>
        <v>-0.62999999999999967</v>
      </c>
      <c r="Q46" s="167">
        <f t="shared" si="9"/>
        <v>0.77531116419062851</v>
      </c>
      <c r="R46" s="167">
        <f t="shared" si="4"/>
        <v>0.22468883580937149</v>
      </c>
      <c r="S46" s="167">
        <f t="shared" si="5"/>
        <v>1.550622328381257</v>
      </c>
      <c r="T46" s="156">
        <f t="shared" si="6"/>
        <v>1.7753111641906285</v>
      </c>
    </row>
    <row r="47" spans="6:20" s="143" customFormat="1" ht="16" customHeight="1">
      <c r="F47" s="166">
        <f t="shared" si="7"/>
        <v>-0.61999999999999966</v>
      </c>
      <c r="G47" s="167">
        <f t="shared" si="0"/>
        <v>0</v>
      </c>
      <c r="H47" s="167">
        <f t="shared" si="1"/>
        <v>1</v>
      </c>
      <c r="I47" s="167">
        <f t="shared" si="2"/>
        <v>0</v>
      </c>
      <c r="J47" s="156">
        <f t="shared" si="3"/>
        <v>1</v>
      </c>
      <c r="P47" s="166">
        <f t="shared" si="8"/>
        <v>-0.61999999999999966</v>
      </c>
      <c r="Q47" s="167">
        <f t="shared" si="9"/>
        <v>0.78337102089567978</v>
      </c>
      <c r="R47" s="167">
        <f t="shared" si="4"/>
        <v>0.21662897910432022</v>
      </c>
      <c r="S47" s="167">
        <f t="shared" si="5"/>
        <v>1.5667420417913596</v>
      </c>
      <c r="T47" s="156">
        <f t="shared" si="6"/>
        <v>1.7833710208956797</v>
      </c>
    </row>
    <row r="48" spans="6:20" s="143" customFormat="1" ht="16" customHeight="1">
      <c r="F48" s="166">
        <f t="shared" si="7"/>
        <v>-0.60999999999999965</v>
      </c>
      <c r="G48" s="167">
        <f t="shared" si="0"/>
        <v>0</v>
      </c>
      <c r="H48" s="167">
        <f t="shared" si="1"/>
        <v>1</v>
      </c>
      <c r="I48" s="167">
        <f t="shared" si="2"/>
        <v>0</v>
      </c>
      <c r="J48" s="156">
        <f t="shared" si="3"/>
        <v>1</v>
      </c>
      <c r="P48" s="166">
        <f t="shared" si="8"/>
        <v>-0.60999999999999965</v>
      </c>
      <c r="Q48" s="167">
        <f t="shared" si="9"/>
        <v>0.79122178139803712</v>
      </c>
      <c r="R48" s="167">
        <f t="shared" si="4"/>
        <v>0.20877821860196288</v>
      </c>
      <c r="S48" s="167">
        <f t="shared" si="5"/>
        <v>1.5824435627960742</v>
      </c>
      <c r="T48" s="156">
        <f t="shared" si="6"/>
        <v>1.7912217813980371</v>
      </c>
    </row>
    <row r="49" spans="6:20" s="143" customFormat="1" ht="16" customHeight="1">
      <c r="F49" s="166">
        <f t="shared" si="7"/>
        <v>-0.59999999999999964</v>
      </c>
      <c r="G49" s="167">
        <f t="shared" si="0"/>
        <v>0</v>
      </c>
      <c r="H49" s="167">
        <f t="shared" si="1"/>
        <v>1</v>
      </c>
      <c r="I49" s="167">
        <f t="shared" si="2"/>
        <v>0</v>
      </c>
      <c r="J49" s="156">
        <f t="shared" si="3"/>
        <v>1</v>
      </c>
      <c r="P49" s="166">
        <f t="shared" si="8"/>
        <v>-0.59999999999999964</v>
      </c>
      <c r="Q49" s="167">
        <f t="shared" si="9"/>
        <v>0.79886961029773729</v>
      </c>
      <c r="R49" s="167">
        <f t="shared" si="4"/>
        <v>0.20113038970226271</v>
      </c>
      <c r="S49" s="167">
        <f t="shared" si="5"/>
        <v>1.5977392205954746</v>
      </c>
      <c r="T49" s="156">
        <f t="shared" si="6"/>
        <v>1.7988696102977373</v>
      </c>
    </row>
    <row r="50" spans="6:20" s="143" customFormat="1" ht="16" customHeight="1">
      <c r="F50" s="166">
        <f t="shared" si="7"/>
        <v>-0.58999999999999964</v>
      </c>
      <c r="G50" s="167">
        <f t="shared" si="0"/>
        <v>0</v>
      </c>
      <c r="H50" s="167">
        <f t="shared" si="1"/>
        <v>1</v>
      </c>
      <c r="I50" s="167">
        <f t="shared" si="2"/>
        <v>0</v>
      </c>
      <c r="J50" s="156">
        <f t="shared" si="3"/>
        <v>1</v>
      </c>
      <c r="P50" s="166">
        <f t="shared" si="8"/>
        <v>-0.58999999999999964</v>
      </c>
      <c r="Q50" s="167">
        <f t="shared" si="9"/>
        <v>0.80632028194438088</v>
      </c>
      <c r="R50" s="167">
        <f t="shared" si="4"/>
        <v>0.19367971805561912</v>
      </c>
      <c r="S50" s="167">
        <f t="shared" si="5"/>
        <v>1.6126405638887618</v>
      </c>
      <c r="T50" s="156">
        <f t="shared" si="6"/>
        <v>1.8063202819443809</v>
      </c>
    </row>
    <row r="51" spans="6:20" s="143" customFormat="1" ht="16" customHeight="1">
      <c r="F51" s="166">
        <f t="shared" si="7"/>
        <v>-0.57999999999999963</v>
      </c>
      <c r="G51" s="167">
        <f t="shared" si="0"/>
        <v>0</v>
      </c>
      <c r="H51" s="167">
        <f t="shared" si="1"/>
        <v>1</v>
      </c>
      <c r="I51" s="167">
        <f t="shared" si="2"/>
        <v>0</v>
      </c>
      <c r="J51" s="156">
        <f t="shared" si="3"/>
        <v>1</v>
      </c>
      <c r="P51" s="166">
        <f t="shared" si="8"/>
        <v>-0.57999999999999963</v>
      </c>
      <c r="Q51" s="167">
        <f t="shared" si="9"/>
        <v>0.81357921299127667</v>
      </c>
      <c r="R51" s="167">
        <f t="shared" si="4"/>
        <v>0.18642078700872333</v>
      </c>
      <c r="S51" s="167">
        <f t="shared" si="5"/>
        <v>1.6271584259825533</v>
      </c>
      <c r="T51" s="156">
        <f t="shared" si="6"/>
        <v>1.8135792129912767</v>
      </c>
    </row>
    <row r="52" spans="6:20" s="143" customFormat="1" ht="16" customHeight="1">
      <c r="F52" s="166">
        <f t="shared" si="7"/>
        <v>-0.56999999999999962</v>
      </c>
      <c r="G52" s="167">
        <f t="shared" si="0"/>
        <v>0</v>
      </c>
      <c r="H52" s="167">
        <f t="shared" si="1"/>
        <v>1</v>
      </c>
      <c r="I52" s="167">
        <f t="shared" si="2"/>
        <v>0</v>
      </c>
      <c r="J52" s="156">
        <f t="shared" si="3"/>
        <v>1</v>
      </c>
      <c r="P52" s="166">
        <f t="shared" si="8"/>
        <v>-0.56999999999999962</v>
      </c>
      <c r="Q52" s="167">
        <f t="shared" si="9"/>
        <v>0.82065149147928562</v>
      </c>
      <c r="R52" s="167">
        <f t="shared" si="4"/>
        <v>0.17934850852071438</v>
      </c>
      <c r="S52" s="167">
        <f t="shared" si="5"/>
        <v>1.6413029829585712</v>
      </c>
      <c r="T52" s="156">
        <f t="shared" si="6"/>
        <v>1.8206514914792855</v>
      </c>
    </row>
    <row r="53" spans="6:20" s="143" customFormat="1" ht="16" customHeight="1">
      <c r="F53" s="166">
        <f t="shared" si="7"/>
        <v>-0.55999999999999961</v>
      </c>
      <c r="G53" s="167">
        <f t="shared" si="0"/>
        <v>0</v>
      </c>
      <c r="H53" s="167">
        <f t="shared" si="1"/>
        <v>1</v>
      </c>
      <c r="I53" s="167">
        <f t="shared" si="2"/>
        <v>0</v>
      </c>
      <c r="J53" s="156">
        <f t="shared" si="3"/>
        <v>1</v>
      </c>
      <c r="P53" s="166">
        <f t="shared" si="8"/>
        <v>-0.55999999999999961</v>
      </c>
      <c r="Q53" s="167">
        <f t="shared" si="9"/>
        <v>0.8275419028918588</v>
      </c>
      <c r="R53" s="167">
        <f t="shared" si="4"/>
        <v>0.1724580971081412</v>
      </c>
      <c r="S53" s="167">
        <f t="shared" si="5"/>
        <v>1.6550838057837176</v>
      </c>
      <c r="T53" s="156">
        <f t="shared" si="6"/>
        <v>1.8275419028918587</v>
      </c>
    </row>
    <row r="54" spans="6:20" s="143" customFormat="1" ht="16" customHeight="1">
      <c r="F54" s="166">
        <f t="shared" si="7"/>
        <v>-0.5499999999999996</v>
      </c>
      <c r="G54" s="167">
        <f t="shared" si="0"/>
        <v>0</v>
      </c>
      <c r="H54" s="167">
        <f t="shared" si="1"/>
        <v>1</v>
      </c>
      <c r="I54" s="167">
        <f t="shared" si="2"/>
        <v>0</v>
      </c>
      <c r="J54" s="156">
        <f t="shared" si="3"/>
        <v>1</v>
      </c>
      <c r="P54" s="166">
        <f t="shared" si="8"/>
        <v>-0.5499999999999996</v>
      </c>
      <c r="Q54" s="167">
        <f t="shared" si="9"/>
        <v>0.83425495355773183</v>
      </c>
      <c r="R54" s="167">
        <f t="shared" si="4"/>
        <v>0.16574504644226817</v>
      </c>
      <c r="S54" s="167">
        <f t="shared" si="5"/>
        <v>1.6685099071154637</v>
      </c>
      <c r="T54" s="156">
        <f t="shared" si="6"/>
        <v>1.8342549535577319</v>
      </c>
    </row>
    <row r="55" spans="6:20" s="143" customFormat="1" ht="16" customHeight="1">
      <c r="F55" s="166">
        <f t="shared" si="7"/>
        <v>-0.53999999999999959</v>
      </c>
      <c r="G55" s="167">
        <f t="shared" si="0"/>
        <v>0</v>
      </c>
      <c r="H55" s="167">
        <f t="shared" si="1"/>
        <v>1</v>
      </c>
      <c r="I55" s="167">
        <f t="shared" si="2"/>
        <v>0</v>
      </c>
      <c r="J55" s="156">
        <f t="shared" si="3"/>
        <v>1</v>
      </c>
      <c r="P55" s="166">
        <f t="shared" si="8"/>
        <v>-0.53999999999999959</v>
      </c>
      <c r="Q55" s="167">
        <f t="shared" si="9"/>
        <v>0.84079489172352828</v>
      </c>
      <c r="R55" s="167">
        <f t="shared" si="4"/>
        <v>0.15920510827647172</v>
      </c>
      <c r="S55" s="167">
        <f t="shared" si="5"/>
        <v>1.6815897834470566</v>
      </c>
      <c r="T55" s="156">
        <f t="shared" si="6"/>
        <v>1.8407948917235282</v>
      </c>
    </row>
    <row r="56" spans="6:20" s="143" customFormat="1" ht="16" customHeight="1">
      <c r="F56" s="166">
        <f t="shared" si="7"/>
        <v>-0.52999999999999958</v>
      </c>
      <c r="G56" s="167">
        <f t="shared" si="0"/>
        <v>0</v>
      </c>
      <c r="H56" s="167">
        <f t="shared" si="1"/>
        <v>1</v>
      </c>
      <c r="I56" s="167">
        <f t="shared" si="2"/>
        <v>0</v>
      </c>
      <c r="J56" s="156">
        <f t="shared" si="3"/>
        <v>1</v>
      </c>
      <c r="P56" s="166">
        <f t="shared" si="8"/>
        <v>-0.52999999999999958</v>
      </c>
      <c r="Q56" s="167">
        <f t="shared" si="9"/>
        <v>0.84716572657312916</v>
      </c>
      <c r="R56" s="167">
        <f t="shared" si="4"/>
        <v>0.15283427342687084</v>
      </c>
      <c r="S56" s="167">
        <f t="shared" si="5"/>
        <v>1.6943314531462583</v>
      </c>
      <c r="T56" s="156">
        <f t="shared" si="6"/>
        <v>1.8471657265731292</v>
      </c>
    </row>
    <row r="57" spans="6:20" s="143" customFormat="1" ht="16" customHeight="1">
      <c r="F57" s="166">
        <f t="shared" si="7"/>
        <v>-0.51999999999999957</v>
      </c>
      <c r="G57" s="167">
        <f t="shared" si="0"/>
        <v>0</v>
      </c>
      <c r="H57" s="167">
        <f t="shared" si="1"/>
        <v>1</v>
      </c>
      <c r="I57" s="167">
        <f t="shared" si="2"/>
        <v>0</v>
      </c>
      <c r="J57" s="156">
        <f t="shared" si="3"/>
        <v>1</v>
      </c>
      <c r="P57" s="166">
        <f t="shared" si="8"/>
        <v>-0.51999999999999957</v>
      </c>
      <c r="Q57" s="167">
        <f t="shared" si="9"/>
        <v>0.8533712454324951</v>
      </c>
      <c r="R57" s="167">
        <f t="shared" si="4"/>
        <v>0.1466287545675049</v>
      </c>
      <c r="S57" s="167">
        <f t="shared" si="5"/>
        <v>1.7067424908649902</v>
      </c>
      <c r="T57" s="156">
        <f t="shared" si="6"/>
        <v>1.8533712454324951</v>
      </c>
    </row>
    <row r="58" spans="6:20" s="143" customFormat="1" ht="16" customHeight="1">
      <c r="F58" s="166">
        <f t="shared" si="7"/>
        <v>-0.50999999999999956</v>
      </c>
      <c r="G58" s="167">
        <f t="shared" si="0"/>
        <v>0</v>
      </c>
      <c r="H58" s="167">
        <f t="shared" si="1"/>
        <v>1</v>
      </c>
      <c r="I58" s="167">
        <f t="shared" si="2"/>
        <v>0</v>
      </c>
      <c r="J58" s="156">
        <f t="shared" si="3"/>
        <v>1</v>
      </c>
      <c r="P58" s="166">
        <f t="shared" si="8"/>
        <v>-0.50999999999999956</v>
      </c>
      <c r="Q58" s="167">
        <f t="shared" si="9"/>
        <v>0.85941502936641123</v>
      </c>
      <c r="R58" s="167">
        <f t="shared" si="4"/>
        <v>0.14058497063358877</v>
      </c>
      <c r="S58" s="167">
        <f t="shared" si="5"/>
        <v>1.7188300587328225</v>
      </c>
      <c r="T58" s="156">
        <f t="shared" si="6"/>
        <v>1.8594150293664113</v>
      </c>
    </row>
    <row r="59" spans="6:20" s="143" customFormat="1" ht="16" customHeight="1">
      <c r="F59" s="166">
        <f t="shared" si="7"/>
        <v>-0.49999999999999956</v>
      </c>
      <c r="G59" s="167">
        <f t="shared" si="0"/>
        <v>0</v>
      </c>
      <c r="H59" s="167">
        <f t="shared" si="1"/>
        <v>1</v>
      </c>
      <c r="I59" s="167">
        <f t="shared" si="2"/>
        <v>0</v>
      </c>
      <c r="J59" s="156">
        <f t="shared" si="3"/>
        <v>1</v>
      </c>
      <c r="P59" s="166">
        <f t="shared" si="8"/>
        <v>-0.49999999999999956</v>
      </c>
      <c r="Q59" s="167">
        <f t="shared" si="9"/>
        <v>0.86530046734632193</v>
      </c>
      <c r="R59" s="167">
        <f t="shared" si="4"/>
        <v>0.13469953265367807</v>
      </c>
      <c r="S59" s="167">
        <f t="shared" si="5"/>
        <v>1.7306009346926439</v>
      </c>
      <c r="T59" s="156">
        <f t="shared" si="6"/>
        <v>1.865300467346322</v>
      </c>
    </row>
    <row r="60" spans="6:20" s="143" customFormat="1" ht="16" customHeight="1">
      <c r="F60" s="166">
        <f t="shared" si="7"/>
        <v>-0.48999999999999955</v>
      </c>
      <c r="G60" s="167">
        <f t="shared" si="0"/>
        <v>0</v>
      </c>
      <c r="H60" s="167">
        <f t="shared" si="1"/>
        <v>1</v>
      </c>
      <c r="I60" s="167">
        <f t="shared" si="2"/>
        <v>0</v>
      </c>
      <c r="J60" s="156">
        <f t="shared" si="3"/>
        <v>1</v>
      </c>
      <c r="P60" s="166">
        <f t="shared" si="8"/>
        <v>-0.48999999999999955</v>
      </c>
      <c r="Q60" s="167">
        <f t="shared" si="9"/>
        <v>0.87103076914520561</v>
      </c>
      <c r="R60" s="167">
        <f t="shared" si="4"/>
        <v>0.12896923085479439</v>
      </c>
      <c r="S60" s="167">
        <f t="shared" si="5"/>
        <v>1.7420615382904112</v>
      </c>
      <c r="T60" s="156">
        <f t="shared" si="6"/>
        <v>1.8710307691452055</v>
      </c>
    </row>
    <row r="61" spans="6:20" s="143" customFormat="1" ht="16" customHeight="1">
      <c r="F61" s="166">
        <f t="shared" si="7"/>
        <v>-0.47999999999999954</v>
      </c>
      <c r="G61" s="167">
        <f t="shared" si="0"/>
        <v>0</v>
      </c>
      <c r="H61" s="167">
        <f t="shared" si="1"/>
        <v>1</v>
      </c>
      <c r="I61" s="167">
        <f t="shared" si="2"/>
        <v>0</v>
      </c>
      <c r="J61" s="156">
        <f t="shared" si="3"/>
        <v>1</v>
      </c>
      <c r="P61" s="166">
        <f t="shared" si="8"/>
        <v>-0.47999999999999954</v>
      </c>
      <c r="Q61" s="167">
        <f t="shared" si="9"/>
        <v>0.87660897709562946</v>
      </c>
      <c r="R61" s="167">
        <f t="shared" si="4"/>
        <v>0.12339102290437054</v>
      </c>
      <c r="S61" s="167">
        <f t="shared" si="5"/>
        <v>1.7532179541912589</v>
      </c>
      <c r="T61" s="156">
        <f t="shared" si="6"/>
        <v>1.8766089770956293</v>
      </c>
    </row>
    <row r="62" spans="6:20" s="143" customFormat="1" ht="16" customHeight="1">
      <c r="F62" s="166">
        <f t="shared" si="7"/>
        <v>-0.46999999999999953</v>
      </c>
      <c r="G62" s="167">
        <f t="shared" si="0"/>
        <v>0</v>
      </c>
      <c r="H62" s="167">
        <f t="shared" si="1"/>
        <v>1</v>
      </c>
      <c r="I62" s="167">
        <f t="shared" si="2"/>
        <v>0</v>
      </c>
      <c r="J62" s="156">
        <f t="shared" si="3"/>
        <v>1</v>
      </c>
      <c r="P62" s="166">
        <f t="shared" si="8"/>
        <v>-0.46999999999999953</v>
      </c>
      <c r="Q62" s="167">
        <f t="shared" si="9"/>
        <v>0.88203797683015595</v>
      </c>
      <c r="R62" s="167">
        <f t="shared" si="4"/>
        <v>0.11796202316984405</v>
      </c>
      <c r="S62" s="167">
        <f t="shared" si="5"/>
        <v>1.7640759536603119</v>
      </c>
      <c r="T62" s="156">
        <f t="shared" si="6"/>
        <v>1.8820379768301558</v>
      </c>
    </row>
    <row r="63" spans="6:20" s="143" customFormat="1" ht="16" customHeight="1">
      <c r="F63" s="166">
        <f t="shared" si="7"/>
        <v>-0.45999999999999952</v>
      </c>
      <c r="G63" s="167">
        <f t="shared" si="0"/>
        <v>0</v>
      </c>
      <c r="H63" s="167">
        <f t="shared" si="1"/>
        <v>1</v>
      </c>
      <c r="I63" s="167">
        <f t="shared" si="2"/>
        <v>0</v>
      </c>
      <c r="J63" s="156">
        <f t="shared" si="3"/>
        <v>1</v>
      </c>
      <c r="P63" s="166">
        <f t="shared" si="8"/>
        <v>-0.45999999999999952</v>
      </c>
      <c r="Q63" s="167">
        <f t="shared" si="9"/>
        <v>0.88732050710870847</v>
      </c>
      <c r="R63" s="167">
        <f t="shared" si="4"/>
        <v>0.11267949289129153</v>
      </c>
      <c r="S63" s="167">
        <f t="shared" si="5"/>
        <v>1.7746410142174169</v>
      </c>
      <c r="T63" s="156">
        <f t="shared" si="6"/>
        <v>1.8873205071087085</v>
      </c>
    </row>
    <row r="64" spans="6:20" ht="16">
      <c r="F64" s="166">
        <f t="shared" si="7"/>
        <v>-0.44999999999999951</v>
      </c>
      <c r="G64" s="167">
        <f t="shared" si="0"/>
        <v>0</v>
      </c>
      <c r="H64" s="167">
        <f t="shared" si="1"/>
        <v>1</v>
      </c>
      <c r="I64" s="167">
        <f t="shared" si="2"/>
        <v>0</v>
      </c>
      <c r="J64" s="156">
        <f t="shared" si="3"/>
        <v>1</v>
      </c>
      <c r="P64" s="166">
        <f t="shared" si="8"/>
        <v>-0.44999999999999951</v>
      </c>
      <c r="Q64" s="167">
        <f t="shared" si="9"/>
        <v>0.89245916882494303</v>
      </c>
      <c r="R64" s="167">
        <f t="shared" si="4"/>
        <v>0.10754083117505697</v>
      </c>
      <c r="S64" s="167">
        <f t="shared" si="5"/>
        <v>1.7849183376498861</v>
      </c>
      <c r="T64" s="156">
        <f t="shared" si="6"/>
        <v>1.892459168824943</v>
      </c>
    </row>
    <row r="65" spans="6:20" ht="16">
      <c r="F65" s="166">
        <f t="shared" si="7"/>
        <v>-0.4399999999999995</v>
      </c>
      <c r="G65" s="167">
        <f t="shared" si="0"/>
        <v>0</v>
      </c>
      <c r="H65" s="167">
        <f t="shared" si="1"/>
        <v>1</v>
      </c>
      <c r="I65" s="167">
        <f t="shared" si="2"/>
        <v>0</v>
      </c>
      <c r="J65" s="156">
        <f t="shared" si="3"/>
        <v>1</v>
      </c>
      <c r="P65" s="166">
        <f t="shared" si="8"/>
        <v>-0.4399999999999995</v>
      </c>
      <c r="Q65" s="167">
        <f t="shared" si="9"/>
        <v>0.89745643327283176</v>
      </c>
      <c r="R65" s="167">
        <f t="shared" si="4"/>
        <v>0.10254356672716824</v>
      </c>
      <c r="S65" s="167">
        <f t="shared" si="5"/>
        <v>1.7949128665456635</v>
      </c>
      <c r="T65" s="156">
        <f t="shared" si="6"/>
        <v>1.8974564332728319</v>
      </c>
    </row>
    <row r="66" spans="6:20" ht="16">
      <c r="F66" s="166">
        <f t="shared" si="7"/>
        <v>-0.42999999999999949</v>
      </c>
      <c r="G66" s="167">
        <f t="shared" si="0"/>
        <v>0</v>
      </c>
      <c r="H66" s="167">
        <f t="shared" si="1"/>
        <v>1</v>
      </c>
      <c r="I66" s="167">
        <f t="shared" si="2"/>
        <v>0</v>
      </c>
      <c r="J66" s="156">
        <f t="shared" si="3"/>
        <v>1</v>
      </c>
      <c r="P66" s="166">
        <f t="shared" si="8"/>
        <v>-0.42999999999999949</v>
      </c>
      <c r="Q66" s="167">
        <f t="shared" si="9"/>
        <v>0.90231464974525877</v>
      </c>
      <c r="R66" s="167">
        <f t="shared" si="4"/>
        <v>9.7685350254741232E-2</v>
      </c>
      <c r="S66" s="167">
        <f t="shared" si="5"/>
        <v>1.8046292994905175</v>
      </c>
      <c r="T66" s="156">
        <f t="shared" si="6"/>
        <v>1.9023146497452588</v>
      </c>
    </row>
    <row r="67" spans="6:20" ht="16">
      <c r="F67" s="166">
        <f t="shared" si="7"/>
        <v>-0.41999999999999948</v>
      </c>
      <c r="G67" s="167">
        <f t="shared" si="0"/>
        <v>0</v>
      </c>
      <c r="H67" s="167">
        <f t="shared" si="1"/>
        <v>1</v>
      </c>
      <c r="I67" s="167">
        <f t="shared" si="2"/>
        <v>0</v>
      </c>
      <c r="J67" s="156">
        <f t="shared" si="3"/>
        <v>1</v>
      </c>
      <c r="P67" s="166">
        <f t="shared" si="8"/>
        <v>-0.41999999999999948</v>
      </c>
      <c r="Q67" s="167">
        <f t="shared" si="9"/>
        <v>0.90703605252826469</v>
      </c>
      <c r="R67" s="167">
        <f t="shared" si="4"/>
        <v>9.2963947471735309E-2</v>
      </c>
      <c r="S67" s="167">
        <f t="shared" si="5"/>
        <v>1.8140721050565294</v>
      </c>
      <c r="T67" s="156">
        <f t="shared" si="6"/>
        <v>1.9070360525282646</v>
      </c>
    </row>
    <row r="68" spans="6:20" ht="16">
      <c r="F68" s="166">
        <f t="shared" si="7"/>
        <v>-0.40999999999999948</v>
      </c>
      <c r="G68" s="167">
        <f t="shared" si="0"/>
        <v>0</v>
      </c>
      <c r="H68" s="167">
        <f t="shared" si="1"/>
        <v>1</v>
      </c>
      <c r="I68" s="167">
        <f t="shared" si="2"/>
        <v>0</v>
      </c>
      <c r="J68" s="156">
        <f t="shared" si="3"/>
        <v>1</v>
      </c>
      <c r="P68" s="166">
        <f t="shared" si="8"/>
        <v>-0.40999999999999948</v>
      </c>
      <c r="Q68" s="167">
        <f t="shared" si="9"/>
        <v>0.91162276734745762</v>
      </c>
      <c r="R68" s="167">
        <f t="shared" si="4"/>
        <v>8.8377232652542381E-2</v>
      </c>
      <c r="S68" s="167">
        <f t="shared" si="5"/>
        <v>1.8232455346949152</v>
      </c>
      <c r="T68" s="156">
        <f t="shared" si="6"/>
        <v>1.9116227673474575</v>
      </c>
    </row>
    <row r="69" spans="6:20" ht="16">
      <c r="F69" s="166">
        <f t="shared" si="7"/>
        <v>-0.39999999999999947</v>
      </c>
      <c r="G69" s="167">
        <f t="shared" si="0"/>
        <v>0</v>
      </c>
      <c r="H69" s="167">
        <f t="shared" si="1"/>
        <v>1</v>
      </c>
      <c r="I69" s="167">
        <f t="shared" si="2"/>
        <v>0</v>
      </c>
      <c r="J69" s="156">
        <f t="shared" si="3"/>
        <v>1</v>
      </c>
      <c r="P69" s="166">
        <f t="shared" si="8"/>
        <v>-0.39999999999999947</v>
      </c>
      <c r="Q69" s="167">
        <f t="shared" si="9"/>
        <v>0.91607681731689328</v>
      </c>
      <c r="R69" s="167">
        <f t="shared" si="4"/>
        <v>8.3923182683106723E-2</v>
      </c>
      <c r="S69" s="167">
        <f t="shared" si="5"/>
        <v>1.8321536346337866</v>
      </c>
      <c r="T69" s="156">
        <f t="shared" si="6"/>
        <v>1.9160768173168932</v>
      </c>
    </row>
    <row r="70" spans="6:20" ht="16">
      <c r="F70" s="166">
        <f t="shared" si="7"/>
        <v>-0.38999999999999946</v>
      </c>
      <c r="G70" s="167">
        <f t="shared" si="0"/>
        <v>0</v>
      </c>
      <c r="H70" s="167">
        <f t="shared" si="1"/>
        <v>1</v>
      </c>
      <c r="I70" s="167">
        <f t="shared" si="2"/>
        <v>0</v>
      </c>
      <c r="J70" s="156">
        <f t="shared" si="3"/>
        <v>1</v>
      </c>
      <c r="P70" s="166">
        <f t="shared" si="8"/>
        <v>-0.38999999999999946</v>
      </c>
      <c r="Q70" s="167">
        <f t="shared" si="9"/>
        <v>0.92040012843528662</v>
      </c>
      <c r="R70" s="167">
        <f t="shared" si="4"/>
        <v>7.9599871564713376E-2</v>
      </c>
      <c r="S70" s="167">
        <f t="shared" si="5"/>
        <v>1.8408002568705732</v>
      </c>
      <c r="T70" s="156">
        <f t="shared" si="6"/>
        <v>1.9204001284352867</v>
      </c>
    </row>
    <row r="71" spans="6:20" ht="16">
      <c r="F71" s="166">
        <f t="shared" si="7"/>
        <v>-0.37999999999999945</v>
      </c>
      <c r="G71" s="167">
        <f t="shared" si="0"/>
        <v>0</v>
      </c>
      <c r="H71" s="167">
        <f t="shared" si="1"/>
        <v>1</v>
      </c>
      <c r="I71" s="167">
        <f t="shared" si="2"/>
        <v>0</v>
      </c>
      <c r="J71" s="156">
        <f t="shared" si="3"/>
        <v>1</v>
      </c>
      <c r="P71" s="166">
        <f t="shared" si="8"/>
        <v>-0.37999999999999945</v>
      </c>
      <c r="Q71" s="167">
        <f t="shared" si="9"/>
        <v>0.92459453466963959</v>
      </c>
      <c r="R71" s="167">
        <f t="shared" si="4"/>
        <v>7.5405465330360411E-2</v>
      </c>
      <c r="S71" s="167">
        <f t="shared" si="5"/>
        <v>1.8491890693392792</v>
      </c>
      <c r="T71" s="156">
        <f t="shared" si="6"/>
        <v>1.9245945346696396</v>
      </c>
    </row>
    <row r="72" spans="6:20" ht="16">
      <c r="F72" s="166">
        <f t="shared" si="7"/>
        <v>-0.36999999999999944</v>
      </c>
      <c r="G72" s="167">
        <f t="shared" si="0"/>
        <v>0</v>
      </c>
      <c r="H72" s="167">
        <f t="shared" si="1"/>
        <v>1</v>
      </c>
      <c r="I72" s="167">
        <f t="shared" si="2"/>
        <v>0</v>
      </c>
      <c r="J72" s="156">
        <f t="shared" si="3"/>
        <v>1</v>
      </c>
      <c r="P72" s="166">
        <f t="shared" si="8"/>
        <v>-0.36999999999999944</v>
      </c>
      <c r="Q72" s="167">
        <f t="shared" si="9"/>
        <v>0.92866178266216726</v>
      </c>
      <c r="R72" s="167">
        <f t="shared" si="4"/>
        <v>7.1338217337832743E-2</v>
      </c>
      <c r="S72" s="167">
        <f t="shared" si="5"/>
        <v>1.8573235653243345</v>
      </c>
      <c r="T72" s="156">
        <f t="shared" si="6"/>
        <v>1.9286617826621673</v>
      </c>
    </row>
    <row r="73" spans="6:20" ht="16">
      <c r="F73" s="166">
        <f t="shared" si="7"/>
        <v>-0.35999999999999943</v>
      </c>
      <c r="G73" s="167">
        <f t="shared" ref="G73:G136" si="14">IFERROR(IF(SQRT(1-(F73*F73)/($J$5*$J$5))&lt;0.05,0,SQRT(1-(F73*F73)/($J$5*$J$5))),0)</f>
        <v>0</v>
      </c>
      <c r="H73" s="167">
        <f t="shared" ref="H73:H136" si="15">CHOOSE(MATCH($J$3,degrees),IF(F73&lt;0,IFERROR(1-G73,1),0),0,0,IF(F73&gt;0,IFERROR(1-G73,1),0))</f>
        <v>1</v>
      </c>
      <c r="I73" s="167">
        <f t="shared" ref="I73:I136" si="16">CHOOSE(MATCH($J$3,degrees),IF(F73&lt;0,2*G73,2),IF(F73&lt;0,0,1-G73),IF(F73&gt;0,0,1-G73),IF(F73&gt;0,2*G73,2))</f>
        <v>0</v>
      </c>
      <c r="J73" s="156">
        <f t="shared" ref="J73:J136" si="17">CHOOSE(MATCH($J$3,degrees),IF(F73&lt;0,G73+1,2),IF(F73&lt;0,2,2*G73),IF(F73&gt;0,2,2*G73),IF(F73&gt;0,G73+1,2))</f>
        <v>1</v>
      </c>
      <c r="P73" s="166">
        <f t="shared" si="8"/>
        <v>-0.35999999999999943</v>
      </c>
      <c r="Q73" s="167">
        <f t="shared" si="9"/>
        <v>0.93260353609270286</v>
      </c>
      <c r="R73" s="167">
        <f t="shared" ref="R73:R136" si="18">CHOOSE(MATCH($T$3,degrees),IF(P73&lt;0,IFERROR(1-Q73,1),0),0,0,IF(P73&gt;0,IFERROR(1-Q73,1),0))</f>
        <v>6.7396463907297144E-2</v>
      </c>
      <c r="S73" s="167">
        <f t="shared" ref="S73:S136" si="19">CHOOSE(MATCH($T$3,degrees),IF(P73&lt;0,2*Q73,2),IF(P73&lt;0,0,1-Q73),IF(P73&gt;0,0,1-Q73),IF(P73&gt;0,2*Q73,2))</f>
        <v>1.8652070721854057</v>
      </c>
      <c r="T73" s="156">
        <f t="shared" ref="T73:T136" si="20">CHOOSE(MATCH($T$3,degrees),IF(P73&lt;0,Q73+1,2),IF(P73&lt;0,2,2*Q73),IF(P73&gt;0,2,2*Q73),IF(P73&gt;0,Q73+1,2))</f>
        <v>1.932603536092703</v>
      </c>
    </row>
    <row r="74" spans="6:20" ht="16">
      <c r="F74" s="166">
        <f t="shared" ref="F74:F137" si="21">F73+$G$4</f>
        <v>-0.34999999999999942</v>
      </c>
      <c r="G74" s="167">
        <f t="shared" si="14"/>
        <v>0</v>
      </c>
      <c r="H74" s="167">
        <f t="shared" si="15"/>
        <v>1</v>
      </c>
      <c r="I74" s="167">
        <f t="shared" si="16"/>
        <v>0</v>
      </c>
      <c r="J74" s="156">
        <f t="shared" si="17"/>
        <v>1</v>
      </c>
      <c r="P74" s="166">
        <f t="shared" ref="P74:P137" si="22">P73+$G$4</f>
        <v>-0.34999999999999942</v>
      </c>
      <c r="Q74" s="167">
        <f t="shared" ref="Q74:Q137" si="23">IFERROR(IF(SQRT(1-(P74*P74)/($T$5*$T$5))&lt;0.05,0,SQRT(1-(P74*P74)/($T$5*$T$5))),0)</f>
        <v>0.93642137972548667</v>
      </c>
      <c r="R74" s="167">
        <f t="shared" si="18"/>
        <v>6.3578620274513331E-2</v>
      </c>
      <c r="S74" s="167">
        <f t="shared" si="19"/>
        <v>1.8728427594509733</v>
      </c>
      <c r="T74" s="156">
        <f t="shared" si="20"/>
        <v>1.9364213797254868</v>
      </c>
    </row>
    <row r="75" spans="6:20" ht="16">
      <c r="F75" s="166">
        <f t="shared" si="21"/>
        <v>-0.33999999999999941</v>
      </c>
      <c r="G75" s="167">
        <f t="shared" si="14"/>
        <v>0</v>
      </c>
      <c r="H75" s="167">
        <f t="shared" si="15"/>
        <v>1</v>
      </c>
      <c r="I75" s="167">
        <f t="shared" si="16"/>
        <v>0</v>
      </c>
      <c r="J75" s="156">
        <f t="shared" si="17"/>
        <v>1</v>
      </c>
      <c r="P75" s="166">
        <f t="shared" si="22"/>
        <v>-0.33999999999999941</v>
      </c>
      <c r="Q75" s="167">
        <f t="shared" si="23"/>
        <v>0.94011682316634815</v>
      </c>
      <c r="R75" s="167">
        <f t="shared" si="18"/>
        <v>5.9883176833651852E-2</v>
      </c>
      <c r="S75" s="167">
        <f t="shared" si="19"/>
        <v>1.8802336463326963</v>
      </c>
      <c r="T75" s="156">
        <f t="shared" si="20"/>
        <v>1.9401168231663481</v>
      </c>
    </row>
    <row r="76" spans="6:20" ht="16">
      <c r="F76" s="166">
        <f t="shared" si="21"/>
        <v>-0.3299999999999994</v>
      </c>
      <c r="G76" s="167">
        <f t="shared" si="14"/>
        <v>0</v>
      </c>
      <c r="H76" s="167">
        <f t="shared" si="15"/>
        <v>1</v>
      </c>
      <c r="I76" s="167">
        <f t="shared" si="16"/>
        <v>0</v>
      </c>
      <c r="J76" s="156">
        <f t="shared" si="17"/>
        <v>1</v>
      </c>
      <c r="P76" s="166">
        <f t="shared" si="22"/>
        <v>-0.3299999999999994</v>
      </c>
      <c r="Q76" s="167">
        <f t="shared" si="23"/>
        <v>0.94369130435371773</v>
      </c>
      <c r="R76" s="167">
        <f t="shared" si="18"/>
        <v>5.630869564628227E-2</v>
      </c>
      <c r="S76" s="167">
        <f t="shared" si="19"/>
        <v>1.8873826087074355</v>
      </c>
      <c r="T76" s="156">
        <f t="shared" si="20"/>
        <v>1.9436913043537176</v>
      </c>
    </row>
    <row r="77" spans="6:20" ht="16">
      <c r="F77" s="166">
        <f t="shared" si="21"/>
        <v>-0.3199999999999994</v>
      </c>
      <c r="G77" s="167">
        <f t="shared" si="14"/>
        <v>0</v>
      </c>
      <c r="H77" s="167">
        <f t="shared" si="15"/>
        <v>1</v>
      </c>
      <c r="I77" s="167">
        <f t="shared" si="16"/>
        <v>0</v>
      </c>
      <c r="J77" s="156">
        <f t="shared" si="17"/>
        <v>1</v>
      </c>
      <c r="P77" s="166">
        <f t="shared" si="22"/>
        <v>-0.3199999999999994</v>
      </c>
      <c r="Q77" s="167">
        <f t="shared" si="23"/>
        <v>0.94714619280462042</v>
      </c>
      <c r="R77" s="167">
        <f t="shared" si="18"/>
        <v>5.2853807195379576E-2</v>
      </c>
      <c r="S77" s="167">
        <f t="shared" si="19"/>
        <v>1.8942923856092408</v>
      </c>
      <c r="T77" s="156">
        <f t="shared" si="20"/>
        <v>1.9471461928046203</v>
      </c>
    </row>
    <row r="78" spans="6:20" ht="16">
      <c r="F78" s="166">
        <f t="shared" si="21"/>
        <v>-0.30999999999999939</v>
      </c>
      <c r="G78" s="167">
        <f t="shared" si="14"/>
        <v>0</v>
      </c>
      <c r="H78" s="167">
        <f t="shared" si="15"/>
        <v>1</v>
      </c>
      <c r="I78" s="167">
        <f t="shared" si="16"/>
        <v>0</v>
      </c>
      <c r="J78" s="156">
        <f t="shared" si="17"/>
        <v>1</v>
      </c>
      <c r="P78" s="166">
        <f t="shared" si="22"/>
        <v>-0.30999999999999939</v>
      </c>
      <c r="Q78" s="167">
        <f t="shared" si="23"/>
        <v>0.95048279263476687</v>
      </c>
      <c r="R78" s="167">
        <f t="shared" si="18"/>
        <v>4.9517207365233129E-2</v>
      </c>
      <c r="S78" s="167">
        <f t="shared" si="19"/>
        <v>1.9009655852695337</v>
      </c>
      <c r="T78" s="156">
        <f t="shared" si="20"/>
        <v>1.9504827926347668</v>
      </c>
    </row>
    <row r="79" spans="6:20" ht="16">
      <c r="F79" s="166">
        <f t="shared" si="21"/>
        <v>-0.29999999999999938</v>
      </c>
      <c r="G79" s="167">
        <f t="shared" si="14"/>
        <v>0</v>
      </c>
      <c r="H79" s="167">
        <f t="shared" si="15"/>
        <v>1</v>
      </c>
      <c r="I79" s="167">
        <f t="shared" si="16"/>
        <v>0</v>
      </c>
      <c r="J79" s="156">
        <f t="shared" si="17"/>
        <v>1</v>
      </c>
      <c r="P79" s="166">
        <f t="shared" si="22"/>
        <v>-0.29999999999999938</v>
      </c>
      <c r="Q79" s="167">
        <f t="shared" si="23"/>
        <v>0.95370234537003995</v>
      </c>
      <c r="R79" s="167">
        <f t="shared" si="18"/>
        <v>4.629765462996005E-2</v>
      </c>
      <c r="S79" s="167">
        <f t="shared" si="19"/>
        <v>1.9074046907400799</v>
      </c>
      <c r="T79" s="156">
        <f t="shared" si="20"/>
        <v>1.95370234537004</v>
      </c>
    </row>
    <row r="80" spans="6:20" ht="16">
      <c r="F80" s="166">
        <f t="shared" si="21"/>
        <v>-0.28999999999999937</v>
      </c>
      <c r="G80" s="167">
        <f t="shared" si="14"/>
        <v>0</v>
      </c>
      <c r="H80" s="167">
        <f t="shared" si="15"/>
        <v>1</v>
      </c>
      <c r="I80" s="167">
        <f t="shared" si="16"/>
        <v>0</v>
      </c>
      <c r="J80" s="156">
        <f t="shared" si="17"/>
        <v>1</v>
      </c>
      <c r="P80" s="166">
        <f t="shared" si="22"/>
        <v>-0.28999999999999937</v>
      </c>
      <c r="Q80" s="167">
        <f t="shared" si="23"/>
        <v>0.95680603256505259</v>
      </c>
      <c r="R80" s="167">
        <f t="shared" si="18"/>
        <v>4.3193967434947411E-2</v>
      </c>
      <c r="S80" s="167">
        <f t="shared" si="19"/>
        <v>1.9136120651301052</v>
      </c>
      <c r="T80" s="156">
        <f t="shared" si="20"/>
        <v>1.9568060325650527</v>
      </c>
    </row>
    <row r="81" spans="6:20" ht="16">
      <c r="F81" s="166">
        <f t="shared" si="21"/>
        <v>-0.27999999999999936</v>
      </c>
      <c r="G81" s="167">
        <f t="shared" si="14"/>
        <v>0</v>
      </c>
      <c r="H81" s="167">
        <f t="shared" si="15"/>
        <v>1</v>
      </c>
      <c r="I81" s="167">
        <f t="shared" si="16"/>
        <v>0</v>
      </c>
      <c r="J81" s="156">
        <f t="shared" si="17"/>
        <v>1</v>
      </c>
      <c r="P81" s="166">
        <f t="shared" si="22"/>
        <v>-0.27999999999999936</v>
      </c>
      <c r="Q81" s="167">
        <f t="shared" si="23"/>
        <v>0.95979497824299431</v>
      </c>
      <c r="R81" s="167">
        <f t="shared" si="18"/>
        <v>4.0205021757005688E-2</v>
      </c>
      <c r="S81" s="167">
        <f t="shared" si="19"/>
        <v>1.9195899564859886</v>
      </c>
      <c r="T81" s="156">
        <f t="shared" si="20"/>
        <v>1.9597949782429942</v>
      </c>
    </row>
    <row r="82" spans="6:20" ht="16">
      <c r="F82" s="166">
        <f t="shared" si="21"/>
        <v>-0.26999999999999935</v>
      </c>
      <c r="G82" s="167">
        <f t="shared" si="14"/>
        <v>0</v>
      </c>
      <c r="H82" s="167">
        <f t="shared" si="15"/>
        <v>1</v>
      </c>
      <c r="I82" s="167">
        <f t="shared" si="16"/>
        <v>0</v>
      </c>
      <c r="J82" s="156">
        <f t="shared" si="17"/>
        <v>1</v>
      </c>
      <c r="P82" s="166">
        <f t="shared" si="22"/>
        <v>-0.26999999999999935</v>
      </c>
      <c r="Q82" s="167">
        <f t="shared" si="23"/>
        <v>0.96267025116968019</v>
      </c>
      <c r="R82" s="167">
        <f t="shared" si="18"/>
        <v>3.7329748830319809E-2</v>
      </c>
      <c r="S82" s="167">
        <f t="shared" si="19"/>
        <v>1.9253405023393604</v>
      </c>
      <c r="T82" s="156">
        <f t="shared" si="20"/>
        <v>1.9626702511696803</v>
      </c>
    </row>
    <row r="83" spans="6:20" ht="16">
      <c r="F83" s="166">
        <f t="shared" si="21"/>
        <v>-0.25999999999999934</v>
      </c>
      <c r="G83" s="167">
        <f t="shared" si="14"/>
        <v>0</v>
      </c>
      <c r="H83" s="167">
        <f t="shared" si="15"/>
        <v>1</v>
      </c>
      <c r="I83" s="167">
        <f t="shared" si="16"/>
        <v>0</v>
      </c>
      <c r="J83" s="156">
        <f t="shared" si="17"/>
        <v>1</v>
      </c>
      <c r="P83" s="166">
        <f t="shared" si="22"/>
        <v>-0.25999999999999934</v>
      </c>
      <c r="Q83" s="167">
        <f t="shared" si="23"/>
        <v>0.96543286697354169</v>
      </c>
      <c r="R83" s="167">
        <f t="shared" si="18"/>
        <v>3.4567133026458308E-2</v>
      </c>
      <c r="S83" s="167">
        <f t="shared" si="19"/>
        <v>1.9308657339470834</v>
      </c>
      <c r="T83" s="156">
        <f t="shared" si="20"/>
        <v>1.9654328669735417</v>
      </c>
    </row>
    <row r="84" spans="6:20" ht="16">
      <c r="F84" s="166">
        <f t="shared" si="21"/>
        <v>-0.24999999999999933</v>
      </c>
      <c r="G84" s="167">
        <f t="shared" si="14"/>
        <v>0</v>
      </c>
      <c r="H84" s="167">
        <f t="shared" si="15"/>
        <v>1</v>
      </c>
      <c r="I84" s="167">
        <f t="shared" si="16"/>
        <v>0</v>
      </c>
      <c r="J84" s="156">
        <f t="shared" si="17"/>
        <v>1</v>
      </c>
      <c r="P84" s="166">
        <f t="shared" si="22"/>
        <v>-0.24999999999999933</v>
      </c>
      <c r="Q84" s="167">
        <f t="shared" si="23"/>
        <v>0.96808379012223988</v>
      </c>
      <c r="R84" s="167">
        <f t="shared" si="18"/>
        <v>3.1916209877760116E-2</v>
      </c>
      <c r="S84" s="167">
        <f t="shared" si="19"/>
        <v>1.9361675802444798</v>
      </c>
      <c r="T84" s="156">
        <f t="shared" si="20"/>
        <v>1.9680837901222399</v>
      </c>
    </row>
    <row r="85" spans="6:20" ht="16">
      <c r="F85" s="166">
        <f t="shared" si="21"/>
        <v>-0.23999999999999932</v>
      </c>
      <c r="G85" s="167">
        <f t="shared" si="14"/>
        <v>0</v>
      </c>
      <c r="H85" s="167">
        <f t="shared" si="15"/>
        <v>1</v>
      </c>
      <c r="I85" s="167">
        <f t="shared" si="16"/>
        <v>0</v>
      </c>
      <c r="J85" s="156">
        <f t="shared" si="17"/>
        <v>1</v>
      </c>
      <c r="P85" s="166">
        <f t="shared" si="22"/>
        <v>-0.23999999999999932</v>
      </c>
      <c r="Q85" s="167">
        <f t="shared" si="23"/>
        <v>0.97062393576562989</v>
      </c>
      <c r="R85" s="167">
        <f t="shared" si="18"/>
        <v>2.9376064234370114E-2</v>
      </c>
      <c r="S85" s="167">
        <f t="shared" si="19"/>
        <v>1.9412478715312598</v>
      </c>
      <c r="T85" s="156">
        <f t="shared" si="20"/>
        <v>1.9706239357656299</v>
      </c>
    </row>
    <row r="86" spans="6:20" ht="16">
      <c r="F86" s="166">
        <f t="shared" si="21"/>
        <v>-0.22999999999999932</v>
      </c>
      <c r="G86" s="167">
        <f t="shared" si="14"/>
        <v>0</v>
      </c>
      <c r="H86" s="167">
        <f t="shared" si="15"/>
        <v>1</v>
      </c>
      <c r="I86" s="167">
        <f t="shared" si="16"/>
        <v>0</v>
      </c>
      <c r="J86" s="156">
        <f t="shared" si="17"/>
        <v>1</v>
      </c>
      <c r="P86" s="166">
        <f t="shared" si="22"/>
        <v>-0.22999999999999932</v>
      </c>
      <c r="Q86" s="167">
        <f t="shared" si="23"/>
        <v>0.97305417145394024</v>
      </c>
      <c r="R86" s="167">
        <f t="shared" si="18"/>
        <v>2.6945828546059758E-2</v>
      </c>
      <c r="S86" s="167">
        <f t="shared" si="19"/>
        <v>1.9461083429078805</v>
      </c>
      <c r="T86" s="156">
        <f t="shared" si="20"/>
        <v>1.9730541714539402</v>
      </c>
    </row>
    <row r="87" spans="6:20" ht="16">
      <c r="F87" s="166">
        <f t="shared" si="21"/>
        <v>-0.21999999999999931</v>
      </c>
      <c r="G87" s="167">
        <f t="shared" si="14"/>
        <v>0</v>
      </c>
      <c r="H87" s="167">
        <f t="shared" si="15"/>
        <v>1</v>
      </c>
      <c r="I87" s="167">
        <f t="shared" si="16"/>
        <v>0</v>
      </c>
      <c r="J87" s="156">
        <f t="shared" si="17"/>
        <v>1</v>
      </c>
      <c r="P87" s="166">
        <f t="shared" si="22"/>
        <v>-0.21999999999999931</v>
      </c>
      <c r="Q87" s="167">
        <f t="shared" si="23"/>
        <v>0.97537531873925243</v>
      </c>
      <c r="R87" s="167">
        <f t="shared" si="18"/>
        <v>2.4624681260747572E-2</v>
      </c>
      <c r="S87" s="167">
        <f t="shared" si="19"/>
        <v>1.9507506374785049</v>
      </c>
      <c r="T87" s="156">
        <f t="shared" si="20"/>
        <v>1.9753753187392524</v>
      </c>
    </row>
    <row r="88" spans="6:20" ht="16">
      <c r="F88" s="166">
        <f t="shared" si="21"/>
        <v>-0.2099999999999993</v>
      </c>
      <c r="G88" s="167">
        <f t="shared" si="14"/>
        <v>0</v>
      </c>
      <c r="H88" s="167">
        <f t="shared" si="15"/>
        <v>1</v>
      </c>
      <c r="I88" s="167">
        <f t="shared" si="16"/>
        <v>0</v>
      </c>
      <c r="J88" s="156">
        <f t="shared" si="17"/>
        <v>1</v>
      </c>
      <c r="P88" s="166">
        <f t="shared" si="22"/>
        <v>-0.2099999999999993</v>
      </c>
      <c r="Q88" s="167">
        <f t="shared" si="23"/>
        <v>0.97758815466765681</v>
      </c>
      <c r="R88" s="167">
        <f t="shared" si="18"/>
        <v>2.2411845332343194E-2</v>
      </c>
      <c r="S88" s="167">
        <f t="shared" si="19"/>
        <v>1.9551763093353136</v>
      </c>
      <c r="T88" s="156">
        <f t="shared" si="20"/>
        <v>1.9775881546676568</v>
      </c>
    </row>
    <row r="89" spans="6:20" ht="16">
      <c r="F89" s="166">
        <f t="shared" si="21"/>
        <v>-0.19999999999999929</v>
      </c>
      <c r="G89" s="167">
        <f t="shared" si="14"/>
        <v>0</v>
      </c>
      <c r="H89" s="167">
        <f t="shared" si="15"/>
        <v>1</v>
      </c>
      <c r="I89" s="167">
        <f t="shared" si="16"/>
        <v>0</v>
      </c>
      <c r="J89" s="156">
        <f t="shared" si="17"/>
        <v>1</v>
      </c>
      <c r="P89" s="166">
        <f t="shared" si="22"/>
        <v>-0.19999999999999929</v>
      </c>
      <c r="Q89" s="167">
        <f t="shared" si="23"/>
        <v>0.97969341316881497</v>
      </c>
      <c r="R89" s="167">
        <f t="shared" si="18"/>
        <v>2.0306586831185025E-2</v>
      </c>
      <c r="S89" s="167">
        <f t="shared" si="19"/>
        <v>1.9593868263376299</v>
      </c>
      <c r="T89" s="156">
        <f t="shared" si="20"/>
        <v>1.9796934131688149</v>
      </c>
    </row>
    <row r="90" spans="6:20" ht="16">
      <c r="F90" s="166">
        <f t="shared" si="21"/>
        <v>-0.18999999999999928</v>
      </c>
      <c r="G90" s="167">
        <f t="shared" si="14"/>
        <v>0</v>
      </c>
      <c r="H90" s="167">
        <f t="shared" si="15"/>
        <v>1</v>
      </c>
      <c r="I90" s="167">
        <f t="shared" si="16"/>
        <v>0</v>
      </c>
      <c r="J90" s="156">
        <f t="shared" si="17"/>
        <v>1</v>
      </c>
      <c r="P90" s="166">
        <f t="shared" si="22"/>
        <v>-0.18999999999999928</v>
      </c>
      <c r="Q90" s="167">
        <f t="shared" si="23"/>
        <v>0.98169178634907706</v>
      </c>
      <c r="R90" s="167">
        <f t="shared" si="18"/>
        <v>1.8308213650922944E-2</v>
      </c>
      <c r="S90" s="167">
        <f t="shared" si="19"/>
        <v>1.9633835726981541</v>
      </c>
      <c r="T90" s="156">
        <f t="shared" si="20"/>
        <v>1.9816917863490771</v>
      </c>
    </row>
    <row r="91" spans="6:20" ht="16">
      <c r="F91" s="166">
        <f t="shared" si="21"/>
        <v>-0.17999999999999927</v>
      </c>
      <c r="G91" s="167">
        <f t="shared" si="14"/>
        <v>0</v>
      </c>
      <c r="H91" s="167">
        <f t="shared" si="15"/>
        <v>1</v>
      </c>
      <c r="I91" s="167">
        <f t="shared" si="16"/>
        <v>0</v>
      </c>
      <c r="J91" s="156">
        <f t="shared" si="17"/>
        <v>1</v>
      </c>
      <c r="P91" s="166">
        <f t="shared" si="22"/>
        <v>-0.17999999999999927</v>
      </c>
      <c r="Q91" s="167">
        <f t="shared" si="23"/>
        <v>0.98358392569376285</v>
      </c>
      <c r="R91" s="167">
        <f t="shared" si="18"/>
        <v>1.6416074306237149E-2</v>
      </c>
      <c r="S91" s="167">
        <f t="shared" si="19"/>
        <v>1.9671678513875257</v>
      </c>
      <c r="T91" s="156">
        <f t="shared" si="20"/>
        <v>1.9835839256937629</v>
      </c>
    </row>
    <row r="92" spans="6:20" ht="16">
      <c r="F92" s="166">
        <f t="shared" si="21"/>
        <v>-0.16999999999999926</v>
      </c>
      <c r="G92" s="167">
        <f t="shared" si="14"/>
        <v>0.30161822305532576</v>
      </c>
      <c r="H92" s="167">
        <f t="shared" si="15"/>
        <v>0.69838177694467429</v>
      </c>
      <c r="I92" s="167">
        <f t="shared" si="16"/>
        <v>0.60323644611065153</v>
      </c>
      <c r="J92" s="156">
        <f t="shared" si="17"/>
        <v>1.3016182230553257</v>
      </c>
      <c r="P92" s="166">
        <f t="shared" si="22"/>
        <v>-0.16999999999999926</v>
      </c>
      <c r="Q92" s="167">
        <f t="shared" si="23"/>
        <v>0.98537044318372813</v>
      </c>
      <c r="R92" s="167">
        <f t="shared" si="18"/>
        <v>1.4629556816271871E-2</v>
      </c>
      <c r="S92" s="167">
        <f t="shared" si="19"/>
        <v>1.9707408863674563</v>
      </c>
      <c r="T92" s="156">
        <f t="shared" si="20"/>
        <v>1.985370443183728</v>
      </c>
    </row>
    <row r="93" spans="6:20" ht="16">
      <c r="F93" s="166">
        <f t="shared" si="21"/>
        <v>-0.15999999999999925</v>
      </c>
      <c r="G93" s="167">
        <f t="shared" si="14"/>
        <v>0.44133028469509905</v>
      </c>
      <c r="H93" s="167">
        <f t="shared" si="15"/>
        <v>0.55866971530490095</v>
      </c>
      <c r="I93" s="167">
        <f t="shared" si="16"/>
        <v>0.8826605693901981</v>
      </c>
      <c r="J93" s="156">
        <f t="shared" si="17"/>
        <v>1.4413302846950991</v>
      </c>
      <c r="P93" s="166">
        <f t="shared" si="22"/>
        <v>-0.15999999999999925</v>
      </c>
      <c r="Q93" s="167">
        <f t="shared" si="23"/>
        <v>0.98705191233089251</v>
      </c>
      <c r="R93" s="167">
        <f t="shared" si="18"/>
        <v>1.2948087669107489E-2</v>
      </c>
      <c r="S93" s="167">
        <f t="shared" si="19"/>
        <v>1.974103824661785</v>
      </c>
      <c r="T93" s="156">
        <f t="shared" si="20"/>
        <v>1.9870519123308925</v>
      </c>
    </row>
    <row r="94" spans="6:20" ht="16">
      <c r="F94" s="166">
        <f t="shared" si="21"/>
        <v>-0.14999999999999925</v>
      </c>
      <c r="G94" s="167">
        <f t="shared" si="14"/>
        <v>0.54062967679529861</v>
      </c>
      <c r="H94" s="167">
        <f t="shared" si="15"/>
        <v>0.45937032320470139</v>
      </c>
      <c r="I94" s="167">
        <f t="shared" si="16"/>
        <v>1.0812593535905972</v>
      </c>
      <c r="J94" s="156">
        <f t="shared" si="17"/>
        <v>1.5406296767952985</v>
      </c>
      <c r="P94" s="166">
        <f t="shared" si="22"/>
        <v>-0.14999999999999925</v>
      </c>
      <c r="Q94" s="167">
        <f t="shared" si="23"/>
        <v>0.98862886913698755</v>
      </c>
      <c r="R94" s="167">
        <f t="shared" si="18"/>
        <v>1.1371130863012446E-2</v>
      </c>
      <c r="S94" s="167">
        <f t="shared" si="19"/>
        <v>1.9772577382739751</v>
      </c>
      <c r="T94" s="156">
        <f t="shared" si="20"/>
        <v>1.9886288691369876</v>
      </c>
    </row>
    <row r="95" spans="6:20" ht="16">
      <c r="F95" s="166">
        <f t="shared" si="21"/>
        <v>-0.13999999999999924</v>
      </c>
      <c r="G95" s="167">
        <f t="shared" si="14"/>
        <v>0.61927185807789442</v>
      </c>
      <c r="H95" s="167">
        <f t="shared" si="15"/>
        <v>0.38072814192210558</v>
      </c>
      <c r="I95" s="167">
        <f t="shared" si="16"/>
        <v>1.2385437161557888</v>
      </c>
      <c r="J95" s="156">
        <f t="shared" si="17"/>
        <v>1.6192718580778944</v>
      </c>
      <c r="P95" s="166">
        <f t="shared" si="22"/>
        <v>-0.13999999999999924</v>
      </c>
      <c r="Q95" s="167">
        <f t="shared" si="23"/>
        <v>0.99010181297941147</v>
      </c>
      <c r="R95" s="167">
        <f t="shared" si="18"/>
        <v>9.8981870205885336E-3</v>
      </c>
      <c r="S95" s="167">
        <f t="shared" si="19"/>
        <v>1.9802036259588229</v>
      </c>
      <c r="T95" s="156">
        <f t="shared" si="20"/>
        <v>1.9901018129794115</v>
      </c>
    </row>
    <row r="96" spans="6:20" ht="16">
      <c r="F96" s="166">
        <f t="shared" si="21"/>
        <v>-0.12999999999999923</v>
      </c>
      <c r="G96" s="167">
        <f t="shared" si="14"/>
        <v>0.68441506450065348</v>
      </c>
      <c r="H96" s="167">
        <f t="shared" si="15"/>
        <v>0.31558493549934652</v>
      </c>
      <c r="I96" s="167">
        <f t="shared" si="16"/>
        <v>1.368830129001307</v>
      </c>
      <c r="J96" s="156">
        <f t="shared" si="17"/>
        <v>1.6844150645006535</v>
      </c>
      <c r="P96" s="166">
        <f t="shared" si="22"/>
        <v>-0.12999999999999923</v>
      </c>
      <c r="Q96" s="167">
        <f t="shared" si="23"/>
        <v>0.99147120742772366</v>
      </c>
      <c r="R96" s="167">
        <f t="shared" si="18"/>
        <v>8.5287925722763447E-3</v>
      </c>
      <c r="S96" s="167">
        <f t="shared" si="19"/>
        <v>1.9829424148554473</v>
      </c>
      <c r="T96" s="156">
        <f t="shared" si="20"/>
        <v>1.9914712074277237</v>
      </c>
    </row>
    <row r="97" spans="6:20" ht="16">
      <c r="F97" s="166">
        <f t="shared" si="21"/>
        <v>-0.11999999999999923</v>
      </c>
      <c r="G97" s="167">
        <f t="shared" si="14"/>
        <v>0.73963469791265624</v>
      </c>
      <c r="H97" s="167">
        <f t="shared" si="15"/>
        <v>0.26036530208734376</v>
      </c>
      <c r="I97" s="167">
        <f t="shared" si="16"/>
        <v>1.4792693958253125</v>
      </c>
      <c r="J97" s="156">
        <f t="shared" si="17"/>
        <v>1.7396346979126562</v>
      </c>
      <c r="P97" s="166">
        <f t="shared" si="22"/>
        <v>-0.11999999999999923</v>
      </c>
      <c r="Q97" s="167">
        <f t="shared" si="23"/>
        <v>0.99273748099398895</v>
      </c>
      <c r="R97" s="167">
        <f t="shared" si="18"/>
        <v>7.2625190060110478E-3</v>
      </c>
      <c r="S97" s="167">
        <f t="shared" si="19"/>
        <v>1.9854749619879779</v>
      </c>
      <c r="T97" s="156">
        <f t="shared" si="20"/>
        <v>1.9927374809939891</v>
      </c>
    </row>
    <row r="98" spans="6:20" ht="16">
      <c r="F98" s="166">
        <f t="shared" si="21"/>
        <v>-0.10999999999999924</v>
      </c>
      <c r="G98" s="167">
        <f t="shared" si="14"/>
        <v>0.78702233242137787</v>
      </c>
      <c r="H98" s="167">
        <f t="shared" si="15"/>
        <v>0.21297766757862213</v>
      </c>
      <c r="I98" s="167">
        <f t="shared" si="16"/>
        <v>1.5740446648427557</v>
      </c>
      <c r="J98" s="156">
        <f t="shared" si="17"/>
        <v>1.7870223324213779</v>
      </c>
      <c r="P98" s="166">
        <f t="shared" si="22"/>
        <v>-0.10999999999999924</v>
      </c>
      <c r="Q98" s="167">
        <f t="shared" si="23"/>
        <v>0.99390102781988543</v>
      </c>
      <c r="R98" s="167">
        <f t="shared" si="18"/>
        <v>6.0989721801145702E-3</v>
      </c>
      <c r="S98" s="167">
        <f t="shared" si="19"/>
        <v>1.9878020556397709</v>
      </c>
      <c r="T98" s="156">
        <f t="shared" si="20"/>
        <v>1.9939010278198854</v>
      </c>
    </row>
    <row r="99" spans="6:20" ht="16">
      <c r="F99" s="166">
        <f t="shared" si="21"/>
        <v>-9.9999999999999242E-2</v>
      </c>
      <c r="G99" s="167">
        <f t="shared" si="14"/>
        <v>0.82792389543746847</v>
      </c>
      <c r="H99" s="167">
        <f t="shared" si="15"/>
        <v>0.17207610456253153</v>
      </c>
      <c r="I99" s="167">
        <f t="shared" si="16"/>
        <v>1.6558477908749369</v>
      </c>
      <c r="J99" s="156">
        <f t="shared" si="17"/>
        <v>1.8279238954374684</v>
      </c>
      <c r="P99" s="166">
        <f t="shared" si="22"/>
        <v>-9.9999999999999242E-2</v>
      </c>
      <c r="Q99" s="167">
        <f t="shared" si="23"/>
        <v>0.99496220830320514</v>
      </c>
      <c r="R99" s="167">
        <f t="shared" si="18"/>
        <v>5.0377916967948577E-3</v>
      </c>
      <c r="S99" s="167">
        <f t="shared" si="19"/>
        <v>1.9899244166064103</v>
      </c>
      <c r="T99" s="156">
        <f t="shared" si="20"/>
        <v>1.994962208303205</v>
      </c>
    </row>
    <row r="100" spans="6:20" ht="16">
      <c r="F100" s="166">
        <f t="shared" si="21"/>
        <v>-8.9999999999999247E-2</v>
      </c>
      <c r="G100" s="167">
        <f t="shared" si="14"/>
        <v>0.86326181490637344</v>
      </c>
      <c r="H100" s="167">
        <f t="shared" si="15"/>
        <v>0.13673818509362656</v>
      </c>
      <c r="I100" s="167">
        <f t="shared" si="16"/>
        <v>1.7265236298127469</v>
      </c>
      <c r="J100" s="156">
        <f t="shared" si="17"/>
        <v>1.8632618149063735</v>
      </c>
      <c r="P100" s="166">
        <f t="shared" si="22"/>
        <v>-8.9999999999999247E-2</v>
      </c>
      <c r="Q100" s="167">
        <f t="shared" si="23"/>
        <v>0.99592134966612123</v>
      </c>
      <c r="R100" s="167">
        <f t="shared" si="18"/>
        <v>4.078650333878775E-3</v>
      </c>
      <c r="S100" s="167">
        <f t="shared" si="19"/>
        <v>1.9918426993322425</v>
      </c>
      <c r="T100" s="156">
        <f t="shared" si="20"/>
        <v>1.9959213496661212</v>
      </c>
    </row>
    <row r="101" spans="6:20" ht="16">
      <c r="F101" s="166">
        <f t="shared" si="21"/>
        <v>-7.9999999999999252E-2</v>
      </c>
      <c r="G101" s="167">
        <f t="shared" si="14"/>
        <v>0.89369631589666199</v>
      </c>
      <c r="H101" s="167">
        <f t="shared" si="15"/>
        <v>0.10630368410333801</v>
      </c>
      <c r="I101" s="167">
        <f t="shared" si="16"/>
        <v>1.787392631793324</v>
      </c>
      <c r="J101" s="156">
        <f t="shared" si="17"/>
        <v>1.893696315896662</v>
      </c>
      <c r="P101" s="166">
        <f t="shared" si="22"/>
        <v>-7.9999999999999252E-2</v>
      </c>
      <c r="Q101" s="167">
        <f t="shared" si="23"/>
        <v>0.99677874646734821</v>
      </c>
      <c r="R101" s="167">
        <f t="shared" si="18"/>
        <v>3.221253532651791E-3</v>
      </c>
      <c r="S101" s="167">
        <f t="shared" si="19"/>
        <v>1.9935574929346964</v>
      </c>
      <c r="T101" s="156">
        <f t="shared" si="20"/>
        <v>1.9967787464673483</v>
      </c>
    </row>
    <row r="102" spans="6:20" ht="16">
      <c r="F102" s="166">
        <f t="shared" si="21"/>
        <v>-6.9999999999999257E-2</v>
      </c>
      <c r="G102" s="167">
        <f t="shared" si="14"/>
        <v>0.91971430811519594</v>
      </c>
      <c r="H102" s="167">
        <f t="shared" si="15"/>
        <v>8.0285691884804056E-2</v>
      </c>
      <c r="I102" s="167">
        <f t="shared" si="16"/>
        <v>1.8394286162303919</v>
      </c>
      <c r="J102" s="156">
        <f t="shared" si="17"/>
        <v>1.9197143081151959</v>
      </c>
      <c r="P102" s="166">
        <f t="shared" si="22"/>
        <v>-6.9999999999999257E-2</v>
      </c>
      <c r="Q102" s="167">
        <f t="shared" si="23"/>
        <v>0.99753466106009547</v>
      </c>
      <c r="R102" s="167">
        <f t="shared" si="18"/>
        <v>2.4653389399045267E-3</v>
      </c>
      <c r="S102" s="167">
        <f t="shared" si="19"/>
        <v>1.9950693221201909</v>
      </c>
      <c r="T102" s="156">
        <f t="shared" si="20"/>
        <v>1.9975346610600955</v>
      </c>
    </row>
    <row r="103" spans="6:20" ht="16">
      <c r="F103" s="166">
        <f t="shared" si="21"/>
        <v>-5.9999999999999255E-2</v>
      </c>
      <c r="G103" s="167">
        <f t="shared" si="14"/>
        <v>0.94168193759309615</v>
      </c>
      <c r="H103" s="167">
        <f t="shared" si="15"/>
        <v>5.8318062406903848E-2</v>
      </c>
      <c r="I103" s="167">
        <f t="shared" si="16"/>
        <v>1.8833638751861923</v>
      </c>
      <c r="J103" s="156">
        <f t="shared" si="17"/>
        <v>1.941681937593096</v>
      </c>
      <c r="P103" s="166">
        <f t="shared" si="22"/>
        <v>-5.9999999999999255E-2</v>
      </c>
      <c r="Q103" s="167">
        <f t="shared" si="23"/>
        <v>0.99818932399749327</v>
      </c>
      <c r="R103" s="167">
        <f t="shared" si="18"/>
        <v>1.8106760025067281E-3</v>
      </c>
      <c r="S103" s="167">
        <f t="shared" si="19"/>
        <v>1.9963786479949865</v>
      </c>
      <c r="T103" s="156">
        <f t="shared" si="20"/>
        <v>1.9981893239974933</v>
      </c>
    </row>
    <row r="104" spans="6:20" ht="16">
      <c r="F104" s="166">
        <f t="shared" si="21"/>
        <v>-4.9999999999999253E-2</v>
      </c>
      <c r="G104" s="167">
        <f t="shared" si="14"/>
        <v>0.95987733287076282</v>
      </c>
      <c r="H104" s="167">
        <f t="shared" si="15"/>
        <v>4.0122667129237177E-2</v>
      </c>
      <c r="I104" s="167">
        <f t="shared" si="16"/>
        <v>1.9197546657415256</v>
      </c>
      <c r="J104" s="156">
        <f t="shared" si="17"/>
        <v>1.9598773328707628</v>
      </c>
      <c r="P104" s="166">
        <f t="shared" si="22"/>
        <v>-4.9999999999999253E-2</v>
      </c>
      <c r="Q104" s="167">
        <f t="shared" si="23"/>
        <v>0.99874293438697115</v>
      </c>
      <c r="R104" s="167">
        <f t="shared" si="18"/>
        <v>1.2570656130288516E-3</v>
      </c>
      <c r="S104" s="167">
        <f t="shared" si="19"/>
        <v>1.9974858687739423</v>
      </c>
      <c r="T104" s="156">
        <f t="shared" si="20"/>
        <v>1.9987429343869711</v>
      </c>
    </row>
    <row r="105" spans="6:20" ht="16">
      <c r="F105" s="166">
        <f t="shared" si="21"/>
        <v>-3.9999999999999251E-2</v>
      </c>
      <c r="G105" s="167">
        <f t="shared" si="14"/>
        <v>0.97451181432644396</v>
      </c>
      <c r="H105" s="167">
        <f t="shared" si="15"/>
        <v>2.5488185673556041E-2</v>
      </c>
      <c r="I105" s="167">
        <f t="shared" si="16"/>
        <v>1.9490236286528879</v>
      </c>
      <c r="J105" s="156">
        <f t="shared" si="17"/>
        <v>1.974511814326444</v>
      </c>
      <c r="P105" s="166">
        <f t="shared" si="22"/>
        <v>-3.9999999999999251E-2</v>
      </c>
      <c r="Q105" s="167">
        <f t="shared" si="23"/>
        <v>0.99919566019486616</v>
      </c>
      <c r="R105" s="167">
        <f t="shared" si="18"/>
        <v>8.0433980513383574E-4</v>
      </c>
      <c r="S105" s="167">
        <f t="shared" si="19"/>
        <v>1.9983913203897323</v>
      </c>
      <c r="T105" s="156">
        <f t="shared" si="20"/>
        <v>1.9991956601948662</v>
      </c>
    </row>
    <row r="106" spans="6:20" ht="16">
      <c r="F106" s="166">
        <f t="shared" si="21"/>
        <v>-2.9999999999999249E-2</v>
      </c>
      <c r="G106" s="167">
        <f t="shared" si="14"/>
        <v>0.98574399206755126</v>
      </c>
      <c r="H106" s="167">
        <f t="shared" si="15"/>
        <v>1.4256007932448744E-2</v>
      </c>
      <c r="I106" s="167">
        <f t="shared" si="16"/>
        <v>1.9714879841351025</v>
      </c>
      <c r="J106" s="156">
        <f t="shared" si="17"/>
        <v>1.9857439920675513</v>
      </c>
      <c r="P106" s="166">
        <f t="shared" si="22"/>
        <v>-2.9999999999999249E-2</v>
      </c>
      <c r="Q106" s="167">
        <f t="shared" si="23"/>
        <v>0.99954763850235928</v>
      </c>
      <c r="R106" s="167">
        <f t="shared" si="18"/>
        <v>4.5236149764071865E-4</v>
      </c>
      <c r="S106" s="167">
        <f t="shared" si="19"/>
        <v>1.9990952770047186</v>
      </c>
      <c r="T106" s="156">
        <f t="shared" si="20"/>
        <v>1.9995476385023592</v>
      </c>
    </row>
    <row r="107" spans="6:20" ht="16">
      <c r="F107" s="166">
        <f t="shared" si="21"/>
        <v>-1.9999999999999248E-2</v>
      </c>
      <c r="G107" s="167">
        <f t="shared" si="14"/>
        <v>0.99368924672930559</v>
      </c>
      <c r="H107" s="167">
        <f t="shared" si="15"/>
        <v>6.3107532706944136E-3</v>
      </c>
      <c r="I107" s="167">
        <f t="shared" si="16"/>
        <v>1.9873784934586112</v>
      </c>
      <c r="J107" s="156">
        <f t="shared" si="17"/>
        <v>1.9936892467293057</v>
      </c>
      <c r="P107" s="166">
        <f t="shared" si="22"/>
        <v>-1.9999999999999248E-2</v>
      </c>
      <c r="Q107" s="167">
        <f t="shared" si="23"/>
        <v>0.99979897571364995</v>
      </c>
      <c r="R107" s="167">
        <f t="shared" si="18"/>
        <v>2.0102428635004888E-4</v>
      </c>
      <c r="S107" s="167">
        <f t="shared" si="19"/>
        <v>1.9995979514272999</v>
      </c>
      <c r="T107" s="156">
        <f t="shared" si="20"/>
        <v>1.9997989757136501</v>
      </c>
    </row>
    <row r="108" spans="6:20" ht="16">
      <c r="F108" s="166">
        <f t="shared" si="21"/>
        <v>-9.9999999999992473E-3</v>
      </c>
      <c r="G108" s="167">
        <f t="shared" si="14"/>
        <v>0.99842605122581007</v>
      </c>
      <c r="H108" s="167">
        <f t="shared" si="15"/>
        <v>1.5739487741899261E-3</v>
      </c>
      <c r="I108" s="167">
        <f t="shared" si="16"/>
        <v>1.9968521024516201</v>
      </c>
      <c r="J108" s="156">
        <f t="shared" si="17"/>
        <v>1.9984260512258101</v>
      </c>
      <c r="P108" s="166">
        <f t="shared" si="22"/>
        <v>-9.9999999999992473E-3</v>
      </c>
      <c r="Q108" s="167">
        <f t="shared" si="23"/>
        <v>0.99994974771711198</v>
      </c>
      <c r="R108" s="167">
        <f t="shared" si="18"/>
        <v>5.0252282888019195E-5</v>
      </c>
      <c r="S108" s="167">
        <f t="shared" si="19"/>
        <v>1.999899495434224</v>
      </c>
      <c r="T108" s="156">
        <f t="shared" si="20"/>
        <v>1.999949747717112</v>
      </c>
    </row>
    <row r="109" spans="6:20" ht="16">
      <c r="F109" s="166">
        <f t="shared" si="21"/>
        <v>7.5286998857393428E-16</v>
      </c>
      <c r="G109" s="167">
        <f t="shared" si="14"/>
        <v>1</v>
      </c>
      <c r="H109" s="167">
        <f t="shared" si="15"/>
        <v>0</v>
      </c>
      <c r="I109" s="167">
        <f t="shared" si="16"/>
        <v>2</v>
      </c>
      <c r="J109" s="156">
        <f t="shared" si="17"/>
        <v>2</v>
      </c>
      <c r="P109" s="166">
        <f t="shared" si="22"/>
        <v>7.5286998857393428E-16</v>
      </c>
      <c r="Q109" s="167">
        <f t="shared" si="23"/>
        <v>1</v>
      </c>
      <c r="R109" s="167">
        <f t="shared" si="18"/>
        <v>0</v>
      </c>
      <c r="S109" s="167">
        <f t="shared" si="19"/>
        <v>2</v>
      </c>
      <c r="T109" s="156">
        <f t="shared" si="20"/>
        <v>2</v>
      </c>
    </row>
    <row r="110" spans="6:20" ht="16">
      <c r="F110" s="166">
        <f t="shared" si="21"/>
        <v>1.0000000000000753E-2</v>
      </c>
      <c r="G110" s="167">
        <f t="shared" si="14"/>
        <v>0.99842605122580963</v>
      </c>
      <c r="H110" s="167">
        <f t="shared" si="15"/>
        <v>0</v>
      </c>
      <c r="I110" s="167">
        <f t="shared" si="16"/>
        <v>2</v>
      </c>
      <c r="J110" s="156">
        <f t="shared" si="17"/>
        <v>2</v>
      </c>
      <c r="P110" s="166">
        <f t="shared" si="22"/>
        <v>1.0000000000000753E-2</v>
      </c>
      <c r="Q110" s="167">
        <f t="shared" si="23"/>
        <v>0.99994974771711198</v>
      </c>
      <c r="R110" s="167">
        <f t="shared" si="18"/>
        <v>0</v>
      </c>
      <c r="S110" s="167">
        <f t="shared" si="19"/>
        <v>2</v>
      </c>
      <c r="T110" s="156">
        <f t="shared" si="20"/>
        <v>2</v>
      </c>
    </row>
    <row r="111" spans="6:20" ht="16">
      <c r="F111" s="166">
        <f t="shared" si="21"/>
        <v>2.0000000000000753E-2</v>
      </c>
      <c r="G111" s="167">
        <f t="shared" si="14"/>
        <v>0.9936892467293047</v>
      </c>
      <c r="H111" s="167">
        <f t="shared" si="15"/>
        <v>0</v>
      </c>
      <c r="I111" s="167">
        <f t="shared" si="16"/>
        <v>2</v>
      </c>
      <c r="J111" s="156">
        <f t="shared" si="17"/>
        <v>2</v>
      </c>
      <c r="P111" s="166">
        <f t="shared" si="22"/>
        <v>2.0000000000000753E-2</v>
      </c>
      <c r="Q111" s="167">
        <f t="shared" si="23"/>
        <v>0.99979897571364995</v>
      </c>
      <c r="R111" s="167">
        <f t="shared" si="18"/>
        <v>0</v>
      </c>
      <c r="S111" s="167">
        <f t="shared" si="19"/>
        <v>2</v>
      </c>
      <c r="T111" s="156">
        <f t="shared" si="20"/>
        <v>2</v>
      </c>
    </row>
    <row r="112" spans="6:20" ht="16">
      <c r="F112" s="166">
        <f t="shared" si="21"/>
        <v>3.0000000000000755E-2</v>
      </c>
      <c r="G112" s="167">
        <f t="shared" si="14"/>
        <v>0.98574399206754992</v>
      </c>
      <c r="H112" s="167">
        <f t="shared" si="15"/>
        <v>0</v>
      </c>
      <c r="I112" s="167">
        <f t="shared" si="16"/>
        <v>2</v>
      </c>
      <c r="J112" s="156">
        <f t="shared" si="17"/>
        <v>2</v>
      </c>
      <c r="P112" s="166">
        <f t="shared" si="22"/>
        <v>3.0000000000000755E-2</v>
      </c>
      <c r="Q112" s="167">
        <f t="shared" si="23"/>
        <v>0.99954763850235928</v>
      </c>
      <c r="R112" s="167">
        <f t="shared" si="18"/>
        <v>0</v>
      </c>
      <c r="S112" s="167">
        <f t="shared" si="19"/>
        <v>2</v>
      </c>
      <c r="T112" s="156">
        <f t="shared" si="20"/>
        <v>2</v>
      </c>
    </row>
    <row r="113" spans="6:20" ht="16">
      <c r="F113" s="166">
        <f t="shared" si="21"/>
        <v>4.0000000000000757E-2</v>
      </c>
      <c r="G113" s="167">
        <f t="shared" si="14"/>
        <v>0.97451181432644196</v>
      </c>
      <c r="H113" s="167">
        <f t="shared" si="15"/>
        <v>0</v>
      </c>
      <c r="I113" s="167">
        <f t="shared" si="16"/>
        <v>2</v>
      </c>
      <c r="J113" s="156">
        <f t="shared" si="17"/>
        <v>2</v>
      </c>
      <c r="P113" s="166">
        <f t="shared" si="22"/>
        <v>4.0000000000000757E-2</v>
      </c>
      <c r="Q113" s="167">
        <f t="shared" si="23"/>
        <v>0.99919566019486616</v>
      </c>
      <c r="R113" s="167">
        <f t="shared" si="18"/>
        <v>0</v>
      </c>
      <c r="S113" s="167">
        <f t="shared" si="19"/>
        <v>2</v>
      </c>
      <c r="T113" s="156">
        <f t="shared" si="20"/>
        <v>2</v>
      </c>
    </row>
    <row r="114" spans="6:20" ht="16">
      <c r="F114" s="166">
        <f t="shared" si="21"/>
        <v>5.0000000000000759E-2</v>
      </c>
      <c r="G114" s="167">
        <f t="shared" si="14"/>
        <v>0.95987733287076038</v>
      </c>
      <c r="H114" s="167">
        <f t="shared" si="15"/>
        <v>0</v>
      </c>
      <c r="I114" s="167">
        <f t="shared" si="16"/>
        <v>2</v>
      </c>
      <c r="J114" s="156">
        <f t="shared" si="17"/>
        <v>2</v>
      </c>
      <c r="P114" s="166">
        <f t="shared" si="22"/>
        <v>5.0000000000000759E-2</v>
      </c>
      <c r="Q114" s="167">
        <f t="shared" si="23"/>
        <v>0.99874293438697104</v>
      </c>
      <c r="R114" s="167">
        <f t="shared" si="18"/>
        <v>0</v>
      </c>
      <c r="S114" s="167">
        <f t="shared" si="19"/>
        <v>2</v>
      </c>
      <c r="T114" s="156">
        <f t="shared" si="20"/>
        <v>2</v>
      </c>
    </row>
    <row r="115" spans="6:20" ht="16">
      <c r="F115" s="166">
        <f t="shared" si="21"/>
        <v>6.0000000000000761E-2</v>
      </c>
      <c r="G115" s="167">
        <f t="shared" si="14"/>
        <v>0.94168193759309315</v>
      </c>
      <c r="H115" s="167">
        <f t="shared" si="15"/>
        <v>0</v>
      </c>
      <c r="I115" s="167">
        <f t="shared" si="16"/>
        <v>2</v>
      </c>
      <c r="J115" s="156">
        <f t="shared" si="17"/>
        <v>2</v>
      </c>
      <c r="P115" s="166">
        <f t="shared" si="22"/>
        <v>6.0000000000000761E-2</v>
      </c>
      <c r="Q115" s="167">
        <f t="shared" si="23"/>
        <v>0.99818932399749327</v>
      </c>
      <c r="R115" s="167">
        <f t="shared" si="18"/>
        <v>0</v>
      </c>
      <c r="S115" s="167">
        <f t="shared" si="19"/>
        <v>2</v>
      </c>
      <c r="T115" s="156">
        <f t="shared" si="20"/>
        <v>2</v>
      </c>
    </row>
    <row r="116" spans="6:20" ht="16">
      <c r="F116" s="166">
        <f t="shared" si="21"/>
        <v>7.0000000000000756E-2</v>
      </c>
      <c r="G116" s="167">
        <f t="shared" si="14"/>
        <v>0.91971430811519239</v>
      </c>
      <c r="H116" s="167">
        <f t="shared" si="15"/>
        <v>0</v>
      </c>
      <c r="I116" s="167">
        <f t="shared" si="16"/>
        <v>2</v>
      </c>
      <c r="J116" s="156">
        <f t="shared" si="17"/>
        <v>2</v>
      </c>
      <c r="P116" s="166">
        <f t="shared" si="22"/>
        <v>7.0000000000000756E-2</v>
      </c>
      <c r="Q116" s="167">
        <f t="shared" si="23"/>
        <v>0.99753466106009536</v>
      </c>
      <c r="R116" s="167">
        <f t="shared" si="18"/>
        <v>0</v>
      </c>
      <c r="S116" s="167">
        <f t="shared" si="19"/>
        <v>2</v>
      </c>
      <c r="T116" s="156">
        <f t="shared" si="20"/>
        <v>2</v>
      </c>
    </row>
    <row r="117" spans="6:20" ht="16">
      <c r="F117" s="166">
        <f t="shared" si="21"/>
        <v>8.0000000000000751E-2</v>
      </c>
      <c r="G117" s="167">
        <f t="shared" si="14"/>
        <v>0.89369631589665777</v>
      </c>
      <c r="H117" s="167">
        <f t="shared" si="15"/>
        <v>0</v>
      </c>
      <c r="I117" s="167">
        <f t="shared" si="16"/>
        <v>2</v>
      </c>
      <c r="J117" s="156">
        <f t="shared" si="17"/>
        <v>2</v>
      </c>
      <c r="P117" s="166">
        <f t="shared" si="22"/>
        <v>8.0000000000000751E-2</v>
      </c>
      <c r="Q117" s="167">
        <f t="shared" si="23"/>
        <v>0.9967787464673481</v>
      </c>
      <c r="R117" s="167">
        <f t="shared" si="18"/>
        <v>0</v>
      </c>
      <c r="S117" s="167">
        <f t="shared" si="19"/>
        <v>2</v>
      </c>
      <c r="T117" s="156">
        <f t="shared" si="20"/>
        <v>2</v>
      </c>
    </row>
    <row r="118" spans="6:20" ht="16">
      <c r="F118" s="166">
        <f t="shared" si="21"/>
        <v>9.0000000000000746E-2</v>
      </c>
      <c r="G118" s="167">
        <f t="shared" si="14"/>
        <v>0.86326181490636855</v>
      </c>
      <c r="H118" s="167">
        <f t="shared" si="15"/>
        <v>0</v>
      </c>
      <c r="I118" s="167">
        <f t="shared" si="16"/>
        <v>2</v>
      </c>
      <c r="J118" s="156">
        <f t="shared" si="17"/>
        <v>2</v>
      </c>
      <c r="P118" s="166">
        <f t="shared" si="22"/>
        <v>9.0000000000000746E-2</v>
      </c>
      <c r="Q118" s="167">
        <f t="shared" si="23"/>
        <v>0.995921349666121</v>
      </c>
      <c r="R118" s="167">
        <f t="shared" si="18"/>
        <v>0</v>
      </c>
      <c r="S118" s="167">
        <f t="shared" si="19"/>
        <v>2</v>
      </c>
      <c r="T118" s="156">
        <f t="shared" si="20"/>
        <v>2</v>
      </c>
    </row>
    <row r="119" spans="6:20" ht="16">
      <c r="F119" s="166">
        <f t="shared" si="21"/>
        <v>0.10000000000000074</v>
      </c>
      <c r="G119" s="167">
        <f t="shared" si="14"/>
        <v>0.82792389543746281</v>
      </c>
      <c r="H119" s="167">
        <f t="shared" si="15"/>
        <v>0</v>
      </c>
      <c r="I119" s="167">
        <f t="shared" si="16"/>
        <v>2</v>
      </c>
      <c r="J119" s="156">
        <f t="shared" si="17"/>
        <v>2</v>
      </c>
      <c r="P119" s="166">
        <f t="shared" si="22"/>
        <v>0.10000000000000074</v>
      </c>
      <c r="Q119" s="167">
        <f t="shared" si="23"/>
        <v>0.99496220830320503</v>
      </c>
      <c r="R119" s="167">
        <f t="shared" si="18"/>
        <v>0</v>
      </c>
      <c r="S119" s="167">
        <f t="shared" si="19"/>
        <v>2</v>
      </c>
      <c r="T119" s="156">
        <f t="shared" si="20"/>
        <v>2</v>
      </c>
    </row>
    <row r="120" spans="6:20" ht="16">
      <c r="F120" s="166">
        <f t="shared" si="21"/>
        <v>0.11000000000000074</v>
      </c>
      <c r="G120" s="167">
        <f t="shared" si="14"/>
        <v>0.78702233242137132</v>
      </c>
      <c r="H120" s="167">
        <f t="shared" si="15"/>
        <v>0</v>
      </c>
      <c r="I120" s="167">
        <f t="shared" si="16"/>
        <v>2</v>
      </c>
      <c r="J120" s="156">
        <f t="shared" si="17"/>
        <v>2</v>
      </c>
      <c r="P120" s="166">
        <f t="shared" si="22"/>
        <v>0.11000000000000074</v>
      </c>
      <c r="Q120" s="167">
        <f t="shared" si="23"/>
        <v>0.99390102781988532</v>
      </c>
      <c r="R120" s="167">
        <f t="shared" si="18"/>
        <v>0</v>
      </c>
      <c r="S120" s="167">
        <f t="shared" si="19"/>
        <v>2</v>
      </c>
      <c r="T120" s="156">
        <f t="shared" si="20"/>
        <v>2</v>
      </c>
    </row>
    <row r="121" spans="6:20" ht="16">
      <c r="F121" s="166">
        <f t="shared" si="21"/>
        <v>0.12000000000000073</v>
      </c>
      <c r="G121" s="167">
        <f t="shared" si="14"/>
        <v>0.73963469791264858</v>
      </c>
      <c r="H121" s="167">
        <f t="shared" si="15"/>
        <v>0</v>
      </c>
      <c r="I121" s="167">
        <f t="shared" si="16"/>
        <v>2</v>
      </c>
      <c r="J121" s="156">
        <f t="shared" si="17"/>
        <v>2</v>
      </c>
      <c r="P121" s="166">
        <f t="shared" si="22"/>
        <v>0.12000000000000073</v>
      </c>
      <c r="Q121" s="167">
        <f t="shared" si="23"/>
        <v>0.99273748099398873</v>
      </c>
      <c r="R121" s="167">
        <f t="shared" si="18"/>
        <v>0</v>
      </c>
      <c r="S121" s="167">
        <f t="shared" si="19"/>
        <v>2</v>
      </c>
      <c r="T121" s="156">
        <f t="shared" si="20"/>
        <v>2</v>
      </c>
    </row>
    <row r="122" spans="6:20" ht="16">
      <c r="F122" s="166">
        <f t="shared" si="21"/>
        <v>0.13000000000000073</v>
      </c>
      <c r="G122" s="167">
        <f t="shared" si="14"/>
        <v>0.68441506450064449</v>
      </c>
      <c r="H122" s="167">
        <f t="shared" si="15"/>
        <v>0</v>
      </c>
      <c r="I122" s="167">
        <f t="shared" si="16"/>
        <v>2</v>
      </c>
      <c r="J122" s="156">
        <f t="shared" si="17"/>
        <v>2</v>
      </c>
      <c r="P122" s="166">
        <f t="shared" si="22"/>
        <v>0.13000000000000073</v>
      </c>
      <c r="Q122" s="167">
        <f t="shared" si="23"/>
        <v>0.99147120742772343</v>
      </c>
      <c r="R122" s="167">
        <f t="shared" si="18"/>
        <v>0</v>
      </c>
      <c r="S122" s="167">
        <f t="shared" si="19"/>
        <v>2</v>
      </c>
      <c r="T122" s="156">
        <f t="shared" si="20"/>
        <v>2</v>
      </c>
    </row>
    <row r="123" spans="6:20" ht="16">
      <c r="F123" s="166">
        <f t="shared" si="21"/>
        <v>0.14000000000000073</v>
      </c>
      <c r="G123" s="167">
        <f t="shared" si="14"/>
        <v>0.61927185807788387</v>
      </c>
      <c r="H123" s="167">
        <f t="shared" si="15"/>
        <v>0</v>
      </c>
      <c r="I123" s="167">
        <f t="shared" si="16"/>
        <v>2</v>
      </c>
      <c r="J123" s="156">
        <f t="shared" si="17"/>
        <v>2</v>
      </c>
      <c r="P123" s="166">
        <f t="shared" si="22"/>
        <v>0.14000000000000073</v>
      </c>
      <c r="Q123" s="167">
        <f t="shared" si="23"/>
        <v>0.99010181297941136</v>
      </c>
      <c r="R123" s="167">
        <f t="shared" si="18"/>
        <v>0</v>
      </c>
      <c r="S123" s="167">
        <f t="shared" si="19"/>
        <v>2</v>
      </c>
      <c r="T123" s="156">
        <f t="shared" si="20"/>
        <v>2</v>
      </c>
    </row>
    <row r="124" spans="6:20" ht="16">
      <c r="F124" s="166">
        <f t="shared" si="21"/>
        <v>0.15000000000000074</v>
      </c>
      <c r="G124" s="167">
        <f t="shared" si="14"/>
        <v>0.54062967679528551</v>
      </c>
      <c r="H124" s="167">
        <f t="shared" si="15"/>
        <v>0</v>
      </c>
      <c r="I124" s="167">
        <f t="shared" si="16"/>
        <v>2</v>
      </c>
      <c r="J124" s="156">
        <f t="shared" si="17"/>
        <v>2</v>
      </c>
      <c r="P124" s="166">
        <f t="shared" si="22"/>
        <v>0.15000000000000074</v>
      </c>
      <c r="Q124" s="167">
        <f t="shared" si="23"/>
        <v>0.98862886913698733</v>
      </c>
      <c r="R124" s="167">
        <f t="shared" si="18"/>
        <v>0</v>
      </c>
      <c r="S124" s="167">
        <f t="shared" si="19"/>
        <v>2</v>
      </c>
      <c r="T124" s="156">
        <f t="shared" si="20"/>
        <v>2</v>
      </c>
    </row>
    <row r="125" spans="6:20" ht="16">
      <c r="F125" s="166">
        <f t="shared" si="21"/>
        <v>0.16000000000000075</v>
      </c>
      <c r="G125" s="167">
        <f t="shared" si="14"/>
        <v>0.44133028469508206</v>
      </c>
      <c r="H125" s="167">
        <f t="shared" si="15"/>
        <v>0</v>
      </c>
      <c r="I125" s="167">
        <f t="shared" si="16"/>
        <v>2</v>
      </c>
      <c r="J125" s="156">
        <f t="shared" si="17"/>
        <v>2</v>
      </c>
      <c r="P125" s="166">
        <f t="shared" si="22"/>
        <v>0.16000000000000075</v>
      </c>
      <c r="Q125" s="167">
        <f t="shared" si="23"/>
        <v>0.98705191233089229</v>
      </c>
      <c r="R125" s="167">
        <f t="shared" si="18"/>
        <v>0</v>
      </c>
      <c r="S125" s="167">
        <f t="shared" si="19"/>
        <v>2</v>
      </c>
      <c r="T125" s="156">
        <f t="shared" si="20"/>
        <v>2</v>
      </c>
    </row>
    <row r="126" spans="6:20" ht="16">
      <c r="F126" s="166">
        <f t="shared" si="21"/>
        <v>0.17000000000000076</v>
      </c>
      <c r="G126" s="167">
        <f t="shared" si="14"/>
        <v>0.30161822305529928</v>
      </c>
      <c r="H126" s="167">
        <f t="shared" si="15"/>
        <v>0</v>
      </c>
      <c r="I126" s="167">
        <f t="shared" si="16"/>
        <v>2</v>
      </c>
      <c r="J126" s="156">
        <f t="shared" si="17"/>
        <v>2</v>
      </c>
      <c r="P126" s="166">
        <f t="shared" si="22"/>
        <v>0.17000000000000076</v>
      </c>
      <c r="Q126" s="167">
        <f t="shared" si="23"/>
        <v>0.98537044318372791</v>
      </c>
      <c r="R126" s="167">
        <f t="shared" si="18"/>
        <v>0</v>
      </c>
      <c r="S126" s="167">
        <f t="shared" si="19"/>
        <v>2</v>
      </c>
      <c r="T126" s="156">
        <f t="shared" si="20"/>
        <v>2</v>
      </c>
    </row>
    <row r="127" spans="6:20" ht="16">
      <c r="F127" s="166">
        <f t="shared" si="21"/>
        <v>0.18000000000000077</v>
      </c>
      <c r="G127" s="167">
        <f t="shared" si="14"/>
        <v>0</v>
      </c>
      <c r="H127" s="167">
        <f t="shared" si="15"/>
        <v>0</v>
      </c>
      <c r="I127" s="167">
        <f t="shared" si="16"/>
        <v>2</v>
      </c>
      <c r="J127" s="156">
        <f t="shared" si="17"/>
        <v>2</v>
      </c>
      <c r="P127" s="166">
        <f t="shared" si="22"/>
        <v>0.18000000000000077</v>
      </c>
      <c r="Q127" s="167">
        <f t="shared" si="23"/>
        <v>0.98358392569376252</v>
      </c>
      <c r="R127" s="167">
        <f t="shared" si="18"/>
        <v>0</v>
      </c>
      <c r="S127" s="167">
        <f t="shared" si="19"/>
        <v>2</v>
      </c>
      <c r="T127" s="156">
        <f t="shared" si="20"/>
        <v>2</v>
      </c>
    </row>
    <row r="128" spans="6:20" ht="16">
      <c r="F128" s="166">
        <f t="shared" si="21"/>
        <v>0.19000000000000078</v>
      </c>
      <c r="G128" s="167">
        <f t="shared" si="14"/>
        <v>0</v>
      </c>
      <c r="H128" s="167">
        <f t="shared" si="15"/>
        <v>0</v>
      </c>
      <c r="I128" s="167">
        <f t="shared" si="16"/>
        <v>2</v>
      </c>
      <c r="J128" s="156">
        <f t="shared" si="17"/>
        <v>2</v>
      </c>
      <c r="P128" s="166">
        <f t="shared" si="22"/>
        <v>0.19000000000000078</v>
      </c>
      <c r="Q128" s="167">
        <f t="shared" si="23"/>
        <v>0.98169178634907683</v>
      </c>
      <c r="R128" s="167">
        <f t="shared" si="18"/>
        <v>0</v>
      </c>
      <c r="S128" s="167">
        <f t="shared" si="19"/>
        <v>2</v>
      </c>
      <c r="T128" s="156">
        <f t="shared" si="20"/>
        <v>2</v>
      </c>
    </row>
    <row r="129" spans="6:20" ht="16">
      <c r="F129" s="166">
        <f t="shared" si="21"/>
        <v>0.20000000000000079</v>
      </c>
      <c r="G129" s="167">
        <f t="shared" si="14"/>
        <v>0</v>
      </c>
      <c r="H129" s="167">
        <f t="shared" si="15"/>
        <v>0</v>
      </c>
      <c r="I129" s="167">
        <f t="shared" si="16"/>
        <v>2</v>
      </c>
      <c r="J129" s="156">
        <f t="shared" si="17"/>
        <v>2</v>
      </c>
      <c r="P129" s="166">
        <f t="shared" si="22"/>
        <v>0.20000000000000079</v>
      </c>
      <c r="Q129" s="167">
        <f t="shared" si="23"/>
        <v>0.97969341316881464</v>
      </c>
      <c r="R129" s="167">
        <f t="shared" si="18"/>
        <v>0</v>
      </c>
      <c r="S129" s="167">
        <f t="shared" si="19"/>
        <v>2</v>
      </c>
      <c r="T129" s="156">
        <f t="shared" si="20"/>
        <v>2</v>
      </c>
    </row>
    <row r="130" spans="6:20" ht="16">
      <c r="F130" s="166">
        <f t="shared" si="21"/>
        <v>0.2100000000000008</v>
      </c>
      <c r="G130" s="167">
        <f t="shared" si="14"/>
        <v>0</v>
      </c>
      <c r="H130" s="167">
        <f t="shared" si="15"/>
        <v>0</v>
      </c>
      <c r="I130" s="167">
        <f t="shared" si="16"/>
        <v>2</v>
      </c>
      <c r="J130" s="156">
        <f t="shared" si="17"/>
        <v>2</v>
      </c>
      <c r="P130" s="166">
        <f t="shared" si="22"/>
        <v>0.2100000000000008</v>
      </c>
      <c r="Q130" s="167">
        <f t="shared" si="23"/>
        <v>0.97758815466765647</v>
      </c>
      <c r="R130" s="167">
        <f t="shared" si="18"/>
        <v>0</v>
      </c>
      <c r="S130" s="167">
        <f t="shared" si="19"/>
        <v>2</v>
      </c>
      <c r="T130" s="156">
        <f t="shared" si="20"/>
        <v>2</v>
      </c>
    </row>
    <row r="131" spans="6:20" ht="16">
      <c r="F131" s="166">
        <f t="shared" si="21"/>
        <v>0.22000000000000081</v>
      </c>
      <c r="G131" s="167">
        <f t="shared" si="14"/>
        <v>0</v>
      </c>
      <c r="H131" s="167">
        <f t="shared" si="15"/>
        <v>0</v>
      </c>
      <c r="I131" s="167">
        <f t="shared" si="16"/>
        <v>2</v>
      </c>
      <c r="J131" s="156">
        <f t="shared" si="17"/>
        <v>2</v>
      </c>
      <c r="P131" s="166">
        <f t="shared" si="22"/>
        <v>0.22000000000000081</v>
      </c>
      <c r="Q131" s="167">
        <f t="shared" si="23"/>
        <v>0.9753753187392521</v>
      </c>
      <c r="R131" s="167">
        <f t="shared" si="18"/>
        <v>0</v>
      </c>
      <c r="S131" s="167">
        <f t="shared" si="19"/>
        <v>2</v>
      </c>
      <c r="T131" s="156">
        <f t="shared" si="20"/>
        <v>2</v>
      </c>
    </row>
    <row r="132" spans="6:20" ht="16">
      <c r="F132" s="166">
        <f t="shared" si="21"/>
        <v>0.23000000000000081</v>
      </c>
      <c r="G132" s="167">
        <f t="shared" si="14"/>
        <v>0</v>
      </c>
      <c r="H132" s="167">
        <f t="shared" si="15"/>
        <v>0</v>
      </c>
      <c r="I132" s="167">
        <f t="shared" si="16"/>
        <v>2</v>
      </c>
      <c r="J132" s="156">
        <f t="shared" si="17"/>
        <v>2</v>
      </c>
      <c r="P132" s="166">
        <f t="shared" si="22"/>
        <v>0.23000000000000081</v>
      </c>
      <c r="Q132" s="167">
        <f t="shared" si="23"/>
        <v>0.97305417145393991</v>
      </c>
      <c r="R132" s="167">
        <f t="shared" si="18"/>
        <v>0</v>
      </c>
      <c r="S132" s="167">
        <f t="shared" si="19"/>
        <v>2</v>
      </c>
      <c r="T132" s="156">
        <f t="shared" si="20"/>
        <v>2</v>
      </c>
    </row>
    <row r="133" spans="6:20" ht="16">
      <c r="F133" s="166">
        <f t="shared" si="21"/>
        <v>0.24000000000000082</v>
      </c>
      <c r="G133" s="167">
        <f t="shared" si="14"/>
        <v>0</v>
      </c>
      <c r="H133" s="167">
        <f t="shared" si="15"/>
        <v>0</v>
      </c>
      <c r="I133" s="167">
        <f t="shared" si="16"/>
        <v>2</v>
      </c>
      <c r="J133" s="156">
        <f t="shared" si="17"/>
        <v>2</v>
      </c>
      <c r="P133" s="166">
        <f t="shared" si="22"/>
        <v>0.24000000000000082</v>
      </c>
      <c r="Q133" s="167">
        <f t="shared" si="23"/>
        <v>0.97062393576562955</v>
      </c>
      <c r="R133" s="167">
        <f t="shared" si="18"/>
        <v>0</v>
      </c>
      <c r="S133" s="167">
        <f t="shared" si="19"/>
        <v>2</v>
      </c>
      <c r="T133" s="156">
        <f t="shared" si="20"/>
        <v>2</v>
      </c>
    </row>
    <row r="134" spans="6:20" ht="16">
      <c r="F134" s="166">
        <f t="shared" si="21"/>
        <v>0.25000000000000083</v>
      </c>
      <c r="G134" s="167">
        <f t="shared" si="14"/>
        <v>0</v>
      </c>
      <c r="H134" s="167">
        <f t="shared" si="15"/>
        <v>0</v>
      </c>
      <c r="I134" s="167">
        <f t="shared" si="16"/>
        <v>2</v>
      </c>
      <c r="J134" s="156">
        <f t="shared" si="17"/>
        <v>2</v>
      </c>
      <c r="P134" s="166">
        <f t="shared" si="22"/>
        <v>0.25000000000000083</v>
      </c>
      <c r="Q134" s="167">
        <f t="shared" si="23"/>
        <v>0.96808379012223955</v>
      </c>
      <c r="R134" s="167">
        <f t="shared" si="18"/>
        <v>0</v>
      </c>
      <c r="S134" s="167">
        <f t="shared" si="19"/>
        <v>2</v>
      </c>
      <c r="T134" s="156">
        <f t="shared" si="20"/>
        <v>2</v>
      </c>
    </row>
    <row r="135" spans="6:20" ht="16">
      <c r="F135" s="166">
        <f t="shared" si="21"/>
        <v>0.26000000000000084</v>
      </c>
      <c r="G135" s="167">
        <f t="shared" si="14"/>
        <v>0</v>
      </c>
      <c r="H135" s="167">
        <f t="shared" si="15"/>
        <v>0</v>
      </c>
      <c r="I135" s="167">
        <f t="shared" si="16"/>
        <v>2</v>
      </c>
      <c r="J135" s="156">
        <f t="shared" si="17"/>
        <v>2</v>
      </c>
      <c r="P135" s="166">
        <f t="shared" si="22"/>
        <v>0.26000000000000084</v>
      </c>
      <c r="Q135" s="167">
        <f t="shared" si="23"/>
        <v>0.96543286697354125</v>
      </c>
      <c r="R135" s="167">
        <f t="shared" si="18"/>
        <v>0</v>
      </c>
      <c r="S135" s="167">
        <f t="shared" si="19"/>
        <v>2</v>
      </c>
      <c r="T135" s="156">
        <f t="shared" si="20"/>
        <v>2</v>
      </c>
    </row>
    <row r="136" spans="6:20" ht="16">
      <c r="F136" s="166">
        <f t="shared" si="21"/>
        <v>0.27000000000000085</v>
      </c>
      <c r="G136" s="167">
        <f t="shared" si="14"/>
        <v>0</v>
      </c>
      <c r="H136" s="167">
        <f t="shared" si="15"/>
        <v>0</v>
      </c>
      <c r="I136" s="167">
        <f t="shared" si="16"/>
        <v>2</v>
      </c>
      <c r="J136" s="156">
        <f t="shared" si="17"/>
        <v>2</v>
      </c>
      <c r="P136" s="166">
        <f t="shared" si="22"/>
        <v>0.27000000000000085</v>
      </c>
      <c r="Q136" s="167">
        <f t="shared" si="23"/>
        <v>0.96267025116967975</v>
      </c>
      <c r="R136" s="167">
        <f t="shared" si="18"/>
        <v>0</v>
      </c>
      <c r="S136" s="167">
        <f t="shared" si="19"/>
        <v>2</v>
      </c>
      <c r="T136" s="156">
        <f t="shared" si="20"/>
        <v>2</v>
      </c>
    </row>
    <row r="137" spans="6:20" ht="16">
      <c r="F137" s="166">
        <f t="shared" si="21"/>
        <v>0.28000000000000086</v>
      </c>
      <c r="G137" s="167">
        <f t="shared" ref="G137:G200" si="24">IFERROR(IF(SQRT(1-(F137*F137)/($J$5*$J$5))&lt;0.05,0,SQRT(1-(F137*F137)/($J$5*$J$5))),0)</f>
        <v>0</v>
      </c>
      <c r="H137" s="167">
        <f t="shared" ref="H137:H200" si="25">CHOOSE(MATCH($J$3,degrees),IF(F137&lt;0,IFERROR(1-G137,1),0),0,0,IF(F137&gt;0,IFERROR(1-G137,1),0))</f>
        <v>0</v>
      </c>
      <c r="I137" s="167">
        <f t="shared" ref="I137:I200" si="26">CHOOSE(MATCH($J$3,degrees),IF(F137&lt;0,2*G137,2),IF(F137&lt;0,0,1-G137),IF(F137&gt;0,0,1-G137),IF(F137&gt;0,2*G137,2))</f>
        <v>2</v>
      </c>
      <c r="J137" s="156">
        <f t="shared" ref="J137:J200" si="27">CHOOSE(MATCH($J$3,degrees),IF(F137&lt;0,G137+1,2),IF(F137&lt;0,2,2*G137),IF(F137&gt;0,2,2*G137),IF(F137&gt;0,G137+1,2))</f>
        <v>2</v>
      </c>
      <c r="P137" s="166">
        <f t="shared" si="22"/>
        <v>0.28000000000000086</v>
      </c>
      <c r="Q137" s="167">
        <f t="shared" si="23"/>
        <v>0.95979497824299387</v>
      </c>
      <c r="R137" s="167">
        <f t="shared" ref="R137:R200" si="28">CHOOSE(MATCH($T$3,degrees),IF(P137&lt;0,IFERROR(1-Q137,1),0),0,0,IF(P137&gt;0,IFERROR(1-Q137,1),0))</f>
        <v>0</v>
      </c>
      <c r="S137" s="167">
        <f t="shared" ref="S137:S200" si="29">CHOOSE(MATCH($T$3,degrees),IF(P137&lt;0,2*Q137,2),IF(P137&lt;0,0,1-Q137),IF(P137&gt;0,0,1-Q137),IF(P137&gt;0,2*Q137,2))</f>
        <v>2</v>
      </c>
      <c r="T137" s="156">
        <f t="shared" ref="T137:T200" si="30">CHOOSE(MATCH($T$3,degrees),IF(P137&lt;0,Q137+1,2),IF(P137&lt;0,2,2*Q137),IF(P137&gt;0,2,2*Q137),IF(P137&gt;0,Q137+1,2))</f>
        <v>2</v>
      </c>
    </row>
    <row r="138" spans="6:20" ht="16">
      <c r="F138" s="166">
        <f t="shared" ref="F138:F201" si="31">F137+$G$4</f>
        <v>0.29000000000000087</v>
      </c>
      <c r="G138" s="167">
        <f t="shared" si="24"/>
        <v>0</v>
      </c>
      <c r="H138" s="167">
        <f t="shared" si="25"/>
        <v>0</v>
      </c>
      <c r="I138" s="167">
        <f t="shared" si="26"/>
        <v>2</v>
      </c>
      <c r="J138" s="156">
        <f t="shared" si="27"/>
        <v>2</v>
      </c>
      <c r="P138" s="166">
        <f t="shared" ref="P138:P201" si="32">P137+$G$4</f>
        <v>0.29000000000000087</v>
      </c>
      <c r="Q138" s="167">
        <f t="shared" ref="Q138:Q201" si="33">IFERROR(IF(SQRT(1-(P138*P138)/($T$5*$T$5))&lt;0.05,0,SQRT(1-(P138*P138)/($T$5*$T$5))),0)</f>
        <v>0.95680603256505214</v>
      </c>
      <c r="R138" s="167">
        <f t="shared" si="28"/>
        <v>0</v>
      </c>
      <c r="S138" s="167">
        <f t="shared" si="29"/>
        <v>2</v>
      </c>
      <c r="T138" s="156">
        <f t="shared" si="30"/>
        <v>2</v>
      </c>
    </row>
    <row r="139" spans="6:20" ht="16">
      <c r="F139" s="166">
        <f t="shared" si="31"/>
        <v>0.30000000000000088</v>
      </c>
      <c r="G139" s="167">
        <f t="shared" si="24"/>
        <v>0</v>
      </c>
      <c r="H139" s="167">
        <f t="shared" si="25"/>
        <v>0</v>
      </c>
      <c r="I139" s="167">
        <f t="shared" si="26"/>
        <v>2</v>
      </c>
      <c r="J139" s="156">
        <f t="shared" si="27"/>
        <v>2</v>
      </c>
      <c r="P139" s="166">
        <f t="shared" si="32"/>
        <v>0.30000000000000088</v>
      </c>
      <c r="Q139" s="167">
        <f t="shared" si="33"/>
        <v>0.95370234537003939</v>
      </c>
      <c r="R139" s="167">
        <f t="shared" si="28"/>
        <v>0</v>
      </c>
      <c r="S139" s="167">
        <f t="shared" si="29"/>
        <v>2</v>
      </c>
      <c r="T139" s="156">
        <f t="shared" si="30"/>
        <v>2</v>
      </c>
    </row>
    <row r="140" spans="6:20" ht="16">
      <c r="F140" s="166">
        <f t="shared" si="31"/>
        <v>0.31000000000000089</v>
      </c>
      <c r="G140" s="167">
        <f t="shared" si="24"/>
        <v>0</v>
      </c>
      <c r="H140" s="167">
        <f t="shared" si="25"/>
        <v>0</v>
      </c>
      <c r="I140" s="167">
        <f t="shared" si="26"/>
        <v>2</v>
      </c>
      <c r="J140" s="156">
        <f t="shared" si="27"/>
        <v>2</v>
      </c>
      <c r="P140" s="166">
        <f t="shared" si="32"/>
        <v>0.31000000000000089</v>
      </c>
      <c r="Q140" s="167">
        <f t="shared" si="33"/>
        <v>0.95048279263476632</v>
      </c>
      <c r="R140" s="167">
        <f t="shared" si="28"/>
        <v>0</v>
      </c>
      <c r="S140" s="167">
        <f t="shared" si="29"/>
        <v>2</v>
      </c>
      <c r="T140" s="156">
        <f t="shared" si="30"/>
        <v>2</v>
      </c>
    </row>
    <row r="141" spans="6:20" ht="16">
      <c r="F141" s="166">
        <f t="shared" si="31"/>
        <v>0.32000000000000089</v>
      </c>
      <c r="G141" s="167">
        <f t="shared" si="24"/>
        <v>0</v>
      </c>
      <c r="H141" s="167">
        <f t="shared" si="25"/>
        <v>0</v>
      </c>
      <c r="I141" s="167">
        <f t="shared" si="26"/>
        <v>2</v>
      </c>
      <c r="J141" s="156">
        <f t="shared" si="27"/>
        <v>2</v>
      </c>
      <c r="P141" s="166">
        <f t="shared" si="32"/>
        <v>0.32000000000000089</v>
      </c>
      <c r="Q141" s="167">
        <f t="shared" si="33"/>
        <v>0.94714619280461987</v>
      </c>
      <c r="R141" s="167">
        <f t="shared" si="28"/>
        <v>0</v>
      </c>
      <c r="S141" s="167">
        <f t="shared" si="29"/>
        <v>2</v>
      </c>
      <c r="T141" s="156">
        <f t="shared" si="30"/>
        <v>2</v>
      </c>
    </row>
    <row r="142" spans="6:20" ht="16">
      <c r="F142" s="166">
        <f t="shared" si="31"/>
        <v>0.3300000000000009</v>
      </c>
      <c r="G142" s="167">
        <f t="shared" si="24"/>
        <v>0</v>
      </c>
      <c r="H142" s="167">
        <f t="shared" si="25"/>
        <v>0</v>
      </c>
      <c r="I142" s="167">
        <f t="shared" si="26"/>
        <v>2</v>
      </c>
      <c r="J142" s="156">
        <f t="shared" si="27"/>
        <v>2</v>
      </c>
      <c r="P142" s="166">
        <f t="shared" si="32"/>
        <v>0.3300000000000009</v>
      </c>
      <c r="Q142" s="167">
        <f t="shared" si="33"/>
        <v>0.94369130435371718</v>
      </c>
      <c r="R142" s="167">
        <f t="shared" si="28"/>
        <v>0</v>
      </c>
      <c r="S142" s="167">
        <f t="shared" si="29"/>
        <v>2</v>
      </c>
      <c r="T142" s="156">
        <f t="shared" si="30"/>
        <v>2</v>
      </c>
    </row>
    <row r="143" spans="6:20" ht="16">
      <c r="F143" s="166">
        <f t="shared" si="31"/>
        <v>0.34000000000000091</v>
      </c>
      <c r="G143" s="167">
        <f t="shared" si="24"/>
        <v>0</v>
      </c>
      <c r="H143" s="167">
        <f t="shared" si="25"/>
        <v>0</v>
      </c>
      <c r="I143" s="167">
        <f t="shared" si="26"/>
        <v>2</v>
      </c>
      <c r="J143" s="156">
        <f t="shared" si="27"/>
        <v>2</v>
      </c>
      <c r="P143" s="166">
        <f t="shared" si="32"/>
        <v>0.34000000000000091</v>
      </c>
      <c r="Q143" s="167">
        <f t="shared" si="33"/>
        <v>0.94011682316634759</v>
      </c>
      <c r="R143" s="167">
        <f t="shared" si="28"/>
        <v>0</v>
      </c>
      <c r="S143" s="167">
        <f t="shared" si="29"/>
        <v>2</v>
      </c>
      <c r="T143" s="156">
        <f t="shared" si="30"/>
        <v>2</v>
      </c>
    </row>
    <row r="144" spans="6:20" ht="16">
      <c r="F144" s="166">
        <f t="shared" si="31"/>
        <v>0.35000000000000092</v>
      </c>
      <c r="G144" s="167">
        <f t="shared" si="24"/>
        <v>0</v>
      </c>
      <c r="H144" s="167">
        <f t="shared" si="25"/>
        <v>0</v>
      </c>
      <c r="I144" s="167">
        <f t="shared" si="26"/>
        <v>2</v>
      </c>
      <c r="J144" s="156">
        <f t="shared" si="27"/>
        <v>2</v>
      </c>
      <c r="P144" s="166">
        <f t="shared" si="32"/>
        <v>0.35000000000000092</v>
      </c>
      <c r="Q144" s="167">
        <f t="shared" si="33"/>
        <v>0.93642137972548611</v>
      </c>
      <c r="R144" s="167">
        <f t="shared" si="28"/>
        <v>0</v>
      </c>
      <c r="S144" s="167">
        <f t="shared" si="29"/>
        <v>2</v>
      </c>
      <c r="T144" s="156">
        <f t="shared" si="30"/>
        <v>2</v>
      </c>
    </row>
    <row r="145" spans="6:20" ht="16">
      <c r="F145" s="166">
        <f t="shared" si="31"/>
        <v>0.36000000000000093</v>
      </c>
      <c r="G145" s="167">
        <f t="shared" si="24"/>
        <v>0</v>
      </c>
      <c r="H145" s="167">
        <f t="shared" si="25"/>
        <v>0</v>
      </c>
      <c r="I145" s="167">
        <f t="shared" si="26"/>
        <v>2</v>
      </c>
      <c r="J145" s="156">
        <f t="shared" si="27"/>
        <v>2</v>
      </c>
      <c r="P145" s="166">
        <f t="shared" si="32"/>
        <v>0.36000000000000093</v>
      </c>
      <c r="Q145" s="167">
        <f t="shared" si="33"/>
        <v>0.9326035360927023</v>
      </c>
      <c r="R145" s="167">
        <f t="shared" si="28"/>
        <v>0</v>
      </c>
      <c r="S145" s="167">
        <f t="shared" si="29"/>
        <v>2</v>
      </c>
      <c r="T145" s="156">
        <f t="shared" si="30"/>
        <v>2</v>
      </c>
    </row>
    <row r="146" spans="6:20" ht="16">
      <c r="F146" s="166">
        <f t="shared" si="31"/>
        <v>0.37000000000000094</v>
      </c>
      <c r="G146" s="167">
        <f t="shared" si="24"/>
        <v>0</v>
      </c>
      <c r="H146" s="167">
        <f t="shared" si="25"/>
        <v>0</v>
      </c>
      <c r="I146" s="167">
        <f t="shared" si="26"/>
        <v>2</v>
      </c>
      <c r="J146" s="156">
        <f t="shared" si="27"/>
        <v>2</v>
      </c>
      <c r="P146" s="166">
        <f t="shared" si="32"/>
        <v>0.37000000000000094</v>
      </c>
      <c r="Q146" s="167">
        <f t="shared" si="33"/>
        <v>0.9286617826621667</v>
      </c>
      <c r="R146" s="167">
        <f t="shared" si="28"/>
        <v>0</v>
      </c>
      <c r="S146" s="167">
        <f t="shared" si="29"/>
        <v>2</v>
      </c>
      <c r="T146" s="156">
        <f t="shared" si="30"/>
        <v>2</v>
      </c>
    </row>
    <row r="147" spans="6:20" ht="16">
      <c r="F147" s="166">
        <f t="shared" si="31"/>
        <v>0.38000000000000095</v>
      </c>
      <c r="G147" s="167">
        <f t="shared" si="24"/>
        <v>0</v>
      </c>
      <c r="H147" s="167">
        <f t="shared" si="25"/>
        <v>0</v>
      </c>
      <c r="I147" s="167">
        <f t="shared" si="26"/>
        <v>2</v>
      </c>
      <c r="J147" s="156">
        <f t="shared" si="27"/>
        <v>2</v>
      </c>
      <c r="P147" s="166">
        <f t="shared" si="32"/>
        <v>0.38000000000000095</v>
      </c>
      <c r="Q147" s="167">
        <f t="shared" si="33"/>
        <v>0.92459453466963892</v>
      </c>
      <c r="R147" s="167">
        <f t="shared" si="28"/>
        <v>0</v>
      </c>
      <c r="S147" s="167">
        <f t="shared" si="29"/>
        <v>2</v>
      </c>
      <c r="T147" s="156">
        <f t="shared" si="30"/>
        <v>2</v>
      </c>
    </row>
    <row r="148" spans="6:20" ht="16">
      <c r="F148" s="166">
        <f t="shared" si="31"/>
        <v>0.39000000000000096</v>
      </c>
      <c r="G148" s="167">
        <f t="shared" si="24"/>
        <v>0</v>
      </c>
      <c r="H148" s="167">
        <f t="shared" si="25"/>
        <v>0</v>
      </c>
      <c r="I148" s="167">
        <f t="shared" si="26"/>
        <v>2</v>
      </c>
      <c r="J148" s="156">
        <f t="shared" si="27"/>
        <v>2</v>
      </c>
      <c r="P148" s="166">
        <f t="shared" si="32"/>
        <v>0.39000000000000096</v>
      </c>
      <c r="Q148" s="167">
        <f t="shared" si="33"/>
        <v>0.92040012843528596</v>
      </c>
      <c r="R148" s="167">
        <f t="shared" si="28"/>
        <v>0</v>
      </c>
      <c r="S148" s="167">
        <f t="shared" si="29"/>
        <v>2</v>
      </c>
      <c r="T148" s="156">
        <f t="shared" si="30"/>
        <v>2</v>
      </c>
    </row>
    <row r="149" spans="6:20" ht="16">
      <c r="F149" s="166">
        <f t="shared" si="31"/>
        <v>0.40000000000000097</v>
      </c>
      <c r="G149" s="167">
        <f t="shared" si="24"/>
        <v>0</v>
      </c>
      <c r="H149" s="167">
        <f t="shared" si="25"/>
        <v>0</v>
      </c>
      <c r="I149" s="167">
        <f t="shared" si="26"/>
        <v>2</v>
      </c>
      <c r="J149" s="156">
        <f t="shared" si="27"/>
        <v>2</v>
      </c>
      <c r="P149" s="166">
        <f t="shared" si="32"/>
        <v>0.40000000000000097</v>
      </c>
      <c r="Q149" s="167">
        <f t="shared" si="33"/>
        <v>0.91607681731689261</v>
      </c>
      <c r="R149" s="167">
        <f t="shared" si="28"/>
        <v>0</v>
      </c>
      <c r="S149" s="167">
        <f t="shared" si="29"/>
        <v>2</v>
      </c>
      <c r="T149" s="156">
        <f t="shared" si="30"/>
        <v>2</v>
      </c>
    </row>
    <row r="150" spans="6:20" ht="16">
      <c r="F150" s="166">
        <f t="shared" si="31"/>
        <v>0.41000000000000097</v>
      </c>
      <c r="G150" s="167">
        <f t="shared" si="24"/>
        <v>0</v>
      </c>
      <c r="H150" s="167">
        <f t="shared" si="25"/>
        <v>0</v>
      </c>
      <c r="I150" s="167">
        <f t="shared" si="26"/>
        <v>2</v>
      </c>
      <c r="J150" s="156">
        <f t="shared" si="27"/>
        <v>2</v>
      </c>
      <c r="P150" s="166">
        <f t="shared" si="32"/>
        <v>0.41000000000000097</v>
      </c>
      <c r="Q150" s="167">
        <f t="shared" si="33"/>
        <v>0.91162276734745695</v>
      </c>
      <c r="R150" s="167">
        <f t="shared" si="28"/>
        <v>0</v>
      </c>
      <c r="S150" s="167">
        <f t="shared" si="29"/>
        <v>2</v>
      </c>
      <c r="T150" s="156">
        <f t="shared" si="30"/>
        <v>2</v>
      </c>
    </row>
    <row r="151" spans="6:20" ht="16">
      <c r="F151" s="166">
        <f t="shared" si="31"/>
        <v>0.42000000000000098</v>
      </c>
      <c r="G151" s="167">
        <f t="shared" si="24"/>
        <v>0</v>
      </c>
      <c r="H151" s="167">
        <f t="shared" si="25"/>
        <v>0</v>
      </c>
      <c r="I151" s="167">
        <f t="shared" si="26"/>
        <v>2</v>
      </c>
      <c r="J151" s="156">
        <f t="shared" si="27"/>
        <v>2</v>
      </c>
      <c r="P151" s="166">
        <f t="shared" si="32"/>
        <v>0.42000000000000098</v>
      </c>
      <c r="Q151" s="167">
        <f t="shared" si="33"/>
        <v>0.90703605252826403</v>
      </c>
      <c r="R151" s="167">
        <f t="shared" si="28"/>
        <v>0</v>
      </c>
      <c r="S151" s="167">
        <f t="shared" si="29"/>
        <v>2</v>
      </c>
      <c r="T151" s="156">
        <f t="shared" si="30"/>
        <v>2</v>
      </c>
    </row>
    <row r="152" spans="6:20" ht="16">
      <c r="F152" s="166">
        <f t="shared" si="31"/>
        <v>0.43000000000000099</v>
      </c>
      <c r="G152" s="167">
        <f t="shared" si="24"/>
        <v>0</v>
      </c>
      <c r="H152" s="167">
        <f t="shared" si="25"/>
        <v>0</v>
      </c>
      <c r="I152" s="167">
        <f t="shared" si="26"/>
        <v>2</v>
      </c>
      <c r="J152" s="156">
        <f t="shared" si="27"/>
        <v>2</v>
      </c>
      <c r="P152" s="166">
        <f t="shared" si="32"/>
        <v>0.43000000000000099</v>
      </c>
      <c r="Q152" s="167">
        <f t="shared" si="33"/>
        <v>0.90231464974525799</v>
      </c>
      <c r="R152" s="167">
        <f t="shared" si="28"/>
        <v>0</v>
      </c>
      <c r="S152" s="167">
        <f t="shared" si="29"/>
        <v>2</v>
      </c>
      <c r="T152" s="156">
        <f t="shared" si="30"/>
        <v>2</v>
      </c>
    </row>
    <row r="153" spans="6:20" ht="16">
      <c r="F153" s="166">
        <f t="shared" si="31"/>
        <v>0.440000000000001</v>
      </c>
      <c r="G153" s="167">
        <f t="shared" si="24"/>
        <v>0</v>
      </c>
      <c r="H153" s="167">
        <f t="shared" si="25"/>
        <v>0</v>
      </c>
      <c r="I153" s="167">
        <f t="shared" si="26"/>
        <v>2</v>
      </c>
      <c r="J153" s="156">
        <f t="shared" si="27"/>
        <v>2</v>
      </c>
      <c r="P153" s="166">
        <f t="shared" si="32"/>
        <v>0.440000000000001</v>
      </c>
      <c r="Q153" s="167">
        <f t="shared" si="33"/>
        <v>0.89745643327283098</v>
      </c>
      <c r="R153" s="167">
        <f t="shared" si="28"/>
        <v>0</v>
      </c>
      <c r="S153" s="167">
        <f t="shared" si="29"/>
        <v>2</v>
      </c>
      <c r="T153" s="156">
        <f t="shared" si="30"/>
        <v>2</v>
      </c>
    </row>
    <row r="154" spans="6:20" ht="16">
      <c r="F154" s="166">
        <f t="shared" si="31"/>
        <v>0.45000000000000101</v>
      </c>
      <c r="G154" s="167">
        <f t="shared" si="24"/>
        <v>0</v>
      </c>
      <c r="H154" s="167">
        <f t="shared" si="25"/>
        <v>0</v>
      </c>
      <c r="I154" s="167">
        <f t="shared" si="26"/>
        <v>2</v>
      </c>
      <c r="J154" s="156">
        <f t="shared" si="27"/>
        <v>2</v>
      </c>
      <c r="P154" s="166">
        <f t="shared" si="32"/>
        <v>0.45000000000000101</v>
      </c>
      <c r="Q154" s="167">
        <f t="shared" si="33"/>
        <v>0.89245916882494225</v>
      </c>
      <c r="R154" s="167">
        <f t="shared" si="28"/>
        <v>0</v>
      </c>
      <c r="S154" s="167">
        <f t="shared" si="29"/>
        <v>2</v>
      </c>
      <c r="T154" s="156">
        <f t="shared" si="30"/>
        <v>2</v>
      </c>
    </row>
    <row r="155" spans="6:20" ht="16">
      <c r="F155" s="166">
        <f t="shared" si="31"/>
        <v>0.46000000000000102</v>
      </c>
      <c r="G155" s="167">
        <f t="shared" si="24"/>
        <v>0</v>
      </c>
      <c r="H155" s="167">
        <f t="shared" si="25"/>
        <v>0</v>
      </c>
      <c r="I155" s="167">
        <f t="shared" si="26"/>
        <v>2</v>
      </c>
      <c r="J155" s="156">
        <f t="shared" si="27"/>
        <v>2</v>
      </c>
      <c r="P155" s="166">
        <f t="shared" si="32"/>
        <v>0.46000000000000102</v>
      </c>
      <c r="Q155" s="167">
        <f t="shared" si="33"/>
        <v>0.88732050710870769</v>
      </c>
      <c r="R155" s="167">
        <f t="shared" si="28"/>
        <v>0</v>
      </c>
      <c r="S155" s="167">
        <f t="shared" si="29"/>
        <v>2</v>
      </c>
      <c r="T155" s="156">
        <f t="shared" si="30"/>
        <v>2</v>
      </c>
    </row>
    <row r="156" spans="6:20" ht="16">
      <c r="F156" s="166">
        <f t="shared" si="31"/>
        <v>0.47000000000000103</v>
      </c>
      <c r="G156" s="167">
        <f t="shared" si="24"/>
        <v>0</v>
      </c>
      <c r="H156" s="167">
        <f t="shared" si="25"/>
        <v>0</v>
      </c>
      <c r="I156" s="167">
        <f t="shared" si="26"/>
        <v>2</v>
      </c>
      <c r="J156" s="156">
        <f t="shared" si="27"/>
        <v>2</v>
      </c>
      <c r="P156" s="166">
        <f t="shared" si="32"/>
        <v>0.47000000000000103</v>
      </c>
      <c r="Q156" s="167">
        <f t="shared" si="33"/>
        <v>0.88203797683015517</v>
      </c>
      <c r="R156" s="167">
        <f t="shared" si="28"/>
        <v>0</v>
      </c>
      <c r="S156" s="167">
        <f t="shared" si="29"/>
        <v>2</v>
      </c>
      <c r="T156" s="156">
        <f t="shared" si="30"/>
        <v>2</v>
      </c>
    </row>
    <row r="157" spans="6:20" ht="16">
      <c r="F157" s="166">
        <f t="shared" si="31"/>
        <v>0.48000000000000104</v>
      </c>
      <c r="G157" s="167">
        <f t="shared" si="24"/>
        <v>0</v>
      </c>
      <c r="H157" s="167">
        <f t="shared" si="25"/>
        <v>0</v>
      </c>
      <c r="I157" s="167">
        <f t="shared" si="26"/>
        <v>2</v>
      </c>
      <c r="J157" s="156">
        <f t="shared" si="27"/>
        <v>2</v>
      </c>
      <c r="P157" s="166">
        <f t="shared" si="32"/>
        <v>0.48000000000000104</v>
      </c>
      <c r="Q157" s="167">
        <f t="shared" si="33"/>
        <v>0.87660897709562857</v>
      </c>
      <c r="R157" s="167">
        <f t="shared" si="28"/>
        <v>0</v>
      </c>
      <c r="S157" s="167">
        <f t="shared" si="29"/>
        <v>2</v>
      </c>
      <c r="T157" s="156">
        <f t="shared" si="30"/>
        <v>2</v>
      </c>
    </row>
    <row r="158" spans="6:20" ht="16">
      <c r="F158" s="166">
        <f t="shared" si="31"/>
        <v>0.49000000000000105</v>
      </c>
      <c r="G158" s="167">
        <f t="shared" si="24"/>
        <v>0</v>
      </c>
      <c r="H158" s="167">
        <f t="shared" si="25"/>
        <v>0</v>
      </c>
      <c r="I158" s="167">
        <f t="shared" si="26"/>
        <v>2</v>
      </c>
      <c r="J158" s="156">
        <f t="shared" si="27"/>
        <v>2</v>
      </c>
      <c r="P158" s="166">
        <f t="shared" si="32"/>
        <v>0.49000000000000105</v>
      </c>
      <c r="Q158" s="167">
        <f t="shared" si="33"/>
        <v>0.87103076914520483</v>
      </c>
      <c r="R158" s="167">
        <f t="shared" si="28"/>
        <v>0</v>
      </c>
      <c r="S158" s="167">
        <f t="shared" si="29"/>
        <v>2</v>
      </c>
      <c r="T158" s="156">
        <f t="shared" si="30"/>
        <v>2</v>
      </c>
    </row>
    <row r="159" spans="6:20" ht="16">
      <c r="F159" s="166">
        <f t="shared" si="31"/>
        <v>0.500000000000001</v>
      </c>
      <c r="G159" s="167">
        <f t="shared" si="24"/>
        <v>0</v>
      </c>
      <c r="H159" s="167">
        <f t="shared" si="25"/>
        <v>0</v>
      </c>
      <c r="I159" s="167">
        <f t="shared" si="26"/>
        <v>2</v>
      </c>
      <c r="J159" s="156">
        <f t="shared" si="27"/>
        <v>2</v>
      </c>
      <c r="P159" s="166">
        <f t="shared" si="32"/>
        <v>0.500000000000001</v>
      </c>
      <c r="Q159" s="167">
        <f t="shared" si="33"/>
        <v>0.86530046734632104</v>
      </c>
      <c r="R159" s="167">
        <f t="shared" si="28"/>
        <v>0</v>
      </c>
      <c r="S159" s="167">
        <f t="shared" si="29"/>
        <v>2</v>
      </c>
      <c r="T159" s="156">
        <f t="shared" si="30"/>
        <v>2</v>
      </c>
    </row>
    <row r="160" spans="6:20" ht="16">
      <c r="F160" s="166">
        <f t="shared" si="31"/>
        <v>0.51000000000000101</v>
      </c>
      <c r="G160" s="167">
        <f t="shared" si="24"/>
        <v>0</v>
      </c>
      <c r="H160" s="167">
        <f t="shared" si="25"/>
        <v>0</v>
      </c>
      <c r="I160" s="167">
        <f t="shared" si="26"/>
        <v>2</v>
      </c>
      <c r="J160" s="156">
        <f t="shared" si="27"/>
        <v>2</v>
      </c>
      <c r="P160" s="166">
        <f t="shared" si="32"/>
        <v>0.51000000000000101</v>
      </c>
      <c r="Q160" s="167">
        <f t="shared" si="33"/>
        <v>0.85941502936641045</v>
      </c>
      <c r="R160" s="167">
        <f t="shared" si="28"/>
        <v>0</v>
      </c>
      <c r="S160" s="167">
        <f t="shared" si="29"/>
        <v>2</v>
      </c>
      <c r="T160" s="156">
        <f t="shared" si="30"/>
        <v>2</v>
      </c>
    </row>
    <row r="161" spans="6:20" ht="16">
      <c r="F161" s="166">
        <f t="shared" si="31"/>
        <v>0.52000000000000102</v>
      </c>
      <c r="G161" s="167">
        <f t="shared" si="24"/>
        <v>0</v>
      </c>
      <c r="H161" s="167">
        <f t="shared" si="25"/>
        <v>0</v>
      </c>
      <c r="I161" s="167">
        <f t="shared" si="26"/>
        <v>2</v>
      </c>
      <c r="J161" s="156">
        <f t="shared" si="27"/>
        <v>2</v>
      </c>
      <c r="P161" s="166">
        <f t="shared" si="32"/>
        <v>0.52000000000000102</v>
      </c>
      <c r="Q161" s="167">
        <f t="shared" si="33"/>
        <v>0.85337124543249421</v>
      </c>
      <c r="R161" s="167">
        <f t="shared" si="28"/>
        <v>0</v>
      </c>
      <c r="S161" s="167">
        <f t="shared" si="29"/>
        <v>2</v>
      </c>
      <c r="T161" s="156">
        <f t="shared" si="30"/>
        <v>2</v>
      </c>
    </row>
    <row r="162" spans="6:20" ht="16">
      <c r="F162" s="166">
        <f t="shared" si="31"/>
        <v>0.53000000000000103</v>
      </c>
      <c r="G162" s="167">
        <f t="shared" si="24"/>
        <v>0</v>
      </c>
      <c r="H162" s="167">
        <f t="shared" si="25"/>
        <v>0</v>
      </c>
      <c r="I162" s="167">
        <f t="shared" si="26"/>
        <v>2</v>
      </c>
      <c r="J162" s="156">
        <f t="shared" si="27"/>
        <v>2</v>
      </c>
      <c r="P162" s="166">
        <f t="shared" si="32"/>
        <v>0.53000000000000103</v>
      </c>
      <c r="Q162" s="167">
        <f t="shared" si="33"/>
        <v>0.84716572657312827</v>
      </c>
      <c r="R162" s="167">
        <f t="shared" si="28"/>
        <v>0</v>
      </c>
      <c r="S162" s="167">
        <f t="shared" si="29"/>
        <v>2</v>
      </c>
      <c r="T162" s="156">
        <f t="shared" si="30"/>
        <v>2</v>
      </c>
    </row>
    <row r="163" spans="6:20" ht="16">
      <c r="F163" s="166">
        <f t="shared" si="31"/>
        <v>0.54000000000000103</v>
      </c>
      <c r="G163" s="167">
        <f t="shared" si="24"/>
        <v>0</v>
      </c>
      <c r="H163" s="167">
        <f t="shared" si="25"/>
        <v>0</v>
      </c>
      <c r="I163" s="167">
        <f t="shared" si="26"/>
        <v>2</v>
      </c>
      <c r="J163" s="156">
        <f t="shared" si="27"/>
        <v>2</v>
      </c>
      <c r="P163" s="166">
        <f t="shared" si="32"/>
        <v>0.54000000000000103</v>
      </c>
      <c r="Q163" s="167">
        <f t="shared" si="33"/>
        <v>0.84079489172352739</v>
      </c>
      <c r="R163" s="167">
        <f t="shared" si="28"/>
        <v>0</v>
      </c>
      <c r="S163" s="167">
        <f t="shared" si="29"/>
        <v>2</v>
      </c>
      <c r="T163" s="156">
        <f t="shared" si="30"/>
        <v>2</v>
      </c>
    </row>
    <row r="164" spans="6:20" ht="16">
      <c r="F164" s="166">
        <f t="shared" si="31"/>
        <v>0.55000000000000104</v>
      </c>
      <c r="G164" s="167">
        <f t="shared" si="24"/>
        <v>0</v>
      </c>
      <c r="H164" s="167">
        <f t="shared" si="25"/>
        <v>0</v>
      </c>
      <c r="I164" s="167">
        <f t="shared" si="26"/>
        <v>2</v>
      </c>
      <c r="J164" s="156">
        <f t="shared" si="27"/>
        <v>2</v>
      </c>
      <c r="P164" s="166">
        <f t="shared" si="32"/>
        <v>0.55000000000000104</v>
      </c>
      <c r="Q164" s="167">
        <f t="shared" si="33"/>
        <v>0.83425495355773083</v>
      </c>
      <c r="R164" s="167">
        <f t="shared" si="28"/>
        <v>0</v>
      </c>
      <c r="S164" s="167">
        <f t="shared" si="29"/>
        <v>2</v>
      </c>
      <c r="T164" s="156">
        <f t="shared" si="30"/>
        <v>2</v>
      </c>
    </row>
    <row r="165" spans="6:20" ht="16">
      <c r="F165" s="166">
        <f t="shared" si="31"/>
        <v>0.56000000000000105</v>
      </c>
      <c r="G165" s="167">
        <f t="shared" si="24"/>
        <v>0</v>
      </c>
      <c r="H165" s="167">
        <f t="shared" si="25"/>
        <v>0</v>
      </c>
      <c r="I165" s="167">
        <f t="shared" si="26"/>
        <v>2</v>
      </c>
      <c r="J165" s="156">
        <f t="shared" si="27"/>
        <v>2</v>
      </c>
      <c r="P165" s="166">
        <f t="shared" si="32"/>
        <v>0.56000000000000105</v>
      </c>
      <c r="Q165" s="167">
        <f t="shared" si="33"/>
        <v>0.82754190289185792</v>
      </c>
      <c r="R165" s="167">
        <f t="shared" si="28"/>
        <v>0</v>
      </c>
      <c r="S165" s="167">
        <f t="shared" si="29"/>
        <v>2</v>
      </c>
      <c r="T165" s="156">
        <f t="shared" si="30"/>
        <v>2</v>
      </c>
    </row>
    <row r="166" spans="6:20" ht="16">
      <c r="F166" s="166">
        <f t="shared" si="31"/>
        <v>0.57000000000000106</v>
      </c>
      <c r="G166" s="167">
        <f t="shared" si="24"/>
        <v>0</v>
      </c>
      <c r="H166" s="167">
        <f t="shared" si="25"/>
        <v>0</v>
      </c>
      <c r="I166" s="167">
        <f t="shared" si="26"/>
        <v>2</v>
      </c>
      <c r="J166" s="156">
        <f t="shared" si="27"/>
        <v>2</v>
      </c>
      <c r="P166" s="166">
        <f t="shared" si="32"/>
        <v>0.57000000000000106</v>
      </c>
      <c r="Q166" s="167">
        <f t="shared" si="33"/>
        <v>0.82065149147928462</v>
      </c>
      <c r="R166" s="167">
        <f t="shared" si="28"/>
        <v>0</v>
      </c>
      <c r="S166" s="167">
        <f t="shared" si="29"/>
        <v>2</v>
      </c>
      <c r="T166" s="156">
        <f t="shared" si="30"/>
        <v>2</v>
      </c>
    </row>
    <row r="167" spans="6:20" ht="16">
      <c r="F167" s="166">
        <f t="shared" si="31"/>
        <v>0.58000000000000107</v>
      </c>
      <c r="G167" s="167">
        <f t="shared" si="24"/>
        <v>0</v>
      </c>
      <c r="H167" s="167">
        <f t="shared" si="25"/>
        <v>0</v>
      </c>
      <c r="I167" s="167">
        <f t="shared" si="26"/>
        <v>2</v>
      </c>
      <c r="J167" s="156">
        <f t="shared" si="27"/>
        <v>2</v>
      </c>
      <c r="P167" s="166">
        <f t="shared" si="32"/>
        <v>0.58000000000000107</v>
      </c>
      <c r="Q167" s="167">
        <f t="shared" si="33"/>
        <v>0.81357921299127556</v>
      </c>
      <c r="R167" s="167">
        <f t="shared" si="28"/>
        <v>0</v>
      </c>
      <c r="S167" s="167">
        <f t="shared" si="29"/>
        <v>2</v>
      </c>
      <c r="T167" s="156">
        <f t="shared" si="30"/>
        <v>2</v>
      </c>
    </row>
    <row r="168" spans="6:20" ht="16">
      <c r="F168" s="166">
        <f t="shared" si="31"/>
        <v>0.59000000000000108</v>
      </c>
      <c r="G168" s="167">
        <f t="shared" si="24"/>
        <v>0</v>
      </c>
      <c r="H168" s="167">
        <f t="shared" si="25"/>
        <v>0</v>
      </c>
      <c r="I168" s="167">
        <f t="shared" si="26"/>
        <v>2</v>
      </c>
      <c r="J168" s="156">
        <f t="shared" si="27"/>
        <v>2</v>
      </c>
      <c r="P168" s="166">
        <f t="shared" si="32"/>
        <v>0.59000000000000108</v>
      </c>
      <c r="Q168" s="167">
        <f t="shared" si="33"/>
        <v>0.80632028194437988</v>
      </c>
      <c r="R168" s="167">
        <f t="shared" si="28"/>
        <v>0</v>
      </c>
      <c r="S168" s="167">
        <f t="shared" si="29"/>
        <v>2</v>
      </c>
      <c r="T168" s="156">
        <f t="shared" si="30"/>
        <v>2</v>
      </c>
    </row>
    <row r="169" spans="6:20" ht="16">
      <c r="F169" s="166">
        <f t="shared" si="31"/>
        <v>0.60000000000000109</v>
      </c>
      <c r="G169" s="167">
        <f t="shared" si="24"/>
        <v>0</v>
      </c>
      <c r="H169" s="167">
        <f t="shared" si="25"/>
        <v>0</v>
      </c>
      <c r="I169" s="167">
        <f t="shared" si="26"/>
        <v>2</v>
      </c>
      <c r="J169" s="156">
        <f t="shared" si="27"/>
        <v>2</v>
      </c>
      <c r="P169" s="166">
        <f t="shared" si="32"/>
        <v>0.60000000000000109</v>
      </c>
      <c r="Q169" s="167">
        <f t="shared" si="33"/>
        <v>0.79886961029773618</v>
      </c>
      <c r="R169" s="167">
        <f t="shared" si="28"/>
        <v>0</v>
      </c>
      <c r="S169" s="167">
        <f t="shared" si="29"/>
        <v>2</v>
      </c>
      <c r="T169" s="156">
        <f t="shared" si="30"/>
        <v>2</v>
      </c>
    </row>
    <row r="170" spans="6:20" ht="16">
      <c r="F170" s="166">
        <f t="shared" si="31"/>
        <v>0.6100000000000011</v>
      </c>
      <c r="G170" s="167">
        <f t="shared" si="24"/>
        <v>0</v>
      </c>
      <c r="H170" s="167">
        <f t="shared" si="25"/>
        <v>0</v>
      </c>
      <c r="I170" s="167">
        <f t="shared" si="26"/>
        <v>2</v>
      </c>
      <c r="J170" s="156">
        <f t="shared" si="27"/>
        <v>2</v>
      </c>
      <c r="P170" s="166">
        <f t="shared" si="32"/>
        <v>0.6100000000000011</v>
      </c>
      <c r="Q170" s="167">
        <f t="shared" si="33"/>
        <v>0.79122178139803601</v>
      </c>
      <c r="R170" s="167">
        <f t="shared" si="28"/>
        <v>0</v>
      </c>
      <c r="S170" s="167">
        <f t="shared" si="29"/>
        <v>2</v>
      </c>
      <c r="T170" s="156">
        <f t="shared" si="30"/>
        <v>2</v>
      </c>
    </row>
    <row r="171" spans="6:20" ht="16">
      <c r="F171" s="166">
        <f t="shared" si="31"/>
        <v>0.62000000000000111</v>
      </c>
      <c r="G171" s="167">
        <f t="shared" si="24"/>
        <v>0</v>
      </c>
      <c r="H171" s="167">
        <f t="shared" si="25"/>
        <v>0</v>
      </c>
      <c r="I171" s="167">
        <f t="shared" si="26"/>
        <v>2</v>
      </c>
      <c r="J171" s="156">
        <f t="shared" si="27"/>
        <v>2</v>
      </c>
      <c r="P171" s="166">
        <f t="shared" si="32"/>
        <v>0.62000000000000111</v>
      </c>
      <c r="Q171" s="167">
        <f t="shared" si="33"/>
        <v>0.78337102089567867</v>
      </c>
      <c r="R171" s="167">
        <f t="shared" si="28"/>
        <v>0</v>
      </c>
      <c r="S171" s="167">
        <f t="shared" si="29"/>
        <v>2</v>
      </c>
      <c r="T171" s="156">
        <f t="shared" si="30"/>
        <v>2</v>
      </c>
    </row>
    <row r="172" spans="6:20" ht="16">
      <c r="F172" s="166">
        <f t="shared" si="31"/>
        <v>0.63000000000000111</v>
      </c>
      <c r="G172" s="167">
        <f t="shared" si="24"/>
        <v>0</v>
      </c>
      <c r="H172" s="167">
        <f t="shared" si="25"/>
        <v>0</v>
      </c>
      <c r="I172" s="167">
        <f t="shared" si="26"/>
        <v>2</v>
      </c>
      <c r="J172" s="156">
        <f t="shared" si="27"/>
        <v>2</v>
      </c>
      <c r="P172" s="166">
        <f t="shared" si="32"/>
        <v>0.63000000000000111</v>
      </c>
      <c r="Q172" s="167">
        <f t="shared" si="33"/>
        <v>0.77531116419062729</v>
      </c>
      <c r="R172" s="167">
        <f t="shared" si="28"/>
        <v>0</v>
      </c>
      <c r="S172" s="167">
        <f t="shared" si="29"/>
        <v>2</v>
      </c>
      <c r="T172" s="156">
        <f t="shared" si="30"/>
        <v>2</v>
      </c>
    </row>
    <row r="173" spans="6:20" ht="16">
      <c r="F173" s="166">
        <f t="shared" si="31"/>
        <v>0.64000000000000112</v>
      </c>
      <c r="G173" s="167">
        <f t="shared" si="24"/>
        <v>0</v>
      </c>
      <c r="H173" s="167">
        <f t="shared" si="25"/>
        <v>0</v>
      </c>
      <c r="I173" s="167">
        <f t="shared" si="26"/>
        <v>2</v>
      </c>
      <c r="J173" s="156">
        <f t="shared" si="27"/>
        <v>2</v>
      </c>
      <c r="P173" s="166">
        <f t="shared" si="32"/>
        <v>0.64000000000000112</v>
      </c>
      <c r="Q173" s="167">
        <f t="shared" si="33"/>
        <v>0.76703561988811564</v>
      </c>
      <c r="R173" s="167">
        <f t="shared" si="28"/>
        <v>0</v>
      </c>
      <c r="S173" s="167">
        <f t="shared" si="29"/>
        <v>2</v>
      </c>
      <c r="T173" s="156">
        <f t="shared" si="30"/>
        <v>2</v>
      </c>
    </row>
    <row r="174" spans="6:20" ht="16">
      <c r="F174" s="166">
        <f t="shared" si="31"/>
        <v>0.65000000000000113</v>
      </c>
      <c r="G174" s="167">
        <f t="shared" si="24"/>
        <v>0</v>
      </c>
      <c r="H174" s="167">
        <f t="shared" si="25"/>
        <v>0</v>
      </c>
      <c r="I174" s="167">
        <f t="shared" si="26"/>
        <v>2</v>
      </c>
      <c r="J174" s="156">
        <f t="shared" si="27"/>
        <v>2</v>
      </c>
      <c r="P174" s="166">
        <f t="shared" si="32"/>
        <v>0.65000000000000113</v>
      </c>
      <c r="Q174" s="167">
        <f t="shared" si="33"/>
        <v>0.75853732864948542</v>
      </c>
      <c r="R174" s="167">
        <f t="shared" si="28"/>
        <v>0</v>
      </c>
      <c r="S174" s="167">
        <f t="shared" si="29"/>
        <v>2</v>
      </c>
      <c r="T174" s="156">
        <f t="shared" si="30"/>
        <v>2</v>
      </c>
    </row>
    <row r="175" spans="6:20" ht="16">
      <c r="F175" s="166">
        <f t="shared" si="31"/>
        <v>0.66000000000000114</v>
      </c>
      <c r="G175" s="167">
        <f t="shared" si="24"/>
        <v>0</v>
      </c>
      <c r="H175" s="167">
        <f t="shared" si="25"/>
        <v>0</v>
      </c>
      <c r="I175" s="167">
        <f t="shared" si="26"/>
        <v>2</v>
      </c>
      <c r="J175" s="156">
        <f t="shared" si="27"/>
        <v>2</v>
      </c>
      <c r="P175" s="166">
        <f t="shared" si="32"/>
        <v>0.66000000000000114</v>
      </c>
      <c r="Q175" s="167">
        <f t="shared" si="33"/>
        <v>0.74980871670798876</v>
      </c>
      <c r="R175" s="167">
        <f t="shared" si="28"/>
        <v>0</v>
      </c>
      <c r="S175" s="167">
        <f t="shared" si="29"/>
        <v>2</v>
      </c>
      <c r="T175" s="156">
        <f t="shared" si="30"/>
        <v>2</v>
      </c>
    </row>
    <row r="176" spans="6:20" ht="16">
      <c r="F176" s="166">
        <f t="shared" si="31"/>
        <v>0.67000000000000115</v>
      </c>
      <c r="G176" s="167">
        <f t="shared" si="24"/>
        <v>0</v>
      </c>
      <c r="H176" s="167">
        <f t="shared" si="25"/>
        <v>0</v>
      </c>
      <c r="I176" s="167">
        <f t="shared" si="26"/>
        <v>2</v>
      </c>
      <c r="J176" s="156">
        <f t="shared" si="27"/>
        <v>2</v>
      </c>
      <c r="P176" s="166">
        <f t="shared" si="32"/>
        <v>0.67000000000000115</v>
      </c>
      <c r="Q176" s="167">
        <f t="shared" si="33"/>
        <v>0.74084164317814671</v>
      </c>
      <c r="R176" s="167">
        <f t="shared" si="28"/>
        <v>0</v>
      </c>
      <c r="S176" s="167">
        <f t="shared" si="29"/>
        <v>2</v>
      </c>
      <c r="T176" s="156">
        <f t="shared" si="30"/>
        <v>2</v>
      </c>
    </row>
    <row r="177" spans="6:20" ht="16">
      <c r="F177" s="166">
        <f t="shared" si="31"/>
        <v>0.68000000000000116</v>
      </c>
      <c r="G177" s="167">
        <f t="shared" si="24"/>
        <v>0</v>
      </c>
      <c r="H177" s="167">
        <f t="shared" si="25"/>
        <v>0</v>
      </c>
      <c r="I177" s="167">
        <f t="shared" si="26"/>
        <v>2</v>
      </c>
      <c r="J177" s="156">
        <f t="shared" si="27"/>
        <v>2</v>
      </c>
      <c r="P177" s="166">
        <f t="shared" si="32"/>
        <v>0.68000000000000116</v>
      </c>
      <c r="Q177" s="167">
        <f t="shared" si="33"/>
        <v>0.73162734011349206</v>
      </c>
      <c r="R177" s="167">
        <f t="shared" si="28"/>
        <v>0</v>
      </c>
      <c r="S177" s="167">
        <f t="shared" si="29"/>
        <v>2</v>
      </c>
      <c r="T177" s="156">
        <f t="shared" si="30"/>
        <v>2</v>
      </c>
    </row>
    <row r="178" spans="6:20" ht="16">
      <c r="F178" s="166">
        <f t="shared" si="31"/>
        <v>0.69000000000000117</v>
      </c>
      <c r="G178" s="167">
        <f t="shared" si="24"/>
        <v>0</v>
      </c>
      <c r="H178" s="167">
        <f t="shared" si="25"/>
        <v>0</v>
      </c>
      <c r="I178" s="167">
        <f t="shared" si="26"/>
        <v>2</v>
      </c>
      <c r="J178" s="156">
        <f t="shared" si="27"/>
        <v>2</v>
      </c>
      <c r="P178" s="166">
        <f t="shared" si="32"/>
        <v>0.69000000000000117</v>
      </c>
      <c r="Q178" s="167">
        <f t="shared" si="33"/>
        <v>0.72215634405246509</v>
      </c>
      <c r="R178" s="167">
        <f t="shared" si="28"/>
        <v>0</v>
      </c>
      <c r="S178" s="167">
        <f t="shared" si="29"/>
        <v>2</v>
      </c>
      <c r="T178" s="156">
        <f t="shared" si="30"/>
        <v>2</v>
      </c>
    </row>
    <row r="179" spans="6:20" ht="16">
      <c r="F179" s="166">
        <f t="shared" si="31"/>
        <v>0.70000000000000118</v>
      </c>
      <c r="G179" s="167">
        <f t="shared" si="24"/>
        <v>0</v>
      </c>
      <c r="H179" s="167">
        <f t="shared" si="25"/>
        <v>0</v>
      </c>
      <c r="I179" s="167">
        <f t="shared" si="26"/>
        <v>2</v>
      </c>
      <c r="J179" s="156">
        <f t="shared" si="27"/>
        <v>2</v>
      </c>
      <c r="P179" s="166">
        <f t="shared" si="32"/>
        <v>0.70000000000000118</v>
      </c>
      <c r="Q179" s="167">
        <f t="shared" si="33"/>
        <v>0.71241841752437396</v>
      </c>
      <c r="R179" s="167">
        <f t="shared" si="28"/>
        <v>0</v>
      </c>
      <c r="S179" s="167">
        <f t="shared" si="29"/>
        <v>2</v>
      </c>
      <c r="T179" s="156">
        <f t="shared" si="30"/>
        <v>2</v>
      </c>
    </row>
    <row r="180" spans="6:20" ht="16">
      <c r="F180" s="166">
        <f t="shared" si="31"/>
        <v>0.71000000000000119</v>
      </c>
      <c r="G180" s="167">
        <f t="shared" si="24"/>
        <v>0</v>
      </c>
      <c r="H180" s="167">
        <f t="shared" si="25"/>
        <v>0</v>
      </c>
      <c r="I180" s="167">
        <f t="shared" si="26"/>
        <v>2</v>
      </c>
      <c r="J180" s="156">
        <f t="shared" si="27"/>
        <v>2</v>
      </c>
      <c r="P180" s="166">
        <f t="shared" si="32"/>
        <v>0.71000000000000119</v>
      </c>
      <c r="Q180" s="167">
        <f t="shared" si="33"/>
        <v>0.70240245865150264</v>
      </c>
      <c r="R180" s="167">
        <f t="shared" si="28"/>
        <v>0</v>
      </c>
      <c r="S180" s="167">
        <f t="shared" si="29"/>
        <v>2</v>
      </c>
      <c r="T180" s="156">
        <f t="shared" si="30"/>
        <v>2</v>
      </c>
    </row>
    <row r="181" spans="6:20" ht="16">
      <c r="F181" s="166">
        <f t="shared" si="31"/>
        <v>0.72000000000000119</v>
      </c>
      <c r="G181" s="167">
        <f t="shared" si="24"/>
        <v>0</v>
      </c>
      <c r="H181" s="167">
        <f t="shared" si="25"/>
        <v>0</v>
      </c>
      <c r="I181" s="167">
        <f t="shared" si="26"/>
        <v>2</v>
      </c>
      <c r="J181" s="156">
        <f t="shared" si="27"/>
        <v>2</v>
      </c>
      <c r="P181" s="166">
        <f t="shared" si="32"/>
        <v>0.72000000000000119</v>
      </c>
      <c r="Q181" s="167">
        <f t="shared" si="33"/>
        <v>0.69209639655935951</v>
      </c>
      <c r="R181" s="167">
        <f t="shared" si="28"/>
        <v>0</v>
      </c>
      <c r="S181" s="167">
        <f t="shared" si="29"/>
        <v>2</v>
      </c>
      <c r="T181" s="156">
        <f t="shared" si="30"/>
        <v>2</v>
      </c>
    </row>
    <row r="182" spans="6:20" ht="16">
      <c r="F182" s="166">
        <f t="shared" si="31"/>
        <v>0.7300000000000012</v>
      </c>
      <c r="G182" s="167">
        <f t="shared" si="24"/>
        <v>0</v>
      </c>
      <c r="H182" s="167">
        <f t="shared" si="25"/>
        <v>0</v>
      </c>
      <c r="I182" s="167">
        <f t="shared" si="26"/>
        <v>2</v>
      </c>
      <c r="J182" s="156">
        <f t="shared" si="27"/>
        <v>2</v>
      </c>
      <c r="P182" s="166">
        <f t="shared" si="32"/>
        <v>0.7300000000000012</v>
      </c>
      <c r="Q182" s="167">
        <f t="shared" si="33"/>
        <v>0.68148706976747286</v>
      </c>
      <c r="R182" s="167">
        <f t="shared" si="28"/>
        <v>0</v>
      </c>
      <c r="S182" s="167">
        <f t="shared" si="29"/>
        <v>2</v>
      </c>
      <c r="T182" s="156">
        <f t="shared" si="30"/>
        <v>2</v>
      </c>
    </row>
    <row r="183" spans="6:20" ht="16">
      <c r="F183" s="166">
        <f t="shared" si="31"/>
        <v>0.74000000000000121</v>
      </c>
      <c r="G183" s="167">
        <f t="shared" si="24"/>
        <v>0</v>
      </c>
      <c r="H183" s="167">
        <f t="shared" si="25"/>
        <v>0</v>
      </c>
      <c r="I183" s="167">
        <f t="shared" si="26"/>
        <v>2</v>
      </c>
      <c r="J183" s="156">
        <f t="shared" si="27"/>
        <v>2</v>
      </c>
      <c r="P183" s="166">
        <f t="shared" si="32"/>
        <v>0.74000000000000121</v>
      </c>
      <c r="Q183" s="167">
        <f t="shared" si="33"/>
        <v>0.67056008404101608</v>
      </c>
      <c r="R183" s="167">
        <f t="shared" si="28"/>
        <v>0</v>
      </c>
      <c r="S183" s="167">
        <f t="shared" si="29"/>
        <v>2</v>
      </c>
      <c r="T183" s="156">
        <f t="shared" si="30"/>
        <v>2</v>
      </c>
    </row>
    <row r="184" spans="6:20" ht="16">
      <c r="F184" s="166">
        <f t="shared" si="31"/>
        <v>0.75000000000000122</v>
      </c>
      <c r="G184" s="167">
        <f t="shared" si="24"/>
        <v>0</v>
      </c>
      <c r="H184" s="167">
        <f t="shared" si="25"/>
        <v>0</v>
      </c>
      <c r="I184" s="167">
        <f t="shared" si="26"/>
        <v>2</v>
      </c>
      <c r="J184" s="156">
        <f t="shared" si="27"/>
        <v>2</v>
      </c>
      <c r="P184" s="166">
        <f t="shared" si="32"/>
        <v>0.75000000000000122</v>
      </c>
      <c r="Q184" s="167">
        <f t="shared" si="33"/>
        <v>0.65929964528806184</v>
      </c>
      <c r="R184" s="167">
        <f t="shared" si="28"/>
        <v>0</v>
      </c>
      <c r="S184" s="167">
        <f t="shared" si="29"/>
        <v>2</v>
      </c>
      <c r="T184" s="156">
        <f t="shared" si="30"/>
        <v>2</v>
      </c>
    </row>
    <row r="185" spans="6:20" ht="16">
      <c r="F185" s="166">
        <f t="shared" si="31"/>
        <v>0.76000000000000123</v>
      </c>
      <c r="G185" s="167">
        <f t="shared" si="24"/>
        <v>0</v>
      </c>
      <c r="H185" s="167">
        <f t="shared" si="25"/>
        <v>0</v>
      </c>
      <c r="I185" s="167">
        <f t="shared" si="26"/>
        <v>2</v>
      </c>
      <c r="J185" s="156">
        <f t="shared" si="27"/>
        <v>2</v>
      </c>
      <c r="P185" s="166">
        <f t="shared" si="32"/>
        <v>0.76000000000000123</v>
      </c>
      <c r="Q185" s="167">
        <f t="shared" si="33"/>
        <v>0.64768836191787937</v>
      </c>
      <c r="R185" s="167">
        <f t="shared" si="28"/>
        <v>0</v>
      </c>
      <c r="S185" s="167">
        <f t="shared" si="29"/>
        <v>2</v>
      </c>
      <c r="T185" s="156">
        <f t="shared" si="30"/>
        <v>2</v>
      </c>
    </row>
    <row r="186" spans="6:20" ht="16">
      <c r="F186" s="166">
        <f t="shared" si="31"/>
        <v>0.77000000000000124</v>
      </c>
      <c r="G186" s="167">
        <f t="shared" si="24"/>
        <v>0</v>
      </c>
      <c r="H186" s="167">
        <f t="shared" si="25"/>
        <v>0</v>
      </c>
      <c r="I186" s="167">
        <f t="shared" si="26"/>
        <v>2</v>
      </c>
      <c r="J186" s="156">
        <f t="shared" si="27"/>
        <v>2</v>
      </c>
      <c r="P186" s="166">
        <f t="shared" si="32"/>
        <v>0.77000000000000124</v>
      </c>
      <c r="Q186" s="167">
        <f t="shared" si="33"/>
        <v>0.63570700953332215</v>
      </c>
      <c r="R186" s="167">
        <f t="shared" si="28"/>
        <v>0</v>
      </c>
      <c r="S186" s="167">
        <f t="shared" si="29"/>
        <v>2</v>
      </c>
      <c r="T186" s="156">
        <f t="shared" si="30"/>
        <v>2</v>
      </c>
    </row>
    <row r="187" spans="6:20" ht="16">
      <c r="F187" s="166">
        <f t="shared" si="31"/>
        <v>0.78000000000000125</v>
      </c>
      <c r="G187" s="167">
        <f t="shared" si="24"/>
        <v>0</v>
      </c>
      <c r="H187" s="167">
        <f t="shared" si="25"/>
        <v>0</v>
      </c>
      <c r="I187" s="167">
        <f t="shared" si="26"/>
        <v>2</v>
      </c>
      <c r="J187" s="156">
        <f t="shared" si="27"/>
        <v>2</v>
      </c>
      <c r="P187" s="166">
        <f t="shared" si="32"/>
        <v>0.78000000000000125</v>
      </c>
      <c r="Q187" s="167">
        <f t="shared" si="33"/>
        <v>0.62333424877409438</v>
      </c>
      <c r="R187" s="167">
        <f t="shared" si="28"/>
        <v>0</v>
      </c>
      <c r="S187" s="167">
        <f t="shared" si="29"/>
        <v>2</v>
      </c>
      <c r="T187" s="156">
        <f t="shared" si="30"/>
        <v>2</v>
      </c>
    </row>
    <row r="188" spans="6:20" ht="16">
      <c r="F188" s="166">
        <f t="shared" si="31"/>
        <v>0.79000000000000126</v>
      </c>
      <c r="G188" s="167">
        <f t="shared" si="24"/>
        <v>0</v>
      </c>
      <c r="H188" s="167">
        <f t="shared" si="25"/>
        <v>0</v>
      </c>
      <c r="I188" s="167">
        <f t="shared" si="26"/>
        <v>2</v>
      </c>
      <c r="J188" s="156">
        <f t="shared" si="27"/>
        <v>2</v>
      </c>
      <c r="P188" s="166">
        <f t="shared" si="32"/>
        <v>0.79000000000000126</v>
      </c>
      <c r="Q188" s="167">
        <f t="shared" si="33"/>
        <v>0.61054628435423441</v>
      </c>
      <c r="R188" s="167">
        <f t="shared" si="28"/>
        <v>0</v>
      </c>
      <c r="S188" s="167">
        <f t="shared" si="29"/>
        <v>2</v>
      </c>
      <c r="T188" s="156">
        <f t="shared" si="30"/>
        <v>2</v>
      </c>
    </row>
    <row r="189" spans="6:20" ht="16">
      <c r="F189" s="166">
        <f t="shared" si="31"/>
        <v>0.80000000000000127</v>
      </c>
      <c r="G189" s="167">
        <f t="shared" si="24"/>
        <v>0</v>
      </c>
      <c r="H189" s="167">
        <f t="shared" si="25"/>
        <v>0</v>
      </c>
      <c r="I189" s="167">
        <f t="shared" si="26"/>
        <v>2</v>
      </c>
      <c r="J189" s="156">
        <f t="shared" si="27"/>
        <v>2</v>
      </c>
      <c r="P189" s="166">
        <f t="shared" si="32"/>
        <v>0.80000000000000127</v>
      </c>
      <c r="Q189" s="167">
        <f t="shared" si="33"/>
        <v>0.59731644954897278</v>
      </c>
      <c r="R189" s="167">
        <f t="shared" si="28"/>
        <v>0</v>
      </c>
      <c r="S189" s="167">
        <f t="shared" si="29"/>
        <v>2</v>
      </c>
      <c r="T189" s="156">
        <f t="shared" si="30"/>
        <v>2</v>
      </c>
    </row>
    <row r="190" spans="6:20" ht="16">
      <c r="F190" s="166">
        <f t="shared" si="31"/>
        <v>0.81000000000000127</v>
      </c>
      <c r="G190" s="167">
        <f t="shared" si="24"/>
        <v>0</v>
      </c>
      <c r="H190" s="167">
        <f t="shared" si="25"/>
        <v>0</v>
      </c>
      <c r="I190" s="167">
        <f t="shared" si="26"/>
        <v>2</v>
      </c>
      <c r="J190" s="156">
        <f t="shared" si="27"/>
        <v>2</v>
      </c>
      <c r="P190" s="166">
        <f t="shared" si="32"/>
        <v>0.81000000000000127</v>
      </c>
      <c r="Q190" s="167">
        <f t="shared" si="33"/>
        <v>0.58361469514042497</v>
      </c>
      <c r="R190" s="167">
        <f t="shared" si="28"/>
        <v>0</v>
      </c>
      <c r="S190" s="167">
        <f t="shared" si="29"/>
        <v>2</v>
      </c>
      <c r="T190" s="156">
        <f t="shared" si="30"/>
        <v>2</v>
      </c>
    </row>
    <row r="191" spans="6:20" ht="16">
      <c r="F191" s="166">
        <f t="shared" si="31"/>
        <v>0.82000000000000128</v>
      </c>
      <c r="G191" s="167">
        <f t="shared" si="24"/>
        <v>0</v>
      </c>
      <c r="H191" s="167">
        <f t="shared" si="25"/>
        <v>0</v>
      </c>
      <c r="I191" s="167">
        <f t="shared" si="26"/>
        <v>2</v>
      </c>
      <c r="J191" s="156">
        <f t="shared" si="27"/>
        <v>2</v>
      </c>
      <c r="P191" s="166">
        <f t="shared" si="32"/>
        <v>0.82000000000000128</v>
      </c>
      <c r="Q191" s="167">
        <f t="shared" si="33"/>
        <v>0.56940695445783207</v>
      </c>
      <c r="R191" s="167">
        <f t="shared" si="28"/>
        <v>0</v>
      </c>
      <c r="S191" s="167">
        <f t="shared" si="29"/>
        <v>2</v>
      </c>
      <c r="T191" s="156">
        <f t="shared" si="30"/>
        <v>2</v>
      </c>
    </row>
    <row r="192" spans="6:20" ht="16">
      <c r="F192" s="166">
        <f t="shared" si="31"/>
        <v>0.83000000000000129</v>
      </c>
      <c r="G192" s="167">
        <f t="shared" si="24"/>
        <v>0</v>
      </c>
      <c r="H192" s="167">
        <f t="shared" si="25"/>
        <v>0</v>
      </c>
      <c r="I192" s="167">
        <f t="shared" si="26"/>
        <v>2</v>
      </c>
      <c r="J192" s="156">
        <f t="shared" si="27"/>
        <v>2</v>
      </c>
      <c r="P192" s="166">
        <f t="shared" si="32"/>
        <v>0.83000000000000129</v>
      </c>
      <c r="Q192" s="167">
        <f t="shared" si="33"/>
        <v>0.55465434561091098</v>
      </c>
      <c r="R192" s="167">
        <f t="shared" si="28"/>
        <v>0</v>
      </c>
      <c r="S192" s="167">
        <f t="shared" si="29"/>
        <v>2</v>
      </c>
      <c r="T192" s="156">
        <f t="shared" si="30"/>
        <v>2</v>
      </c>
    </row>
    <row r="193" spans="6:20" ht="16">
      <c r="F193" s="166">
        <f t="shared" si="31"/>
        <v>0.8400000000000013</v>
      </c>
      <c r="G193" s="167">
        <f t="shared" si="24"/>
        <v>0</v>
      </c>
      <c r="H193" s="167">
        <f t="shared" si="25"/>
        <v>0</v>
      </c>
      <c r="I193" s="167">
        <f t="shared" si="26"/>
        <v>2</v>
      </c>
      <c r="J193" s="156">
        <f t="shared" si="27"/>
        <v>2</v>
      </c>
      <c r="P193" s="166">
        <f t="shared" si="32"/>
        <v>0.8400000000000013</v>
      </c>
      <c r="Q193" s="167">
        <f t="shared" si="33"/>
        <v>0.53931215668128973</v>
      </c>
      <c r="R193" s="167">
        <f t="shared" si="28"/>
        <v>0</v>
      </c>
      <c r="S193" s="167">
        <f t="shared" si="29"/>
        <v>2</v>
      </c>
      <c r="T193" s="156">
        <f t="shared" si="30"/>
        <v>2</v>
      </c>
    </row>
    <row r="194" spans="6:20" ht="16">
      <c r="F194" s="166">
        <f t="shared" si="31"/>
        <v>0.85000000000000131</v>
      </c>
      <c r="G194" s="167">
        <f t="shared" si="24"/>
        <v>0</v>
      </c>
      <c r="H194" s="167">
        <f t="shared" si="25"/>
        <v>0</v>
      </c>
      <c r="I194" s="167">
        <f t="shared" si="26"/>
        <v>2</v>
      </c>
      <c r="J194" s="156">
        <f t="shared" si="27"/>
        <v>2</v>
      </c>
      <c r="P194" s="166">
        <f t="shared" si="32"/>
        <v>0.85000000000000131</v>
      </c>
      <c r="Q194" s="167">
        <f t="shared" si="33"/>
        <v>0.52332853686992065</v>
      </c>
      <c r="R194" s="167">
        <f t="shared" si="28"/>
        <v>0</v>
      </c>
      <c r="S194" s="167">
        <f t="shared" si="29"/>
        <v>2</v>
      </c>
      <c r="T194" s="156">
        <f t="shared" si="30"/>
        <v>2</v>
      </c>
    </row>
    <row r="195" spans="6:20" ht="16">
      <c r="F195" s="166">
        <f t="shared" si="31"/>
        <v>0.86000000000000132</v>
      </c>
      <c r="G195" s="167">
        <f t="shared" si="24"/>
        <v>0</v>
      </c>
      <c r="H195" s="167">
        <f t="shared" si="25"/>
        <v>0</v>
      </c>
      <c r="I195" s="167">
        <f t="shared" si="26"/>
        <v>2</v>
      </c>
      <c r="J195" s="156">
        <f t="shared" si="27"/>
        <v>2</v>
      </c>
      <c r="P195" s="166">
        <f t="shared" si="32"/>
        <v>0.86000000000000132</v>
      </c>
      <c r="Q195" s="167">
        <f t="shared" si="33"/>
        <v>0.50664278202657909</v>
      </c>
      <c r="R195" s="167">
        <f t="shared" si="28"/>
        <v>0</v>
      </c>
      <c r="S195" s="167">
        <f t="shared" si="29"/>
        <v>2</v>
      </c>
      <c r="T195" s="156">
        <f t="shared" si="30"/>
        <v>2</v>
      </c>
    </row>
    <row r="196" spans="6:20" ht="16">
      <c r="F196" s="166">
        <f t="shared" si="31"/>
        <v>0.87000000000000133</v>
      </c>
      <c r="G196" s="167">
        <f t="shared" si="24"/>
        <v>0</v>
      </c>
      <c r="H196" s="167">
        <f t="shared" si="25"/>
        <v>0</v>
      </c>
      <c r="I196" s="167">
        <f t="shared" si="26"/>
        <v>2</v>
      </c>
      <c r="J196" s="156">
        <f t="shared" si="27"/>
        <v>2</v>
      </c>
      <c r="P196" s="166">
        <f t="shared" si="32"/>
        <v>0.87000000000000133</v>
      </c>
      <c r="Q196" s="167">
        <f t="shared" si="33"/>
        <v>0.48918304915019611</v>
      </c>
      <c r="R196" s="167">
        <f t="shared" si="28"/>
        <v>0</v>
      </c>
      <c r="S196" s="167">
        <f t="shared" si="29"/>
        <v>2</v>
      </c>
      <c r="T196" s="156">
        <f t="shared" si="30"/>
        <v>2</v>
      </c>
    </row>
    <row r="197" spans="6:20" ht="16">
      <c r="F197" s="166">
        <f t="shared" si="31"/>
        <v>0.88000000000000134</v>
      </c>
      <c r="G197" s="167">
        <f t="shared" si="24"/>
        <v>0</v>
      </c>
      <c r="H197" s="167">
        <f t="shared" si="25"/>
        <v>0</v>
      </c>
      <c r="I197" s="167">
        <f t="shared" si="26"/>
        <v>2</v>
      </c>
      <c r="J197" s="156">
        <f t="shared" si="27"/>
        <v>2</v>
      </c>
      <c r="P197" s="166">
        <f t="shared" si="32"/>
        <v>0.88000000000000134</v>
      </c>
      <c r="Q197" s="167">
        <f t="shared" si="33"/>
        <v>0.47086324818482767</v>
      </c>
      <c r="R197" s="167">
        <f t="shared" si="28"/>
        <v>0</v>
      </c>
      <c r="S197" s="167">
        <f t="shared" si="29"/>
        <v>2</v>
      </c>
      <c r="T197" s="156">
        <f t="shared" si="30"/>
        <v>2</v>
      </c>
    </row>
    <row r="198" spans="6:20" ht="16">
      <c r="F198" s="166">
        <f t="shared" si="31"/>
        <v>0.89000000000000135</v>
      </c>
      <c r="G198" s="167">
        <f t="shared" si="24"/>
        <v>0</v>
      </c>
      <c r="H198" s="167">
        <f t="shared" si="25"/>
        <v>0</v>
      </c>
      <c r="I198" s="167">
        <f t="shared" si="26"/>
        <v>2</v>
      </c>
      <c r="J198" s="156">
        <f t="shared" si="27"/>
        <v>2</v>
      </c>
      <c r="P198" s="166">
        <f t="shared" si="32"/>
        <v>0.89000000000000135</v>
      </c>
      <c r="Q198" s="167">
        <f t="shared" si="33"/>
        <v>0.45157871664360105</v>
      </c>
      <c r="R198" s="167">
        <f t="shared" si="28"/>
        <v>0</v>
      </c>
      <c r="S198" s="167">
        <f t="shared" si="29"/>
        <v>2</v>
      </c>
      <c r="T198" s="156">
        <f t="shared" si="30"/>
        <v>2</v>
      </c>
    </row>
    <row r="199" spans="6:20" ht="16">
      <c r="F199" s="166">
        <f t="shared" si="31"/>
        <v>0.90000000000000135</v>
      </c>
      <c r="G199" s="167">
        <f t="shared" si="24"/>
        <v>0</v>
      </c>
      <c r="H199" s="167">
        <f t="shared" si="25"/>
        <v>0</v>
      </c>
      <c r="I199" s="167">
        <f t="shared" si="26"/>
        <v>2</v>
      </c>
      <c r="J199" s="156">
        <f t="shared" si="27"/>
        <v>2</v>
      </c>
      <c r="P199" s="166">
        <f t="shared" si="32"/>
        <v>0.90000000000000135</v>
      </c>
      <c r="Q199" s="167">
        <f t="shared" si="33"/>
        <v>0.43120003719715599</v>
      </c>
      <c r="R199" s="167">
        <f t="shared" si="28"/>
        <v>0</v>
      </c>
      <c r="S199" s="167">
        <f t="shared" si="29"/>
        <v>2</v>
      </c>
      <c r="T199" s="156">
        <f t="shared" si="30"/>
        <v>2</v>
      </c>
    </row>
    <row r="200" spans="6:20" ht="16">
      <c r="F200" s="166">
        <f t="shared" si="31"/>
        <v>0.91000000000000136</v>
      </c>
      <c r="G200" s="167">
        <f t="shared" si="24"/>
        <v>0</v>
      </c>
      <c r="H200" s="167">
        <f t="shared" si="25"/>
        <v>0</v>
      </c>
      <c r="I200" s="167">
        <f t="shared" si="26"/>
        <v>2</v>
      </c>
      <c r="J200" s="156">
        <f t="shared" si="27"/>
        <v>2</v>
      </c>
      <c r="P200" s="166">
        <f t="shared" si="32"/>
        <v>0.91000000000000136</v>
      </c>
      <c r="Q200" s="167">
        <f t="shared" si="33"/>
        <v>0.40956391778476708</v>
      </c>
      <c r="R200" s="167">
        <f t="shared" si="28"/>
        <v>0</v>
      </c>
      <c r="S200" s="167">
        <f t="shared" si="29"/>
        <v>2</v>
      </c>
      <c r="T200" s="156">
        <f t="shared" si="30"/>
        <v>2</v>
      </c>
    </row>
    <row r="201" spans="6:20" ht="16">
      <c r="F201" s="166">
        <f t="shared" si="31"/>
        <v>0.92000000000000137</v>
      </c>
      <c r="G201" s="167">
        <f t="shared" ref="G201:G209" si="34">IFERROR(IF(SQRT(1-(F201*F201)/($J$5*$J$5))&lt;0.05,0,SQRT(1-(F201*F201)/($J$5*$J$5))),0)</f>
        <v>0</v>
      </c>
      <c r="H201" s="167">
        <f t="shared" ref="H201:H209" si="35">CHOOSE(MATCH($J$3,degrees),IF(F201&lt;0,IFERROR(1-G201,1),0),0,0,IF(F201&gt;0,IFERROR(1-G201,1),0))</f>
        <v>0</v>
      </c>
      <c r="I201" s="167">
        <f t="shared" ref="I201:I209" si="36">CHOOSE(MATCH($J$3,degrees),IF(F201&lt;0,2*G201,2),IF(F201&lt;0,0,1-G201),IF(F201&gt;0,0,1-G201),IF(F201&gt;0,2*G201,2))</f>
        <v>2</v>
      </c>
      <c r="J201" s="156">
        <f t="shared" ref="J201:J209" si="37">CHOOSE(MATCH($J$3,degrees),IF(F201&lt;0,G201+1,2),IF(F201&lt;0,2,2*G201),IF(F201&gt;0,2,2*G201),IF(F201&gt;0,G201+1,2))</f>
        <v>2</v>
      </c>
      <c r="P201" s="166">
        <f t="shared" si="32"/>
        <v>0.92000000000000137</v>
      </c>
      <c r="Q201" s="167">
        <f t="shared" si="33"/>
        <v>0.38645922080164946</v>
      </c>
      <c r="R201" s="167">
        <f t="shared" ref="R201:R209" si="38">CHOOSE(MATCH($T$3,degrees),IF(P201&lt;0,IFERROR(1-Q201,1),0),0,0,IF(P201&gt;0,IFERROR(1-Q201,1),0))</f>
        <v>0</v>
      </c>
      <c r="S201" s="167">
        <f t="shared" ref="S201:S209" si="39">CHOOSE(MATCH($T$3,degrees),IF(P201&lt;0,2*Q201,2),IF(P201&lt;0,0,1-Q201),IF(P201&gt;0,0,1-Q201),IF(P201&gt;0,2*Q201,2))</f>
        <v>2</v>
      </c>
      <c r="T201" s="156">
        <f t="shared" ref="T201:T209" si="40">CHOOSE(MATCH($T$3,degrees),IF(P201&lt;0,Q201+1,2),IF(P201&lt;0,2,2*Q201),IF(P201&gt;0,2,2*Q201),IF(P201&gt;0,Q201+1,2))</f>
        <v>2</v>
      </c>
    </row>
    <row r="202" spans="6:20" ht="16">
      <c r="F202" s="166">
        <f t="shared" ref="F202:F209" si="41">F201+$G$4</f>
        <v>0.93000000000000138</v>
      </c>
      <c r="G202" s="167">
        <f t="shared" si="34"/>
        <v>0</v>
      </c>
      <c r="H202" s="167">
        <f t="shared" si="35"/>
        <v>0</v>
      </c>
      <c r="I202" s="167">
        <f t="shared" si="36"/>
        <v>2</v>
      </c>
      <c r="J202" s="156">
        <f t="shared" si="37"/>
        <v>2</v>
      </c>
      <c r="P202" s="166">
        <f t="shared" ref="P202:P209" si="42">P201+$G$4</f>
        <v>0.93000000000000138</v>
      </c>
      <c r="Q202" s="167">
        <f t="shared" ref="Q202:Q209" si="43">IFERROR(IF(SQRT(1-(P202*P202)/($T$5*$T$5))&lt;0.05,0,SQRT(1-(P202*P202)/($T$5*$T$5))),0)</f>
        <v>0.36160455175932232</v>
      </c>
      <c r="R202" s="167">
        <f t="shared" si="38"/>
        <v>0</v>
      </c>
      <c r="S202" s="167">
        <f t="shared" si="39"/>
        <v>2</v>
      </c>
      <c r="T202" s="156">
        <f t="shared" si="40"/>
        <v>2</v>
      </c>
    </row>
    <row r="203" spans="6:20" ht="16">
      <c r="F203" s="166">
        <f t="shared" si="41"/>
        <v>0.94000000000000139</v>
      </c>
      <c r="G203" s="167">
        <f t="shared" si="34"/>
        <v>0</v>
      </c>
      <c r="H203" s="167">
        <f t="shared" si="35"/>
        <v>0</v>
      </c>
      <c r="I203" s="167">
        <f t="shared" si="36"/>
        <v>2</v>
      </c>
      <c r="J203" s="156">
        <f t="shared" si="37"/>
        <v>2</v>
      </c>
      <c r="P203" s="166">
        <f t="shared" si="42"/>
        <v>0.94000000000000139</v>
      </c>
      <c r="Q203" s="167">
        <f t="shared" si="43"/>
        <v>0.33461017659738723</v>
      </c>
      <c r="R203" s="167">
        <f t="shared" si="38"/>
        <v>0</v>
      </c>
      <c r="S203" s="167">
        <f t="shared" si="39"/>
        <v>2</v>
      </c>
      <c r="T203" s="156">
        <f t="shared" si="40"/>
        <v>2</v>
      </c>
    </row>
    <row r="204" spans="6:20" ht="16">
      <c r="F204" s="166">
        <f t="shared" si="41"/>
        <v>0.9500000000000014</v>
      </c>
      <c r="G204" s="167">
        <f t="shared" si="34"/>
        <v>0</v>
      </c>
      <c r="H204" s="167">
        <f t="shared" si="35"/>
        <v>0</v>
      </c>
      <c r="I204" s="167">
        <f t="shared" si="36"/>
        <v>2</v>
      </c>
      <c r="J204" s="156">
        <f t="shared" si="37"/>
        <v>2</v>
      </c>
      <c r="P204" s="166">
        <f t="shared" si="42"/>
        <v>0.9500000000000014</v>
      </c>
      <c r="Q204" s="167">
        <f t="shared" si="43"/>
        <v>0.30490832168217497</v>
      </c>
      <c r="R204" s="167">
        <f t="shared" si="38"/>
        <v>0</v>
      </c>
      <c r="S204" s="167">
        <f t="shared" si="39"/>
        <v>2</v>
      </c>
      <c r="T204" s="156">
        <f t="shared" si="40"/>
        <v>2</v>
      </c>
    </row>
    <row r="205" spans="6:20" ht="16">
      <c r="F205" s="166">
        <f t="shared" si="41"/>
        <v>0.96000000000000141</v>
      </c>
      <c r="G205" s="167">
        <f t="shared" si="34"/>
        <v>0</v>
      </c>
      <c r="H205" s="167">
        <f t="shared" si="35"/>
        <v>0</v>
      </c>
      <c r="I205" s="167">
        <f t="shared" si="36"/>
        <v>2</v>
      </c>
      <c r="J205" s="156">
        <f t="shared" si="37"/>
        <v>2</v>
      </c>
      <c r="P205" s="166">
        <f t="shared" si="42"/>
        <v>0.96000000000000141</v>
      </c>
      <c r="Q205" s="167">
        <f t="shared" si="43"/>
        <v>0.27161221419254783</v>
      </c>
      <c r="R205" s="167">
        <f t="shared" si="38"/>
        <v>0</v>
      </c>
      <c r="S205" s="167">
        <f t="shared" si="39"/>
        <v>2</v>
      </c>
      <c r="T205" s="156">
        <f t="shared" si="40"/>
        <v>2</v>
      </c>
    </row>
    <row r="206" spans="6:20" ht="16">
      <c r="F206" s="166">
        <f t="shared" si="41"/>
        <v>0.97000000000000142</v>
      </c>
      <c r="G206" s="167">
        <f t="shared" si="34"/>
        <v>0</v>
      </c>
      <c r="H206" s="167">
        <f t="shared" si="35"/>
        <v>0</v>
      </c>
      <c r="I206" s="167">
        <f t="shared" si="36"/>
        <v>2</v>
      </c>
      <c r="J206" s="156">
        <f t="shared" si="37"/>
        <v>2</v>
      </c>
      <c r="P206" s="166">
        <f t="shared" si="42"/>
        <v>0.97000000000000142</v>
      </c>
      <c r="Q206" s="167">
        <f t="shared" si="43"/>
        <v>0.23318726612992427</v>
      </c>
      <c r="R206" s="167">
        <f t="shared" si="38"/>
        <v>0</v>
      </c>
      <c r="S206" s="167">
        <f t="shared" si="39"/>
        <v>2</v>
      </c>
      <c r="T206" s="156">
        <f t="shared" si="40"/>
        <v>2</v>
      </c>
    </row>
    <row r="207" spans="6:20" ht="16">
      <c r="F207" s="166">
        <f t="shared" si="41"/>
        <v>0.98000000000000143</v>
      </c>
      <c r="G207" s="167">
        <f t="shared" si="34"/>
        <v>0</v>
      </c>
      <c r="H207" s="167">
        <f t="shared" si="35"/>
        <v>0</v>
      </c>
      <c r="I207" s="167">
        <f t="shared" si="36"/>
        <v>2</v>
      </c>
      <c r="J207" s="156">
        <f t="shared" si="37"/>
        <v>2</v>
      </c>
      <c r="P207" s="166">
        <f t="shared" si="42"/>
        <v>0.98000000000000143</v>
      </c>
      <c r="Q207" s="167">
        <f t="shared" si="43"/>
        <v>0.18648968655330392</v>
      </c>
      <c r="R207" s="167">
        <f t="shared" si="38"/>
        <v>0</v>
      </c>
      <c r="S207" s="167">
        <f t="shared" si="39"/>
        <v>2</v>
      </c>
      <c r="T207" s="156">
        <f t="shared" si="40"/>
        <v>2</v>
      </c>
    </row>
    <row r="208" spans="6:20" ht="16">
      <c r="F208" s="166">
        <f t="shared" si="41"/>
        <v>0.99000000000000143</v>
      </c>
      <c r="G208" s="167">
        <f t="shared" si="34"/>
        <v>0</v>
      </c>
      <c r="H208" s="167">
        <f t="shared" si="35"/>
        <v>0</v>
      </c>
      <c r="I208" s="167">
        <f t="shared" si="36"/>
        <v>2</v>
      </c>
      <c r="J208" s="156">
        <f t="shared" si="37"/>
        <v>2</v>
      </c>
      <c r="P208" s="166">
        <f t="shared" si="42"/>
        <v>0.99000000000000143</v>
      </c>
      <c r="Q208" s="167">
        <f t="shared" si="43"/>
        <v>0.12239077259084048</v>
      </c>
      <c r="R208" s="167">
        <f t="shared" si="38"/>
        <v>0</v>
      </c>
      <c r="S208" s="167">
        <f t="shared" si="39"/>
        <v>2</v>
      </c>
      <c r="T208" s="156">
        <f t="shared" si="40"/>
        <v>2</v>
      </c>
    </row>
    <row r="209" spans="6:20" ht="16">
      <c r="F209" s="184">
        <f t="shared" si="41"/>
        <v>1.0000000000000013</v>
      </c>
      <c r="G209" s="185">
        <f t="shared" si="34"/>
        <v>0</v>
      </c>
      <c r="H209" s="185">
        <f t="shared" si="35"/>
        <v>0</v>
      </c>
      <c r="I209" s="185">
        <f t="shared" si="36"/>
        <v>2</v>
      </c>
      <c r="J209" s="186">
        <f t="shared" si="37"/>
        <v>2</v>
      </c>
      <c r="P209" s="184">
        <f t="shared" si="42"/>
        <v>1.0000000000000013</v>
      </c>
      <c r="Q209" s="185">
        <f t="shared" si="43"/>
        <v>0</v>
      </c>
      <c r="R209" s="185">
        <f t="shared" si="38"/>
        <v>0</v>
      </c>
      <c r="S209" s="185">
        <f t="shared" si="39"/>
        <v>2</v>
      </c>
      <c r="T209" s="186">
        <f t="shared" si="40"/>
        <v>2</v>
      </c>
    </row>
  </sheetData>
  <sheetProtection sheet="1" objects="1" scenarios="1"/>
  <pageMargins left="0.75" right="0.75" top="1" bottom="1" header="0.5" footer="0.5"/>
  <pageSetup paperSize="8" scale="150" orientation="landscape" horizontalDpi="300" verticalDpi="0" copies="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A356A-84E4-3B4C-804E-943F91A45DD5}">
  <dimension ref="B1:T209"/>
  <sheetViews>
    <sheetView showGridLines="0" workbookViewId="0">
      <selection activeCell="C21" sqref="C21"/>
    </sheetView>
  </sheetViews>
  <sheetFormatPr baseColWidth="10" defaultRowHeight="13"/>
  <cols>
    <col min="1" max="1" width="10.83203125" style="183" customWidth="1"/>
    <col min="2" max="2" width="15.83203125" style="183" customWidth="1"/>
    <col min="3" max="3" width="13.33203125" style="183" customWidth="1"/>
    <col min="4" max="4" width="15.83203125" style="183" customWidth="1"/>
    <col min="5" max="7" width="10.83203125" style="183" customWidth="1"/>
    <col min="8" max="10" width="12.1640625" style="183" customWidth="1"/>
    <col min="11" max="11" width="10.83203125" style="183" customWidth="1"/>
    <col min="12" max="12" width="15.83203125" style="183" customWidth="1"/>
    <col min="13" max="13" width="13.33203125" style="183" customWidth="1"/>
    <col min="14" max="14" width="15.83203125" style="183" customWidth="1"/>
    <col min="15" max="17" width="10.83203125" style="183" customWidth="1"/>
    <col min="18" max="20" width="12.1640625" style="183" customWidth="1"/>
    <col min="21" max="22" width="10.83203125" style="183" customWidth="1"/>
    <col min="23" max="23" width="10.1640625" style="183" bestFit="1" customWidth="1"/>
    <col min="24" max="247" width="8.83203125" style="183" customWidth="1"/>
    <col min="248" max="248" width="7.83203125" style="183" customWidth="1"/>
    <col min="249" max="249" width="7.5" style="183" customWidth="1"/>
    <col min="250" max="250" width="9" style="183" customWidth="1"/>
    <col min="251" max="251" width="8.33203125" style="183" customWidth="1"/>
    <col min="252" max="254" width="8.5" style="183" bestFit="1" customWidth="1"/>
    <col min="255" max="255" width="10" style="183" bestFit="1" customWidth="1"/>
    <col min="256" max="256" width="8.1640625" style="183" bestFit="1" customWidth="1"/>
    <col min="257" max="258" width="8.5" style="183" bestFit="1" customWidth="1"/>
    <col min="259" max="259" width="6" style="183" bestFit="1" customWidth="1"/>
    <col min="260" max="260" width="8.83203125" style="183" customWidth="1"/>
    <col min="261" max="261" width="8.5" style="183" bestFit="1" customWidth="1"/>
    <col min="262" max="262" width="7.1640625" style="183" bestFit="1" customWidth="1"/>
    <col min="263" max="263" width="4.5" style="183" bestFit="1" customWidth="1"/>
    <col min="264" max="264" width="5.5" style="183" bestFit="1" customWidth="1"/>
    <col min="265" max="267" width="6.1640625" style="183" bestFit="1" customWidth="1"/>
    <col min="268" max="268" width="7.1640625" style="183" bestFit="1" customWidth="1"/>
    <col min="269" max="278" width="8.83203125" style="183" customWidth="1"/>
    <col min="279" max="279" width="10" style="183" bestFit="1" customWidth="1"/>
    <col min="280" max="503" width="8.83203125" style="183" customWidth="1"/>
    <col min="504" max="504" width="7.83203125" style="183" customWidth="1"/>
    <col min="505" max="505" width="7.5" style="183" customWidth="1"/>
    <col min="506" max="506" width="9" style="183" customWidth="1"/>
    <col min="507" max="507" width="8.33203125" style="183" customWidth="1"/>
    <col min="508" max="510" width="8.5" style="183" bestFit="1" customWidth="1"/>
    <col min="511" max="511" width="10" style="183" bestFit="1" customWidth="1"/>
    <col min="512" max="512" width="8.1640625" style="183" bestFit="1" customWidth="1"/>
    <col min="513" max="514" width="8.5" style="183" bestFit="1" customWidth="1"/>
    <col min="515" max="515" width="6" style="183" bestFit="1" customWidth="1"/>
    <col min="516" max="516" width="8.83203125" style="183" customWidth="1"/>
    <col min="517" max="517" width="8.5" style="183" bestFit="1" customWidth="1"/>
    <col min="518" max="518" width="7.1640625" style="183" bestFit="1" customWidth="1"/>
    <col min="519" max="519" width="4.5" style="183" bestFit="1" customWidth="1"/>
    <col min="520" max="520" width="5.5" style="183" bestFit="1" customWidth="1"/>
    <col min="521" max="523" width="6.1640625" style="183" bestFit="1" customWidth="1"/>
    <col min="524" max="524" width="7.1640625" style="183" bestFit="1" customWidth="1"/>
    <col min="525" max="534" width="8.83203125" style="183" customWidth="1"/>
    <col min="535" max="535" width="10" style="183" bestFit="1" customWidth="1"/>
    <col min="536" max="759" width="8.83203125" style="183" customWidth="1"/>
    <col min="760" max="760" width="7.83203125" style="183" customWidth="1"/>
    <col min="761" max="761" width="7.5" style="183" customWidth="1"/>
    <col min="762" max="762" width="9" style="183" customWidth="1"/>
    <col min="763" max="763" width="8.33203125" style="183" customWidth="1"/>
    <col min="764" max="766" width="8.5" style="183" bestFit="1" customWidth="1"/>
    <col min="767" max="767" width="10" style="183" bestFit="1" customWidth="1"/>
    <col min="768" max="768" width="8.1640625" style="183" bestFit="1" customWidth="1"/>
    <col min="769" max="770" width="8.5" style="183" bestFit="1" customWidth="1"/>
    <col min="771" max="771" width="6" style="183" bestFit="1" customWidth="1"/>
    <col min="772" max="772" width="8.83203125" style="183" customWidth="1"/>
    <col min="773" max="773" width="8.5" style="183" bestFit="1" customWidth="1"/>
    <col min="774" max="774" width="7.1640625" style="183" bestFit="1" customWidth="1"/>
    <col min="775" max="775" width="4.5" style="183" bestFit="1" customWidth="1"/>
    <col min="776" max="776" width="5.5" style="183" bestFit="1" customWidth="1"/>
    <col min="777" max="779" width="6.1640625" style="183" bestFit="1" customWidth="1"/>
    <col min="780" max="780" width="7.1640625" style="183" bestFit="1" customWidth="1"/>
    <col min="781" max="790" width="8.83203125" style="183" customWidth="1"/>
    <col min="791" max="791" width="10" style="183" bestFit="1" customWidth="1"/>
    <col min="792" max="1015" width="8.83203125" style="183" customWidth="1"/>
    <col min="1016" max="1016" width="7.83203125" style="183" customWidth="1"/>
    <col min="1017" max="1017" width="7.5" style="183" customWidth="1"/>
    <col min="1018" max="1018" width="9" style="183" customWidth="1"/>
    <col min="1019" max="1019" width="8.33203125" style="183" customWidth="1"/>
    <col min="1020" max="1022" width="8.5" style="183" bestFit="1" customWidth="1"/>
    <col min="1023" max="1023" width="10" style="183" bestFit="1" customWidth="1"/>
    <col min="1024" max="1024" width="8.1640625" style="183" bestFit="1" customWidth="1"/>
    <col min="1025" max="1026" width="8.5" style="183" bestFit="1" customWidth="1"/>
    <col min="1027" max="1027" width="6" style="183" bestFit="1" customWidth="1"/>
    <col min="1028" max="1028" width="8.83203125" style="183" customWidth="1"/>
    <col min="1029" max="1029" width="8.5" style="183" bestFit="1" customWidth="1"/>
    <col min="1030" max="1030" width="7.1640625" style="183" bestFit="1" customWidth="1"/>
    <col min="1031" max="1031" width="4.5" style="183" bestFit="1" customWidth="1"/>
    <col min="1032" max="1032" width="5.5" style="183" bestFit="1" customWidth="1"/>
    <col min="1033" max="1035" width="6.1640625" style="183" bestFit="1" customWidth="1"/>
    <col min="1036" max="1036" width="7.1640625" style="183" bestFit="1" customWidth="1"/>
    <col min="1037" max="1046" width="8.83203125" style="183" customWidth="1"/>
    <col min="1047" max="1047" width="10" style="183" bestFit="1" customWidth="1"/>
    <col min="1048" max="1271" width="8.83203125" style="183" customWidth="1"/>
    <col min="1272" max="1272" width="7.83203125" style="183" customWidth="1"/>
    <col min="1273" max="1273" width="7.5" style="183" customWidth="1"/>
    <col min="1274" max="1274" width="9" style="183" customWidth="1"/>
    <col min="1275" max="1275" width="8.33203125" style="183" customWidth="1"/>
    <col min="1276" max="1278" width="8.5" style="183" bestFit="1" customWidth="1"/>
    <col min="1279" max="1279" width="10" style="183" bestFit="1" customWidth="1"/>
    <col min="1280" max="1280" width="8.1640625" style="183" bestFit="1" customWidth="1"/>
    <col min="1281" max="1282" width="8.5" style="183" bestFit="1" customWidth="1"/>
    <col min="1283" max="1283" width="6" style="183" bestFit="1" customWidth="1"/>
    <col min="1284" max="1284" width="8.83203125" style="183" customWidth="1"/>
    <col min="1285" max="1285" width="8.5" style="183" bestFit="1" customWidth="1"/>
    <col min="1286" max="1286" width="7.1640625" style="183" bestFit="1" customWidth="1"/>
    <col min="1287" max="1287" width="4.5" style="183" bestFit="1" customWidth="1"/>
    <col min="1288" max="1288" width="5.5" style="183" bestFit="1" customWidth="1"/>
    <col min="1289" max="1291" width="6.1640625" style="183" bestFit="1" customWidth="1"/>
    <col min="1292" max="1292" width="7.1640625" style="183" bestFit="1" customWidth="1"/>
    <col min="1293" max="1302" width="8.83203125" style="183" customWidth="1"/>
    <col min="1303" max="1303" width="10" style="183" bestFit="1" customWidth="1"/>
    <col min="1304" max="1527" width="8.83203125" style="183" customWidth="1"/>
    <col min="1528" max="1528" width="7.83203125" style="183" customWidth="1"/>
    <col min="1529" max="1529" width="7.5" style="183" customWidth="1"/>
    <col min="1530" max="1530" width="9" style="183" customWidth="1"/>
    <col min="1531" max="1531" width="8.33203125" style="183" customWidth="1"/>
    <col min="1532" max="1534" width="8.5" style="183" bestFit="1" customWidth="1"/>
    <col min="1535" max="1535" width="10" style="183" bestFit="1" customWidth="1"/>
    <col min="1536" max="1536" width="8.1640625" style="183" bestFit="1" customWidth="1"/>
    <col min="1537" max="1538" width="8.5" style="183" bestFit="1" customWidth="1"/>
    <col min="1539" max="1539" width="6" style="183" bestFit="1" customWidth="1"/>
    <col min="1540" max="1540" width="8.83203125" style="183" customWidth="1"/>
    <col min="1541" max="1541" width="8.5" style="183" bestFit="1" customWidth="1"/>
    <col min="1542" max="1542" width="7.1640625" style="183" bestFit="1" customWidth="1"/>
    <col min="1543" max="1543" width="4.5" style="183" bestFit="1" customWidth="1"/>
    <col min="1544" max="1544" width="5.5" style="183" bestFit="1" customWidth="1"/>
    <col min="1545" max="1547" width="6.1640625" style="183" bestFit="1" customWidth="1"/>
    <col min="1548" max="1548" width="7.1640625" style="183" bestFit="1" customWidth="1"/>
    <col min="1549" max="1558" width="8.83203125" style="183" customWidth="1"/>
    <col min="1559" max="1559" width="10" style="183" bestFit="1" customWidth="1"/>
    <col min="1560" max="1783" width="8.83203125" style="183" customWidth="1"/>
    <col min="1784" max="1784" width="7.83203125" style="183" customWidth="1"/>
    <col min="1785" max="1785" width="7.5" style="183" customWidth="1"/>
    <col min="1786" max="1786" width="9" style="183" customWidth="1"/>
    <col min="1787" max="1787" width="8.33203125" style="183" customWidth="1"/>
    <col min="1788" max="1790" width="8.5" style="183" bestFit="1" customWidth="1"/>
    <col min="1791" max="1791" width="10" style="183" bestFit="1" customWidth="1"/>
    <col min="1792" max="1792" width="8.1640625" style="183" bestFit="1" customWidth="1"/>
    <col min="1793" max="1794" width="8.5" style="183" bestFit="1" customWidth="1"/>
    <col min="1795" max="1795" width="6" style="183" bestFit="1" customWidth="1"/>
    <col min="1796" max="1796" width="8.83203125" style="183" customWidth="1"/>
    <col min="1797" max="1797" width="8.5" style="183" bestFit="1" customWidth="1"/>
    <col min="1798" max="1798" width="7.1640625" style="183" bestFit="1" customWidth="1"/>
    <col min="1799" max="1799" width="4.5" style="183" bestFit="1" customWidth="1"/>
    <col min="1800" max="1800" width="5.5" style="183" bestFit="1" customWidth="1"/>
    <col min="1801" max="1803" width="6.1640625" style="183" bestFit="1" customWidth="1"/>
    <col min="1804" max="1804" width="7.1640625" style="183" bestFit="1" customWidth="1"/>
    <col min="1805" max="1814" width="8.83203125" style="183" customWidth="1"/>
    <col min="1815" max="1815" width="10" style="183" bestFit="1" customWidth="1"/>
    <col min="1816" max="2039" width="8.83203125" style="183" customWidth="1"/>
    <col min="2040" max="2040" width="7.83203125" style="183" customWidth="1"/>
    <col min="2041" max="2041" width="7.5" style="183" customWidth="1"/>
    <col min="2042" max="2042" width="9" style="183" customWidth="1"/>
    <col min="2043" max="2043" width="8.33203125" style="183" customWidth="1"/>
    <col min="2044" max="2046" width="8.5" style="183" bestFit="1" customWidth="1"/>
    <col min="2047" max="2047" width="10" style="183" bestFit="1" customWidth="1"/>
    <col min="2048" max="2048" width="8.1640625" style="183" bestFit="1" customWidth="1"/>
    <col min="2049" max="2050" width="8.5" style="183" bestFit="1" customWidth="1"/>
    <col min="2051" max="2051" width="6" style="183" bestFit="1" customWidth="1"/>
    <col min="2052" max="2052" width="8.83203125" style="183" customWidth="1"/>
    <col min="2053" max="2053" width="8.5" style="183" bestFit="1" customWidth="1"/>
    <col min="2054" max="2054" width="7.1640625" style="183" bestFit="1" customWidth="1"/>
    <col min="2055" max="2055" width="4.5" style="183" bestFit="1" customWidth="1"/>
    <col min="2056" max="2056" width="5.5" style="183" bestFit="1" customWidth="1"/>
    <col min="2057" max="2059" width="6.1640625" style="183" bestFit="1" customWidth="1"/>
    <col min="2060" max="2060" width="7.1640625" style="183" bestFit="1" customWidth="1"/>
    <col min="2061" max="2070" width="8.83203125" style="183" customWidth="1"/>
    <col min="2071" max="2071" width="10" style="183" bestFit="1" customWidth="1"/>
    <col min="2072" max="2295" width="8.83203125" style="183" customWidth="1"/>
    <col min="2296" max="2296" width="7.83203125" style="183" customWidth="1"/>
    <col min="2297" max="2297" width="7.5" style="183" customWidth="1"/>
    <col min="2298" max="2298" width="9" style="183" customWidth="1"/>
    <col min="2299" max="2299" width="8.33203125" style="183" customWidth="1"/>
    <col min="2300" max="2302" width="8.5" style="183" bestFit="1" customWidth="1"/>
    <col min="2303" max="2303" width="10" style="183" bestFit="1" customWidth="1"/>
    <col min="2304" max="2304" width="8.1640625" style="183" bestFit="1" customWidth="1"/>
    <col min="2305" max="2306" width="8.5" style="183" bestFit="1" customWidth="1"/>
    <col min="2307" max="2307" width="6" style="183" bestFit="1" customWidth="1"/>
    <col min="2308" max="2308" width="8.83203125" style="183" customWidth="1"/>
    <col min="2309" max="2309" width="8.5" style="183" bestFit="1" customWidth="1"/>
    <col min="2310" max="2310" width="7.1640625" style="183" bestFit="1" customWidth="1"/>
    <col min="2311" max="2311" width="4.5" style="183" bestFit="1" customWidth="1"/>
    <col min="2312" max="2312" width="5.5" style="183" bestFit="1" customWidth="1"/>
    <col min="2313" max="2315" width="6.1640625" style="183" bestFit="1" customWidth="1"/>
    <col min="2316" max="2316" width="7.1640625" style="183" bestFit="1" customWidth="1"/>
    <col min="2317" max="2326" width="8.83203125" style="183" customWidth="1"/>
    <col min="2327" max="2327" width="10" style="183" bestFit="1" customWidth="1"/>
    <col min="2328" max="2551" width="8.83203125" style="183" customWidth="1"/>
    <col min="2552" max="2552" width="7.83203125" style="183" customWidth="1"/>
    <col min="2553" max="2553" width="7.5" style="183" customWidth="1"/>
    <col min="2554" max="2554" width="9" style="183" customWidth="1"/>
    <col min="2555" max="2555" width="8.33203125" style="183" customWidth="1"/>
    <col min="2556" max="2558" width="8.5" style="183" bestFit="1" customWidth="1"/>
    <col min="2559" max="2559" width="10" style="183" bestFit="1" customWidth="1"/>
    <col min="2560" max="2560" width="8.1640625" style="183" bestFit="1" customWidth="1"/>
    <col min="2561" max="2562" width="8.5" style="183" bestFit="1" customWidth="1"/>
    <col min="2563" max="2563" width="6" style="183" bestFit="1" customWidth="1"/>
    <col min="2564" max="2564" width="8.83203125" style="183" customWidth="1"/>
    <col min="2565" max="2565" width="8.5" style="183" bestFit="1" customWidth="1"/>
    <col min="2566" max="2566" width="7.1640625" style="183" bestFit="1" customWidth="1"/>
    <col min="2567" max="2567" width="4.5" style="183" bestFit="1" customWidth="1"/>
    <col min="2568" max="2568" width="5.5" style="183" bestFit="1" customWidth="1"/>
    <col min="2569" max="2571" width="6.1640625" style="183" bestFit="1" customWidth="1"/>
    <col min="2572" max="2572" width="7.1640625" style="183" bestFit="1" customWidth="1"/>
    <col min="2573" max="2582" width="8.83203125" style="183" customWidth="1"/>
    <col min="2583" max="2583" width="10" style="183" bestFit="1" customWidth="1"/>
    <col min="2584" max="2807" width="8.83203125" style="183" customWidth="1"/>
    <col min="2808" max="2808" width="7.83203125" style="183" customWidth="1"/>
    <col min="2809" max="2809" width="7.5" style="183" customWidth="1"/>
    <col min="2810" max="2810" width="9" style="183" customWidth="1"/>
    <col min="2811" max="2811" width="8.33203125" style="183" customWidth="1"/>
    <col min="2812" max="2814" width="8.5" style="183" bestFit="1" customWidth="1"/>
    <col min="2815" max="2815" width="10" style="183" bestFit="1" customWidth="1"/>
    <col min="2816" max="2816" width="8.1640625" style="183" bestFit="1" customWidth="1"/>
    <col min="2817" max="2818" width="8.5" style="183" bestFit="1" customWidth="1"/>
    <col min="2819" max="2819" width="6" style="183" bestFit="1" customWidth="1"/>
    <col min="2820" max="2820" width="8.83203125" style="183" customWidth="1"/>
    <col min="2821" max="2821" width="8.5" style="183" bestFit="1" customWidth="1"/>
    <col min="2822" max="2822" width="7.1640625" style="183" bestFit="1" customWidth="1"/>
    <col min="2823" max="2823" width="4.5" style="183" bestFit="1" customWidth="1"/>
    <col min="2824" max="2824" width="5.5" style="183" bestFit="1" customWidth="1"/>
    <col min="2825" max="2827" width="6.1640625" style="183" bestFit="1" customWidth="1"/>
    <col min="2828" max="2828" width="7.1640625" style="183" bestFit="1" customWidth="1"/>
    <col min="2829" max="2838" width="8.83203125" style="183" customWidth="1"/>
    <col min="2839" max="2839" width="10" style="183" bestFit="1" customWidth="1"/>
    <col min="2840" max="3063" width="8.83203125" style="183" customWidth="1"/>
    <col min="3064" max="3064" width="7.83203125" style="183" customWidth="1"/>
    <col min="3065" max="3065" width="7.5" style="183" customWidth="1"/>
    <col min="3066" max="3066" width="9" style="183" customWidth="1"/>
    <col min="3067" max="3067" width="8.33203125" style="183" customWidth="1"/>
    <col min="3068" max="3070" width="8.5" style="183" bestFit="1" customWidth="1"/>
    <col min="3071" max="3071" width="10" style="183" bestFit="1" customWidth="1"/>
    <col min="3072" max="3072" width="8.1640625" style="183" bestFit="1" customWidth="1"/>
    <col min="3073" max="3074" width="8.5" style="183" bestFit="1" customWidth="1"/>
    <col min="3075" max="3075" width="6" style="183" bestFit="1" customWidth="1"/>
    <col min="3076" max="3076" width="8.83203125" style="183" customWidth="1"/>
    <col min="3077" max="3077" width="8.5" style="183" bestFit="1" customWidth="1"/>
    <col min="3078" max="3078" width="7.1640625" style="183" bestFit="1" customWidth="1"/>
    <col min="3079" max="3079" width="4.5" style="183" bestFit="1" customWidth="1"/>
    <col min="3080" max="3080" width="5.5" style="183" bestFit="1" customWidth="1"/>
    <col min="3081" max="3083" width="6.1640625" style="183" bestFit="1" customWidth="1"/>
    <col min="3084" max="3084" width="7.1640625" style="183" bestFit="1" customWidth="1"/>
    <col min="3085" max="3094" width="8.83203125" style="183" customWidth="1"/>
    <col min="3095" max="3095" width="10" style="183" bestFit="1" customWidth="1"/>
    <col min="3096" max="3319" width="8.83203125" style="183" customWidth="1"/>
    <col min="3320" max="3320" width="7.83203125" style="183" customWidth="1"/>
    <col min="3321" max="3321" width="7.5" style="183" customWidth="1"/>
    <col min="3322" max="3322" width="9" style="183" customWidth="1"/>
    <col min="3323" max="3323" width="8.33203125" style="183" customWidth="1"/>
    <col min="3324" max="3326" width="8.5" style="183" bestFit="1" customWidth="1"/>
    <col min="3327" max="3327" width="10" style="183" bestFit="1" customWidth="1"/>
    <col min="3328" max="3328" width="8.1640625" style="183" bestFit="1" customWidth="1"/>
    <col min="3329" max="3330" width="8.5" style="183" bestFit="1" customWidth="1"/>
    <col min="3331" max="3331" width="6" style="183" bestFit="1" customWidth="1"/>
    <col min="3332" max="3332" width="8.83203125" style="183" customWidth="1"/>
    <col min="3333" max="3333" width="8.5" style="183" bestFit="1" customWidth="1"/>
    <col min="3334" max="3334" width="7.1640625" style="183" bestFit="1" customWidth="1"/>
    <col min="3335" max="3335" width="4.5" style="183" bestFit="1" customWidth="1"/>
    <col min="3336" max="3336" width="5.5" style="183" bestFit="1" customWidth="1"/>
    <col min="3337" max="3339" width="6.1640625" style="183" bestFit="1" customWidth="1"/>
    <col min="3340" max="3340" width="7.1640625" style="183" bestFit="1" customWidth="1"/>
    <col min="3341" max="3350" width="8.83203125" style="183" customWidth="1"/>
    <col min="3351" max="3351" width="10" style="183" bestFit="1" customWidth="1"/>
    <col min="3352" max="3575" width="8.83203125" style="183" customWidth="1"/>
    <col min="3576" max="3576" width="7.83203125" style="183" customWidth="1"/>
    <col min="3577" max="3577" width="7.5" style="183" customWidth="1"/>
    <col min="3578" max="3578" width="9" style="183" customWidth="1"/>
    <col min="3579" max="3579" width="8.33203125" style="183" customWidth="1"/>
    <col min="3580" max="3582" width="8.5" style="183" bestFit="1" customWidth="1"/>
    <col min="3583" max="3583" width="10" style="183" bestFit="1" customWidth="1"/>
    <col min="3584" max="3584" width="8.1640625" style="183" bestFit="1" customWidth="1"/>
    <col min="3585" max="3586" width="8.5" style="183" bestFit="1" customWidth="1"/>
    <col min="3587" max="3587" width="6" style="183" bestFit="1" customWidth="1"/>
    <col min="3588" max="3588" width="8.83203125" style="183" customWidth="1"/>
    <col min="3589" max="3589" width="8.5" style="183" bestFit="1" customWidth="1"/>
    <col min="3590" max="3590" width="7.1640625" style="183" bestFit="1" customWidth="1"/>
    <col min="3591" max="3591" width="4.5" style="183" bestFit="1" customWidth="1"/>
    <col min="3592" max="3592" width="5.5" style="183" bestFit="1" customWidth="1"/>
    <col min="3593" max="3595" width="6.1640625" style="183" bestFit="1" customWidth="1"/>
    <col min="3596" max="3596" width="7.1640625" style="183" bestFit="1" customWidth="1"/>
    <col min="3597" max="3606" width="8.83203125" style="183" customWidth="1"/>
    <col min="3607" max="3607" width="10" style="183" bestFit="1" customWidth="1"/>
    <col min="3608" max="3831" width="8.83203125" style="183" customWidth="1"/>
    <col min="3832" max="3832" width="7.83203125" style="183" customWidth="1"/>
    <col min="3833" max="3833" width="7.5" style="183" customWidth="1"/>
    <col min="3834" max="3834" width="9" style="183" customWidth="1"/>
    <col min="3835" max="3835" width="8.33203125" style="183" customWidth="1"/>
    <col min="3836" max="3838" width="8.5" style="183" bestFit="1" customWidth="1"/>
    <col min="3839" max="3839" width="10" style="183" bestFit="1" customWidth="1"/>
    <col min="3840" max="3840" width="8.1640625" style="183" bestFit="1" customWidth="1"/>
    <col min="3841" max="3842" width="8.5" style="183" bestFit="1" customWidth="1"/>
    <col min="3843" max="3843" width="6" style="183" bestFit="1" customWidth="1"/>
    <col min="3844" max="3844" width="8.83203125" style="183" customWidth="1"/>
    <col min="3845" max="3845" width="8.5" style="183" bestFit="1" customWidth="1"/>
    <col min="3846" max="3846" width="7.1640625" style="183" bestFit="1" customWidth="1"/>
    <col min="3847" max="3847" width="4.5" style="183" bestFit="1" customWidth="1"/>
    <col min="3848" max="3848" width="5.5" style="183" bestFit="1" customWidth="1"/>
    <col min="3849" max="3851" width="6.1640625" style="183" bestFit="1" customWidth="1"/>
    <col min="3852" max="3852" width="7.1640625" style="183" bestFit="1" customWidth="1"/>
    <col min="3853" max="3862" width="8.83203125" style="183" customWidth="1"/>
    <col min="3863" max="3863" width="10" style="183" bestFit="1" customWidth="1"/>
    <col min="3864" max="4087" width="8.83203125" style="183" customWidth="1"/>
    <col min="4088" max="4088" width="7.83203125" style="183" customWidth="1"/>
    <col min="4089" max="4089" width="7.5" style="183" customWidth="1"/>
    <col min="4090" max="4090" width="9" style="183" customWidth="1"/>
    <col min="4091" max="4091" width="8.33203125" style="183" customWidth="1"/>
    <col min="4092" max="4094" width="8.5" style="183" bestFit="1" customWidth="1"/>
    <col min="4095" max="4095" width="10" style="183" bestFit="1" customWidth="1"/>
    <col min="4096" max="4096" width="8.1640625" style="183" bestFit="1" customWidth="1"/>
    <col min="4097" max="4098" width="8.5" style="183" bestFit="1" customWidth="1"/>
    <col min="4099" max="4099" width="6" style="183" bestFit="1" customWidth="1"/>
    <col min="4100" max="4100" width="8.83203125" style="183" customWidth="1"/>
    <col min="4101" max="4101" width="8.5" style="183" bestFit="1" customWidth="1"/>
    <col min="4102" max="4102" width="7.1640625" style="183" bestFit="1" customWidth="1"/>
    <col min="4103" max="4103" width="4.5" style="183" bestFit="1" customWidth="1"/>
    <col min="4104" max="4104" width="5.5" style="183" bestFit="1" customWidth="1"/>
    <col min="4105" max="4107" width="6.1640625" style="183" bestFit="1" customWidth="1"/>
    <col min="4108" max="4108" width="7.1640625" style="183" bestFit="1" customWidth="1"/>
    <col min="4109" max="4118" width="8.83203125" style="183" customWidth="1"/>
    <col min="4119" max="4119" width="10" style="183" bestFit="1" customWidth="1"/>
    <col min="4120" max="4343" width="8.83203125" style="183" customWidth="1"/>
    <col min="4344" max="4344" width="7.83203125" style="183" customWidth="1"/>
    <col min="4345" max="4345" width="7.5" style="183" customWidth="1"/>
    <col min="4346" max="4346" width="9" style="183" customWidth="1"/>
    <col min="4347" max="4347" width="8.33203125" style="183" customWidth="1"/>
    <col min="4348" max="4350" width="8.5" style="183" bestFit="1" customWidth="1"/>
    <col min="4351" max="4351" width="10" style="183" bestFit="1" customWidth="1"/>
    <col min="4352" max="4352" width="8.1640625" style="183" bestFit="1" customWidth="1"/>
    <col min="4353" max="4354" width="8.5" style="183" bestFit="1" customWidth="1"/>
    <col min="4355" max="4355" width="6" style="183" bestFit="1" customWidth="1"/>
    <col min="4356" max="4356" width="8.83203125" style="183" customWidth="1"/>
    <col min="4357" max="4357" width="8.5" style="183" bestFit="1" customWidth="1"/>
    <col min="4358" max="4358" width="7.1640625" style="183" bestFit="1" customWidth="1"/>
    <col min="4359" max="4359" width="4.5" style="183" bestFit="1" customWidth="1"/>
    <col min="4360" max="4360" width="5.5" style="183" bestFit="1" customWidth="1"/>
    <col min="4361" max="4363" width="6.1640625" style="183" bestFit="1" customWidth="1"/>
    <col min="4364" max="4364" width="7.1640625" style="183" bestFit="1" customWidth="1"/>
    <col min="4365" max="4374" width="8.83203125" style="183" customWidth="1"/>
    <col min="4375" max="4375" width="10" style="183" bestFit="1" customWidth="1"/>
    <col min="4376" max="4599" width="8.83203125" style="183" customWidth="1"/>
    <col min="4600" max="4600" width="7.83203125" style="183" customWidth="1"/>
    <col min="4601" max="4601" width="7.5" style="183" customWidth="1"/>
    <col min="4602" max="4602" width="9" style="183" customWidth="1"/>
    <col min="4603" max="4603" width="8.33203125" style="183" customWidth="1"/>
    <col min="4604" max="4606" width="8.5" style="183" bestFit="1" customWidth="1"/>
    <col min="4607" max="4607" width="10" style="183" bestFit="1" customWidth="1"/>
    <col min="4608" max="4608" width="8.1640625" style="183" bestFit="1" customWidth="1"/>
    <col min="4609" max="4610" width="8.5" style="183" bestFit="1" customWidth="1"/>
    <col min="4611" max="4611" width="6" style="183" bestFit="1" customWidth="1"/>
    <col min="4612" max="4612" width="8.83203125" style="183" customWidth="1"/>
    <col min="4613" max="4613" width="8.5" style="183" bestFit="1" customWidth="1"/>
    <col min="4614" max="4614" width="7.1640625" style="183" bestFit="1" customWidth="1"/>
    <col min="4615" max="4615" width="4.5" style="183" bestFit="1" customWidth="1"/>
    <col min="4616" max="4616" width="5.5" style="183" bestFit="1" customWidth="1"/>
    <col min="4617" max="4619" width="6.1640625" style="183" bestFit="1" customWidth="1"/>
    <col min="4620" max="4620" width="7.1640625" style="183" bestFit="1" customWidth="1"/>
    <col min="4621" max="4630" width="8.83203125" style="183" customWidth="1"/>
    <col min="4631" max="4631" width="10" style="183" bestFit="1" customWidth="1"/>
    <col min="4632" max="4855" width="8.83203125" style="183" customWidth="1"/>
    <col min="4856" max="4856" width="7.83203125" style="183" customWidth="1"/>
    <col min="4857" max="4857" width="7.5" style="183" customWidth="1"/>
    <col min="4858" max="4858" width="9" style="183" customWidth="1"/>
    <col min="4859" max="4859" width="8.33203125" style="183" customWidth="1"/>
    <col min="4860" max="4862" width="8.5" style="183" bestFit="1" customWidth="1"/>
    <col min="4863" max="4863" width="10" style="183" bestFit="1" customWidth="1"/>
    <col min="4864" max="4864" width="8.1640625" style="183" bestFit="1" customWidth="1"/>
    <col min="4865" max="4866" width="8.5" style="183" bestFit="1" customWidth="1"/>
    <col min="4867" max="4867" width="6" style="183" bestFit="1" customWidth="1"/>
    <col min="4868" max="4868" width="8.83203125" style="183" customWidth="1"/>
    <col min="4869" max="4869" width="8.5" style="183" bestFit="1" customWidth="1"/>
    <col min="4870" max="4870" width="7.1640625" style="183" bestFit="1" customWidth="1"/>
    <col min="4871" max="4871" width="4.5" style="183" bestFit="1" customWidth="1"/>
    <col min="4872" max="4872" width="5.5" style="183" bestFit="1" customWidth="1"/>
    <col min="4873" max="4875" width="6.1640625" style="183" bestFit="1" customWidth="1"/>
    <col min="4876" max="4876" width="7.1640625" style="183" bestFit="1" customWidth="1"/>
    <col min="4877" max="4886" width="8.83203125" style="183" customWidth="1"/>
    <col min="4887" max="4887" width="10" style="183" bestFit="1" customWidth="1"/>
    <col min="4888" max="5111" width="8.83203125" style="183" customWidth="1"/>
    <col min="5112" max="5112" width="7.83203125" style="183" customWidth="1"/>
    <col min="5113" max="5113" width="7.5" style="183" customWidth="1"/>
    <col min="5114" max="5114" width="9" style="183" customWidth="1"/>
    <col min="5115" max="5115" width="8.33203125" style="183" customWidth="1"/>
    <col min="5116" max="5118" width="8.5" style="183" bestFit="1" customWidth="1"/>
    <col min="5119" max="5119" width="10" style="183" bestFit="1" customWidth="1"/>
    <col min="5120" max="5120" width="8.1640625" style="183" bestFit="1" customWidth="1"/>
    <col min="5121" max="5122" width="8.5" style="183" bestFit="1" customWidth="1"/>
    <col min="5123" max="5123" width="6" style="183" bestFit="1" customWidth="1"/>
    <col min="5124" max="5124" width="8.83203125" style="183" customWidth="1"/>
    <col min="5125" max="5125" width="8.5" style="183" bestFit="1" customWidth="1"/>
    <col min="5126" max="5126" width="7.1640625" style="183" bestFit="1" customWidth="1"/>
    <col min="5127" max="5127" width="4.5" style="183" bestFit="1" customWidth="1"/>
    <col min="5128" max="5128" width="5.5" style="183" bestFit="1" customWidth="1"/>
    <col min="5129" max="5131" width="6.1640625" style="183" bestFit="1" customWidth="1"/>
    <col min="5132" max="5132" width="7.1640625" style="183" bestFit="1" customWidth="1"/>
    <col min="5133" max="5142" width="8.83203125" style="183" customWidth="1"/>
    <col min="5143" max="5143" width="10" style="183" bestFit="1" customWidth="1"/>
    <col min="5144" max="5367" width="8.83203125" style="183" customWidth="1"/>
    <col min="5368" max="5368" width="7.83203125" style="183" customWidth="1"/>
    <col min="5369" max="5369" width="7.5" style="183" customWidth="1"/>
    <col min="5370" max="5370" width="9" style="183" customWidth="1"/>
    <col min="5371" max="5371" width="8.33203125" style="183" customWidth="1"/>
    <col min="5372" max="5374" width="8.5" style="183" bestFit="1" customWidth="1"/>
    <col min="5375" max="5375" width="10" style="183" bestFit="1" customWidth="1"/>
    <col min="5376" max="5376" width="8.1640625" style="183" bestFit="1" customWidth="1"/>
    <col min="5377" max="5378" width="8.5" style="183" bestFit="1" customWidth="1"/>
    <col min="5379" max="5379" width="6" style="183" bestFit="1" customWidth="1"/>
    <col min="5380" max="5380" width="8.83203125" style="183" customWidth="1"/>
    <col min="5381" max="5381" width="8.5" style="183" bestFit="1" customWidth="1"/>
    <col min="5382" max="5382" width="7.1640625" style="183" bestFit="1" customWidth="1"/>
    <col min="5383" max="5383" width="4.5" style="183" bestFit="1" customWidth="1"/>
    <col min="5384" max="5384" width="5.5" style="183" bestFit="1" customWidth="1"/>
    <col min="5385" max="5387" width="6.1640625" style="183" bestFit="1" customWidth="1"/>
    <col min="5388" max="5388" width="7.1640625" style="183" bestFit="1" customWidth="1"/>
    <col min="5389" max="5398" width="8.83203125" style="183" customWidth="1"/>
    <col min="5399" max="5399" width="10" style="183" bestFit="1" customWidth="1"/>
    <col min="5400" max="5623" width="8.83203125" style="183" customWidth="1"/>
    <col min="5624" max="5624" width="7.83203125" style="183" customWidth="1"/>
    <col min="5625" max="5625" width="7.5" style="183" customWidth="1"/>
    <col min="5626" max="5626" width="9" style="183" customWidth="1"/>
    <col min="5627" max="5627" width="8.33203125" style="183" customWidth="1"/>
    <col min="5628" max="5630" width="8.5" style="183" bestFit="1" customWidth="1"/>
    <col min="5631" max="5631" width="10" style="183" bestFit="1" customWidth="1"/>
    <col min="5632" max="5632" width="8.1640625" style="183" bestFit="1" customWidth="1"/>
    <col min="5633" max="5634" width="8.5" style="183" bestFit="1" customWidth="1"/>
    <col min="5635" max="5635" width="6" style="183" bestFit="1" customWidth="1"/>
    <col min="5636" max="5636" width="8.83203125" style="183" customWidth="1"/>
    <col min="5637" max="5637" width="8.5" style="183" bestFit="1" customWidth="1"/>
    <col min="5638" max="5638" width="7.1640625" style="183" bestFit="1" customWidth="1"/>
    <col min="5639" max="5639" width="4.5" style="183" bestFit="1" customWidth="1"/>
    <col min="5640" max="5640" width="5.5" style="183" bestFit="1" customWidth="1"/>
    <col min="5641" max="5643" width="6.1640625" style="183" bestFit="1" customWidth="1"/>
    <col min="5644" max="5644" width="7.1640625" style="183" bestFit="1" customWidth="1"/>
    <col min="5645" max="5654" width="8.83203125" style="183" customWidth="1"/>
    <col min="5655" max="5655" width="10" style="183" bestFit="1" customWidth="1"/>
    <col min="5656" max="5879" width="8.83203125" style="183" customWidth="1"/>
    <col min="5880" max="5880" width="7.83203125" style="183" customWidth="1"/>
    <col min="5881" max="5881" width="7.5" style="183" customWidth="1"/>
    <col min="5882" max="5882" width="9" style="183" customWidth="1"/>
    <col min="5883" max="5883" width="8.33203125" style="183" customWidth="1"/>
    <col min="5884" max="5886" width="8.5" style="183" bestFit="1" customWidth="1"/>
    <col min="5887" max="5887" width="10" style="183" bestFit="1" customWidth="1"/>
    <col min="5888" max="5888" width="8.1640625" style="183" bestFit="1" customWidth="1"/>
    <col min="5889" max="5890" width="8.5" style="183" bestFit="1" customWidth="1"/>
    <col min="5891" max="5891" width="6" style="183" bestFit="1" customWidth="1"/>
    <col min="5892" max="5892" width="8.83203125" style="183" customWidth="1"/>
    <col min="5893" max="5893" width="8.5" style="183" bestFit="1" customWidth="1"/>
    <col min="5894" max="5894" width="7.1640625" style="183" bestFit="1" customWidth="1"/>
    <col min="5895" max="5895" width="4.5" style="183" bestFit="1" customWidth="1"/>
    <col min="5896" max="5896" width="5.5" style="183" bestFit="1" customWidth="1"/>
    <col min="5897" max="5899" width="6.1640625" style="183" bestFit="1" customWidth="1"/>
    <col min="5900" max="5900" width="7.1640625" style="183" bestFit="1" customWidth="1"/>
    <col min="5901" max="5910" width="8.83203125" style="183" customWidth="1"/>
    <col min="5911" max="5911" width="10" style="183" bestFit="1" customWidth="1"/>
    <col min="5912" max="6135" width="8.83203125" style="183" customWidth="1"/>
    <col min="6136" max="6136" width="7.83203125" style="183" customWidth="1"/>
    <col min="6137" max="6137" width="7.5" style="183" customWidth="1"/>
    <col min="6138" max="6138" width="9" style="183" customWidth="1"/>
    <col min="6139" max="6139" width="8.33203125" style="183" customWidth="1"/>
    <col min="6140" max="6142" width="8.5" style="183" bestFit="1" customWidth="1"/>
    <col min="6143" max="6143" width="10" style="183" bestFit="1" customWidth="1"/>
    <col min="6144" max="6144" width="8.1640625" style="183" bestFit="1" customWidth="1"/>
    <col min="6145" max="6146" width="8.5" style="183" bestFit="1" customWidth="1"/>
    <col min="6147" max="6147" width="6" style="183" bestFit="1" customWidth="1"/>
    <col min="6148" max="6148" width="8.83203125" style="183" customWidth="1"/>
    <col min="6149" max="6149" width="8.5" style="183" bestFit="1" customWidth="1"/>
    <col min="6150" max="6150" width="7.1640625" style="183" bestFit="1" customWidth="1"/>
    <col min="6151" max="6151" width="4.5" style="183" bestFit="1" customWidth="1"/>
    <col min="6152" max="6152" width="5.5" style="183" bestFit="1" customWidth="1"/>
    <col min="6153" max="6155" width="6.1640625" style="183" bestFit="1" customWidth="1"/>
    <col min="6156" max="6156" width="7.1640625" style="183" bestFit="1" customWidth="1"/>
    <col min="6157" max="6166" width="8.83203125" style="183" customWidth="1"/>
    <col min="6167" max="6167" width="10" style="183" bestFit="1" customWidth="1"/>
    <col min="6168" max="6391" width="8.83203125" style="183" customWidth="1"/>
    <col min="6392" max="6392" width="7.83203125" style="183" customWidth="1"/>
    <col min="6393" max="6393" width="7.5" style="183" customWidth="1"/>
    <col min="6394" max="6394" width="9" style="183" customWidth="1"/>
    <col min="6395" max="6395" width="8.33203125" style="183" customWidth="1"/>
    <col min="6396" max="6398" width="8.5" style="183" bestFit="1" customWidth="1"/>
    <col min="6399" max="6399" width="10" style="183" bestFit="1" customWidth="1"/>
    <col min="6400" max="6400" width="8.1640625" style="183" bestFit="1" customWidth="1"/>
    <col min="6401" max="6402" width="8.5" style="183" bestFit="1" customWidth="1"/>
    <col min="6403" max="6403" width="6" style="183" bestFit="1" customWidth="1"/>
    <col min="6404" max="6404" width="8.83203125" style="183" customWidth="1"/>
    <col min="6405" max="6405" width="8.5" style="183" bestFit="1" customWidth="1"/>
    <col min="6406" max="6406" width="7.1640625" style="183" bestFit="1" customWidth="1"/>
    <col min="6407" max="6407" width="4.5" style="183" bestFit="1" customWidth="1"/>
    <col min="6408" max="6408" width="5.5" style="183" bestFit="1" customWidth="1"/>
    <col min="6409" max="6411" width="6.1640625" style="183" bestFit="1" customWidth="1"/>
    <col min="6412" max="6412" width="7.1640625" style="183" bestFit="1" customWidth="1"/>
    <col min="6413" max="6422" width="8.83203125" style="183" customWidth="1"/>
    <col min="6423" max="6423" width="10" style="183" bestFit="1" customWidth="1"/>
    <col min="6424" max="6647" width="8.83203125" style="183" customWidth="1"/>
    <col min="6648" max="6648" width="7.83203125" style="183" customWidth="1"/>
    <col min="6649" max="6649" width="7.5" style="183" customWidth="1"/>
    <col min="6650" max="6650" width="9" style="183" customWidth="1"/>
    <col min="6651" max="6651" width="8.33203125" style="183" customWidth="1"/>
    <col min="6652" max="6654" width="8.5" style="183" bestFit="1" customWidth="1"/>
    <col min="6655" max="6655" width="10" style="183" bestFit="1" customWidth="1"/>
    <col min="6656" max="6656" width="8.1640625" style="183" bestFit="1" customWidth="1"/>
    <col min="6657" max="6658" width="8.5" style="183" bestFit="1" customWidth="1"/>
    <col min="6659" max="6659" width="6" style="183" bestFit="1" customWidth="1"/>
    <col min="6660" max="6660" width="8.83203125" style="183" customWidth="1"/>
    <col min="6661" max="6661" width="8.5" style="183" bestFit="1" customWidth="1"/>
    <col min="6662" max="6662" width="7.1640625" style="183" bestFit="1" customWidth="1"/>
    <col min="6663" max="6663" width="4.5" style="183" bestFit="1" customWidth="1"/>
    <col min="6664" max="6664" width="5.5" style="183" bestFit="1" customWidth="1"/>
    <col min="6665" max="6667" width="6.1640625" style="183" bestFit="1" customWidth="1"/>
    <col min="6668" max="6668" width="7.1640625" style="183" bestFit="1" customWidth="1"/>
    <col min="6669" max="6678" width="8.83203125" style="183" customWidth="1"/>
    <col min="6679" max="6679" width="10" style="183" bestFit="1" customWidth="1"/>
    <col min="6680" max="6903" width="8.83203125" style="183" customWidth="1"/>
    <col min="6904" max="6904" width="7.83203125" style="183" customWidth="1"/>
    <col min="6905" max="6905" width="7.5" style="183" customWidth="1"/>
    <col min="6906" max="6906" width="9" style="183" customWidth="1"/>
    <col min="6907" max="6907" width="8.33203125" style="183" customWidth="1"/>
    <col min="6908" max="6910" width="8.5" style="183" bestFit="1" customWidth="1"/>
    <col min="6911" max="6911" width="10" style="183" bestFit="1" customWidth="1"/>
    <col min="6912" max="6912" width="8.1640625" style="183" bestFit="1" customWidth="1"/>
    <col min="6913" max="6914" width="8.5" style="183" bestFit="1" customWidth="1"/>
    <col min="6915" max="6915" width="6" style="183" bestFit="1" customWidth="1"/>
    <col min="6916" max="6916" width="8.83203125" style="183" customWidth="1"/>
    <col min="6917" max="6917" width="8.5" style="183" bestFit="1" customWidth="1"/>
    <col min="6918" max="6918" width="7.1640625" style="183" bestFit="1" customWidth="1"/>
    <col min="6919" max="6919" width="4.5" style="183" bestFit="1" customWidth="1"/>
    <col min="6920" max="6920" width="5.5" style="183" bestFit="1" customWidth="1"/>
    <col min="6921" max="6923" width="6.1640625" style="183" bestFit="1" customWidth="1"/>
    <col min="6924" max="6924" width="7.1640625" style="183" bestFit="1" customWidth="1"/>
    <col min="6925" max="6934" width="8.83203125" style="183" customWidth="1"/>
    <col min="6935" max="6935" width="10" style="183" bestFit="1" customWidth="1"/>
    <col min="6936" max="7159" width="8.83203125" style="183" customWidth="1"/>
    <col min="7160" max="7160" width="7.83203125" style="183" customWidth="1"/>
    <col min="7161" max="7161" width="7.5" style="183" customWidth="1"/>
    <col min="7162" max="7162" width="9" style="183" customWidth="1"/>
    <col min="7163" max="7163" width="8.33203125" style="183" customWidth="1"/>
    <col min="7164" max="7166" width="8.5" style="183" bestFit="1" customWidth="1"/>
    <col min="7167" max="7167" width="10" style="183" bestFit="1" customWidth="1"/>
    <col min="7168" max="7168" width="8.1640625" style="183" bestFit="1" customWidth="1"/>
    <col min="7169" max="7170" width="8.5" style="183" bestFit="1" customWidth="1"/>
    <col min="7171" max="7171" width="6" style="183" bestFit="1" customWidth="1"/>
    <col min="7172" max="7172" width="8.83203125" style="183" customWidth="1"/>
    <col min="7173" max="7173" width="8.5" style="183" bestFit="1" customWidth="1"/>
    <col min="7174" max="7174" width="7.1640625" style="183" bestFit="1" customWidth="1"/>
    <col min="7175" max="7175" width="4.5" style="183" bestFit="1" customWidth="1"/>
    <col min="7176" max="7176" width="5.5" style="183" bestFit="1" customWidth="1"/>
    <col min="7177" max="7179" width="6.1640625" style="183" bestFit="1" customWidth="1"/>
    <col min="7180" max="7180" width="7.1640625" style="183" bestFit="1" customWidth="1"/>
    <col min="7181" max="7190" width="8.83203125" style="183" customWidth="1"/>
    <col min="7191" max="7191" width="10" style="183" bestFit="1" customWidth="1"/>
    <col min="7192" max="7415" width="8.83203125" style="183" customWidth="1"/>
    <col min="7416" max="7416" width="7.83203125" style="183" customWidth="1"/>
    <col min="7417" max="7417" width="7.5" style="183" customWidth="1"/>
    <col min="7418" max="7418" width="9" style="183" customWidth="1"/>
    <col min="7419" max="7419" width="8.33203125" style="183" customWidth="1"/>
    <col min="7420" max="7422" width="8.5" style="183" bestFit="1" customWidth="1"/>
    <col min="7423" max="7423" width="10" style="183" bestFit="1" customWidth="1"/>
    <col min="7424" max="7424" width="8.1640625" style="183" bestFit="1" customWidth="1"/>
    <col min="7425" max="7426" width="8.5" style="183" bestFit="1" customWidth="1"/>
    <col min="7427" max="7427" width="6" style="183" bestFit="1" customWidth="1"/>
    <col min="7428" max="7428" width="8.83203125" style="183" customWidth="1"/>
    <col min="7429" max="7429" width="8.5" style="183" bestFit="1" customWidth="1"/>
    <col min="7430" max="7430" width="7.1640625" style="183" bestFit="1" customWidth="1"/>
    <col min="7431" max="7431" width="4.5" style="183" bestFit="1" customWidth="1"/>
    <col min="7432" max="7432" width="5.5" style="183" bestFit="1" customWidth="1"/>
    <col min="7433" max="7435" width="6.1640625" style="183" bestFit="1" customWidth="1"/>
    <col min="7436" max="7436" width="7.1640625" style="183" bestFit="1" customWidth="1"/>
    <col min="7437" max="7446" width="8.83203125" style="183" customWidth="1"/>
    <col min="7447" max="7447" width="10" style="183" bestFit="1" customWidth="1"/>
    <col min="7448" max="7671" width="8.83203125" style="183" customWidth="1"/>
    <col min="7672" max="7672" width="7.83203125" style="183" customWidth="1"/>
    <col min="7673" max="7673" width="7.5" style="183" customWidth="1"/>
    <col min="7674" max="7674" width="9" style="183" customWidth="1"/>
    <col min="7675" max="7675" width="8.33203125" style="183" customWidth="1"/>
    <col min="7676" max="7678" width="8.5" style="183" bestFit="1" customWidth="1"/>
    <col min="7679" max="7679" width="10" style="183" bestFit="1" customWidth="1"/>
    <col min="7680" max="7680" width="8.1640625" style="183" bestFit="1" customWidth="1"/>
    <col min="7681" max="7682" width="8.5" style="183" bestFit="1" customWidth="1"/>
    <col min="7683" max="7683" width="6" style="183" bestFit="1" customWidth="1"/>
    <col min="7684" max="7684" width="8.83203125" style="183" customWidth="1"/>
    <col min="7685" max="7685" width="8.5" style="183" bestFit="1" customWidth="1"/>
    <col min="7686" max="7686" width="7.1640625" style="183" bestFit="1" customWidth="1"/>
    <col min="7687" max="7687" width="4.5" style="183" bestFit="1" customWidth="1"/>
    <col min="7688" max="7688" width="5.5" style="183" bestFit="1" customWidth="1"/>
    <col min="7689" max="7691" width="6.1640625" style="183" bestFit="1" customWidth="1"/>
    <col min="7692" max="7692" width="7.1640625" style="183" bestFit="1" customWidth="1"/>
    <col min="7693" max="7702" width="8.83203125" style="183" customWidth="1"/>
    <col min="7703" max="7703" width="10" style="183" bestFit="1" customWidth="1"/>
    <col min="7704" max="7927" width="8.83203125" style="183" customWidth="1"/>
    <col min="7928" max="7928" width="7.83203125" style="183" customWidth="1"/>
    <col min="7929" max="7929" width="7.5" style="183" customWidth="1"/>
    <col min="7930" max="7930" width="9" style="183" customWidth="1"/>
    <col min="7931" max="7931" width="8.33203125" style="183" customWidth="1"/>
    <col min="7932" max="7934" width="8.5" style="183" bestFit="1" customWidth="1"/>
    <col min="7935" max="7935" width="10" style="183" bestFit="1" customWidth="1"/>
    <col min="7936" max="7936" width="8.1640625" style="183" bestFit="1" customWidth="1"/>
    <col min="7937" max="7938" width="8.5" style="183" bestFit="1" customWidth="1"/>
    <col min="7939" max="7939" width="6" style="183" bestFit="1" customWidth="1"/>
    <col min="7940" max="7940" width="8.83203125" style="183" customWidth="1"/>
    <col min="7941" max="7941" width="8.5" style="183" bestFit="1" customWidth="1"/>
    <col min="7942" max="7942" width="7.1640625" style="183" bestFit="1" customWidth="1"/>
    <col min="7943" max="7943" width="4.5" style="183" bestFit="1" customWidth="1"/>
    <col min="7944" max="7944" width="5.5" style="183" bestFit="1" customWidth="1"/>
    <col min="7945" max="7947" width="6.1640625" style="183" bestFit="1" customWidth="1"/>
    <col min="7948" max="7948" width="7.1640625" style="183" bestFit="1" customWidth="1"/>
    <col min="7949" max="7958" width="8.83203125" style="183" customWidth="1"/>
    <col min="7959" max="7959" width="10" style="183" bestFit="1" customWidth="1"/>
    <col min="7960" max="8183" width="8.83203125" style="183" customWidth="1"/>
    <col min="8184" max="8184" width="7.83203125" style="183" customWidth="1"/>
    <col min="8185" max="8185" width="7.5" style="183" customWidth="1"/>
    <col min="8186" max="8186" width="9" style="183" customWidth="1"/>
    <col min="8187" max="8187" width="8.33203125" style="183" customWidth="1"/>
    <col min="8188" max="8190" width="8.5" style="183" bestFit="1" customWidth="1"/>
    <col min="8191" max="8191" width="10" style="183" bestFit="1" customWidth="1"/>
    <col min="8192" max="8192" width="8.1640625" style="183" bestFit="1" customWidth="1"/>
    <col min="8193" max="8194" width="8.5" style="183" bestFit="1" customWidth="1"/>
    <col min="8195" max="8195" width="6" style="183" bestFit="1" customWidth="1"/>
    <col min="8196" max="8196" width="8.83203125" style="183" customWidth="1"/>
    <col min="8197" max="8197" width="8.5" style="183" bestFit="1" customWidth="1"/>
    <col min="8198" max="8198" width="7.1640625" style="183" bestFit="1" customWidth="1"/>
    <col min="8199" max="8199" width="4.5" style="183" bestFit="1" customWidth="1"/>
    <col min="8200" max="8200" width="5.5" style="183" bestFit="1" customWidth="1"/>
    <col min="8201" max="8203" width="6.1640625" style="183" bestFit="1" customWidth="1"/>
    <col min="8204" max="8204" width="7.1640625" style="183" bestFit="1" customWidth="1"/>
    <col min="8205" max="8214" width="8.83203125" style="183" customWidth="1"/>
    <col min="8215" max="8215" width="10" style="183" bestFit="1" customWidth="1"/>
    <col min="8216" max="8439" width="8.83203125" style="183" customWidth="1"/>
    <col min="8440" max="8440" width="7.83203125" style="183" customWidth="1"/>
    <col min="8441" max="8441" width="7.5" style="183" customWidth="1"/>
    <col min="8442" max="8442" width="9" style="183" customWidth="1"/>
    <col min="8443" max="8443" width="8.33203125" style="183" customWidth="1"/>
    <col min="8444" max="8446" width="8.5" style="183" bestFit="1" customWidth="1"/>
    <col min="8447" max="8447" width="10" style="183" bestFit="1" customWidth="1"/>
    <col min="8448" max="8448" width="8.1640625" style="183" bestFit="1" customWidth="1"/>
    <col min="8449" max="8450" width="8.5" style="183" bestFit="1" customWidth="1"/>
    <col min="8451" max="8451" width="6" style="183" bestFit="1" customWidth="1"/>
    <col min="8452" max="8452" width="8.83203125" style="183" customWidth="1"/>
    <col min="8453" max="8453" width="8.5" style="183" bestFit="1" customWidth="1"/>
    <col min="8454" max="8454" width="7.1640625" style="183" bestFit="1" customWidth="1"/>
    <col min="8455" max="8455" width="4.5" style="183" bestFit="1" customWidth="1"/>
    <col min="8456" max="8456" width="5.5" style="183" bestFit="1" customWidth="1"/>
    <col min="8457" max="8459" width="6.1640625" style="183" bestFit="1" customWidth="1"/>
    <col min="8460" max="8460" width="7.1640625" style="183" bestFit="1" customWidth="1"/>
    <col min="8461" max="8470" width="8.83203125" style="183" customWidth="1"/>
    <col min="8471" max="8471" width="10" style="183" bestFit="1" customWidth="1"/>
    <col min="8472" max="8695" width="8.83203125" style="183" customWidth="1"/>
    <col min="8696" max="8696" width="7.83203125" style="183" customWidth="1"/>
    <col min="8697" max="8697" width="7.5" style="183" customWidth="1"/>
    <col min="8698" max="8698" width="9" style="183" customWidth="1"/>
    <col min="8699" max="8699" width="8.33203125" style="183" customWidth="1"/>
    <col min="8700" max="8702" width="8.5" style="183" bestFit="1" customWidth="1"/>
    <col min="8703" max="8703" width="10" style="183" bestFit="1" customWidth="1"/>
    <col min="8704" max="8704" width="8.1640625" style="183" bestFit="1" customWidth="1"/>
    <col min="8705" max="8706" width="8.5" style="183" bestFit="1" customWidth="1"/>
    <col min="8707" max="8707" width="6" style="183" bestFit="1" customWidth="1"/>
    <col min="8708" max="8708" width="8.83203125" style="183" customWidth="1"/>
    <col min="8709" max="8709" width="8.5" style="183" bestFit="1" customWidth="1"/>
    <col min="8710" max="8710" width="7.1640625" style="183" bestFit="1" customWidth="1"/>
    <col min="8711" max="8711" width="4.5" style="183" bestFit="1" customWidth="1"/>
    <col min="8712" max="8712" width="5.5" style="183" bestFit="1" customWidth="1"/>
    <col min="8713" max="8715" width="6.1640625" style="183" bestFit="1" customWidth="1"/>
    <col min="8716" max="8716" width="7.1640625" style="183" bestFit="1" customWidth="1"/>
    <col min="8717" max="8726" width="8.83203125" style="183" customWidth="1"/>
    <col min="8727" max="8727" width="10" style="183" bestFit="1" customWidth="1"/>
    <col min="8728" max="8951" width="8.83203125" style="183" customWidth="1"/>
    <col min="8952" max="8952" width="7.83203125" style="183" customWidth="1"/>
    <col min="8953" max="8953" width="7.5" style="183" customWidth="1"/>
    <col min="8954" max="8954" width="9" style="183" customWidth="1"/>
    <col min="8955" max="8955" width="8.33203125" style="183" customWidth="1"/>
    <col min="8956" max="8958" width="8.5" style="183" bestFit="1" customWidth="1"/>
    <col min="8959" max="8959" width="10" style="183" bestFit="1" customWidth="1"/>
    <col min="8960" max="8960" width="8.1640625" style="183" bestFit="1" customWidth="1"/>
    <col min="8961" max="8962" width="8.5" style="183" bestFit="1" customWidth="1"/>
    <col min="8963" max="8963" width="6" style="183" bestFit="1" customWidth="1"/>
    <col min="8964" max="8964" width="8.83203125" style="183" customWidth="1"/>
    <col min="8965" max="8965" width="8.5" style="183" bestFit="1" customWidth="1"/>
    <col min="8966" max="8966" width="7.1640625" style="183" bestFit="1" customWidth="1"/>
    <col min="8967" max="8967" width="4.5" style="183" bestFit="1" customWidth="1"/>
    <col min="8968" max="8968" width="5.5" style="183" bestFit="1" customWidth="1"/>
    <col min="8969" max="8971" width="6.1640625" style="183" bestFit="1" customWidth="1"/>
    <col min="8972" max="8972" width="7.1640625" style="183" bestFit="1" customWidth="1"/>
    <col min="8973" max="8982" width="8.83203125" style="183" customWidth="1"/>
    <col min="8983" max="8983" width="10" style="183" bestFit="1" customWidth="1"/>
    <col min="8984" max="9207" width="8.83203125" style="183" customWidth="1"/>
    <col min="9208" max="9208" width="7.83203125" style="183" customWidth="1"/>
    <col min="9209" max="9209" width="7.5" style="183" customWidth="1"/>
    <col min="9210" max="9210" width="9" style="183" customWidth="1"/>
    <col min="9211" max="9211" width="8.33203125" style="183" customWidth="1"/>
    <col min="9212" max="9214" width="8.5" style="183" bestFit="1" customWidth="1"/>
    <col min="9215" max="9215" width="10" style="183" bestFit="1" customWidth="1"/>
    <col min="9216" max="9216" width="8.1640625" style="183" bestFit="1" customWidth="1"/>
    <col min="9217" max="9218" width="8.5" style="183" bestFit="1" customWidth="1"/>
    <col min="9219" max="9219" width="6" style="183" bestFit="1" customWidth="1"/>
    <col min="9220" max="9220" width="8.83203125" style="183" customWidth="1"/>
    <col min="9221" max="9221" width="8.5" style="183" bestFit="1" customWidth="1"/>
    <col min="9222" max="9222" width="7.1640625" style="183" bestFit="1" customWidth="1"/>
    <col min="9223" max="9223" width="4.5" style="183" bestFit="1" customWidth="1"/>
    <col min="9224" max="9224" width="5.5" style="183" bestFit="1" customWidth="1"/>
    <col min="9225" max="9227" width="6.1640625" style="183" bestFit="1" customWidth="1"/>
    <col min="9228" max="9228" width="7.1640625" style="183" bestFit="1" customWidth="1"/>
    <col min="9229" max="9238" width="8.83203125" style="183" customWidth="1"/>
    <col min="9239" max="9239" width="10" style="183" bestFit="1" customWidth="1"/>
    <col min="9240" max="9463" width="8.83203125" style="183" customWidth="1"/>
    <col min="9464" max="9464" width="7.83203125" style="183" customWidth="1"/>
    <col min="9465" max="9465" width="7.5" style="183" customWidth="1"/>
    <col min="9466" max="9466" width="9" style="183" customWidth="1"/>
    <col min="9467" max="9467" width="8.33203125" style="183" customWidth="1"/>
    <col min="9468" max="9470" width="8.5" style="183" bestFit="1" customWidth="1"/>
    <col min="9471" max="9471" width="10" style="183" bestFit="1" customWidth="1"/>
    <col min="9472" max="9472" width="8.1640625" style="183" bestFit="1" customWidth="1"/>
    <col min="9473" max="9474" width="8.5" style="183" bestFit="1" customWidth="1"/>
    <col min="9475" max="9475" width="6" style="183" bestFit="1" customWidth="1"/>
    <col min="9476" max="9476" width="8.83203125" style="183" customWidth="1"/>
    <col min="9477" max="9477" width="8.5" style="183" bestFit="1" customWidth="1"/>
    <col min="9478" max="9478" width="7.1640625" style="183" bestFit="1" customWidth="1"/>
    <col min="9479" max="9479" width="4.5" style="183" bestFit="1" customWidth="1"/>
    <col min="9480" max="9480" width="5.5" style="183" bestFit="1" customWidth="1"/>
    <col min="9481" max="9483" width="6.1640625" style="183" bestFit="1" customWidth="1"/>
    <col min="9484" max="9484" width="7.1640625" style="183" bestFit="1" customWidth="1"/>
    <col min="9485" max="9494" width="8.83203125" style="183" customWidth="1"/>
    <col min="9495" max="9495" width="10" style="183" bestFit="1" customWidth="1"/>
    <col min="9496" max="9719" width="8.83203125" style="183" customWidth="1"/>
    <col min="9720" max="9720" width="7.83203125" style="183" customWidth="1"/>
    <col min="9721" max="9721" width="7.5" style="183" customWidth="1"/>
    <col min="9722" max="9722" width="9" style="183" customWidth="1"/>
    <col min="9723" max="9723" width="8.33203125" style="183" customWidth="1"/>
    <col min="9724" max="9726" width="8.5" style="183" bestFit="1" customWidth="1"/>
    <col min="9727" max="9727" width="10" style="183" bestFit="1" customWidth="1"/>
    <col min="9728" max="9728" width="8.1640625" style="183" bestFit="1" customWidth="1"/>
    <col min="9729" max="9730" width="8.5" style="183" bestFit="1" customWidth="1"/>
    <col min="9731" max="9731" width="6" style="183" bestFit="1" customWidth="1"/>
    <col min="9732" max="9732" width="8.83203125" style="183" customWidth="1"/>
    <col min="9733" max="9733" width="8.5" style="183" bestFit="1" customWidth="1"/>
    <col min="9734" max="9734" width="7.1640625" style="183" bestFit="1" customWidth="1"/>
    <col min="9735" max="9735" width="4.5" style="183" bestFit="1" customWidth="1"/>
    <col min="9736" max="9736" width="5.5" style="183" bestFit="1" customWidth="1"/>
    <col min="9737" max="9739" width="6.1640625" style="183" bestFit="1" customWidth="1"/>
    <col min="9740" max="9740" width="7.1640625" style="183" bestFit="1" customWidth="1"/>
    <col min="9741" max="9750" width="8.83203125" style="183" customWidth="1"/>
    <col min="9751" max="9751" width="10" style="183" bestFit="1" customWidth="1"/>
    <col min="9752" max="9975" width="8.83203125" style="183" customWidth="1"/>
    <col min="9976" max="9976" width="7.83203125" style="183" customWidth="1"/>
    <col min="9977" max="9977" width="7.5" style="183" customWidth="1"/>
    <col min="9978" max="9978" width="9" style="183" customWidth="1"/>
    <col min="9979" max="9979" width="8.33203125" style="183" customWidth="1"/>
    <col min="9980" max="9982" width="8.5" style="183" bestFit="1" customWidth="1"/>
    <col min="9983" max="9983" width="10" style="183" bestFit="1" customWidth="1"/>
    <col min="9984" max="9984" width="8.1640625" style="183" bestFit="1" customWidth="1"/>
    <col min="9985" max="9986" width="8.5" style="183" bestFit="1" customWidth="1"/>
    <col min="9987" max="9987" width="6" style="183" bestFit="1" customWidth="1"/>
    <col min="9988" max="9988" width="8.83203125" style="183" customWidth="1"/>
    <col min="9989" max="9989" width="8.5" style="183" bestFit="1" customWidth="1"/>
    <col min="9990" max="9990" width="7.1640625" style="183" bestFit="1" customWidth="1"/>
    <col min="9991" max="9991" width="4.5" style="183" bestFit="1" customWidth="1"/>
    <col min="9992" max="9992" width="5.5" style="183" bestFit="1" customWidth="1"/>
    <col min="9993" max="9995" width="6.1640625" style="183" bestFit="1" customWidth="1"/>
    <col min="9996" max="9996" width="7.1640625" style="183" bestFit="1" customWidth="1"/>
    <col min="9997" max="10006" width="8.83203125" style="183" customWidth="1"/>
    <col min="10007" max="10007" width="10" style="183" bestFit="1" customWidth="1"/>
    <col min="10008" max="10231" width="8.83203125" style="183" customWidth="1"/>
    <col min="10232" max="10232" width="7.83203125" style="183" customWidth="1"/>
    <col min="10233" max="10233" width="7.5" style="183" customWidth="1"/>
    <col min="10234" max="10234" width="9" style="183" customWidth="1"/>
    <col min="10235" max="10235" width="8.33203125" style="183" customWidth="1"/>
    <col min="10236" max="10238" width="8.5" style="183" bestFit="1" customWidth="1"/>
    <col min="10239" max="10239" width="10" style="183" bestFit="1" customWidth="1"/>
    <col min="10240" max="10240" width="8.1640625" style="183" bestFit="1" customWidth="1"/>
    <col min="10241" max="10242" width="8.5" style="183" bestFit="1" customWidth="1"/>
    <col min="10243" max="10243" width="6" style="183" bestFit="1" customWidth="1"/>
    <col min="10244" max="10244" width="8.83203125" style="183" customWidth="1"/>
    <col min="10245" max="10245" width="8.5" style="183" bestFit="1" customWidth="1"/>
    <col min="10246" max="10246" width="7.1640625" style="183" bestFit="1" customWidth="1"/>
    <col min="10247" max="10247" width="4.5" style="183" bestFit="1" customWidth="1"/>
    <col min="10248" max="10248" width="5.5" style="183" bestFit="1" customWidth="1"/>
    <col min="10249" max="10251" width="6.1640625" style="183" bestFit="1" customWidth="1"/>
    <col min="10252" max="10252" width="7.1640625" style="183" bestFit="1" customWidth="1"/>
    <col min="10253" max="10262" width="8.83203125" style="183" customWidth="1"/>
    <col min="10263" max="10263" width="10" style="183" bestFit="1" customWidth="1"/>
    <col min="10264" max="10487" width="8.83203125" style="183" customWidth="1"/>
    <col min="10488" max="10488" width="7.83203125" style="183" customWidth="1"/>
    <col min="10489" max="10489" width="7.5" style="183" customWidth="1"/>
    <col min="10490" max="10490" width="9" style="183" customWidth="1"/>
    <col min="10491" max="10491" width="8.33203125" style="183" customWidth="1"/>
    <col min="10492" max="10494" width="8.5" style="183" bestFit="1" customWidth="1"/>
    <col min="10495" max="10495" width="10" style="183" bestFit="1" customWidth="1"/>
    <col min="10496" max="10496" width="8.1640625" style="183" bestFit="1" customWidth="1"/>
    <col min="10497" max="10498" width="8.5" style="183" bestFit="1" customWidth="1"/>
    <col min="10499" max="10499" width="6" style="183" bestFit="1" customWidth="1"/>
    <col min="10500" max="10500" width="8.83203125" style="183" customWidth="1"/>
    <col min="10501" max="10501" width="8.5" style="183" bestFit="1" customWidth="1"/>
    <col min="10502" max="10502" width="7.1640625" style="183" bestFit="1" customWidth="1"/>
    <col min="10503" max="10503" width="4.5" style="183" bestFit="1" customWidth="1"/>
    <col min="10504" max="10504" width="5.5" style="183" bestFit="1" customWidth="1"/>
    <col min="10505" max="10507" width="6.1640625" style="183" bestFit="1" customWidth="1"/>
    <col min="10508" max="10508" width="7.1640625" style="183" bestFit="1" customWidth="1"/>
    <col min="10509" max="10518" width="8.83203125" style="183" customWidth="1"/>
    <col min="10519" max="10519" width="10" style="183" bestFit="1" customWidth="1"/>
    <col min="10520" max="10743" width="8.83203125" style="183" customWidth="1"/>
    <col min="10744" max="10744" width="7.83203125" style="183" customWidth="1"/>
    <col min="10745" max="10745" width="7.5" style="183" customWidth="1"/>
    <col min="10746" max="10746" width="9" style="183" customWidth="1"/>
    <col min="10747" max="10747" width="8.33203125" style="183" customWidth="1"/>
    <col min="10748" max="10750" width="8.5" style="183" bestFit="1" customWidth="1"/>
    <col min="10751" max="10751" width="10" style="183" bestFit="1" customWidth="1"/>
    <col min="10752" max="10752" width="8.1640625" style="183" bestFit="1" customWidth="1"/>
    <col min="10753" max="10754" width="8.5" style="183" bestFit="1" customWidth="1"/>
    <col min="10755" max="10755" width="6" style="183" bestFit="1" customWidth="1"/>
    <col min="10756" max="10756" width="8.83203125" style="183" customWidth="1"/>
    <col min="10757" max="10757" width="8.5" style="183" bestFit="1" customWidth="1"/>
    <col min="10758" max="10758" width="7.1640625" style="183" bestFit="1" customWidth="1"/>
    <col min="10759" max="10759" width="4.5" style="183" bestFit="1" customWidth="1"/>
    <col min="10760" max="10760" width="5.5" style="183" bestFit="1" customWidth="1"/>
    <col min="10761" max="10763" width="6.1640625" style="183" bestFit="1" customWidth="1"/>
    <col min="10764" max="10764" width="7.1640625" style="183" bestFit="1" customWidth="1"/>
    <col min="10765" max="10774" width="8.83203125" style="183" customWidth="1"/>
    <col min="10775" max="10775" width="10" style="183" bestFit="1" customWidth="1"/>
    <col min="10776" max="10999" width="8.83203125" style="183" customWidth="1"/>
    <col min="11000" max="11000" width="7.83203125" style="183" customWidth="1"/>
    <col min="11001" max="11001" width="7.5" style="183" customWidth="1"/>
    <col min="11002" max="11002" width="9" style="183" customWidth="1"/>
    <col min="11003" max="11003" width="8.33203125" style="183" customWidth="1"/>
    <col min="11004" max="11006" width="8.5" style="183" bestFit="1" customWidth="1"/>
    <col min="11007" max="11007" width="10" style="183" bestFit="1" customWidth="1"/>
    <col min="11008" max="11008" width="8.1640625" style="183" bestFit="1" customWidth="1"/>
    <col min="11009" max="11010" width="8.5" style="183" bestFit="1" customWidth="1"/>
    <col min="11011" max="11011" width="6" style="183" bestFit="1" customWidth="1"/>
    <col min="11012" max="11012" width="8.83203125" style="183" customWidth="1"/>
    <col min="11013" max="11013" width="8.5" style="183" bestFit="1" customWidth="1"/>
    <col min="11014" max="11014" width="7.1640625" style="183" bestFit="1" customWidth="1"/>
    <col min="11015" max="11015" width="4.5" style="183" bestFit="1" customWidth="1"/>
    <col min="11016" max="11016" width="5.5" style="183" bestFit="1" customWidth="1"/>
    <col min="11017" max="11019" width="6.1640625" style="183" bestFit="1" customWidth="1"/>
    <col min="11020" max="11020" width="7.1640625" style="183" bestFit="1" customWidth="1"/>
    <col min="11021" max="11030" width="8.83203125" style="183" customWidth="1"/>
    <col min="11031" max="11031" width="10" style="183" bestFit="1" customWidth="1"/>
    <col min="11032" max="11255" width="8.83203125" style="183" customWidth="1"/>
    <col min="11256" max="11256" width="7.83203125" style="183" customWidth="1"/>
    <col min="11257" max="11257" width="7.5" style="183" customWidth="1"/>
    <col min="11258" max="11258" width="9" style="183" customWidth="1"/>
    <col min="11259" max="11259" width="8.33203125" style="183" customWidth="1"/>
    <col min="11260" max="11262" width="8.5" style="183" bestFit="1" customWidth="1"/>
    <col min="11263" max="11263" width="10" style="183" bestFit="1" customWidth="1"/>
    <col min="11264" max="11264" width="8.1640625" style="183" bestFit="1" customWidth="1"/>
    <col min="11265" max="11266" width="8.5" style="183" bestFit="1" customWidth="1"/>
    <col min="11267" max="11267" width="6" style="183" bestFit="1" customWidth="1"/>
    <col min="11268" max="11268" width="8.83203125" style="183" customWidth="1"/>
    <col min="11269" max="11269" width="8.5" style="183" bestFit="1" customWidth="1"/>
    <col min="11270" max="11270" width="7.1640625" style="183" bestFit="1" customWidth="1"/>
    <col min="11271" max="11271" width="4.5" style="183" bestFit="1" customWidth="1"/>
    <col min="11272" max="11272" width="5.5" style="183" bestFit="1" customWidth="1"/>
    <col min="11273" max="11275" width="6.1640625" style="183" bestFit="1" customWidth="1"/>
    <col min="11276" max="11276" width="7.1640625" style="183" bestFit="1" customWidth="1"/>
    <col min="11277" max="11286" width="8.83203125" style="183" customWidth="1"/>
    <col min="11287" max="11287" width="10" style="183" bestFit="1" customWidth="1"/>
    <col min="11288" max="11511" width="8.83203125" style="183" customWidth="1"/>
    <col min="11512" max="11512" width="7.83203125" style="183" customWidth="1"/>
    <col min="11513" max="11513" width="7.5" style="183" customWidth="1"/>
    <col min="11514" max="11514" width="9" style="183" customWidth="1"/>
    <col min="11515" max="11515" width="8.33203125" style="183" customWidth="1"/>
    <col min="11516" max="11518" width="8.5" style="183" bestFit="1" customWidth="1"/>
    <col min="11519" max="11519" width="10" style="183" bestFit="1" customWidth="1"/>
    <col min="11520" max="11520" width="8.1640625" style="183" bestFit="1" customWidth="1"/>
    <col min="11521" max="11522" width="8.5" style="183" bestFit="1" customWidth="1"/>
    <col min="11523" max="11523" width="6" style="183" bestFit="1" customWidth="1"/>
    <col min="11524" max="11524" width="8.83203125" style="183" customWidth="1"/>
    <col min="11525" max="11525" width="8.5" style="183" bestFit="1" customWidth="1"/>
    <col min="11526" max="11526" width="7.1640625" style="183" bestFit="1" customWidth="1"/>
    <col min="11527" max="11527" width="4.5" style="183" bestFit="1" customWidth="1"/>
    <col min="11528" max="11528" width="5.5" style="183" bestFit="1" customWidth="1"/>
    <col min="11529" max="11531" width="6.1640625" style="183" bestFit="1" customWidth="1"/>
    <col min="11532" max="11532" width="7.1640625" style="183" bestFit="1" customWidth="1"/>
    <col min="11533" max="11542" width="8.83203125" style="183" customWidth="1"/>
    <col min="11543" max="11543" width="10" style="183" bestFit="1" customWidth="1"/>
    <col min="11544" max="11767" width="8.83203125" style="183" customWidth="1"/>
    <col min="11768" max="11768" width="7.83203125" style="183" customWidth="1"/>
    <col min="11769" max="11769" width="7.5" style="183" customWidth="1"/>
    <col min="11770" max="11770" width="9" style="183" customWidth="1"/>
    <col min="11771" max="11771" width="8.33203125" style="183" customWidth="1"/>
    <col min="11772" max="11774" width="8.5" style="183" bestFit="1" customWidth="1"/>
    <col min="11775" max="11775" width="10" style="183" bestFit="1" customWidth="1"/>
    <col min="11776" max="11776" width="8.1640625" style="183" bestFit="1" customWidth="1"/>
    <col min="11777" max="11778" width="8.5" style="183" bestFit="1" customWidth="1"/>
    <col min="11779" max="11779" width="6" style="183" bestFit="1" customWidth="1"/>
    <col min="11780" max="11780" width="8.83203125" style="183" customWidth="1"/>
    <col min="11781" max="11781" width="8.5" style="183" bestFit="1" customWidth="1"/>
    <col min="11782" max="11782" width="7.1640625" style="183" bestFit="1" customWidth="1"/>
    <col min="11783" max="11783" width="4.5" style="183" bestFit="1" customWidth="1"/>
    <col min="11784" max="11784" width="5.5" style="183" bestFit="1" customWidth="1"/>
    <col min="11785" max="11787" width="6.1640625" style="183" bestFit="1" customWidth="1"/>
    <col min="11788" max="11788" width="7.1640625" style="183" bestFit="1" customWidth="1"/>
    <col min="11789" max="11798" width="8.83203125" style="183" customWidth="1"/>
    <col min="11799" max="11799" width="10" style="183" bestFit="1" customWidth="1"/>
    <col min="11800" max="12023" width="8.83203125" style="183" customWidth="1"/>
    <col min="12024" max="12024" width="7.83203125" style="183" customWidth="1"/>
    <col min="12025" max="12025" width="7.5" style="183" customWidth="1"/>
    <col min="12026" max="12026" width="9" style="183" customWidth="1"/>
    <col min="12027" max="12027" width="8.33203125" style="183" customWidth="1"/>
    <col min="12028" max="12030" width="8.5" style="183" bestFit="1" customWidth="1"/>
    <col min="12031" max="12031" width="10" style="183" bestFit="1" customWidth="1"/>
    <col min="12032" max="12032" width="8.1640625" style="183" bestFit="1" customWidth="1"/>
    <col min="12033" max="12034" width="8.5" style="183" bestFit="1" customWidth="1"/>
    <col min="12035" max="12035" width="6" style="183" bestFit="1" customWidth="1"/>
    <col min="12036" max="12036" width="8.83203125" style="183" customWidth="1"/>
    <col min="12037" max="12037" width="8.5" style="183" bestFit="1" customWidth="1"/>
    <col min="12038" max="12038" width="7.1640625" style="183" bestFit="1" customWidth="1"/>
    <col min="12039" max="12039" width="4.5" style="183" bestFit="1" customWidth="1"/>
    <col min="12040" max="12040" width="5.5" style="183" bestFit="1" customWidth="1"/>
    <col min="12041" max="12043" width="6.1640625" style="183" bestFit="1" customWidth="1"/>
    <col min="12044" max="12044" width="7.1640625" style="183" bestFit="1" customWidth="1"/>
    <col min="12045" max="12054" width="8.83203125" style="183" customWidth="1"/>
    <col min="12055" max="12055" width="10" style="183" bestFit="1" customWidth="1"/>
    <col min="12056" max="12279" width="8.83203125" style="183" customWidth="1"/>
    <col min="12280" max="12280" width="7.83203125" style="183" customWidth="1"/>
    <col min="12281" max="12281" width="7.5" style="183" customWidth="1"/>
    <col min="12282" max="12282" width="9" style="183" customWidth="1"/>
    <col min="12283" max="12283" width="8.33203125" style="183" customWidth="1"/>
    <col min="12284" max="12286" width="8.5" style="183" bestFit="1" customWidth="1"/>
    <col min="12287" max="12287" width="10" style="183" bestFit="1" customWidth="1"/>
    <col min="12288" max="12288" width="8.1640625" style="183" bestFit="1" customWidth="1"/>
    <col min="12289" max="12290" width="8.5" style="183" bestFit="1" customWidth="1"/>
    <col min="12291" max="12291" width="6" style="183" bestFit="1" customWidth="1"/>
    <col min="12292" max="12292" width="8.83203125" style="183" customWidth="1"/>
    <col min="12293" max="12293" width="8.5" style="183" bestFit="1" customWidth="1"/>
    <col min="12294" max="12294" width="7.1640625" style="183" bestFit="1" customWidth="1"/>
    <col min="12295" max="12295" width="4.5" style="183" bestFit="1" customWidth="1"/>
    <col min="12296" max="12296" width="5.5" style="183" bestFit="1" customWidth="1"/>
    <col min="12297" max="12299" width="6.1640625" style="183" bestFit="1" customWidth="1"/>
    <col min="12300" max="12300" width="7.1640625" style="183" bestFit="1" customWidth="1"/>
    <col min="12301" max="12310" width="8.83203125" style="183" customWidth="1"/>
    <col min="12311" max="12311" width="10" style="183" bestFit="1" customWidth="1"/>
    <col min="12312" max="12535" width="8.83203125" style="183" customWidth="1"/>
    <col min="12536" max="12536" width="7.83203125" style="183" customWidth="1"/>
    <col min="12537" max="12537" width="7.5" style="183" customWidth="1"/>
    <col min="12538" max="12538" width="9" style="183" customWidth="1"/>
    <col min="12539" max="12539" width="8.33203125" style="183" customWidth="1"/>
    <col min="12540" max="12542" width="8.5" style="183" bestFit="1" customWidth="1"/>
    <col min="12543" max="12543" width="10" style="183" bestFit="1" customWidth="1"/>
    <col min="12544" max="12544" width="8.1640625" style="183" bestFit="1" customWidth="1"/>
    <col min="12545" max="12546" width="8.5" style="183" bestFit="1" customWidth="1"/>
    <col min="12547" max="12547" width="6" style="183" bestFit="1" customWidth="1"/>
    <col min="12548" max="12548" width="8.83203125" style="183" customWidth="1"/>
    <col min="12549" max="12549" width="8.5" style="183" bestFit="1" customWidth="1"/>
    <col min="12550" max="12550" width="7.1640625" style="183" bestFit="1" customWidth="1"/>
    <col min="12551" max="12551" width="4.5" style="183" bestFit="1" customWidth="1"/>
    <col min="12552" max="12552" width="5.5" style="183" bestFit="1" customWidth="1"/>
    <col min="12553" max="12555" width="6.1640625" style="183" bestFit="1" customWidth="1"/>
    <col min="12556" max="12556" width="7.1640625" style="183" bestFit="1" customWidth="1"/>
    <col min="12557" max="12566" width="8.83203125" style="183" customWidth="1"/>
    <col min="12567" max="12567" width="10" style="183" bestFit="1" customWidth="1"/>
    <col min="12568" max="12791" width="8.83203125" style="183" customWidth="1"/>
    <col min="12792" max="12792" width="7.83203125" style="183" customWidth="1"/>
    <col min="12793" max="12793" width="7.5" style="183" customWidth="1"/>
    <col min="12794" max="12794" width="9" style="183" customWidth="1"/>
    <col min="12795" max="12795" width="8.33203125" style="183" customWidth="1"/>
    <col min="12796" max="12798" width="8.5" style="183" bestFit="1" customWidth="1"/>
    <col min="12799" max="12799" width="10" style="183" bestFit="1" customWidth="1"/>
    <col min="12800" max="12800" width="8.1640625" style="183" bestFit="1" customWidth="1"/>
    <col min="12801" max="12802" width="8.5" style="183" bestFit="1" customWidth="1"/>
    <col min="12803" max="12803" width="6" style="183" bestFit="1" customWidth="1"/>
    <col min="12804" max="12804" width="8.83203125" style="183" customWidth="1"/>
    <col min="12805" max="12805" width="8.5" style="183" bestFit="1" customWidth="1"/>
    <col min="12806" max="12806" width="7.1640625" style="183" bestFit="1" customWidth="1"/>
    <col min="12807" max="12807" width="4.5" style="183" bestFit="1" customWidth="1"/>
    <col min="12808" max="12808" width="5.5" style="183" bestFit="1" customWidth="1"/>
    <col min="12809" max="12811" width="6.1640625" style="183" bestFit="1" customWidth="1"/>
    <col min="12812" max="12812" width="7.1640625" style="183" bestFit="1" customWidth="1"/>
    <col min="12813" max="12822" width="8.83203125" style="183" customWidth="1"/>
    <col min="12823" max="12823" width="10" style="183" bestFit="1" customWidth="1"/>
    <col min="12824" max="13047" width="8.83203125" style="183" customWidth="1"/>
    <col min="13048" max="13048" width="7.83203125" style="183" customWidth="1"/>
    <col min="13049" max="13049" width="7.5" style="183" customWidth="1"/>
    <col min="13050" max="13050" width="9" style="183" customWidth="1"/>
    <col min="13051" max="13051" width="8.33203125" style="183" customWidth="1"/>
    <col min="13052" max="13054" width="8.5" style="183" bestFit="1" customWidth="1"/>
    <col min="13055" max="13055" width="10" style="183" bestFit="1" customWidth="1"/>
    <col min="13056" max="13056" width="8.1640625" style="183" bestFit="1" customWidth="1"/>
    <col min="13057" max="13058" width="8.5" style="183" bestFit="1" customWidth="1"/>
    <col min="13059" max="13059" width="6" style="183" bestFit="1" customWidth="1"/>
    <col min="13060" max="13060" width="8.83203125" style="183" customWidth="1"/>
    <col min="13061" max="13061" width="8.5" style="183" bestFit="1" customWidth="1"/>
    <col min="13062" max="13062" width="7.1640625" style="183" bestFit="1" customWidth="1"/>
    <col min="13063" max="13063" width="4.5" style="183" bestFit="1" customWidth="1"/>
    <col min="13064" max="13064" width="5.5" style="183" bestFit="1" customWidth="1"/>
    <col min="13065" max="13067" width="6.1640625" style="183" bestFit="1" customWidth="1"/>
    <col min="13068" max="13068" width="7.1640625" style="183" bestFit="1" customWidth="1"/>
    <col min="13069" max="13078" width="8.83203125" style="183" customWidth="1"/>
    <col min="13079" max="13079" width="10" style="183" bestFit="1" customWidth="1"/>
    <col min="13080" max="13303" width="8.83203125" style="183" customWidth="1"/>
    <col min="13304" max="13304" width="7.83203125" style="183" customWidth="1"/>
    <col min="13305" max="13305" width="7.5" style="183" customWidth="1"/>
    <col min="13306" max="13306" width="9" style="183" customWidth="1"/>
    <col min="13307" max="13307" width="8.33203125" style="183" customWidth="1"/>
    <col min="13308" max="13310" width="8.5" style="183" bestFit="1" customWidth="1"/>
    <col min="13311" max="13311" width="10" style="183" bestFit="1" customWidth="1"/>
    <col min="13312" max="13312" width="8.1640625" style="183" bestFit="1" customWidth="1"/>
    <col min="13313" max="13314" width="8.5" style="183" bestFit="1" customWidth="1"/>
    <col min="13315" max="13315" width="6" style="183" bestFit="1" customWidth="1"/>
    <col min="13316" max="13316" width="8.83203125" style="183" customWidth="1"/>
    <col min="13317" max="13317" width="8.5" style="183" bestFit="1" customWidth="1"/>
    <col min="13318" max="13318" width="7.1640625" style="183" bestFit="1" customWidth="1"/>
    <col min="13319" max="13319" width="4.5" style="183" bestFit="1" customWidth="1"/>
    <col min="13320" max="13320" width="5.5" style="183" bestFit="1" customWidth="1"/>
    <col min="13321" max="13323" width="6.1640625" style="183" bestFit="1" customWidth="1"/>
    <col min="13324" max="13324" width="7.1640625" style="183" bestFit="1" customWidth="1"/>
    <col min="13325" max="13334" width="8.83203125" style="183" customWidth="1"/>
    <col min="13335" max="13335" width="10" style="183" bestFit="1" customWidth="1"/>
    <col min="13336" max="13559" width="8.83203125" style="183" customWidth="1"/>
    <col min="13560" max="13560" width="7.83203125" style="183" customWidth="1"/>
    <col min="13561" max="13561" width="7.5" style="183" customWidth="1"/>
    <col min="13562" max="13562" width="9" style="183" customWidth="1"/>
    <col min="13563" max="13563" width="8.33203125" style="183" customWidth="1"/>
    <col min="13564" max="13566" width="8.5" style="183" bestFit="1" customWidth="1"/>
    <col min="13567" max="13567" width="10" style="183" bestFit="1" customWidth="1"/>
    <col min="13568" max="13568" width="8.1640625" style="183" bestFit="1" customWidth="1"/>
    <col min="13569" max="13570" width="8.5" style="183" bestFit="1" customWidth="1"/>
    <col min="13571" max="13571" width="6" style="183" bestFit="1" customWidth="1"/>
    <col min="13572" max="13572" width="8.83203125" style="183" customWidth="1"/>
    <col min="13573" max="13573" width="8.5" style="183" bestFit="1" customWidth="1"/>
    <col min="13574" max="13574" width="7.1640625" style="183" bestFit="1" customWidth="1"/>
    <col min="13575" max="13575" width="4.5" style="183" bestFit="1" customWidth="1"/>
    <col min="13576" max="13576" width="5.5" style="183" bestFit="1" customWidth="1"/>
    <col min="13577" max="13579" width="6.1640625" style="183" bestFit="1" customWidth="1"/>
    <col min="13580" max="13580" width="7.1640625" style="183" bestFit="1" customWidth="1"/>
    <col min="13581" max="13590" width="8.83203125" style="183" customWidth="1"/>
    <col min="13591" max="13591" width="10" style="183" bestFit="1" customWidth="1"/>
    <col min="13592" max="13815" width="8.83203125" style="183" customWidth="1"/>
    <col min="13816" max="13816" width="7.83203125" style="183" customWidth="1"/>
    <col min="13817" max="13817" width="7.5" style="183" customWidth="1"/>
    <col min="13818" max="13818" width="9" style="183" customWidth="1"/>
    <col min="13819" max="13819" width="8.33203125" style="183" customWidth="1"/>
    <col min="13820" max="13822" width="8.5" style="183" bestFit="1" customWidth="1"/>
    <col min="13823" max="13823" width="10" style="183" bestFit="1" customWidth="1"/>
    <col min="13824" max="13824" width="8.1640625" style="183" bestFit="1" customWidth="1"/>
    <col min="13825" max="13826" width="8.5" style="183" bestFit="1" customWidth="1"/>
    <col min="13827" max="13827" width="6" style="183" bestFit="1" customWidth="1"/>
    <col min="13828" max="13828" width="8.83203125" style="183" customWidth="1"/>
    <col min="13829" max="13829" width="8.5" style="183" bestFit="1" customWidth="1"/>
    <col min="13830" max="13830" width="7.1640625" style="183" bestFit="1" customWidth="1"/>
    <col min="13831" max="13831" width="4.5" style="183" bestFit="1" customWidth="1"/>
    <col min="13832" max="13832" width="5.5" style="183" bestFit="1" customWidth="1"/>
    <col min="13833" max="13835" width="6.1640625" style="183" bestFit="1" customWidth="1"/>
    <col min="13836" max="13836" width="7.1640625" style="183" bestFit="1" customWidth="1"/>
    <col min="13837" max="13846" width="8.83203125" style="183" customWidth="1"/>
    <col min="13847" max="13847" width="10" style="183" bestFit="1" customWidth="1"/>
    <col min="13848" max="14071" width="8.83203125" style="183" customWidth="1"/>
    <col min="14072" max="14072" width="7.83203125" style="183" customWidth="1"/>
    <col min="14073" max="14073" width="7.5" style="183" customWidth="1"/>
    <col min="14074" max="14074" width="9" style="183" customWidth="1"/>
    <col min="14075" max="14075" width="8.33203125" style="183" customWidth="1"/>
    <col min="14076" max="14078" width="8.5" style="183" bestFit="1" customWidth="1"/>
    <col min="14079" max="14079" width="10" style="183" bestFit="1" customWidth="1"/>
    <col min="14080" max="14080" width="8.1640625" style="183" bestFit="1" customWidth="1"/>
    <col min="14081" max="14082" width="8.5" style="183" bestFit="1" customWidth="1"/>
    <col min="14083" max="14083" width="6" style="183" bestFit="1" customWidth="1"/>
    <col min="14084" max="14084" width="8.83203125" style="183" customWidth="1"/>
    <col min="14085" max="14085" width="8.5" style="183" bestFit="1" customWidth="1"/>
    <col min="14086" max="14086" width="7.1640625" style="183" bestFit="1" customWidth="1"/>
    <col min="14087" max="14087" width="4.5" style="183" bestFit="1" customWidth="1"/>
    <col min="14088" max="14088" width="5.5" style="183" bestFit="1" customWidth="1"/>
    <col min="14089" max="14091" width="6.1640625" style="183" bestFit="1" customWidth="1"/>
    <col min="14092" max="14092" width="7.1640625" style="183" bestFit="1" customWidth="1"/>
    <col min="14093" max="14102" width="8.83203125" style="183" customWidth="1"/>
    <col min="14103" max="14103" width="10" style="183" bestFit="1" customWidth="1"/>
    <col min="14104" max="14327" width="8.83203125" style="183" customWidth="1"/>
    <col min="14328" max="14328" width="7.83203125" style="183" customWidth="1"/>
    <col min="14329" max="14329" width="7.5" style="183" customWidth="1"/>
    <col min="14330" max="14330" width="9" style="183" customWidth="1"/>
    <col min="14331" max="14331" width="8.33203125" style="183" customWidth="1"/>
    <col min="14332" max="14334" width="8.5" style="183" bestFit="1" customWidth="1"/>
    <col min="14335" max="14335" width="10" style="183" bestFit="1" customWidth="1"/>
    <col min="14336" max="14336" width="8.1640625" style="183" bestFit="1" customWidth="1"/>
    <col min="14337" max="14338" width="8.5" style="183" bestFit="1" customWidth="1"/>
    <col min="14339" max="14339" width="6" style="183" bestFit="1" customWidth="1"/>
    <col min="14340" max="14340" width="8.83203125" style="183" customWidth="1"/>
    <col min="14341" max="14341" width="8.5" style="183" bestFit="1" customWidth="1"/>
    <col min="14342" max="14342" width="7.1640625" style="183" bestFit="1" customWidth="1"/>
    <col min="14343" max="14343" width="4.5" style="183" bestFit="1" customWidth="1"/>
    <col min="14344" max="14344" width="5.5" style="183" bestFit="1" customWidth="1"/>
    <col min="14345" max="14347" width="6.1640625" style="183" bestFit="1" customWidth="1"/>
    <col min="14348" max="14348" width="7.1640625" style="183" bestFit="1" customWidth="1"/>
    <col min="14349" max="14358" width="8.83203125" style="183" customWidth="1"/>
    <col min="14359" max="14359" width="10" style="183" bestFit="1" customWidth="1"/>
    <col min="14360" max="14583" width="8.83203125" style="183" customWidth="1"/>
    <col min="14584" max="14584" width="7.83203125" style="183" customWidth="1"/>
    <col min="14585" max="14585" width="7.5" style="183" customWidth="1"/>
    <col min="14586" max="14586" width="9" style="183" customWidth="1"/>
    <col min="14587" max="14587" width="8.33203125" style="183" customWidth="1"/>
    <col min="14588" max="14590" width="8.5" style="183" bestFit="1" customWidth="1"/>
    <col min="14591" max="14591" width="10" style="183" bestFit="1" customWidth="1"/>
    <col min="14592" max="14592" width="8.1640625" style="183" bestFit="1" customWidth="1"/>
    <col min="14593" max="14594" width="8.5" style="183" bestFit="1" customWidth="1"/>
    <col min="14595" max="14595" width="6" style="183" bestFit="1" customWidth="1"/>
    <col min="14596" max="14596" width="8.83203125" style="183" customWidth="1"/>
    <col min="14597" max="14597" width="8.5" style="183" bestFit="1" customWidth="1"/>
    <col min="14598" max="14598" width="7.1640625" style="183" bestFit="1" customWidth="1"/>
    <col min="14599" max="14599" width="4.5" style="183" bestFit="1" customWidth="1"/>
    <col min="14600" max="14600" width="5.5" style="183" bestFit="1" customWidth="1"/>
    <col min="14601" max="14603" width="6.1640625" style="183" bestFit="1" customWidth="1"/>
    <col min="14604" max="14604" width="7.1640625" style="183" bestFit="1" customWidth="1"/>
    <col min="14605" max="14614" width="8.83203125" style="183" customWidth="1"/>
    <col min="14615" max="14615" width="10" style="183" bestFit="1" customWidth="1"/>
    <col min="14616" max="14839" width="8.83203125" style="183" customWidth="1"/>
    <col min="14840" max="14840" width="7.83203125" style="183" customWidth="1"/>
    <col min="14841" max="14841" width="7.5" style="183" customWidth="1"/>
    <col min="14842" max="14842" width="9" style="183" customWidth="1"/>
    <col min="14843" max="14843" width="8.33203125" style="183" customWidth="1"/>
    <col min="14844" max="14846" width="8.5" style="183" bestFit="1" customWidth="1"/>
    <col min="14847" max="14847" width="10" style="183" bestFit="1" customWidth="1"/>
    <col min="14848" max="14848" width="8.1640625" style="183" bestFit="1" customWidth="1"/>
    <col min="14849" max="14850" width="8.5" style="183" bestFit="1" customWidth="1"/>
    <col min="14851" max="14851" width="6" style="183" bestFit="1" customWidth="1"/>
    <col min="14852" max="14852" width="8.83203125" style="183" customWidth="1"/>
    <col min="14853" max="14853" width="8.5" style="183" bestFit="1" customWidth="1"/>
    <col min="14854" max="14854" width="7.1640625" style="183" bestFit="1" customWidth="1"/>
    <col min="14855" max="14855" width="4.5" style="183" bestFit="1" customWidth="1"/>
    <col min="14856" max="14856" width="5.5" style="183" bestFit="1" customWidth="1"/>
    <col min="14857" max="14859" width="6.1640625" style="183" bestFit="1" customWidth="1"/>
    <col min="14860" max="14860" width="7.1640625" style="183" bestFit="1" customWidth="1"/>
    <col min="14861" max="14870" width="8.83203125" style="183" customWidth="1"/>
    <col min="14871" max="14871" width="10" style="183" bestFit="1" customWidth="1"/>
    <col min="14872" max="15095" width="8.83203125" style="183" customWidth="1"/>
    <col min="15096" max="15096" width="7.83203125" style="183" customWidth="1"/>
    <col min="15097" max="15097" width="7.5" style="183" customWidth="1"/>
    <col min="15098" max="15098" width="9" style="183" customWidth="1"/>
    <col min="15099" max="15099" width="8.33203125" style="183" customWidth="1"/>
    <col min="15100" max="15102" width="8.5" style="183" bestFit="1" customWidth="1"/>
    <col min="15103" max="15103" width="10" style="183" bestFit="1" customWidth="1"/>
    <col min="15104" max="15104" width="8.1640625" style="183" bestFit="1" customWidth="1"/>
    <col min="15105" max="15106" width="8.5" style="183" bestFit="1" customWidth="1"/>
    <col min="15107" max="15107" width="6" style="183" bestFit="1" customWidth="1"/>
    <col min="15108" max="15108" width="8.83203125" style="183" customWidth="1"/>
    <col min="15109" max="15109" width="8.5" style="183" bestFit="1" customWidth="1"/>
    <col min="15110" max="15110" width="7.1640625" style="183" bestFit="1" customWidth="1"/>
    <col min="15111" max="15111" width="4.5" style="183" bestFit="1" customWidth="1"/>
    <col min="15112" max="15112" width="5.5" style="183" bestFit="1" customWidth="1"/>
    <col min="15113" max="15115" width="6.1640625" style="183" bestFit="1" customWidth="1"/>
    <col min="15116" max="15116" width="7.1640625" style="183" bestFit="1" customWidth="1"/>
    <col min="15117" max="15126" width="8.83203125" style="183" customWidth="1"/>
    <col min="15127" max="15127" width="10" style="183" bestFit="1" customWidth="1"/>
    <col min="15128" max="15351" width="8.83203125" style="183" customWidth="1"/>
    <col min="15352" max="15352" width="7.83203125" style="183" customWidth="1"/>
    <col min="15353" max="15353" width="7.5" style="183" customWidth="1"/>
    <col min="15354" max="15354" width="9" style="183" customWidth="1"/>
    <col min="15355" max="15355" width="8.33203125" style="183" customWidth="1"/>
    <col min="15356" max="15358" width="8.5" style="183" bestFit="1" customWidth="1"/>
    <col min="15359" max="15359" width="10" style="183" bestFit="1" customWidth="1"/>
    <col min="15360" max="15360" width="8.1640625" style="183" bestFit="1" customWidth="1"/>
    <col min="15361" max="15362" width="8.5" style="183" bestFit="1" customWidth="1"/>
    <col min="15363" max="15363" width="6" style="183" bestFit="1" customWidth="1"/>
    <col min="15364" max="15364" width="8.83203125" style="183" customWidth="1"/>
    <col min="15365" max="15365" width="8.5" style="183" bestFit="1" customWidth="1"/>
    <col min="15366" max="15366" width="7.1640625" style="183" bestFit="1" customWidth="1"/>
    <col min="15367" max="15367" width="4.5" style="183" bestFit="1" customWidth="1"/>
    <col min="15368" max="15368" width="5.5" style="183" bestFit="1" customWidth="1"/>
    <col min="15369" max="15371" width="6.1640625" style="183" bestFit="1" customWidth="1"/>
    <col min="15372" max="15372" width="7.1640625" style="183" bestFit="1" customWidth="1"/>
    <col min="15373" max="15382" width="8.83203125" style="183" customWidth="1"/>
    <col min="15383" max="15383" width="10" style="183" bestFit="1" customWidth="1"/>
    <col min="15384" max="15607" width="8.83203125" style="183" customWidth="1"/>
    <col min="15608" max="15608" width="7.83203125" style="183" customWidth="1"/>
    <col min="15609" max="15609" width="7.5" style="183" customWidth="1"/>
    <col min="15610" max="15610" width="9" style="183" customWidth="1"/>
    <col min="15611" max="15611" width="8.33203125" style="183" customWidth="1"/>
    <col min="15612" max="15614" width="8.5" style="183" bestFit="1" customWidth="1"/>
    <col min="15615" max="15615" width="10" style="183" bestFit="1" customWidth="1"/>
    <col min="15616" max="15616" width="8.1640625" style="183" bestFit="1" customWidth="1"/>
    <col min="15617" max="15618" width="8.5" style="183" bestFit="1" customWidth="1"/>
    <col min="15619" max="15619" width="6" style="183" bestFit="1" customWidth="1"/>
    <col min="15620" max="15620" width="8.83203125" style="183" customWidth="1"/>
    <col min="15621" max="15621" width="8.5" style="183" bestFit="1" customWidth="1"/>
    <col min="15622" max="15622" width="7.1640625" style="183" bestFit="1" customWidth="1"/>
    <col min="15623" max="15623" width="4.5" style="183" bestFit="1" customWidth="1"/>
    <col min="15624" max="15624" width="5.5" style="183" bestFit="1" customWidth="1"/>
    <col min="15625" max="15627" width="6.1640625" style="183" bestFit="1" customWidth="1"/>
    <col min="15628" max="15628" width="7.1640625" style="183" bestFit="1" customWidth="1"/>
    <col min="15629" max="15638" width="8.83203125" style="183" customWidth="1"/>
    <col min="15639" max="15639" width="10" style="183" bestFit="1" customWidth="1"/>
    <col min="15640" max="15863" width="8.83203125" style="183" customWidth="1"/>
    <col min="15864" max="15864" width="7.83203125" style="183" customWidth="1"/>
    <col min="15865" max="15865" width="7.5" style="183" customWidth="1"/>
    <col min="15866" max="15866" width="9" style="183" customWidth="1"/>
    <col min="15867" max="15867" width="8.33203125" style="183" customWidth="1"/>
    <col min="15868" max="15870" width="8.5" style="183" bestFit="1" customWidth="1"/>
    <col min="15871" max="15871" width="10" style="183" bestFit="1" customWidth="1"/>
    <col min="15872" max="15872" width="8.1640625" style="183" bestFit="1" customWidth="1"/>
    <col min="15873" max="15874" width="8.5" style="183" bestFit="1" customWidth="1"/>
    <col min="15875" max="15875" width="6" style="183" bestFit="1" customWidth="1"/>
    <col min="15876" max="15876" width="8.83203125" style="183" customWidth="1"/>
    <col min="15877" max="15877" width="8.5" style="183" bestFit="1" customWidth="1"/>
    <col min="15878" max="15878" width="7.1640625" style="183" bestFit="1" customWidth="1"/>
    <col min="15879" max="15879" width="4.5" style="183" bestFit="1" customWidth="1"/>
    <col min="15880" max="15880" width="5.5" style="183" bestFit="1" customWidth="1"/>
    <col min="15881" max="15883" width="6.1640625" style="183" bestFit="1" customWidth="1"/>
    <col min="15884" max="15884" width="7.1640625" style="183" bestFit="1" customWidth="1"/>
    <col min="15885" max="15894" width="8.83203125" style="183" customWidth="1"/>
    <col min="15895" max="15895" width="10" style="183" bestFit="1" customWidth="1"/>
    <col min="15896" max="16119" width="8.83203125" style="183" customWidth="1"/>
    <col min="16120" max="16120" width="7.83203125" style="183" customWidth="1"/>
    <col min="16121" max="16121" width="7.5" style="183" customWidth="1"/>
    <col min="16122" max="16122" width="9" style="183" customWidth="1"/>
    <col min="16123" max="16123" width="8.33203125" style="183" customWidth="1"/>
    <col min="16124" max="16126" width="8.5" style="183" bestFit="1" customWidth="1"/>
    <col min="16127" max="16127" width="10" style="183" bestFit="1" customWidth="1"/>
    <col min="16128" max="16128" width="8.1640625" style="183" bestFit="1" customWidth="1"/>
    <col min="16129" max="16130" width="8.5" style="183" bestFit="1" customWidth="1"/>
    <col min="16131" max="16131" width="6" style="183" bestFit="1" customWidth="1"/>
    <col min="16132" max="16132" width="8.83203125" style="183" customWidth="1"/>
    <col min="16133" max="16133" width="8.5" style="183" bestFit="1" customWidth="1"/>
    <col min="16134" max="16134" width="7.1640625" style="183" bestFit="1" customWidth="1"/>
    <col min="16135" max="16135" width="4.5" style="183" bestFit="1" customWidth="1"/>
    <col min="16136" max="16136" width="5.5" style="183" bestFit="1" customWidth="1"/>
    <col min="16137" max="16139" width="6.1640625" style="183" bestFit="1" customWidth="1"/>
    <col min="16140" max="16140" width="7.1640625" style="183" bestFit="1" customWidth="1"/>
    <col min="16141" max="16150" width="8.83203125" style="183" customWidth="1"/>
    <col min="16151" max="16151" width="10" style="183" bestFit="1" customWidth="1"/>
    <col min="16152" max="16384" width="8.83203125" style="183" customWidth="1"/>
  </cols>
  <sheetData>
    <row r="1" spans="2:20" s="143" customFormat="1" ht="14" customHeight="1"/>
    <row r="2" spans="2:20" s="143" customFormat="1" ht="14" customHeight="1">
      <c r="B2" s="144" t="s">
        <v>461</v>
      </c>
      <c r="C2" s="145">
        <f>PI()/180</f>
        <v>1.7453292519943295E-2</v>
      </c>
      <c r="F2" s="146" t="s">
        <v>462</v>
      </c>
      <c r="G2" s="147">
        <f>'Illumination (VO)'!C21</f>
        <v>175.94709148679169</v>
      </c>
      <c r="H2" s="148"/>
      <c r="I2" s="149"/>
      <c r="J2" s="150"/>
      <c r="L2" s="144" t="s">
        <v>461</v>
      </c>
      <c r="M2" s="145">
        <f>PI()/180</f>
        <v>1.7453292519943295E-2</v>
      </c>
      <c r="P2" s="146" t="s">
        <v>462</v>
      </c>
      <c r="Q2" s="147">
        <f>'Illumination (VO)'!M21</f>
        <v>175.94709148679169</v>
      </c>
      <c r="R2" s="148"/>
      <c r="S2" s="149"/>
      <c r="T2" s="150"/>
    </row>
    <row r="3" spans="2:20" s="143" customFormat="1" ht="14" customHeight="1">
      <c r="B3" s="151" t="s">
        <v>345</v>
      </c>
      <c r="C3" s="152">
        <f>('Visibility (Optional)'!C10-2451545)/36525</f>
        <v>0.24387634040611877</v>
      </c>
      <c r="F3" s="153" t="s">
        <v>463</v>
      </c>
      <c r="G3" s="154">
        <v>200</v>
      </c>
      <c r="H3" s="154"/>
      <c r="I3" s="154" t="s">
        <v>464</v>
      </c>
      <c r="J3" s="155">
        <f>MOD(360-'Illumination (VO)'!G2+180,360)</f>
        <v>4.0529085132083082</v>
      </c>
      <c r="L3" s="151" t="s">
        <v>345</v>
      </c>
      <c r="M3" s="152">
        <f>('Visibility (Optional)'!C10-2451545)/36525</f>
        <v>0.24387634040611877</v>
      </c>
      <c r="P3" s="153" t="s">
        <v>463</v>
      </c>
      <c r="Q3" s="154">
        <v>200</v>
      </c>
      <c r="R3" s="154"/>
      <c r="S3" s="154" t="s">
        <v>464</v>
      </c>
      <c r="T3" s="155">
        <f>MOD(360-'Illumination (VO)'!Q2+180,360)</f>
        <v>4.0529085132083082</v>
      </c>
    </row>
    <row r="4" spans="2:20" s="143" customFormat="1" ht="14" customHeight="1">
      <c r="B4" s="151" t="s">
        <v>465</v>
      </c>
      <c r="C4" s="152">
        <f>MOD(297.8502042+445267.1115168*$C$3-0.00163*POWER($C$3,2)+(POWER($C$3,3)/545868)-(POWER($C$3,4)/113065000),360)</f>
        <v>167.9637672015815</v>
      </c>
      <c r="F4" s="153" t="s">
        <v>466</v>
      </c>
      <c r="G4" s="154">
        <f>2/G3</f>
        <v>0.01</v>
      </c>
      <c r="H4" s="154"/>
      <c r="I4" s="154" t="s">
        <v>467</v>
      </c>
      <c r="J4" s="156">
        <f>COS(RADIANS(J3))</f>
        <v>0.99749920988404428</v>
      </c>
      <c r="L4" s="151" t="s">
        <v>465</v>
      </c>
      <c r="M4" s="152">
        <f>MOD(297.8502042+445267.1115168*$M$3-0.00163*POWER($M$3,2)+(POWER($M$3,3)/545868)-(POWER($M$3,4)/113065000),360)</f>
        <v>167.9637672015815</v>
      </c>
      <c r="P4" s="153" t="s">
        <v>466</v>
      </c>
      <c r="Q4" s="154">
        <f>2/Q3</f>
        <v>0.01</v>
      </c>
      <c r="R4" s="154"/>
      <c r="S4" s="154" t="s">
        <v>467</v>
      </c>
      <c r="T4" s="156">
        <f>COS(RADIANS(T3))</f>
        <v>0.99749920988404428</v>
      </c>
    </row>
    <row r="5" spans="2:20" s="143" customFormat="1" ht="14" customHeight="1">
      <c r="B5" s="151" t="s">
        <v>468</v>
      </c>
      <c r="C5" s="152">
        <f>MOD(357.5291092+35999.0502909*$C$3-0.0001536*POWER($C$3,2)+(POWER($C$3,3)/24490000),360)</f>
        <v>136.84574310564858</v>
      </c>
      <c r="F5" s="153"/>
      <c r="G5" s="154"/>
      <c r="H5" s="154"/>
      <c r="I5" s="154" t="s">
        <v>469</v>
      </c>
      <c r="J5" s="157">
        <f>ABS(J4)</f>
        <v>0.99749920988404428</v>
      </c>
      <c r="L5" s="151" t="s">
        <v>468</v>
      </c>
      <c r="M5" s="152">
        <f>MOD(357.5291092+35999.0502909*$M$3-0.0001536*POWER($M$3,2)+(POWER($M$3,3)/24490000),360)</f>
        <v>136.84574310564858</v>
      </c>
      <c r="P5" s="153"/>
      <c r="Q5" s="154"/>
      <c r="R5" s="154"/>
      <c r="S5" s="154" t="s">
        <v>469</v>
      </c>
      <c r="T5" s="157">
        <f>ABS(T4)</f>
        <v>0.99749920988404428</v>
      </c>
    </row>
    <row r="6" spans="2:20" s="143" customFormat="1" ht="14" customHeight="1">
      <c r="B6" s="151" t="s">
        <v>470</v>
      </c>
      <c r="C6" s="152">
        <f>MOD(134.9634114+477198.8676313*$C$3+0.008997*POWER($C$3,2)+(POWER($C$3,3)/69699)-(POWER($C$3,4)/14712000),360)</f>
        <v>232.47743057578919</v>
      </c>
      <c r="F6" s="158"/>
      <c r="G6" s="159"/>
      <c r="H6" s="159"/>
      <c r="I6" s="159" t="s">
        <v>471</v>
      </c>
      <c r="J6" s="160">
        <v>1</v>
      </c>
      <c r="L6" s="151" t="s">
        <v>470</v>
      </c>
      <c r="M6" s="152">
        <f>MOD(134.9634114+477198.8676313*$M$3+0.008997*POWER($M$3,2)+(POWER($M$3,3)/69699)-(POWER($M$3,4)/14712000),360)</f>
        <v>232.47743057578919</v>
      </c>
      <c r="P6" s="158"/>
      <c r="Q6" s="159"/>
      <c r="R6" s="159"/>
      <c r="S6" s="159" t="s">
        <v>471</v>
      </c>
      <c r="T6" s="160">
        <v>1</v>
      </c>
    </row>
    <row r="7" spans="2:20" s="143" customFormat="1" ht="14" customHeight="1">
      <c r="B7" s="151" t="s">
        <v>472</v>
      </c>
      <c r="C7" s="152">
        <f>180-C4-6.289*SIN($C$2*C6)+2.1*SIN($C$2*C5)-1.274*SIN($C$2*(2*C4-C6))-0.658*SIN($C$2*2*C4)-0.214*SIN($C$2*2*C6)-0.11*SIN($C$2*C4)</f>
        <v>17.260094709251376</v>
      </c>
      <c r="F7" s="153"/>
      <c r="G7" s="154"/>
      <c r="H7" s="154"/>
      <c r="I7" s="154"/>
      <c r="J7" s="157"/>
      <c r="L7" s="151" t="s">
        <v>472</v>
      </c>
      <c r="M7" s="152">
        <f>180-M4-6.289*SIN($M$2*M6)+2.1*SIN($M$2*M5)-1.274*SIN($M$2*(2*M4-M6))-0.658*SIN($M$2*2*M4)-0.214*SIN($M$2*2*M6)-0.11*SIN($M$2*M4)</f>
        <v>17.260094709251376</v>
      </c>
      <c r="P7" s="153"/>
      <c r="Q7" s="154"/>
      <c r="R7" s="154"/>
      <c r="S7" s="154"/>
      <c r="T7" s="157"/>
    </row>
    <row r="8" spans="2:20" s="143" customFormat="1" ht="14" customHeight="1">
      <c r="B8" s="161" t="s">
        <v>473</v>
      </c>
      <c r="C8" s="162">
        <f>(1+COS($C$2*C7))/2</f>
        <v>0.97748384159328716</v>
      </c>
      <c r="F8" s="163" t="s">
        <v>33</v>
      </c>
      <c r="G8" s="164" t="s">
        <v>474</v>
      </c>
      <c r="H8" s="164" t="s">
        <v>475</v>
      </c>
      <c r="I8" s="164" t="s">
        <v>476</v>
      </c>
      <c r="J8" s="165" t="s">
        <v>477</v>
      </c>
      <c r="L8" s="161" t="s">
        <v>473</v>
      </c>
      <c r="M8" s="162">
        <f>(1+COS($M$2*M7))/2</f>
        <v>0.97748384159328716</v>
      </c>
      <c r="P8" s="163" t="s">
        <v>33</v>
      </c>
      <c r="Q8" s="164" t="s">
        <v>474</v>
      </c>
      <c r="R8" s="164" t="s">
        <v>475</v>
      </c>
      <c r="S8" s="164" t="s">
        <v>476</v>
      </c>
      <c r="T8" s="165" t="s">
        <v>477</v>
      </c>
    </row>
    <row r="9" spans="2:20" s="143" customFormat="1" ht="14" customHeight="1">
      <c r="F9" s="166">
        <v>-1</v>
      </c>
      <c r="G9" s="167">
        <f t="shared" ref="G9:G72" si="0">IFERROR(IF(SQRT(1-(F9*F9)/($J$5*$J$5))&lt;0.05,0,SQRT(1-(F9*F9)/($J$5*$J$5))),0)</f>
        <v>0</v>
      </c>
      <c r="H9" s="167">
        <f t="shared" ref="H9:H72" si="1">CHOOSE(MATCH($J$3,degrees),IF(F9&lt;0,IFERROR(1-G9,1),0),0,0,IF(F9&gt;0,IFERROR(1-G9,1),0))</f>
        <v>1</v>
      </c>
      <c r="I9" s="167">
        <f t="shared" ref="I9:I72" si="2">CHOOSE(MATCH($J$3,degrees),IF(F9&lt;0,2*G9,2),IF(F9&lt;0,0,1-G9),IF(F9&gt;0,0,1-G9),IF(F9&gt;0,2*G9,2))</f>
        <v>0</v>
      </c>
      <c r="J9" s="156">
        <f t="shared" ref="J9:J72" si="3">CHOOSE(MATCH($J$3,degrees),IF(F9&lt;0,G9+1,2),IF(F9&lt;0,2,2*G9),IF(F9&gt;0,2,2*G9),IF(F9&gt;0,G9+1,2))</f>
        <v>1</v>
      </c>
      <c r="P9" s="166">
        <v>-1</v>
      </c>
      <c r="Q9" s="167">
        <f>IFERROR(IF(SQRT(1-(P9*P9)/($T$5*$T$5))&lt;0.05,0,SQRT(1-(P9*P9)/($T$5*$T$5))),0)</f>
        <v>0</v>
      </c>
      <c r="R9" s="167">
        <f t="shared" ref="R9:R72" si="4">CHOOSE(MATCH($T$3,degrees),IF(P9&lt;0,IFERROR(1-Q9,1),0),0,0,IF(P9&gt;0,IFERROR(1-Q9,1),0))</f>
        <v>1</v>
      </c>
      <c r="S9" s="167">
        <f t="shared" ref="S9:S72" si="5">CHOOSE(MATCH($T$3,degrees),IF(P9&lt;0,2*Q9,2),IF(P9&lt;0,0,1-Q9),IF(P9&gt;0,0,1-Q9),IF(P9&gt;0,2*Q9,2))</f>
        <v>0</v>
      </c>
      <c r="T9" s="156">
        <f t="shared" ref="T9:T72" si="6">CHOOSE(MATCH($T$3,degrees),IF(P9&lt;0,Q9+1,2),IF(P9&lt;0,2,2*Q9),IF(P9&gt;0,2,2*Q9),IF(P9&gt;0,Q9+1,2))</f>
        <v>1</v>
      </c>
    </row>
    <row r="10" spans="2:20" s="143" customFormat="1" ht="14" customHeight="1">
      <c r="F10" s="166">
        <f t="shared" ref="F10:F73" si="7">F9+$G$4</f>
        <v>-0.99</v>
      </c>
      <c r="G10" s="167">
        <f t="shared" si="0"/>
        <v>0.12239077259085226</v>
      </c>
      <c r="H10" s="167">
        <f t="shared" si="1"/>
        <v>0.87760922740914771</v>
      </c>
      <c r="I10" s="167">
        <f t="shared" si="2"/>
        <v>0.24478154518170453</v>
      </c>
      <c r="J10" s="156">
        <f t="shared" si="3"/>
        <v>1.1223907725908522</v>
      </c>
      <c r="P10" s="166">
        <f t="shared" ref="P10:P73" si="8">P9+$G$4</f>
        <v>-0.99</v>
      </c>
      <c r="Q10" s="167">
        <f t="shared" ref="Q10:Q73" si="9">IFERROR(IF(SQRT(1-(P10*P10)/($T$5*$T$5))&lt;0.05,0,SQRT(1-(P10*P10)/($T$5*$T$5))),0)</f>
        <v>0.12239077259085226</v>
      </c>
      <c r="R10" s="167">
        <f t="shared" si="4"/>
        <v>0.87760922740914771</v>
      </c>
      <c r="S10" s="167">
        <f t="shared" si="5"/>
        <v>0.24478154518170453</v>
      </c>
      <c r="T10" s="156">
        <f t="shared" si="6"/>
        <v>1.1223907725908522</v>
      </c>
    </row>
    <row r="11" spans="2:20" s="143" customFormat="1" ht="16" customHeight="1">
      <c r="F11" s="166">
        <f t="shared" si="7"/>
        <v>-0.98</v>
      </c>
      <c r="G11" s="167">
        <f t="shared" si="0"/>
        <v>0.18648968655331163</v>
      </c>
      <c r="H11" s="167">
        <f t="shared" si="1"/>
        <v>0.81351031344668834</v>
      </c>
      <c r="I11" s="167">
        <f t="shared" si="2"/>
        <v>0.37297937310662327</v>
      </c>
      <c r="J11" s="156">
        <f t="shared" si="3"/>
        <v>1.1864896865533117</v>
      </c>
      <c r="P11" s="166">
        <f t="shared" si="8"/>
        <v>-0.98</v>
      </c>
      <c r="Q11" s="167">
        <f t="shared" si="9"/>
        <v>0.18648968655331163</v>
      </c>
      <c r="R11" s="167">
        <f t="shared" si="4"/>
        <v>0.81351031344668834</v>
      </c>
      <c r="S11" s="167">
        <f t="shared" si="5"/>
        <v>0.37297937310662327</v>
      </c>
      <c r="T11" s="156">
        <f t="shared" si="6"/>
        <v>1.1864896865533117</v>
      </c>
    </row>
    <row r="12" spans="2:20" s="143" customFormat="1" ht="16" customHeight="1">
      <c r="F12" s="166">
        <f t="shared" si="7"/>
        <v>-0.97</v>
      </c>
      <c r="G12" s="167">
        <f t="shared" si="0"/>
        <v>0.23318726612993021</v>
      </c>
      <c r="H12" s="167">
        <f t="shared" si="1"/>
        <v>0.76681273387006976</v>
      </c>
      <c r="I12" s="167">
        <f t="shared" si="2"/>
        <v>0.46637453225986042</v>
      </c>
      <c r="J12" s="156">
        <f t="shared" si="3"/>
        <v>1.2331872661299301</v>
      </c>
      <c r="P12" s="166">
        <f t="shared" si="8"/>
        <v>-0.97</v>
      </c>
      <c r="Q12" s="167">
        <f t="shared" si="9"/>
        <v>0.23318726612993021</v>
      </c>
      <c r="R12" s="167">
        <f t="shared" si="4"/>
        <v>0.76681273387006976</v>
      </c>
      <c r="S12" s="167">
        <f t="shared" si="5"/>
        <v>0.46637453225986042</v>
      </c>
      <c r="T12" s="156">
        <f t="shared" si="6"/>
        <v>1.2331872661299301</v>
      </c>
    </row>
    <row r="13" spans="2:20" s="143" customFormat="1" ht="16" customHeight="1">
      <c r="F13" s="166">
        <f t="shared" si="7"/>
        <v>-0.96</v>
      </c>
      <c r="G13" s="167">
        <f t="shared" si="0"/>
        <v>0.27161221419255294</v>
      </c>
      <c r="H13" s="167">
        <f t="shared" si="1"/>
        <v>0.72838778580744701</v>
      </c>
      <c r="I13" s="167">
        <f t="shared" si="2"/>
        <v>0.54322442838510587</v>
      </c>
      <c r="J13" s="156">
        <f t="shared" si="3"/>
        <v>1.271612214192553</v>
      </c>
      <c r="P13" s="166">
        <f t="shared" si="8"/>
        <v>-0.96</v>
      </c>
      <c r="Q13" s="167">
        <f t="shared" si="9"/>
        <v>0.27161221419255294</v>
      </c>
      <c r="R13" s="167">
        <f t="shared" si="4"/>
        <v>0.72838778580744701</v>
      </c>
      <c r="S13" s="167">
        <f t="shared" si="5"/>
        <v>0.54322442838510587</v>
      </c>
      <c r="T13" s="156">
        <f t="shared" si="6"/>
        <v>1.271612214192553</v>
      </c>
    </row>
    <row r="14" spans="2:20" s="143" customFormat="1" ht="16" customHeight="1">
      <c r="E14" s="168"/>
      <c r="F14" s="166">
        <f t="shared" si="7"/>
        <v>-0.95</v>
      </c>
      <c r="G14" s="167">
        <f t="shared" si="0"/>
        <v>0.30490832168217935</v>
      </c>
      <c r="H14" s="167">
        <f t="shared" si="1"/>
        <v>0.6950916783178207</v>
      </c>
      <c r="I14" s="167">
        <f t="shared" si="2"/>
        <v>0.6098166433643587</v>
      </c>
      <c r="J14" s="156">
        <f t="shared" si="3"/>
        <v>1.3049083216821793</v>
      </c>
      <c r="O14" s="168"/>
      <c r="P14" s="166">
        <f t="shared" si="8"/>
        <v>-0.95</v>
      </c>
      <c r="Q14" s="167">
        <f t="shared" si="9"/>
        <v>0.30490832168217935</v>
      </c>
      <c r="R14" s="167">
        <f t="shared" si="4"/>
        <v>0.6950916783178207</v>
      </c>
      <c r="S14" s="167">
        <f t="shared" si="5"/>
        <v>0.6098166433643587</v>
      </c>
      <c r="T14" s="156">
        <f t="shared" si="6"/>
        <v>1.3049083216821793</v>
      </c>
    </row>
    <row r="15" spans="2:20" s="143" customFormat="1" ht="16" customHeight="1">
      <c r="E15" s="168"/>
      <c r="F15" s="166">
        <f t="shared" si="7"/>
        <v>-0.94</v>
      </c>
      <c r="G15" s="167">
        <f t="shared" si="0"/>
        <v>0.33461017659739123</v>
      </c>
      <c r="H15" s="167">
        <f t="shared" si="1"/>
        <v>0.66538982340260877</v>
      </c>
      <c r="I15" s="167">
        <f t="shared" si="2"/>
        <v>0.66922035319478246</v>
      </c>
      <c r="J15" s="156">
        <f t="shared" si="3"/>
        <v>1.3346101765973912</v>
      </c>
      <c r="O15" s="168"/>
      <c r="P15" s="166">
        <f t="shared" si="8"/>
        <v>-0.94</v>
      </c>
      <c r="Q15" s="167">
        <f t="shared" si="9"/>
        <v>0.33461017659739123</v>
      </c>
      <c r="R15" s="167">
        <f t="shared" si="4"/>
        <v>0.66538982340260877</v>
      </c>
      <c r="S15" s="167">
        <f t="shared" si="5"/>
        <v>0.66922035319478246</v>
      </c>
      <c r="T15" s="156">
        <f t="shared" si="6"/>
        <v>1.3346101765973912</v>
      </c>
    </row>
    <row r="16" spans="2:20" s="143" customFormat="1" ht="16" customHeight="1">
      <c r="E16" s="168"/>
      <c r="F16" s="166">
        <f t="shared" si="7"/>
        <v>-0.92999999999999994</v>
      </c>
      <c r="G16" s="167">
        <f t="shared" si="0"/>
        <v>0.36160455175932604</v>
      </c>
      <c r="H16" s="167">
        <f t="shared" si="1"/>
        <v>0.63839544824067396</v>
      </c>
      <c r="I16" s="167">
        <f t="shared" si="2"/>
        <v>0.72320910351865209</v>
      </c>
      <c r="J16" s="156">
        <f t="shared" si="3"/>
        <v>1.361604551759326</v>
      </c>
      <c r="O16" s="168"/>
      <c r="P16" s="166">
        <f t="shared" si="8"/>
        <v>-0.92999999999999994</v>
      </c>
      <c r="Q16" s="167">
        <f t="shared" si="9"/>
        <v>0.36160455175932604</v>
      </c>
      <c r="R16" s="167">
        <f t="shared" si="4"/>
        <v>0.63839544824067396</v>
      </c>
      <c r="S16" s="167">
        <f t="shared" si="5"/>
        <v>0.72320910351865209</v>
      </c>
      <c r="T16" s="156">
        <f t="shared" si="6"/>
        <v>1.361604551759326</v>
      </c>
    </row>
    <row r="17" spans="2:20" s="143" customFormat="1" ht="16" customHeight="1">
      <c r="E17" s="168"/>
      <c r="F17" s="166">
        <f t="shared" si="7"/>
        <v>-0.91999999999999993</v>
      </c>
      <c r="G17" s="167">
        <f t="shared" si="0"/>
        <v>0.3864592208016529</v>
      </c>
      <c r="H17" s="167">
        <f t="shared" si="1"/>
        <v>0.61354077919834715</v>
      </c>
      <c r="I17" s="167">
        <f t="shared" si="2"/>
        <v>0.77291844160330581</v>
      </c>
      <c r="J17" s="156">
        <f t="shared" si="3"/>
        <v>1.3864592208016528</v>
      </c>
      <c r="O17" s="168"/>
      <c r="P17" s="166">
        <f t="shared" si="8"/>
        <v>-0.91999999999999993</v>
      </c>
      <c r="Q17" s="167">
        <f t="shared" si="9"/>
        <v>0.3864592208016529</v>
      </c>
      <c r="R17" s="167">
        <f t="shared" si="4"/>
        <v>0.61354077919834715</v>
      </c>
      <c r="S17" s="167">
        <f t="shared" si="5"/>
        <v>0.77291844160330581</v>
      </c>
      <c r="T17" s="156">
        <f t="shared" si="6"/>
        <v>1.3864592208016528</v>
      </c>
    </row>
    <row r="18" spans="2:20" s="143" customFormat="1" ht="16" customHeight="1">
      <c r="E18" s="168"/>
      <c r="F18" s="166">
        <f t="shared" si="7"/>
        <v>-0.90999999999999992</v>
      </c>
      <c r="G18" s="167">
        <f t="shared" si="0"/>
        <v>0.40956391778477036</v>
      </c>
      <c r="H18" s="167">
        <f t="shared" si="1"/>
        <v>0.5904360822152297</v>
      </c>
      <c r="I18" s="167">
        <f t="shared" si="2"/>
        <v>0.81912783556954072</v>
      </c>
      <c r="J18" s="156">
        <f t="shared" si="3"/>
        <v>1.4095639177847703</v>
      </c>
      <c r="O18" s="168"/>
      <c r="P18" s="166">
        <f t="shared" si="8"/>
        <v>-0.90999999999999992</v>
      </c>
      <c r="Q18" s="167">
        <f t="shared" si="9"/>
        <v>0.40956391778477036</v>
      </c>
      <c r="R18" s="167">
        <f t="shared" si="4"/>
        <v>0.5904360822152297</v>
      </c>
      <c r="S18" s="167">
        <f t="shared" si="5"/>
        <v>0.81912783556954072</v>
      </c>
      <c r="T18" s="156">
        <f t="shared" si="6"/>
        <v>1.4095639177847703</v>
      </c>
    </row>
    <row r="19" spans="2:20" s="143" customFormat="1" ht="16" customHeight="1">
      <c r="B19" s="169" t="s">
        <v>478</v>
      </c>
      <c r="C19" s="170">
        <v>2460438.64</v>
      </c>
      <c r="D19" s="143" t="s">
        <v>479</v>
      </c>
      <c r="E19" s="168"/>
      <c r="F19" s="166">
        <f t="shared" si="7"/>
        <v>-0.89999999999999991</v>
      </c>
      <c r="G19" s="167">
        <f t="shared" si="0"/>
        <v>0.43120003719715894</v>
      </c>
      <c r="H19" s="167">
        <f t="shared" si="1"/>
        <v>0.56879996280284106</v>
      </c>
      <c r="I19" s="167">
        <f t="shared" si="2"/>
        <v>0.86240007439431787</v>
      </c>
      <c r="J19" s="156">
        <f t="shared" si="3"/>
        <v>1.4312000371971589</v>
      </c>
      <c r="L19" s="169" t="s">
        <v>478</v>
      </c>
      <c r="M19" s="170">
        <v>2460438.64</v>
      </c>
      <c r="N19" s="143" t="s">
        <v>479</v>
      </c>
      <c r="O19" s="168"/>
      <c r="P19" s="166">
        <f t="shared" si="8"/>
        <v>-0.89999999999999991</v>
      </c>
      <c r="Q19" s="167">
        <f t="shared" si="9"/>
        <v>0.43120003719715894</v>
      </c>
      <c r="R19" s="167">
        <f t="shared" si="4"/>
        <v>0.56879996280284106</v>
      </c>
      <c r="S19" s="167">
        <f t="shared" si="5"/>
        <v>0.86240007439431787</v>
      </c>
      <c r="T19" s="156">
        <f t="shared" si="6"/>
        <v>1.4312000371971589</v>
      </c>
    </row>
    <row r="20" spans="2:20" s="143" customFormat="1" ht="16" customHeight="1">
      <c r="B20" s="171" t="s">
        <v>480</v>
      </c>
      <c r="C20" s="172">
        <f>(('Visibility (Optional)'!C10-C19)/29.530588853)-INT(('Visibility (Optional)'!C10-C19)/29.530588853)</f>
        <v>0.47216577369203633</v>
      </c>
      <c r="D20" s="143" t="str">
        <f>IF(C20&lt;0.5,"(before FM)","(after FM)")</f>
        <v>(before FM)</v>
      </c>
      <c r="E20" s="168"/>
      <c r="F20" s="166">
        <f t="shared" si="7"/>
        <v>-0.8899999999999999</v>
      </c>
      <c r="G20" s="167">
        <f t="shared" si="0"/>
        <v>0.45157871664360388</v>
      </c>
      <c r="H20" s="167">
        <f t="shared" si="1"/>
        <v>0.54842128335639617</v>
      </c>
      <c r="I20" s="167">
        <f t="shared" si="2"/>
        <v>0.90315743328720777</v>
      </c>
      <c r="J20" s="156">
        <f t="shared" si="3"/>
        <v>1.4515787166436038</v>
      </c>
      <c r="L20" s="171" t="s">
        <v>480</v>
      </c>
      <c r="M20" s="172">
        <f>('Visibility (Optional)'!C10-M19)/29.530588853</f>
        <v>0.47216577369203633</v>
      </c>
      <c r="N20" s="143" t="str">
        <f>IF(M20&lt;0.5,"(before FM)","(after FM)")</f>
        <v>(before FM)</v>
      </c>
      <c r="O20" s="168"/>
      <c r="P20" s="166">
        <f t="shared" si="8"/>
        <v>-0.8899999999999999</v>
      </c>
      <c r="Q20" s="167">
        <f t="shared" si="9"/>
        <v>0.45157871664360388</v>
      </c>
      <c r="R20" s="167">
        <f t="shared" si="4"/>
        <v>0.54842128335639617</v>
      </c>
      <c r="S20" s="167">
        <f t="shared" si="5"/>
        <v>0.90315743328720777</v>
      </c>
      <c r="T20" s="156">
        <f t="shared" si="6"/>
        <v>1.4515787166436038</v>
      </c>
    </row>
    <row r="21" spans="2:20" s="143" customFormat="1" ht="16" customHeight="1">
      <c r="B21" s="161" t="s">
        <v>481</v>
      </c>
      <c r="C21" s="173">
        <f>IF(C20&lt;0.5,180*C8,360-180*C8)</f>
        <v>175.94709148679169</v>
      </c>
      <c r="E21" s="168"/>
      <c r="F21" s="166">
        <f t="shared" si="7"/>
        <v>-0.87999999999999989</v>
      </c>
      <c r="G21" s="167">
        <f t="shared" si="0"/>
        <v>0.47086324818483027</v>
      </c>
      <c r="H21" s="167">
        <f t="shared" si="1"/>
        <v>0.52913675181516973</v>
      </c>
      <c r="I21" s="167">
        <f t="shared" si="2"/>
        <v>0.94172649636966055</v>
      </c>
      <c r="J21" s="156">
        <f t="shared" si="3"/>
        <v>1.4708632481848303</v>
      </c>
      <c r="L21" s="161" t="s">
        <v>481</v>
      </c>
      <c r="M21" s="173">
        <f>IF(M20&lt;0.5,180*M8,360-180*M8)</f>
        <v>175.94709148679169</v>
      </c>
      <c r="O21" s="168"/>
      <c r="P21" s="166">
        <f t="shared" si="8"/>
        <v>-0.87999999999999989</v>
      </c>
      <c r="Q21" s="167">
        <f t="shared" si="9"/>
        <v>0.47086324818483027</v>
      </c>
      <c r="R21" s="167">
        <f t="shared" si="4"/>
        <v>0.52913675181516973</v>
      </c>
      <c r="S21" s="167">
        <f t="shared" si="5"/>
        <v>0.94172649636966055</v>
      </c>
      <c r="T21" s="156">
        <f t="shared" si="6"/>
        <v>1.4708632481848303</v>
      </c>
    </row>
    <row r="22" spans="2:20" s="143" customFormat="1" ht="16" customHeight="1">
      <c r="E22" s="168"/>
      <c r="F22" s="166">
        <f t="shared" si="7"/>
        <v>-0.86999999999999988</v>
      </c>
      <c r="G22" s="167">
        <f t="shared" si="0"/>
        <v>0.48918304915019872</v>
      </c>
      <c r="H22" s="167">
        <f t="shared" si="1"/>
        <v>0.51081695084980128</v>
      </c>
      <c r="I22" s="167">
        <f t="shared" si="2"/>
        <v>0.97836609830039745</v>
      </c>
      <c r="J22" s="156">
        <f t="shared" si="3"/>
        <v>1.4891830491501987</v>
      </c>
      <c r="O22" s="168"/>
      <c r="P22" s="166">
        <f t="shared" si="8"/>
        <v>-0.86999999999999988</v>
      </c>
      <c r="Q22" s="167">
        <f t="shared" si="9"/>
        <v>0.48918304915019872</v>
      </c>
      <c r="R22" s="167">
        <f t="shared" si="4"/>
        <v>0.51081695084980128</v>
      </c>
      <c r="S22" s="167">
        <f t="shared" si="5"/>
        <v>0.97836609830039745</v>
      </c>
      <c r="T22" s="156">
        <f t="shared" si="6"/>
        <v>1.4891830491501987</v>
      </c>
    </row>
    <row r="23" spans="2:20" s="143" customFormat="1" ht="16" customHeight="1">
      <c r="B23" s="174">
        <v>0</v>
      </c>
      <c r="C23" s="175">
        <v>0</v>
      </c>
      <c r="D23" s="176" t="s">
        <v>482</v>
      </c>
      <c r="F23" s="166">
        <f t="shared" si="7"/>
        <v>-0.85999999999999988</v>
      </c>
      <c r="G23" s="167">
        <f t="shared" si="0"/>
        <v>0.50664278202658153</v>
      </c>
      <c r="H23" s="167">
        <f t="shared" si="1"/>
        <v>0.49335721797341847</v>
      </c>
      <c r="I23" s="167">
        <f t="shared" si="2"/>
        <v>1.0132855640531631</v>
      </c>
      <c r="J23" s="156">
        <f t="shared" si="3"/>
        <v>1.5066427820265815</v>
      </c>
      <c r="L23" s="174">
        <v>0</v>
      </c>
      <c r="M23" s="175">
        <v>0</v>
      </c>
      <c r="N23" s="176" t="s">
        <v>482</v>
      </c>
      <c r="P23" s="166">
        <f t="shared" si="8"/>
        <v>-0.85999999999999988</v>
      </c>
      <c r="Q23" s="167">
        <f t="shared" si="9"/>
        <v>0.50664278202658153</v>
      </c>
      <c r="R23" s="167">
        <f t="shared" si="4"/>
        <v>0.49335721797341847</v>
      </c>
      <c r="S23" s="167">
        <f t="shared" si="5"/>
        <v>1.0132855640531631</v>
      </c>
      <c r="T23" s="156">
        <f t="shared" si="6"/>
        <v>1.5066427820265815</v>
      </c>
    </row>
    <row r="24" spans="2:20" s="143" customFormat="1" ht="16" customHeight="1">
      <c r="B24" s="177">
        <f t="shared" ref="B24:B31" si="10">B23+45</f>
        <v>45</v>
      </c>
      <c r="C24" s="178">
        <f t="shared" ref="C24:C31" si="11">B24-22.5</f>
        <v>22.5</v>
      </c>
      <c r="D24" s="179" t="s">
        <v>483</v>
      </c>
      <c r="F24" s="166">
        <f t="shared" si="7"/>
        <v>-0.84999999999999987</v>
      </c>
      <c r="G24" s="167">
        <f t="shared" si="0"/>
        <v>0.52332853686992298</v>
      </c>
      <c r="H24" s="167">
        <f t="shared" si="1"/>
        <v>0.47667146313007702</v>
      </c>
      <c r="I24" s="167">
        <f t="shared" si="2"/>
        <v>1.046657073739846</v>
      </c>
      <c r="J24" s="156">
        <f t="shared" si="3"/>
        <v>1.523328536869923</v>
      </c>
      <c r="L24" s="177">
        <f t="shared" ref="L24:L31" si="12">L23+45</f>
        <v>45</v>
      </c>
      <c r="M24" s="178">
        <f t="shared" ref="M24:M31" si="13">L24-22.5</f>
        <v>22.5</v>
      </c>
      <c r="N24" s="179" t="s">
        <v>483</v>
      </c>
      <c r="P24" s="166">
        <f t="shared" si="8"/>
        <v>-0.84999999999999987</v>
      </c>
      <c r="Q24" s="167">
        <f t="shared" si="9"/>
        <v>0.52332853686992298</v>
      </c>
      <c r="R24" s="167">
        <f t="shared" si="4"/>
        <v>0.47667146313007702</v>
      </c>
      <c r="S24" s="167">
        <f t="shared" si="5"/>
        <v>1.046657073739846</v>
      </c>
      <c r="T24" s="156">
        <f t="shared" si="6"/>
        <v>1.523328536869923</v>
      </c>
    </row>
    <row r="25" spans="2:20" s="143" customFormat="1" ht="16" customHeight="1">
      <c r="B25" s="177">
        <f t="shared" si="10"/>
        <v>90</v>
      </c>
      <c r="C25" s="178">
        <f t="shared" si="11"/>
        <v>67.5</v>
      </c>
      <c r="D25" s="179" t="s">
        <v>484</v>
      </c>
      <c r="F25" s="166">
        <f t="shared" si="7"/>
        <v>-0.83999999999999986</v>
      </c>
      <c r="G25" s="167">
        <f t="shared" si="0"/>
        <v>0.53931215668129195</v>
      </c>
      <c r="H25" s="167">
        <f t="shared" si="1"/>
        <v>0.46068784331870805</v>
      </c>
      <c r="I25" s="167">
        <f t="shared" si="2"/>
        <v>1.0786243133625839</v>
      </c>
      <c r="J25" s="156">
        <f t="shared" si="3"/>
        <v>1.539312156681292</v>
      </c>
      <c r="L25" s="177">
        <f t="shared" si="12"/>
        <v>90</v>
      </c>
      <c r="M25" s="178">
        <f t="shared" si="13"/>
        <v>67.5</v>
      </c>
      <c r="N25" s="179" t="s">
        <v>484</v>
      </c>
      <c r="P25" s="166">
        <f t="shared" si="8"/>
        <v>-0.83999999999999986</v>
      </c>
      <c r="Q25" s="167">
        <f t="shared" si="9"/>
        <v>0.53931215668129195</v>
      </c>
      <c r="R25" s="167">
        <f t="shared" si="4"/>
        <v>0.46068784331870805</v>
      </c>
      <c r="S25" s="167">
        <f t="shared" si="5"/>
        <v>1.0786243133625839</v>
      </c>
      <c r="T25" s="156">
        <f t="shared" si="6"/>
        <v>1.539312156681292</v>
      </c>
    </row>
    <row r="26" spans="2:20" s="143" customFormat="1" ht="16" customHeight="1">
      <c r="B26" s="177">
        <f t="shared" si="10"/>
        <v>135</v>
      </c>
      <c r="C26" s="178">
        <f t="shared" si="11"/>
        <v>112.5</v>
      </c>
      <c r="D26" s="179" t="s">
        <v>485</v>
      </c>
      <c r="F26" s="166">
        <f t="shared" si="7"/>
        <v>-0.82999999999999985</v>
      </c>
      <c r="G26" s="167">
        <f t="shared" si="0"/>
        <v>0.5546543456109132</v>
      </c>
      <c r="H26" s="167">
        <f t="shared" si="1"/>
        <v>0.4453456543890868</v>
      </c>
      <c r="I26" s="167">
        <f t="shared" si="2"/>
        <v>1.1093086912218264</v>
      </c>
      <c r="J26" s="156">
        <f t="shared" si="3"/>
        <v>1.5546543456109132</v>
      </c>
      <c r="L26" s="177">
        <f t="shared" si="12"/>
        <v>135</v>
      </c>
      <c r="M26" s="178">
        <f t="shared" si="13"/>
        <v>112.5</v>
      </c>
      <c r="N26" s="179" t="s">
        <v>485</v>
      </c>
      <c r="P26" s="166">
        <f t="shared" si="8"/>
        <v>-0.82999999999999985</v>
      </c>
      <c r="Q26" s="167">
        <f t="shared" si="9"/>
        <v>0.5546543456109132</v>
      </c>
      <c r="R26" s="167">
        <f t="shared" si="4"/>
        <v>0.4453456543890868</v>
      </c>
      <c r="S26" s="167">
        <f t="shared" si="5"/>
        <v>1.1093086912218264</v>
      </c>
      <c r="T26" s="156">
        <f t="shared" si="6"/>
        <v>1.5546543456109132</v>
      </c>
    </row>
    <row r="27" spans="2:20" s="143" customFormat="1" ht="16" customHeight="1">
      <c r="B27" s="177">
        <f t="shared" si="10"/>
        <v>180</v>
      </c>
      <c r="C27" s="178">
        <f t="shared" si="11"/>
        <v>157.5</v>
      </c>
      <c r="D27" s="179" t="s">
        <v>486</v>
      </c>
      <c r="F27" s="166">
        <f t="shared" si="7"/>
        <v>-0.81999999999999984</v>
      </c>
      <c r="G27" s="167">
        <f t="shared" si="0"/>
        <v>0.56940695445783407</v>
      </c>
      <c r="H27" s="167">
        <f t="shared" si="1"/>
        <v>0.43059304554216593</v>
      </c>
      <c r="I27" s="167">
        <f t="shared" si="2"/>
        <v>1.1388139089156681</v>
      </c>
      <c r="J27" s="156">
        <f t="shared" si="3"/>
        <v>1.569406954457834</v>
      </c>
      <c r="L27" s="177">
        <f t="shared" si="12"/>
        <v>180</v>
      </c>
      <c r="M27" s="178">
        <f t="shared" si="13"/>
        <v>157.5</v>
      </c>
      <c r="N27" s="179" t="s">
        <v>486</v>
      </c>
      <c r="P27" s="166">
        <f t="shared" si="8"/>
        <v>-0.81999999999999984</v>
      </c>
      <c r="Q27" s="167">
        <f t="shared" si="9"/>
        <v>0.56940695445783407</v>
      </c>
      <c r="R27" s="167">
        <f t="shared" si="4"/>
        <v>0.43059304554216593</v>
      </c>
      <c r="S27" s="167">
        <f t="shared" si="5"/>
        <v>1.1388139089156681</v>
      </c>
      <c r="T27" s="156">
        <f t="shared" si="6"/>
        <v>1.569406954457834</v>
      </c>
    </row>
    <row r="28" spans="2:20" s="143" customFormat="1" ht="16" customHeight="1">
      <c r="B28" s="177">
        <f t="shared" si="10"/>
        <v>225</v>
      </c>
      <c r="C28" s="178">
        <f t="shared" si="11"/>
        <v>202.5</v>
      </c>
      <c r="D28" s="179" t="s">
        <v>487</v>
      </c>
      <c r="F28" s="166">
        <f t="shared" si="7"/>
        <v>-0.80999999999999983</v>
      </c>
      <c r="G28" s="167">
        <f t="shared" si="0"/>
        <v>0.58361469514042696</v>
      </c>
      <c r="H28" s="167">
        <f t="shared" si="1"/>
        <v>0.41638530485957304</v>
      </c>
      <c r="I28" s="167">
        <f t="shared" si="2"/>
        <v>1.1672293902808539</v>
      </c>
      <c r="J28" s="156">
        <f t="shared" si="3"/>
        <v>1.5836146951404269</v>
      </c>
      <c r="L28" s="177">
        <f t="shared" si="12"/>
        <v>225</v>
      </c>
      <c r="M28" s="178">
        <f t="shared" si="13"/>
        <v>202.5</v>
      </c>
      <c r="N28" s="179" t="s">
        <v>487</v>
      </c>
      <c r="P28" s="166">
        <f t="shared" si="8"/>
        <v>-0.80999999999999983</v>
      </c>
      <c r="Q28" s="167">
        <f t="shared" si="9"/>
        <v>0.58361469514042696</v>
      </c>
      <c r="R28" s="167">
        <f t="shared" si="4"/>
        <v>0.41638530485957304</v>
      </c>
      <c r="S28" s="167">
        <f t="shared" si="5"/>
        <v>1.1672293902808539</v>
      </c>
      <c r="T28" s="156">
        <f t="shared" si="6"/>
        <v>1.5836146951404269</v>
      </c>
    </row>
    <row r="29" spans="2:20" s="143" customFormat="1" ht="16" customHeight="1">
      <c r="B29" s="177">
        <f t="shared" si="10"/>
        <v>270</v>
      </c>
      <c r="C29" s="178">
        <f t="shared" si="11"/>
        <v>247.5</v>
      </c>
      <c r="D29" s="179" t="s">
        <v>488</v>
      </c>
      <c r="F29" s="166">
        <f t="shared" si="7"/>
        <v>-0.79999999999999982</v>
      </c>
      <c r="G29" s="167">
        <f t="shared" si="0"/>
        <v>0.59731644954897467</v>
      </c>
      <c r="H29" s="167">
        <f t="shared" si="1"/>
        <v>0.40268355045102533</v>
      </c>
      <c r="I29" s="167">
        <f t="shared" si="2"/>
        <v>1.1946328990979493</v>
      </c>
      <c r="J29" s="156">
        <f t="shared" si="3"/>
        <v>1.5973164495489747</v>
      </c>
      <c r="L29" s="177">
        <f t="shared" si="12"/>
        <v>270</v>
      </c>
      <c r="M29" s="178">
        <f t="shared" si="13"/>
        <v>247.5</v>
      </c>
      <c r="N29" s="179" t="s">
        <v>488</v>
      </c>
      <c r="P29" s="166">
        <f t="shared" si="8"/>
        <v>-0.79999999999999982</v>
      </c>
      <c r="Q29" s="167">
        <f t="shared" si="9"/>
        <v>0.59731644954897467</v>
      </c>
      <c r="R29" s="167">
        <f t="shared" si="4"/>
        <v>0.40268355045102533</v>
      </c>
      <c r="S29" s="167">
        <f t="shared" si="5"/>
        <v>1.1946328990979493</v>
      </c>
      <c r="T29" s="156">
        <f t="shared" si="6"/>
        <v>1.5973164495489747</v>
      </c>
    </row>
    <row r="30" spans="2:20" s="143" customFormat="1" ht="16" customHeight="1">
      <c r="B30" s="177">
        <f t="shared" si="10"/>
        <v>315</v>
      </c>
      <c r="C30" s="178">
        <f t="shared" si="11"/>
        <v>292.5</v>
      </c>
      <c r="D30" s="179" t="s">
        <v>489</v>
      </c>
      <c r="F30" s="166">
        <f t="shared" si="7"/>
        <v>-0.78999999999999981</v>
      </c>
      <c r="G30" s="167">
        <f t="shared" si="0"/>
        <v>0.6105462843542363</v>
      </c>
      <c r="H30" s="167">
        <f t="shared" si="1"/>
        <v>0.3894537156457637</v>
      </c>
      <c r="I30" s="167">
        <f t="shared" si="2"/>
        <v>1.2210925687084726</v>
      </c>
      <c r="J30" s="156">
        <f t="shared" si="3"/>
        <v>1.6105462843542364</v>
      </c>
      <c r="L30" s="177">
        <f t="shared" si="12"/>
        <v>315</v>
      </c>
      <c r="M30" s="178">
        <f t="shared" si="13"/>
        <v>292.5</v>
      </c>
      <c r="N30" s="179" t="s">
        <v>489</v>
      </c>
      <c r="P30" s="166">
        <f t="shared" si="8"/>
        <v>-0.78999999999999981</v>
      </c>
      <c r="Q30" s="167">
        <f t="shared" si="9"/>
        <v>0.6105462843542363</v>
      </c>
      <c r="R30" s="167">
        <f t="shared" si="4"/>
        <v>0.3894537156457637</v>
      </c>
      <c r="S30" s="167">
        <f t="shared" si="5"/>
        <v>1.2210925687084726</v>
      </c>
      <c r="T30" s="156">
        <f t="shared" si="6"/>
        <v>1.6105462843542364</v>
      </c>
    </row>
    <row r="31" spans="2:20" s="143" customFormat="1" ht="16" customHeight="1">
      <c r="B31" s="180">
        <f t="shared" si="10"/>
        <v>360</v>
      </c>
      <c r="C31" s="181">
        <f t="shared" si="11"/>
        <v>337.5</v>
      </c>
      <c r="D31" s="182" t="s">
        <v>482</v>
      </c>
      <c r="F31" s="166">
        <f t="shared" si="7"/>
        <v>-0.7799999999999998</v>
      </c>
      <c r="G31" s="167">
        <f t="shared" si="0"/>
        <v>0.62333424877409616</v>
      </c>
      <c r="H31" s="167">
        <f t="shared" si="1"/>
        <v>0.37666575122590384</v>
      </c>
      <c r="I31" s="167">
        <f t="shared" si="2"/>
        <v>1.2466684975481923</v>
      </c>
      <c r="J31" s="156">
        <f t="shared" si="3"/>
        <v>1.6233342487740963</v>
      </c>
      <c r="L31" s="180">
        <f t="shared" si="12"/>
        <v>360</v>
      </c>
      <c r="M31" s="181">
        <f t="shared" si="13"/>
        <v>337.5</v>
      </c>
      <c r="N31" s="182" t="s">
        <v>482</v>
      </c>
      <c r="P31" s="166">
        <f t="shared" si="8"/>
        <v>-0.7799999999999998</v>
      </c>
      <c r="Q31" s="167">
        <f t="shared" si="9"/>
        <v>0.62333424877409616</v>
      </c>
      <c r="R31" s="167">
        <f t="shared" si="4"/>
        <v>0.37666575122590384</v>
      </c>
      <c r="S31" s="167">
        <f t="shared" si="5"/>
        <v>1.2466684975481923</v>
      </c>
      <c r="T31" s="156">
        <f t="shared" si="6"/>
        <v>1.6233342487740963</v>
      </c>
    </row>
    <row r="32" spans="2:20" s="143" customFormat="1" ht="16" customHeight="1">
      <c r="F32" s="166">
        <f t="shared" si="7"/>
        <v>-0.7699999999999998</v>
      </c>
      <c r="G32" s="167">
        <f t="shared" si="0"/>
        <v>0.63570700953332393</v>
      </c>
      <c r="H32" s="167">
        <f t="shared" si="1"/>
        <v>0.36429299046667607</v>
      </c>
      <c r="I32" s="167">
        <f t="shared" si="2"/>
        <v>1.2714140190666479</v>
      </c>
      <c r="J32" s="156">
        <f t="shared" si="3"/>
        <v>1.6357070095333239</v>
      </c>
      <c r="P32" s="166">
        <f t="shared" si="8"/>
        <v>-0.7699999999999998</v>
      </c>
      <c r="Q32" s="167">
        <f t="shared" si="9"/>
        <v>0.63570700953332393</v>
      </c>
      <c r="R32" s="167">
        <f t="shared" si="4"/>
        <v>0.36429299046667607</v>
      </c>
      <c r="S32" s="167">
        <f t="shared" si="5"/>
        <v>1.2714140190666479</v>
      </c>
      <c r="T32" s="156">
        <f t="shared" si="6"/>
        <v>1.6357070095333239</v>
      </c>
    </row>
    <row r="33" spans="6:20" s="143" customFormat="1" ht="16" customHeight="1">
      <c r="F33" s="166">
        <f t="shared" si="7"/>
        <v>-0.75999999999999979</v>
      </c>
      <c r="G33" s="167">
        <f t="shared" si="0"/>
        <v>0.64768836191788104</v>
      </c>
      <c r="H33" s="167">
        <f t="shared" si="1"/>
        <v>0.35231163808211896</v>
      </c>
      <c r="I33" s="167">
        <f t="shared" si="2"/>
        <v>1.2953767238357621</v>
      </c>
      <c r="J33" s="156">
        <f t="shared" si="3"/>
        <v>1.647688361917881</v>
      </c>
      <c r="P33" s="166">
        <f t="shared" si="8"/>
        <v>-0.75999999999999979</v>
      </c>
      <c r="Q33" s="167">
        <f t="shared" si="9"/>
        <v>0.64768836191788104</v>
      </c>
      <c r="R33" s="167">
        <f t="shared" si="4"/>
        <v>0.35231163808211896</v>
      </c>
      <c r="S33" s="167">
        <f t="shared" si="5"/>
        <v>1.2953767238357621</v>
      </c>
      <c r="T33" s="156">
        <f t="shared" si="6"/>
        <v>1.647688361917881</v>
      </c>
    </row>
    <row r="34" spans="6:20" s="143" customFormat="1" ht="16" customHeight="1">
      <c r="F34" s="166">
        <f t="shared" si="7"/>
        <v>-0.74999999999999978</v>
      </c>
      <c r="G34" s="167">
        <f t="shared" si="0"/>
        <v>0.65929964528806362</v>
      </c>
      <c r="H34" s="167">
        <f t="shared" si="1"/>
        <v>0.34070035471193638</v>
      </c>
      <c r="I34" s="167">
        <f t="shared" si="2"/>
        <v>1.3185992905761272</v>
      </c>
      <c r="J34" s="156">
        <f t="shared" si="3"/>
        <v>1.6592996452880637</v>
      </c>
      <c r="P34" s="166">
        <f t="shared" si="8"/>
        <v>-0.74999999999999978</v>
      </c>
      <c r="Q34" s="167">
        <f t="shared" si="9"/>
        <v>0.65929964528806362</v>
      </c>
      <c r="R34" s="167">
        <f t="shared" si="4"/>
        <v>0.34070035471193638</v>
      </c>
      <c r="S34" s="167">
        <f t="shared" si="5"/>
        <v>1.3185992905761272</v>
      </c>
      <c r="T34" s="156">
        <f t="shared" si="6"/>
        <v>1.6592996452880637</v>
      </c>
    </row>
    <row r="35" spans="6:20" s="143" customFormat="1" ht="16" customHeight="1">
      <c r="F35" s="166">
        <f t="shared" si="7"/>
        <v>-0.73999999999999977</v>
      </c>
      <c r="G35" s="167">
        <f t="shared" si="0"/>
        <v>0.67056008404101763</v>
      </c>
      <c r="H35" s="167">
        <f t="shared" si="1"/>
        <v>0.32943991595898237</v>
      </c>
      <c r="I35" s="167">
        <f t="shared" si="2"/>
        <v>1.3411201680820353</v>
      </c>
      <c r="J35" s="156">
        <f t="shared" si="3"/>
        <v>1.6705600840410177</v>
      </c>
      <c r="P35" s="166">
        <f t="shared" si="8"/>
        <v>-0.73999999999999977</v>
      </c>
      <c r="Q35" s="167">
        <f t="shared" si="9"/>
        <v>0.67056008404101763</v>
      </c>
      <c r="R35" s="167">
        <f t="shared" si="4"/>
        <v>0.32943991595898237</v>
      </c>
      <c r="S35" s="167">
        <f t="shared" si="5"/>
        <v>1.3411201680820353</v>
      </c>
      <c r="T35" s="156">
        <f t="shared" si="6"/>
        <v>1.6705600840410177</v>
      </c>
    </row>
    <row r="36" spans="6:20" s="143" customFormat="1" ht="16" customHeight="1">
      <c r="F36" s="166">
        <f t="shared" si="7"/>
        <v>-0.72999999999999976</v>
      </c>
      <c r="G36" s="167">
        <f t="shared" si="0"/>
        <v>0.68148706976747442</v>
      </c>
      <c r="H36" s="167">
        <f t="shared" si="1"/>
        <v>0.31851293023252558</v>
      </c>
      <c r="I36" s="167">
        <f t="shared" si="2"/>
        <v>1.3629741395349488</v>
      </c>
      <c r="J36" s="156">
        <f t="shared" si="3"/>
        <v>1.6814870697674744</v>
      </c>
      <c r="P36" s="166">
        <f t="shared" si="8"/>
        <v>-0.72999999999999976</v>
      </c>
      <c r="Q36" s="167">
        <f t="shared" si="9"/>
        <v>0.68148706976747442</v>
      </c>
      <c r="R36" s="167">
        <f t="shared" si="4"/>
        <v>0.31851293023252558</v>
      </c>
      <c r="S36" s="167">
        <f t="shared" si="5"/>
        <v>1.3629741395349488</v>
      </c>
      <c r="T36" s="156">
        <f t="shared" si="6"/>
        <v>1.6814870697674744</v>
      </c>
    </row>
    <row r="37" spans="6:20" s="143" customFormat="1" ht="16" customHeight="1">
      <c r="F37" s="166">
        <f t="shared" si="7"/>
        <v>-0.71999999999999975</v>
      </c>
      <c r="G37" s="167">
        <f t="shared" si="0"/>
        <v>0.69209639655936095</v>
      </c>
      <c r="H37" s="167">
        <f t="shared" si="1"/>
        <v>0.30790360344063905</v>
      </c>
      <c r="I37" s="167">
        <f t="shared" si="2"/>
        <v>1.3841927931187219</v>
      </c>
      <c r="J37" s="156">
        <f t="shared" si="3"/>
        <v>1.6920963965593609</v>
      </c>
      <c r="P37" s="166">
        <f t="shared" si="8"/>
        <v>-0.71999999999999975</v>
      </c>
      <c r="Q37" s="167">
        <f t="shared" si="9"/>
        <v>0.69209639655936095</v>
      </c>
      <c r="R37" s="167">
        <f t="shared" si="4"/>
        <v>0.30790360344063905</v>
      </c>
      <c r="S37" s="167">
        <f t="shared" si="5"/>
        <v>1.3841927931187219</v>
      </c>
      <c r="T37" s="156">
        <f t="shared" si="6"/>
        <v>1.6920963965593609</v>
      </c>
    </row>
    <row r="38" spans="6:20" s="143" customFormat="1" ht="16" customHeight="1">
      <c r="F38" s="166">
        <f t="shared" si="7"/>
        <v>-0.70999999999999974</v>
      </c>
      <c r="G38" s="167">
        <f t="shared" si="0"/>
        <v>0.70240245865150397</v>
      </c>
      <c r="H38" s="167">
        <f t="shared" si="1"/>
        <v>0.29759754134849603</v>
      </c>
      <c r="I38" s="167">
        <f t="shared" si="2"/>
        <v>1.4048049173030079</v>
      </c>
      <c r="J38" s="156">
        <f t="shared" si="3"/>
        <v>1.7024024586515041</v>
      </c>
      <c r="P38" s="166">
        <f t="shared" si="8"/>
        <v>-0.70999999999999974</v>
      </c>
      <c r="Q38" s="167">
        <f t="shared" si="9"/>
        <v>0.70240245865150397</v>
      </c>
      <c r="R38" s="167">
        <f t="shared" si="4"/>
        <v>0.29759754134849603</v>
      </c>
      <c r="S38" s="167">
        <f t="shared" si="5"/>
        <v>1.4048049173030079</v>
      </c>
      <c r="T38" s="156">
        <f t="shared" si="6"/>
        <v>1.7024024586515041</v>
      </c>
    </row>
    <row r="39" spans="6:20" s="143" customFormat="1" ht="16" customHeight="1">
      <c r="F39" s="166">
        <f t="shared" si="7"/>
        <v>-0.69999999999999973</v>
      </c>
      <c r="G39" s="167">
        <f t="shared" si="0"/>
        <v>0.7124184175243754</v>
      </c>
      <c r="H39" s="167">
        <f t="shared" si="1"/>
        <v>0.2875815824756246</v>
      </c>
      <c r="I39" s="167">
        <f t="shared" si="2"/>
        <v>1.4248368350487508</v>
      </c>
      <c r="J39" s="156">
        <f t="shared" si="3"/>
        <v>1.7124184175243755</v>
      </c>
      <c r="P39" s="166">
        <f t="shared" si="8"/>
        <v>-0.69999999999999973</v>
      </c>
      <c r="Q39" s="167">
        <f t="shared" si="9"/>
        <v>0.7124184175243754</v>
      </c>
      <c r="R39" s="167">
        <f t="shared" si="4"/>
        <v>0.2875815824756246</v>
      </c>
      <c r="S39" s="167">
        <f t="shared" si="5"/>
        <v>1.4248368350487508</v>
      </c>
      <c r="T39" s="156">
        <f t="shared" si="6"/>
        <v>1.7124184175243755</v>
      </c>
    </row>
    <row r="40" spans="6:20" s="143" customFormat="1" ht="16" customHeight="1">
      <c r="F40" s="166">
        <f t="shared" si="7"/>
        <v>-0.68999999999999972</v>
      </c>
      <c r="G40" s="167">
        <f t="shared" si="0"/>
        <v>0.72215634405246654</v>
      </c>
      <c r="H40" s="167">
        <f t="shared" si="1"/>
        <v>0.27784365594753346</v>
      </c>
      <c r="I40" s="167">
        <f t="shared" si="2"/>
        <v>1.4443126881049331</v>
      </c>
      <c r="J40" s="156">
        <f t="shared" si="3"/>
        <v>1.7221563440524665</v>
      </c>
      <c r="P40" s="166">
        <f t="shared" si="8"/>
        <v>-0.68999999999999972</v>
      </c>
      <c r="Q40" s="167">
        <f t="shared" si="9"/>
        <v>0.72215634405246654</v>
      </c>
      <c r="R40" s="167">
        <f t="shared" si="4"/>
        <v>0.27784365594753346</v>
      </c>
      <c r="S40" s="167">
        <f t="shared" si="5"/>
        <v>1.4443126881049331</v>
      </c>
      <c r="T40" s="156">
        <f t="shared" si="6"/>
        <v>1.7221563440524665</v>
      </c>
    </row>
    <row r="41" spans="6:20" s="143" customFormat="1" ht="16" customHeight="1">
      <c r="F41" s="166">
        <f t="shared" si="7"/>
        <v>-0.67999999999999972</v>
      </c>
      <c r="G41" s="167">
        <f t="shared" si="0"/>
        <v>0.73162734011349351</v>
      </c>
      <c r="H41" s="167">
        <f t="shared" si="1"/>
        <v>0.26837265988650649</v>
      </c>
      <c r="I41" s="167">
        <f t="shared" si="2"/>
        <v>1.463254680226987</v>
      </c>
      <c r="J41" s="156">
        <f t="shared" si="3"/>
        <v>1.7316273401134934</v>
      </c>
      <c r="P41" s="166">
        <f t="shared" si="8"/>
        <v>-0.67999999999999972</v>
      </c>
      <c r="Q41" s="167">
        <f t="shared" si="9"/>
        <v>0.73162734011349351</v>
      </c>
      <c r="R41" s="167">
        <f t="shared" si="4"/>
        <v>0.26837265988650649</v>
      </c>
      <c r="S41" s="167">
        <f t="shared" si="5"/>
        <v>1.463254680226987</v>
      </c>
      <c r="T41" s="156">
        <f t="shared" si="6"/>
        <v>1.7316273401134934</v>
      </c>
    </row>
    <row r="42" spans="6:20" s="143" customFormat="1" ht="16" customHeight="1">
      <c r="F42" s="166">
        <f t="shared" si="7"/>
        <v>-0.66999999999999971</v>
      </c>
      <c r="G42" s="167">
        <f t="shared" si="0"/>
        <v>0.74084164317814793</v>
      </c>
      <c r="H42" s="167">
        <f t="shared" si="1"/>
        <v>0.25915835682185207</v>
      </c>
      <c r="I42" s="167">
        <f t="shared" si="2"/>
        <v>1.4816832863562959</v>
      </c>
      <c r="J42" s="156">
        <f t="shared" si="3"/>
        <v>1.7408416431781479</v>
      </c>
      <c r="P42" s="166">
        <f t="shared" si="8"/>
        <v>-0.66999999999999971</v>
      </c>
      <c r="Q42" s="167">
        <f t="shared" si="9"/>
        <v>0.74084164317814793</v>
      </c>
      <c r="R42" s="167">
        <f t="shared" si="4"/>
        <v>0.25915835682185207</v>
      </c>
      <c r="S42" s="167">
        <f t="shared" si="5"/>
        <v>1.4816832863562959</v>
      </c>
      <c r="T42" s="156">
        <f t="shared" si="6"/>
        <v>1.7408416431781479</v>
      </c>
    </row>
    <row r="43" spans="6:20" s="143" customFormat="1" ht="16" customHeight="1">
      <c r="F43" s="166">
        <f t="shared" si="7"/>
        <v>-0.6599999999999997</v>
      </c>
      <c r="G43" s="167">
        <f t="shared" si="0"/>
        <v>0.7498087167079901</v>
      </c>
      <c r="H43" s="167">
        <f t="shared" si="1"/>
        <v>0.2501912832920099</v>
      </c>
      <c r="I43" s="167">
        <f t="shared" si="2"/>
        <v>1.4996174334159802</v>
      </c>
      <c r="J43" s="156">
        <f t="shared" si="3"/>
        <v>1.7498087167079901</v>
      </c>
      <c r="P43" s="166">
        <f t="shared" si="8"/>
        <v>-0.6599999999999997</v>
      </c>
      <c r="Q43" s="167">
        <f t="shared" si="9"/>
        <v>0.7498087167079901</v>
      </c>
      <c r="R43" s="167">
        <f t="shared" si="4"/>
        <v>0.2501912832920099</v>
      </c>
      <c r="S43" s="167">
        <f t="shared" si="5"/>
        <v>1.4996174334159802</v>
      </c>
      <c r="T43" s="156">
        <f t="shared" si="6"/>
        <v>1.7498087167079901</v>
      </c>
    </row>
    <row r="44" spans="6:20" s="143" customFormat="1" ht="16" customHeight="1">
      <c r="F44" s="166">
        <f t="shared" si="7"/>
        <v>-0.64999999999999969</v>
      </c>
      <c r="G44" s="167">
        <f t="shared" si="0"/>
        <v>0.75853732864948675</v>
      </c>
      <c r="H44" s="167">
        <f t="shared" si="1"/>
        <v>0.24146267135051325</v>
      </c>
      <c r="I44" s="167">
        <f t="shared" si="2"/>
        <v>1.5170746572989735</v>
      </c>
      <c r="J44" s="156">
        <f t="shared" si="3"/>
        <v>1.7585373286494868</v>
      </c>
      <c r="P44" s="166">
        <f t="shared" si="8"/>
        <v>-0.64999999999999969</v>
      </c>
      <c r="Q44" s="167">
        <f t="shared" si="9"/>
        <v>0.75853732864948675</v>
      </c>
      <c r="R44" s="167">
        <f t="shared" si="4"/>
        <v>0.24146267135051325</v>
      </c>
      <c r="S44" s="167">
        <f t="shared" si="5"/>
        <v>1.5170746572989735</v>
      </c>
      <c r="T44" s="156">
        <f t="shared" si="6"/>
        <v>1.7585373286494868</v>
      </c>
    </row>
    <row r="45" spans="6:20" s="143" customFormat="1" ht="16" customHeight="1">
      <c r="F45" s="166">
        <f t="shared" si="7"/>
        <v>-0.63999999999999968</v>
      </c>
      <c r="G45" s="167">
        <f t="shared" si="0"/>
        <v>0.76703561988811686</v>
      </c>
      <c r="H45" s="167">
        <f t="shared" si="1"/>
        <v>0.23296438011188314</v>
      </c>
      <c r="I45" s="167">
        <f t="shared" si="2"/>
        <v>1.5340712397762337</v>
      </c>
      <c r="J45" s="156">
        <f t="shared" si="3"/>
        <v>1.7670356198881167</v>
      </c>
      <c r="P45" s="166">
        <f t="shared" si="8"/>
        <v>-0.63999999999999968</v>
      </c>
      <c r="Q45" s="167">
        <f t="shared" si="9"/>
        <v>0.76703561988811686</v>
      </c>
      <c r="R45" s="167">
        <f t="shared" si="4"/>
        <v>0.23296438011188314</v>
      </c>
      <c r="S45" s="167">
        <f t="shared" si="5"/>
        <v>1.5340712397762337</v>
      </c>
      <c r="T45" s="156">
        <f t="shared" si="6"/>
        <v>1.7670356198881167</v>
      </c>
    </row>
    <row r="46" spans="6:20" s="143" customFormat="1" ht="16" customHeight="1">
      <c r="F46" s="166">
        <f t="shared" si="7"/>
        <v>-0.62999999999999967</v>
      </c>
      <c r="G46" s="167">
        <f t="shared" si="0"/>
        <v>0.77531116419062851</v>
      </c>
      <c r="H46" s="167">
        <f t="shared" si="1"/>
        <v>0.22468883580937149</v>
      </c>
      <c r="I46" s="167">
        <f t="shared" si="2"/>
        <v>1.550622328381257</v>
      </c>
      <c r="J46" s="156">
        <f t="shared" si="3"/>
        <v>1.7753111641906285</v>
      </c>
      <c r="P46" s="166">
        <f t="shared" si="8"/>
        <v>-0.62999999999999967</v>
      </c>
      <c r="Q46" s="167">
        <f t="shared" si="9"/>
        <v>0.77531116419062851</v>
      </c>
      <c r="R46" s="167">
        <f t="shared" si="4"/>
        <v>0.22468883580937149</v>
      </c>
      <c r="S46" s="167">
        <f t="shared" si="5"/>
        <v>1.550622328381257</v>
      </c>
      <c r="T46" s="156">
        <f t="shared" si="6"/>
        <v>1.7753111641906285</v>
      </c>
    </row>
    <row r="47" spans="6:20" s="143" customFormat="1" ht="16" customHeight="1">
      <c r="F47" s="166">
        <f t="shared" si="7"/>
        <v>-0.61999999999999966</v>
      </c>
      <c r="G47" s="167">
        <f t="shared" si="0"/>
        <v>0.78337102089567978</v>
      </c>
      <c r="H47" s="167">
        <f t="shared" si="1"/>
        <v>0.21662897910432022</v>
      </c>
      <c r="I47" s="167">
        <f t="shared" si="2"/>
        <v>1.5667420417913596</v>
      </c>
      <c r="J47" s="156">
        <f t="shared" si="3"/>
        <v>1.7833710208956797</v>
      </c>
      <c r="P47" s="166">
        <f t="shared" si="8"/>
        <v>-0.61999999999999966</v>
      </c>
      <c r="Q47" s="167">
        <f t="shared" si="9"/>
        <v>0.78337102089567978</v>
      </c>
      <c r="R47" s="167">
        <f t="shared" si="4"/>
        <v>0.21662897910432022</v>
      </c>
      <c r="S47" s="167">
        <f t="shared" si="5"/>
        <v>1.5667420417913596</v>
      </c>
      <c r="T47" s="156">
        <f t="shared" si="6"/>
        <v>1.7833710208956797</v>
      </c>
    </row>
    <row r="48" spans="6:20" s="143" customFormat="1" ht="16" customHeight="1">
      <c r="F48" s="166">
        <f t="shared" si="7"/>
        <v>-0.60999999999999965</v>
      </c>
      <c r="G48" s="167">
        <f t="shared" si="0"/>
        <v>0.79122178139803712</v>
      </c>
      <c r="H48" s="167">
        <f t="shared" si="1"/>
        <v>0.20877821860196288</v>
      </c>
      <c r="I48" s="167">
        <f t="shared" si="2"/>
        <v>1.5824435627960742</v>
      </c>
      <c r="J48" s="156">
        <f t="shared" si="3"/>
        <v>1.7912217813980371</v>
      </c>
      <c r="P48" s="166">
        <f t="shared" si="8"/>
        <v>-0.60999999999999965</v>
      </c>
      <c r="Q48" s="167">
        <f t="shared" si="9"/>
        <v>0.79122178139803712</v>
      </c>
      <c r="R48" s="167">
        <f t="shared" si="4"/>
        <v>0.20877821860196288</v>
      </c>
      <c r="S48" s="167">
        <f t="shared" si="5"/>
        <v>1.5824435627960742</v>
      </c>
      <c r="T48" s="156">
        <f t="shared" si="6"/>
        <v>1.7912217813980371</v>
      </c>
    </row>
    <row r="49" spans="6:20" s="143" customFormat="1" ht="16" customHeight="1">
      <c r="F49" s="166">
        <f t="shared" si="7"/>
        <v>-0.59999999999999964</v>
      </c>
      <c r="G49" s="167">
        <f t="shared" si="0"/>
        <v>0.79886961029773729</v>
      </c>
      <c r="H49" s="167">
        <f t="shared" si="1"/>
        <v>0.20113038970226271</v>
      </c>
      <c r="I49" s="167">
        <f t="shared" si="2"/>
        <v>1.5977392205954746</v>
      </c>
      <c r="J49" s="156">
        <f t="shared" si="3"/>
        <v>1.7988696102977373</v>
      </c>
      <c r="P49" s="166">
        <f t="shared" si="8"/>
        <v>-0.59999999999999964</v>
      </c>
      <c r="Q49" s="167">
        <f t="shared" si="9"/>
        <v>0.79886961029773729</v>
      </c>
      <c r="R49" s="167">
        <f t="shared" si="4"/>
        <v>0.20113038970226271</v>
      </c>
      <c r="S49" s="167">
        <f t="shared" si="5"/>
        <v>1.5977392205954746</v>
      </c>
      <c r="T49" s="156">
        <f t="shared" si="6"/>
        <v>1.7988696102977373</v>
      </c>
    </row>
    <row r="50" spans="6:20" s="143" customFormat="1" ht="16" customHeight="1">
      <c r="F50" s="166">
        <f t="shared" si="7"/>
        <v>-0.58999999999999964</v>
      </c>
      <c r="G50" s="167">
        <f t="shared" si="0"/>
        <v>0.80632028194438088</v>
      </c>
      <c r="H50" s="167">
        <f t="shared" si="1"/>
        <v>0.19367971805561912</v>
      </c>
      <c r="I50" s="167">
        <f t="shared" si="2"/>
        <v>1.6126405638887618</v>
      </c>
      <c r="J50" s="156">
        <f t="shared" si="3"/>
        <v>1.8063202819443809</v>
      </c>
      <c r="P50" s="166">
        <f t="shared" si="8"/>
        <v>-0.58999999999999964</v>
      </c>
      <c r="Q50" s="167">
        <f t="shared" si="9"/>
        <v>0.80632028194438088</v>
      </c>
      <c r="R50" s="167">
        <f t="shared" si="4"/>
        <v>0.19367971805561912</v>
      </c>
      <c r="S50" s="167">
        <f t="shared" si="5"/>
        <v>1.6126405638887618</v>
      </c>
      <c r="T50" s="156">
        <f t="shared" si="6"/>
        <v>1.8063202819443809</v>
      </c>
    </row>
    <row r="51" spans="6:20" s="143" customFormat="1" ht="16" customHeight="1">
      <c r="F51" s="166">
        <f t="shared" si="7"/>
        <v>-0.57999999999999963</v>
      </c>
      <c r="G51" s="167">
        <f t="shared" si="0"/>
        <v>0.81357921299127667</v>
      </c>
      <c r="H51" s="167">
        <f t="shared" si="1"/>
        <v>0.18642078700872333</v>
      </c>
      <c r="I51" s="167">
        <f t="shared" si="2"/>
        <v>1.6271584259825533</v>
      </c>
      <c r="J51" s="156">
        <f t="shared" si="3"/>
        <v>1.8135792129912767</v>
      </c>
      <c r="P51" s="166">
        <f t="shared" si="8"/>
        <v>-0.57999999999999963</v>
      </c>
      <c r="Q51" s="167">
        <f t="shared" si="9"/>
        <v>0.81357921299127667</v>
      </c>
      <c r="R51" s="167">
        <f t="shared" si="4"/>
        <v>0.18642078700872333</v>
      </c>
      <c r="S51" s="167">
        <f t="shared" si="5"/>
        <v>1.6271584259825533</v>
      </c>
      <c r="T51" s="156">
        <f t="shared" si="6"/>
        <v>1.8135792129912767</v>
      </c>
    </row>
    <row r="52" spans="6:20" s="143" customFormat="1" ht="16" customHeight="1">
      <c r="F52" s="166">
        <f t="shared" si="7"/>
        <v>-0.56999999999999962</v>
      </c>
      <c r="G52" s="167">
        <f t="shared" si="0"/>
        <v>0.82065149147928562</v>
      </c>
      <c r="H52" s="167">
        <f t="shared" si="1"/>
        <v>0.17934850852071438</v>
      </c>
      <c r="I52" s="167">
        <f t="shared" si="2"/>
        <v>1.6413029829585712</v>
      </c>
      <c r="J52" s="156">
        <f t="shared" si="3"/>
        <v>1.8206514914792855</v>
      </c>
      <c r="P52" s="166">
        <f t="shared" si="8"/>
        <v>-0.56999999999999962</v>
      </c>
      <c r="Q52" s="167">
        <f t="shared" si="9"/>
        <v>0.82065149147928562</v>
      </c>
      <c r="R52" s="167">
        <f t="shared" si="4"/>
        <v>0.17934850852071438</v>
      </c>
      <c r="S52" s="167">
        <f t="shared" si="5"/>
        <v>1.6413029829585712</v>
      </c>
      <c r="T52" s="156">
        <f t="shared" si="6"/>
        <v>1.8206514914792855</v>
      </c>
    </row>
    <row r="53" spans="6:20" s="143" customFormat="1" ht="16" customHeight="1">
      <c r="F53" s="166">
        <f t="shared" si="7"/>
        <v>-0.55999999999999961</v>
      </c>
      <c r="G53" s="167">
        <f t="shared" si="0"/>
        <v>0.8275419028918588</v>
      </c>
      <c r="H53" s="167">
        <f t="shared" si="1"/>
        <v>0.1724580971081412</v>
      </c>
      <c r="I53" s="167">
        <f t="shared" si="2"/>
        <v>1.6550838057837176</v>
      </c>
      <c r="J53" s="156">
        <f t="shared" si="3"/>
        <v>1.8275419028918587</v>
      </c>
      <c r="P53" s="166">
        <f t="shared" si="8"/>
        <v>-0.55999999999999961</v>
      </c>
      <c r="Q53" s="167">
        <f t="shared" si="9"/>
        <v>0.8275419028918588</v>
      </c>
      <c r="R53" s="167">
        <f t="shared" si="4"/>
        <v>0.1724580971081412</v>
      </c>
      <c r="S53" s="167">
        <f t="shared" si="5"/>
        <v>1.6550838057837176</v>
      </c>
      <c r="T53" s="156">
        <f t="shared" si="6"/>
        <v>1.8275419028918587</v>
      </c>
    </row>
    <row r="54" spans="6:20" s="143" customFormat="1" ht="16" customHeight="1">
      <c r="F54" s="166">
        <f t="shared" si="7"/>
        <v>-0.5499999999999996</v>
      </c>
      <c r="G54" s="167">
        <f t="shared" si="0"/>
        <v>0.83425495355773183</v>
      </c>
      <c r="H54" s="167">
        <f t="shared" si="1"/>
        <v>0.16574504644226817</v>
      </c>
      <c r="I54" s="167">
        <f t="shared" si="2"/>
        <v>1.6685099071154637</v>
      </c>
      <c r="J54" s="156">
        <f t="shared" si="3"/>
        <v>1.8342549535577319</v>
      </c>
      <c r="P54" s="166">
        <f t="shared" si="8"/>
        <v>-0.5499999999999996</v>
      </c>
      <c r="Q54" s="167">
        <f t="shared" si="9"/>
        <v>0.83425495355773183</v>
      </c>
      <c r="R54" s="167">
        <f t="shared" si="4"/>
        <v>0.16574504644226817</v>
      </c>
      <c r="S54" s="167">
        <f t="shared" si="5"/>
        <v>1.6685099071154637</v>
      </c>
      <c r="T54" s="156">
        <f t="shared" si="6"/>
        <v>1.8342549535577319</v>
      </c>
    </row>
    <row r="55" spans="6:20" s="143" customFormat="1" ht="16" customHeight="1">
      <c r="F55" s="166">
        <f t="shared" si="7"/>
        <v>-0.53999999999999959</v>
      </c>
      <c r="G55" s="167">
        <f t="shared" si="0"/>
        <v>0.84079489172352828</v>
      </c>
      <c r="H55" s="167">
        <f t="shared" si="1"/>
        <v>0.15920510827647172</v>
      </c>
      <c r="I55" s="167">
        <f t="shared" si="2"/>
        <v>1.6815897834470566</v>
      </c>
      <c r="J55" s="156">
        <f t="shared" si="3"/>
        <v>1.8407948917235282</v>
      </c>
      <c r="P55" s="166">
        <f t="shared" si="8"/>
        <v>-0.53999999999999959</v>
      </c>
      <c r="Q55" s="167">
        <f t="shared" si="9"/>
        <v>0.84079489172352828</v>
      </c>
      <c r="R55" s="167">
        <f t="shared" si="4"/>
        <v>0.15920510827647172</v>
      </c>
      <c r="S55" s="167">
        <f t="shared" si="5"/>
        <v>1.6815897834470566</v>
      </c>
      <c r="T55" s="156">
        <f t="shared" si="6"/>
        <v>1.8407948917235282</v>
      </c>
    </row>
    <row r="56" spans="6:20" s="143" customFormat="1" ht="16" customHeight="1">
      <c r="F56" s="166">
        <f t="shared" si="7"/>
        <v>-0.52999999999999958</v>
      </c>
      <c r="G56" s="167">
        <f t="shared" si="0"/>
        <v>0.84716572657312916</v>
      </c>
      <c r="H56" s="167">
        <f t="shared" si="1"/>
        <v>0.15283427342687084</v>
      </c>
      <c r="I56" s="167">
        <f t="shared" si="2"/>
        <v>1.6943314531462583</v>
      </c>
      <c r="J56" s="156">
        <f t="shared" si="3"/>
        <v>1.8471657265731292</v>
      </c>
      <c r="P56" s="166">
        <f t="shared" si="8"/>
        <v>-0.52999999999999958</v>
      </c>
      <c r="Q56" s="167">
        <f t="shared" si="9"/>
        <v>0.84716572657312916</v>
      </c>
      <c r="R56" s="167">
        <f t="shared" si="4"/>
        <v>0.15283427342687084</v>
      </c>
      <c r="S56" s="167">
        <f t="shared" si="5"/>
        <v>1.6943314531462583</v>
      </c>
      <c r="T56" s="156">
        <f t="shared" si="6"/>
        <v>1.8471657265731292</v>
      </c>
    </row>
    <row r="57" spans="6:20" s="143" customFormat="1" ht="16" customHeight="1">
      <c r="F57" s="166">
        <f t="shared" si="7"/>
        <v>-0.51999999999999957</v>
      </c>
      <c r="G57" s="167">
        <f t="shared" si="0"/>
        <v>0.8533712454324951</v>
      </c>
      <c r="H57" s="167">
        <f t="shared" si="1"/>
        <v>0.1466287545675049</v>
      </c>
      <c r="I57" s="167">
        <f t="shared" si="2"/>
        <v>1.7067424908649902</v>
      </c>
      <c r="J57" s="156">
        <f t="shared" si="3"/>
        <v>1.8533712454324951</v>
      </c>
      <c r="P57" s="166">
        <f t="shared" si="8"/>
        <v>-0.51999999999999957</v>
      </c>
      <c r="Q57" s="167">
        <f t="shared" si="9"/>
        <v>0.8533712454324951</v>
      </c>
      <c r="R57" s="167">
        <f t="shared" si="4"/>
        <v>0.1466287545675049</v>
      </c>
      <c r="S57" s="167">
        <f t="shared" si="5"/>
        <v>1.7067424908649902</v>
      </c>
      <c r="T57" s="156">
        <f t="shared" si="6"/>
        <v>1.8533712454324951</v>
      </c>
    </row>
    <row r="58" spans="6:20" s="143" customFormat="1" ht="16" customHeight="1">
      <c r="F58" s="166">
        <f t="shared" si="7"/>
        <v>-0.50999999999999956</v>
      </c>
      <c r="G58" s="167">
        <f t="shared" si="0"/>
        <v>0.85941502936641123</v>
      </c>
      <c r="H58" s="167">
        <f t="shared" si="1"/>
        <v>0.14058497063358877</v>
      </c>
      <c r="I58" s="167">
        <f t="shared" si="2"/>
        <v>1.7188300587328225</v>
      </c>
      <c r="J58" s="156">
        <f t="shared" si="3"/>
        <v>1.8594150293664113</v>
      </c>
      <c r="P58" s="166">
        <f t="shared" si="8"/>
        <v>-0.50999999999999956</v>
      </c>
      <c r="Q58" s="167">
        <f t="shared" si="9"/>
        <v>0.85941502936641123</v>
      </c>
      <c r="R58" s="167">
        <f t="shared" si="4"/>
        <v>0.14058497063358877</v>
      </c>
      <c r="S58" s="167">
        <f t="shared" si="5"/>
        <v>1.7188300587328225</v>
      </c>
      <c r="T58" s="156">
        <f t="shared" si="6"/>
        <v>1.8594150293664113</v>
      </c>
    </row>
    <row r="59" spans="6:20" s="143" customFormat="1" ht="16" customHeight="1">
      <c r="F59" s="166">
        <f t="shared" si="7"/>
        <v>-0.49999999999999956</v>
      </c>
      <c r="G59" s="167">
        <f t="shared" si="0"/>
        <v>0.86530046734632193</v>
      </c>
      <c r="H59" s="167">
        <f t="shared" si="1"/>
        <v>0.13469953265367807</v>
      </c>
      <c r="I59" s="167">
        <f t="shared" si="2"/>
        <v>1.7306009346926439</v>
      </c>
      <c r="J59" s="156">
        <f t="shared" si="3"/>
        <v>1.865300467346322</v>
      </c>
      <c r="P59" s="166">
        <f t="shared" si="8"/>
        <v>-0.49999999999999956</v>
      </c>
      <c r="Q59" s="167">
        <f t="shared" si="9"/>
        <v>0.86530046734632193</v>
      </c>
      <c r="R59" s="167">
        <f t="shared" si="4"/>
        <v>0.13469953265367807</v>
      </c>
      <c r="S59" s="167">
        <f t="shared" si="5"/>
        <v>1.7306009346926439</v>
      </c>
      <c r="T59" s="156">
        <f t="shared" si="6"/>
        <v>1.865300467346322</v>
      </c>
    </row>
    <row r="60" spans="6:20" s="143" customFormat="1" ht="16" customHeight="1">
      <c r="F60" s="166">
        <f t="shared" si="7"/>
        <v>-0.48999999999999955</v>
      </c>
      <c r="G60" s="167">
        <f t="shared" si="0"/>
        <v>0.87103076914520561</v>
      </c>
      <c r="H60" s="167">
        <f t="shared" si="1"/>
        <v>0.12896923085479439</v>
      </c>
      <c r="I60" s="167">
        <f t="shared" si="2"/>
        <v>1.7420615382904112</v>
      </c>
      <c r="J60" s="156">
        <f t="shared" si="3"/>
        <v>1.8710307691452055</v>
      </c>
      <c r="P60" s="166">
        <f t="shared" si="8"/>
        <v>-0.48999999999999955</v>
      </c>
      <c r="Q60" s="167">
        <f t="shared" si="9"/>
        <v>0.87103076914520561</v>
      </c>
      <c r="R60" s="167">
        <f t="shared" si="4"/>
        <v>0.12896923085479439</v>
      </c>
      <c r="S60" s="167">
        <f t="shared" si="5"/>
        <v>1.7420615382904112</v>
      </c>
      <c r="T60" s="156">
        <f t="shared" si="6"/>
        <v>1.8710307691452055</v>
      </c>
    </row>
    <row r="61" spans="6:20" s="143" customFormat="1" ht="16" customHeight="1">
      <c r="F61" s="166">
        <f t="shared" si="7"/>
        <v>-0.47999999999999954</v>
      </c>
      <c r="G61" s="167">
        <f t="shared" si="0"/>
        <v>0.87660897709562946</v>
      </c>
      <c r="H61" s="167">
        <f t="shared" si="1"/>
        <v>0.12339102290437054</v>
      </c>
      <c r="I61" s="167">
        <f t="shared" si="2"/>
        <v>1.7532179541912589</v>
      </c>
      <c r="J61" s="156">
        <f t="shared" si="3"/>
        <v>1.8766089770956293</v>
      </c>
      <c r="P61" s="166">
        <f t="shared" si="8"/>
        <v>-0.47999999999999954</v>
      </c>
      <c r="Q61" s="167">
        <f t="shared" si="9"/>
        <v>0.87660897709562946</v>
      </c>
      <c r="R61" s="167">
        <f t="shared" si="4"/>
        <v>0.12339102290437054</v>
      </c>
      <c r="S61" s="167">
        <f t="shared" si="5"/>
        <v>1.7532179541912589</v>
      </c>
      <c r="T61" s="156">
        <f t="shared" si="6"/>
        <v>1.8766089770956293</v>
      </c>
    </row>
    <row r="62" spans="6:20" s="143" customFormat="1" ht="16" customHeight="1">
      <c r="F62" s="166">
        <f t="shared" si="7"/>
        <v>-0.46999999999999953</v>
      </c>
      <c r="G62" s="167">
        <f t="shared" si="0"/>
        <v>0.88203797683015595</v>
      </c>
      <c r="H62" s="167">
        <f t="shared" si="1"/>
        <v>0.11796202316984405</v>
      </c>
      <c r="I62" s="167">
        <f t="shared" si="2"/>
        <v>1.7640759536603119</v>
      </c>
      <c r="J62" s="156">
        <f t="shared" si="3"/>
        <v>1.8820379768301558</v>
      </c>
      <c r="P62" s="166">
        <f t="shared" si="8"/>
        <v>-0.46999999999999953</v>
      </c>
      <c r="Q62" s="167">
        <f t="shared" si="9"/>
        <v>0.88203797683015595</v>
      </c>
      <c r="R62" s="167">
        <f t="shared" si="4"/>
        <v>0.11796202316984405</v>
      </c>
      <c r="S62" s="167">
        <f t="shared" si="5"/>
        <v>1.7640759536603119</v>
      </c>
      <c r="T62" s="156">
        <f t="shared" si="6"/>
        <v>1.8820379768301558</v>
      </c>
    </row>
    <row r="63" spans="6:20" s="143" customFormat="1" ht="16" customHeight="1">
      <c r="F63" s="166">
        <f t="shared" si="7"/>
        <v>-0.45999999999999952</v>
      </c>
      <c r="G63" s="167">
        <f t="shared" si="0"/>
        <v>0.88732050710870847</v>
      </c>
      <c r="H63" s="167">
        <f t="shared" si="1"/>
        <v>0.11267949289129153</v>
      </c>
      <c r="I63" s="167">
        <f t="shared" si="2"/>
        <v>1.7746410142174169</v>
      </c>
      <c r="J63" s="156">
        <f t="shared" si="3"/>
        <v>1.8873205071087085</v>
      </c>
      <c r="P63" s="166">
        <f t="shared" si="8"/>
        <v>-0.45999999999999952</v>
      </c>
      <c r="Q63" s="167">
        <f t="shared" si="9"/>
        <v>0.88732050710870847</v>
      </c>
      <c r="R63" s="167">
        <f t="shared" si="4"/>
        <v>0.11267949289129153</v>
      </c>
      <c r="S63" s="167">
        <f t="shared" si="5"/>
        <v>1.7746410142174169</v>
      </c>
      <c r="T63" s="156">
        <f t="shared" si="6"/>
        <v>1.8873205071087085</v>
      </c>
    </row>
    <row r="64" spans="6:20" ht="16">
      <c r="F64" s="166">
        <f t="shared" si="7"/>
        <v>-0.44999999999999951</v>
      </c>
      <c r="G64" s="167">
        <f t="shared" si="0"/>
        <v>0.89245916882494303</v>
      </c>
      <c r="H64" s="167">
        <f t="shared" si="1"/>
        <v>0.10754083117505697</v>
      </c>
      <c r="I64" s="167">
        <f t="shared" si="2"/>
        <v>1.7849183376498861</v>
      </c>
      <c r="J64" s="156">
        <f t="shared" si="3"/>
        <v>1.892459168824943</v>
      </c>
      <c r="P64" s="166">
        <f t="shared" si="8"/>
        <v>-0.44999999999999951</v>
      </c>
      <c r="Q64" s="167">
        <f t="shared" si="9"/>
        <v>0.89245916882494303</v>
      </c>
      <c r="R64" s="167">
        <f t="shared" si="4"/>
        <v>0.10754083117505697</v>
      </c>
      <c r="S64" s="167">
        <f t="shared" si="5"/>
        <v>1.7849183376498861</v>
      </c>
      <c r="T64" s="156">
        <f t="shared" si="6"/>
        <v>1.892459168824943</v>
      </c>
    </row>
    <row r="65" spans="6:20" ht="16">
      <c r="F65" s="166">
        <f t="shared" si="7"/>
        <v>-0.4399999999999995</v>
      </c>
      <c r="G65" s="167">
        <f t="shared" si="0"/>
        <v>0.89745643327283176</v>
      </c>
      <c r="H65" s="167">
        <f t="shared" si="1"/>
        <v>0.10254356672716824</v>
      </c>
      <c r="I65" s="167">
        <f t="shared" si="2"/>
        <v>1.7949128665456635</v>
      </c>
      <c r="J65" s="156">
        <f t="shared" si="3"/>
        <v>1.8974564332728319</v>
      </c>
      <c r="P65" s="166">
        <f t="shared" si="8"/>
        <v>-0.4399999999999995</v>
      </c>
      <c r="Q65" s="167">
        <f t="shared" si="9"/>
        <v>0.89745643327283176</v>
      </c>
      <c r="R65" s="167">
        <f t="shared" si="4"/>
        <v>0.10254356672716824</v>
      </c>
      <c r="S65" s="167">
        <f t="shared" si="5"/>
        <v>1.7949128665456635</v>
      </c>
      <c r="T65" s="156">
        <f t="shared" si="6"/>
        <v>1.8974564332728319</v>
      </c>
    </row>
    <row r="66" spans="6:20" ht="16">
      <c r="F66" s="166">
        <f t="shared" si="7"/>
        <v>-0.42999999999999949</v>
      </c>
      <c r="G66" s="167">
        <f t="shared" si="0"/>
        <v>0.90231464974525877</v>
      </c>
      <c r="H66" s="167">
        <f t="shared" si="1"/>
        <v>9.7685350254741232E-2</v>
      </c>
      <c r="I66" s="167">
        <f t="shared" si="2"/>
        <v>1.8046292994905175</v>
      </c>
      <c r="J66" s="156">
        <f t="shared" si="3"/>
        <v>1.9023146497452588</v>
      </c>
      <c r="P66" s="166">
        <f t="shared" si="8"/>
        <v>-0.42999999999999949</v>
      </c>
      <c r="Q66" s="167">
        <f t="shared" si="9"/>
        <v>0.90231464974525877</v>
      </c>
      <c r="R66" s="167">
        <f t="shared" si="4"/>
        <v>9.7685350254741232E-2</v>
      </c>
      <c r="S66" s="167">
        <f t="shared" si="5"/>
        <v>1.8046292994905175</v>
      </c>
      <c r="T66" s="156">
        <f t="shared" si="6"/>
        <v>1.9023146497452588</v>
      </c>
    </row>
    <row r="67" spans="6:20" ht="16">
      <c r="F67" s="166">
        <f t="shared" si="7"/>
        <v>-0.41999999999999948</v>
      </c>
      <c r="G67" s="167">
        <f t="shared" si="0"/>
        <v>0.90703605252826469</v>
      </c>
      <c r="H67" s="167">
        <f t="shared" si="1"/>
        <v>9.2963947471735309E-2</v>
      </c>
      <c r="I67" s="167">
        <f t="shared" si="2"/>
        <v>1.8140721050565294</v>
      </c>
      <c r="J67" s="156">
        <f t="shared" si="3"/>
        <v>1.9070360525282646</v>
      </c>
      <c r="P67" s="166">
        <f t="shared" si="8"/>
        <v>-0.41999999999999948</v>
      </c>
      <c r="Q67" s="167">
        <f t="shared" si="9"/>
        <v>0.90703605252826469</v>
      </c>
      <c r="R67" s="167">
        <f t="shared" si="4"/>
        <v>9.2963947471735309E-2</v>
      </c>
      <c r="S67" s="167">
        <f t="shared" si="5"/>
        <v>1.8140721050565294</v>
      </c>
      <c r="T67" s="156">
        <f t="shared" si="6"/>
        <v>1.9070360525282646</v>
      </c>
    </row>
    <row r="68" spans="6:20" ht="16">
      <c r="F68" s="166">
        <f t="shared" si="7"/>
        <v>-0.40999999999999948</v>
      </c>
      <c r="G68" s="167">
        <f t="shared" si="0"/>
        <v>0.91162276734745762</v>
      </c>
      <c r="H68" s="167">
        <f t="shared" si="1"/>
        <v>8.8377232652542381E-2</v>
      </c>
      <c r="I68" s="167">
        <f t="shared" si="2"/>
        <v>1.8232455346949152</v>
      </c>
      <c r="J68" s="156">
        <f t="shared" si="3"/>
        <v>1.9116227673474575</v>
      </c>
      <c r="P68" s="166">
        <f t="shared" si="8"/>
        <v>-0.40999999999999948</v>
      </c>
      <c r="Q68" s="167">
        <f t="shared" si="9"/>
        <v>0.91162276734745762</v>
      </c>
      <c r="R68" s="167">
        <f t="shared" si="4"/>
        <v>8.8377232652542381E-2</v>
      </c>
      <c r="S68" s="167">
        <f t="shared" si="5"/>
        <v>1.8232455346949152</v>
      </c>
      <c r="T68" s="156">
        <f t="shared" si="6"/>
        <v>1.9116227673474575</v>
      </c>
    </row>
    <row r="69" spans="6:20" ht="16">
      <c r="F69" s="166">
        <f t="shared" si="7"/>
        <v>-0.39999999999999947</v>
      </c>
      <c r="G69" s="167">
        <f t="shared" si="0"/>
        <v>0.91607681731689328</v>
      </c>
      <c r="H69" s="167">
        <f t="shared" si="1"/>
        <v>8.3923182683106723E-2</v>
      </c>
      <c r="I69" s="167">
        <f t="shared" si="2"/>
        <v>1.8321536346337866</v>
      </c>
      <c r="J69" s="156">
        <f t="shared" si="3"/>
        <v>1.9160768173168932</v>
      </c>
      <c r="P69" s="166">
        <f t="shared" si="8"/>
        <v>-0.39999999999999947</v>
      </c>
      <c r="Q69" s="167">
        <f t="shared" si="9"/>
        <v>0.91607681731689328</v>
      </c>
      <c r="R69" s="167">
        <f t="shared" si="4"/>
        <v>8.3923182683106723E-2</v>
      </c>
      <c r="S69" s="167">
        <f t="shared" si="5"/>
        <v>1.8321536346337866</v>
      </c>
      <c r="T69" s="156">
        <f t="shared" si="6"/>
        <v>1.9160768173168932</v>
      </c>
    </row>
    <row r="70" spans="6:20" ht="16">
      <c r="F70" s="166">
        <f t="shared" si="7"/>
        <v>-0.38999999999999946</v>
      </c>
      <c r="G70" s="167">
        <f t="shared" si="0"/>
        <v>0.92040012843528662</v>
      </c>
      <c r="H70" s="167">
        <f t="shared" si="1"/>
        <v>7.9599871564713376E-2</v>
      </c>
      <c r="I70" s="167">
        <f t="shared" si="2"/>
        <v>1.8408002568705732</v>
      </c>
      <c r="J70" s="156">
        <f t="shared" si="3"/>
        <v>1.9204001284352867</v>
      </c>
      <c r="P70" s="166">
        <f t="shared" si="8"/>
        <v>-0.38999999999999946</v>
      </c>
      <c r="Q70" s="167">
        <f t="shared" si="9"/>
        <v>0.92040012843528662</v>
      </c>
      <c r="R70" s="167">
        <f t="shared" si="4"/>
        <v>7.9599871564713376E-2</v>
      </c>
      <c r="S70" s="167">
        <f t="shared" si="5"/>
        <v>1.8408002568705732</v>
      </c>
      <c r="T70" s="156">
        <f t="shared" si="6"/>
        <v>1.9204001284352867</v>
      </c>
    </row>
    <row r="71" spans="6:20" ht="16">
      <c r="F71" s="166">
        <f t="shared" si="7"/>
        <v>-0.37999999999999945</v>
      </c>
      <c r="G71" s="167">
        <f t="shared" si="0"/>
        <v>0.92459453466963959</v>
      </c>
      <c r="H71" s="167">
        <f t="shared" si="1"/>
        <v>7.5405465330360411E-2</v>
      </c>
      <c r="I71" s="167">
        <f t="shared" si="2"/>
        <v>1.8491890693392792</v>
      </c>
      <c r="J71" s="156">
        <f t="shared" si="3"/>
        <v>1.9245945346696396</v>
      </c>
      <c r="P71" s="166">
        <f t="shared" si="8"/>
        <v>-0.37999999999999945</v>
      </c>
      <c r="Q71" s="167">
        <f t="shared" si="9"/>
        <v>0.92459453466963959</v>
      </c>
      <c r="R71" s="167">
        <f t="shared" si="4"/>
        <v>7.5405465330360411E-2</v>
      </c>
      <c r="S71" s="167">
        <f t="shared" si="5"/>
        <v>1.8491890693392792</v>
      </c>
      <c r="T71" s="156">
        <f t="shared" si="6"/>
        <v>1.9245945346696396</v>
      </c>
    </row>
    <row r="72" spans="6:20" ht="16">
      <c r="F72" s="166">
        <f t="shared" si="7"/>
        <v>-0.36999999999999944</v>
      </c>
      <c r="G72" s="167">
        <f t="shared" si="0"/>
        <v>0.92866178266216726</v>
      </c>
      <c r="H72" s="167">
        <f t="shared" si="1"/>
        <v>7.1338217337832743E-2</v>
      </c>
      <c r="I72" s="167">
        <f t="shared" si="2"/>
        <v>1.8573235653243345</v>
      </c>
      <c r="J72" s="156">
        <f t="shared" si="3"/>
        <v>1.9286617826621673</v>
      </c>
      <c r="P72" s="166">
        <f t="shared" si="8"/>
        <v>-0.36999999999999944</v>
      </c>
      <c r="Q72" s="167">
        <f t="shared" si="9"/>
        <v>0.92866178266216726</v>
      </c>
      <c r="R72" s="167">
        <f t="shared" si="4"/>
        <v>7.1338217337832743E-2</v>
      </c>
      <c r="S72" s="167">
        <f t="shared" si="5"/>
        <v>1.8573235653243345</v>
      </c>
      <c r="T72" s="156">
        <f t="shared" si="6"/>
        <v>1.9286617826621673</v>
      </c>
    </row>
    <row r="73" spans="6:20" ht="16">
      <c r="F73" s="166">
        <f t="shared" si="7"/>
        <v>-0.35999999999999943</v>
      </c>
      <c r="G73" s="167">
        <f t="shared" ref="G73:G136" si="14">IFERROR(IF(SQRT(1-(F73*F73)/($J$5*$J$5))&lt;0.05,0,SQRT(1-(F73*F73)/($J$5*$J$5))),0)</f>
        <v>0.93260353609270286</v>
      </c>
      <c r="H73" s="167">
        <f t="shared" ref="H73:H136" si="15">CHOOSE(MATCH($J$3,degrees),IF(F73&lt;0,IFERROR(1-G73,1),0),0,0,IF(F73&gt;0,IFERROR(1-G73,1),0))</f>
        <v>6.7396463907297144E-2</v>
      </c>
      <c r="I73" s="167">
        <f t="shared" ref="I73:I136" si="16">CHOOSE(MATCH($J$3,degrees),IF(F73&lt;0,2*G73,2),IF(F73&lt;0,0,1-G73),IF(F73&gt;0,0,1-G73),IF(F73&gt;0,2*G73,2))</f>
        <v>1.8652070721854057</v>
      </c>
      <c r="J73" s="156">
        <f t="shared" ref="J73:J136" si="17">CHOOSE(MATCH($J$3,degrees),IF(F73&lt;0,G73+1,2),IF(F73&lt;0,2,2*G73),IF(F73&gt;0,2,2*G73),IF(F73&gt;0,G73+1,2))</f>
        <v>1.932603536092703</v>
      </c>
      <c r="P73" s="166">
        <f t="shared" si="8"/>
        <v>-0.35999999999999943</v>
      </c>
      <c r="Q73" s="167">
        <f t="shared" si="9"/>
        <v>0.93260353609270286</v>
      </c>
      <c r="R73" s="167">
        <f t="shared" ref="R73:R136" si="18">CHOOSE(MATCH($T$3,degrees),IF(P73&lt;0,IFERROR(1-Q73,1),0),0,0,IF(P73&gt;0,IFERROR(1-Q73,1),0))</f>
        <v>6.7396463907297144E-2</v>
      </c>
      <c r="S73" s="167">
        <f t="shared" ref="S73:S136" si="19">CHOOSE(MATCH($T$3,degrees),IF(P73&lt;0,2*Q73,2),IF(P73&lt;0,0,1-Q73),IF(P73&gt;0,0,1-Q73),IF(P73&gt;0,2*Q73,2))</f>
        <v>1.8652070721854057</v>
      </c>
      <c r="T73" s="156">
        <f t="shared" ref="T73:T136" si="20">CHOOSE(MATCH($T$3,degrees),IF(P73&lt;0,Q73+1,2),IF(P73&lt;0,2,2*Q73),IF(P73&gt;0,2,2*Q73),IF(P73&gt;0,Q73+1,2))</f>
        <v>1.932603536092703</v>
      </c>
    </row>
    <row r="74" spans="6:20" ht="16">
      <c r="F74" s="166">
        <f t="shared" ref="F74:F137" si="21">F73+$G$4</f>
        <v>-0.34999999999999942</v>
      </c>
      <c r="G74" s="167">
        <f t="shared" si="14"/>
        <v>0.93642137972548667</v>
      </c>
      <c r="H74" s="167">
        <f t="shared" si="15"/>
        <v>6.3578620274513331E-2</v>
      </c>
      <c r="I74" s="167">
        <f t="shared" si="16"/>
        <v>1.8728427594509733</v>
      </c>
      <c r="J74" s="156">
        <f t="shared" si="17"/>
        <v>1.9364213797254868</v>
      </c>
      <c r="P74" s="166">
        <f t="shared" ref="P74:P137" si="22">P73+$G$4</f>
        <v>-0.34999999999999942</v>
      </c>
      <c r="Q74" s="167">
        <f t="shared" ref="Q74:Q137" si="23">IFERROR(IF(SQRT(1-(P74*P74)/($T$5*$T$5))&lt;0.05,0,SQRT(1-(P74*P74)/($T$5*$T$5))),0)</f>
        <v>0.93642137972548667</v>
      </c>
      <c r="R74" s="167">
        <f t="shared" si="18"/>
        <v>6.3578620274513331E-2</v>
      </c>
      <c r="S74" s="167">
        <f t="shared" si="19"/>
        <v>1.8728427594509733</v>
      </c>
      <c r="T74" s="156">
        <f t="shared" si="20"/>
        <v>1.9364213797254868</v>
      </c>
    </row>
    <row r="75" spans="6:20" ht="16">
      <c r="F75" s="166">
        <f t="shared" si="21"/>
        <v>-0.33999999999999941</v>
      </c>
      <c r="G75" s="167">
        <f t="shared" si="14"/>
        <v>0.94011682316634815</v>
      </c>
      <c r="H75" s="167">
        <f t="shared" si="15"/>
        <v>5.9883176833651852E-2</v>
      </c>
      <c r="I75" s="167">
        <f t="shared" si="16"/>
        <v>1.8802336463326963</v>
      </c>
      <c r="J75" s="156">
        <f t="shared" si="17"/>
        <v>1.9401168231663481</v>
      </c>
      <c r="P75" s="166">
        <f t="shared" si="22"/>
        <v>-0.33999999999999941</v>
      </c>
      <c r="Q75" s="167">
        <f t="shared" si="23"/>
        <v>0.94011682316634815</v>
      </c>
      <c r="R75" s="167">
        <f t="shared" si="18"/>
        <v>5.9883176833651852E-2</v>
      </c>
      <c r="S75" s="167">
        <f t="shared" si="19"/>
        <v>1.8802336463326963</v>
      </c>
      <c r="T75" s="156">
        <f t="shared" si="20"/>
        <v>1.9401168231663481</v>
      </c>
    </row>
    <row r="76" spans="6:20" ht="16">
      <c r="F76" s="166">
        <f t="shared" si="21"/>
        <v>-0.3299999999999994</v>
      </c>
      <c r="G76" s="167">
        <f t="shared" si="14"/>
        <v>0.94369130435371773</v>
      </c>
      <c r="H76" s="167">
        <f t="shared" si="15"/>
        <v>5.630869564628227E-2</v>
      </c>
      <c r="I76" s="167">
        <f t="shared" si="16"/>
        <v>1.8873826087074355</v>
      </c>
      <c r="J76" s="156">
        <f t="shared" si="17"/>
        <v>1.9436913043537176</v>
      </c>
      <c r="P76" s="166">
        <f t="shared" si="22"/>
        <v>-0.3299999999999994</v>
      </c>
      <c r="Q76" s="167">
        <f t="shared" si="23"/>
        <v>0.94369130435371773</v>
      </c>
      <c r="R76" s="167">
        <f t="shared" si="18"/>
        <v>5.630869564628227E-2</v>
      </c>
      <c r="S76" s="167">
        <f t="shared" si="19"/>
        <v>1.8873826087074355</v>
      </c>
      <c r="T76" s="156">
        <f t="shared" si="20"/>
        <v>1.9436913043537176</v>
      </c>
    </row>
    <row r="77" spans="6:20" ht="16">
      <c r="F77" s="166">
        <f t="shared" si="21"/>
        <v>-0.3199999999999994</v>
      </c>
      <c r="G77" s="167">
        <f t="shared" si="14"/>
        <v>0.94714619280462042</v>
      </c>
      <c r="H77" s="167">
        <f t="shared" si="15"/>
        <v>5.2853807195379576E-2</v>
      </c>
      <c r="I77" s="167">
        <f t="shared" si="16"/>
        <v>1.8942923856092408</v>
      </c>
      <c r="J77" s="156">
        <f t="shared" si="17"/>
        <v>1.9471461928046203</v>
      </c>
      <c r="P77" s="166">
        <f t="shared" si="22"/>
        <v>-0.3199999999999994</v>
      </c>
      <c r="Q77" s="167">
        <f t="shared" si="23"/>
        <v>0.94714619280462042</v>
      </c>
      <c r="R77" s="167">
        <f t="shared" si="18"/>
        <v>5.2853807195379576E-2</v>
      </c>
      <c r="S77" s="167">
        <f t="shared" si="19"/>
        <v>1.8942923856092408</v>
      </c>
      <c r="T77" s="156">
        <f t="shared" si="20"/>
        <v>1.9471461928046203</v>
      </c>
    </row>
    <row r="78" spans="6:20" ht="16">
      <c r="F78" s="166">
        <f t="shared" si="21"/>
        <v>-0.30999999999999939</v>
      </c>
      <c r="G78" s="167">
        <f t="shared" si="14"/>
        <v>0.95048279263476687</v>
      </c>
      <c r="H78" s="167">
        <f t="shared" si="15"/>
        <v>4.9517207365233129E-2</v>
      </c>
      <c r="I78" s="167">
        <f t="shared" si="16"/>
        <v>1.9009655852695337</v>
      </c>
      <c r="J78" s="156">
        <f t="shared" si="17"/>
        <v>1.9504827926347668</v>
      </c>
      <c r="P78" s="166">
        <f t="shared" si="22"/>
        <v>-0.30999999999999939</v>
      </c>
      <c r="Q78" s="167">
        <f t="shared" si="23"/>
        <v>0.95048279263476687</v>
      </c>
      <c r="R78" s="167">
        <f t="shared" si="18"/>
        <v>4.9517207365233129E-2</v>
      </c>
      <c r="S78" s="167">
        <f t="shared" si="19"/>
        <v>1.9009655852695337</v>
      </c>
      <c r="T78" s="156">
        <f t="shared" si="20"/>
        <v>1.9504827926347668</v>
      </c>
    </row>
    <row r="79" spans="6:20" ht="16">
      <c r="F79" s="166">
        <f t="shared" si="21"/>
        <v>-0.29999999999999938</v>
      </c>
      <c r="G79" s="167">
        <f t="shared" si="14"/>
        <v>0.95370234537003995</v>
      </c>
      <c r="H79" s="167">
        <f t="shared" si="15"/>
        <v>4.629765462996005E-2</v>
      </c>
      <c r="I79" s="167">
        <f t="shared" si="16"/>
        <v>1.9074046907400799</v>
      </c>
      <c r="J79" s="156">
        <f t="shared" si="17"/>
        <v>1.95370234537004</v>
      </c>
      <c r="P79" s="166">
        <f t="shared" si="22"/>
        <v>-0.29999999999999938</v>
      </c>
      <c r="Q79" s="167">
        <f t="shared" si="23"/>
        <v>0.95370234537003995</v>
      </c>
      <c r="R79" s="167">
        <f t="shared" si="18"/>
        <v>4.629765462996005E-2</v>
      </c>
      <c r="S79" s="167">
        <f t="shared" si="19"/>
        <v>1.9074046907400799</v>
      </c>
      <c r="T79" s="156">
        <f t="shared" si="20"/>
        <v>1.95370234537004</v>
      </c>
    </row>
    <row r="80" spans="6:20" ht="16">
      <c r="F80" s="166">
        <f t="shared" si="21"/>
        <v>-0.28999999999999937</v>
      </c>
      <c r="G80" s="167">
        <f t="shared" si="14"/>
        <v>0.95680603256505259</v>
      </c>
      <c r="H80" s="167">
        <f t="shared" si="15"/>
        <v>4.3193967434947411E-2</v>
      </c>
      <c r="I80" s="167">
        <f t="shared" si="16"/>
        <v>1.9136120651301052</v>
      </c>
      <c r="J80" s="156">
        <f t="shared" si="17"/>
        <v>1.9568060325650527</v>
      </c>
      <c r="P80" s="166">
        <f t="shared" si="22"/>
        <v>-0.28999999999999937</v>
      </c>
      <c r="Q80" s="167">
        <f t="shared" si="23"/>
        <v>0.95680603256505259</v>
      </c>
      <c r="R80" s="167">
        <f t="shared" si="18"/>
        <v>4.3193967434947411E-2</v>
      </c>
      <c r="S80" s="167">
        <f t="shared" si="19"/>
        <v>1.9136120651301052</v>
      </c>
      <c r="T80" s="156">
        <f t="shared" si="20"/>
        <v>1.9568060325650527</v>
      </c>
    </row>
    <row r="81" spans="6:20" ht="16">
      <c r="F81" s="166">
        <f t="shared" si="21"/>
        <v>-0.27999999999999936</v>
      </c>
      <c r="G81" s="167">
        <f t="shared" si="14"/>
        <v>0.95979497824299431</v>
      </c>
      <c r="H81" s="167">
        <f t="shared" si="15"/>
        <v>4.0205021757005688E-2</v>
      </c>
      <c r="I81" s="167">
        <f t="shared" si="16"/>
        <v>1.9195899564859886</v>
      </c>
      <c r="J81" s="156">
        <f t="shared" si="17"/>
        <v>1.9597949782429942</v>
      </c>
      <c r="P81" s="166">
        <f t="shared" si="22"/>
        <v>-0.27999999999999936</v>
      </c>
      <c r="Q81" s="167">
        <f t="shared" si="23"/>
        <v>0.95979497824299431</v>
      </c>
      <c r="R81" s="167">
        <f t="shared" si="18"/>
        <v>4.0205021757005688E-2</v>
      </c>
      <c r="S81" s="167">
        <f t="shared" si="19"/>
        <v>1.9195899564859886</v>
      </c>
      <c r="T81" s="156">
        <f t="shared" si="20"/>
        <v>1.9597949782429942</v>
      </c>
    </row>
    <row r="82" spans="6:20" ht="16">
      <c r="F82" s="166">
        <f t="shared" si="21"/>
        <v>-0.26999999999999935</v>
      </c>
      <c r="G82" s="167">
        <f t="shared" si="14"/>
        <v>0.96267025116968019</v>
      </c>
      <c r="H82" s="167">
        <f t="shared" si="15"/>
        <v>3.7329748830319809E-2</v>
      </c>
      <c r="I82" s="167">
        <f t="shared" si="16"/>
        <v>1.9253405023393604</v>
      </c>
      <c r="J82" s="156">
        <f t="shared" si="17"/>
        <v>1.9626702511696803</v>
      </c>
      <c r="P82" s="166">
        <f t="shared" si="22"/>
        <v>-0.26999999999999935</v>
      </c>
      <c r="Q82" s="167">
        <f t="shared" si="23"/>
        <v>0.96267025116968019</v>
      </c>
      <c r="R82" s="167">
        <f t="shared" si="18"/>
        <v>3.7329748830319809E-2</v>
      </c>
      <c r="S82" s="167">
        <f t="shared" si="19"/>
        <v>1.9253405023393604</v>
      </c>
      <c r="T82" s="156">
        <f t="shared" si="20"/>
        <v>1.9626702511696803</v>
      </c>
    </row>
    <row r="83" spans="6:20" ht="16">
      <c r="F83" s="166">
        <f t="shared" si="21"/>
        <v>-0.25999999999999934</v>
      </c>
      <c r="G83" s="167">
        <f t="shared" si="14"/>
        <v>0.96543286697354169</v>
      </c>
      <c r="H83" s="167">
        <f t="shared" si="15"/>
        <v>3.4567133026458308E-2</v>
      </c>
      <c r="I83" s="167">
        <f t="shared" si="16"/>
        <v>1.9308657339470834</v>
      </c>
      <c r="J83" s="156">
        <f t="shared" si="17"/>
        <v>1.9654328669735417</v>
      </c>
      <c r="P83" s="166">
        <f t="shared" si="22"/>
        <v>-0.25999999999999934</v>
      </c>
      <c r="Q83" s="167">
        <f t="shared" si="23"/>
        <v>0.96543286697354169</v>
      </c>
      <c r="R83" s="167">
        <f t="shared" si="18"/>
        <v>3.4567133026458308E-2</v>
      </c>
      <c r="S83" s="167">
        <f t="shared" si="19"/>
        <v>1.9308657339470834</v>
      </c>
      <c r="T83" s="156">
        <f t="shared" si="20"/>
        <v>1.9654328669735417</v>
      </c>
    </row>
    <row r="84" spans="6:20" ht="16">
      <c r="F84" s="166">
        <f t="shared" si="21"/>
        <v>-0.24999999999999933</v>
      </c>
      <c r="G84" s="167">
        <f t="shared" si="14"/>
        <v>0.96808379012223988</v>
      </c>
      <c r="H84" s="167">
        <f t="shared" si="15"/>
        <v>3.1916209877760116E-2</v>
      </c>
      <c r="I84" s="167">
        <f t="shared" si="16"/>
        <v>1.9361675802444798</v>
      </c>
      <c r="J84" s="156">
        <f t="shared" si="17"/>
        <v>1.9680837901222399</v>
      </c>
      <c r="P84" s="166">
        <f t="shared" si="22"/>
        <v>-0.24999999999999933</v>
      </c>
      <c r="Q84" s="167">
        <f t="shared" si="23"/>
        <v>0.96808379012223988</v>
      </c>
      <c r="R84" s="167">
        <f t="shared" si="18"/>
        <v>3.1916209877760116E-2</v>
      </c>
      <c r="S84" s="167">
        <f t="shared" si="19"/>
        <v>1.9361675802444798</v>
      </c>
      <c r="T84" s="156">
        <f t="shared" si="20"/>
        <v>1.9680837901222399</v>
      </c>
    </row>
    <row r="85" spans="6:20" ht="16">
      <c r="F85" s="166">
        <f t="shared" si="21"/>
        <v>-0.23999999999999932</v>
      </c>
      <c r="G85" s="167">
        <f t="shared" si="14"/>
        <v>0.97062393576562989</v>
      </c>
      <c r="H85" s="167">
        <f t="shared" si="15"/>
        <v>2.9376064234370114E-2</v>
      </c>
      <c r="I85" s="167">
        <f t="shared" si="16"/>
        <v>1.9412478715312598</v>
      </c>
      <c r="J85" s="156">
        <f t="shared" si="17"/>
        <v>1.9706239357656299</v>
      </c>
      <c r="P85" s="166">
        <f t="shared" si="22"/>
        <v>-0.23999999999999932</v>
      </c>
      <c r="Q85" s="167">
        <f t="shared" si="23"/>
        <v>0.97062393576562989</v>
      </c>
      <c r="R85" s="167">
        <f t="shared" si="18"/>
        <v>2.9376064234370114E-2</v>
      </c>
      <c r="S85" s="167">
        <f t="shared" si="19"/>
        <v>1.9412478715312598</v>
      </c>
      <c r="T85" s="156">
        <f t="shared" si="20"/>
        <v>1.9706239357656299</v>
      </c>
    </row>
    <row r="86" spans="6:20" ht="16">
      <c r="F86" s="166">
        <f t="shared" si="21"/>
        <v>-0.22999999999999932</v>
      </c>
      <c r="G86" s="167">
        <f t="shared" si="14"/>
        <v>0.97305417145394024</v>
      </c>
      <c r="H86" s="167">
        <f t="shared" si="15"/>
        <v>2.6945828546059758E-2</v>
      </c>
      <c r="I86" s="167">
        <f t="shared" si="16"/>
        <v>1.9461083429078805</v>
      </c>
      <c r="J86" s="156">
        <f t="shared" si="17"/>
        <v>1.9730541714539402</v>
      </c>
      <c r="P86" s="166">
        <f t="shared" si="22"/>
        <v>-0.22999999999999932</v>
      </c>
      <c r="Q86" s="167">
        <f t="shared" si="23"/>
        <v>0.97305417145394024</v>
      </c>
      <c r="R86" s="167">
        <f t="shared" si="18"/>
        <v>2.6945828546059758E-2</v>
      </c>
      <c r="S86" s="167">
        <f t="shared" si="19"/>
        <v>1.9461083429078805</v>
      </c>
      <c r="T86" s="156">
        <f t="shared" si="20"/>
        <v>1.9730541714539402</v>
      </c>
    </row>
    <row r="87" spans="6:20" ht="16">
      <c r="F87" s="166">
        <f t="shared" si="21"/>
        <v>-0.21999999999999931</v>
      </c>
      <c r="G87" s="167">
        <f t="shared" si="14"/>
        <v>0.97537531873925243</v>
      </c>
      <c r="H87" s="167">
        <f t="shared" si="15"/>
        <v>2.4624681260747572E-2</v>
      </c>
      <c r="I87" s="167">
        <f t="shared" si="16"/>
        <v>1.9507506374785049</v>
      </c>
      <c r="J87" s="156">
        <f t="shared" si="17"/>
        <v>1.9753753187392524</v>
      </c>
      <c r="P87" s="166">
        <f t="shared" si="22"/>
        <v>-0.21999999999999931</v>
      </c>
      <c r="Q87" s="167">
        <f t="shared" si="23"/>
        <v>0.97537531873925243</v>
      </c>
      <c r="R87" s="167">
        <f t="shared" si="18"/>
        <v>2.4624681260747572E-2</v>
      </c>
      <c r="S87" s="167">
        <f t="shared" si="19"/>
        <v>1.9507506374785049</v>
      </c>
      <c r="T87" s="156">
        <f t="shared" si="20"/>
        <v>1.9753753187392524</v>
      </c>
    </row>
    <row r="88" spans="6:20" ht="16">
      <c r="F88" s="166">
        <f t="shared" si="21"/>
        <v>-0.2099999999999993</v>
      </c>
      <c r="G88" s="167">
        <f t="shared" si="14"/>
        <v>0.97758815466765681</v>
      </c>
      <c r="H88" s="167">
        <f t="shared" si="15"/>
        <v>2.2411845332343194E-2</v>
      </c>
      <c r="I88" s="167">
        <f t="shared" si="16"/>
        <v>1.9551763093353136</v>
      </c>
      <c r="J88" s="156">
        <f t="shared" si="17"/>
        <v>1.9775881546676568</v>
      </c>
      <c r="P88" s="166">
        <f t="shared" si="22"/>
        <v>-0.2099999999999993</v>
      </c>
      <c r="Q88" s="167">
        <f t="shared" si="23"/>
        <v>0.97758815466765681</v>
      </c>
      <c r="R88" s="167">
        <f t="shared" si="18"/>
        <v>2.2411845332343194E-2</v>
      </c>
      <c r="S88" s="167">
        <f t="shared" si="19"/>
        <v>1.9551763093353136</v>
      </c>
      <c r="T88" s="156">
        <f t="shared" si="20"/>
        <v>1.9775881546676568</v>
      </c>
    </row>
    <row r="89" spans="6:20" ht="16">
      <c r="F89" s="166">
        <f t="shared" si="21"/>
        <v>-0.19999999999999929</v>
      </c>
      <c r="G89" s="167">
        <f t="shared" si="14"/>
        <v>0.97969341316881497</v>
      </c>
      <c r="H89" s="167">
        <f t="shared" si="15"/>
        <v>2.0306586831185025E-2</v>
      </c>
      <c r="I89" s="167">
        <f t="shared" si="16"/>
        <v>1.9593868263376299</v>
      </c>
      <c r="J89" s="156">
        <f t="shared" si="17"/>
        <v>1.9796934131688149</v>
      </c>
      <c r="P89" s="166">
        <f t="shared" si="22"/>
        <v>-0.19999999999999929</v>
      </c>
      <c r="Q89" s="167">
        <f t="shared" si="23"/>
        <v>0.97969341316881497</v>
      </c>
      <c r="R89" s="167">
        <f t="shared" si="18"/>
        <v>2.0306586831185025E-2</v>
      </c>
      <c r="S89" s="167">
        <f t="shared" si="19"/>
        <v>1.9593868263376299</v>
      </c>
      <c r="T89" s="156">
        <f t="shared" si="20"/>
        <v>1.9796934131688149</v>
      </c>
    </row>
    <row r="90" spans="6:20" ht="16">
      <c r="F90" s="166">
        <f t="shared" si="21"/>
        <v>-0.18999999999999928</v>
      </c>
      <c r="G90" s="167">
        <f t="shared" si="14"/>
        <v>0.98169178634907706</v>
      </c>
      <c r="H90" s="167">
        <f t="shared" si="15"/>
        <v>1.8308213650922944E-2</v>
      </c>
      <c r="I90" s="167">
        <f t="shared" si="16"/>
        <v>1.9633835726981541</v>
      </c>
      <c r="J90" s="156">
        <f t="shared" si="17"/>
        <v>1.9816917863490771</v>
      </c>
      <c r="P90" s="166">
        <f t="shared" si="22"/>
        <v>-0.18999999999999928</v>
      </c>
      <c r="Q90" s="167">
        <f t="shared" si="23"/>
        <v>0.98169178634907706</v>
      </c>
      <c r="R90" s="167">
        <f t="shared" si="18"/>
        <v>1.8308213650922944E-2</v>
      </c>
      <c r="S90" s="167">
        <f t="shared" si="19"/>
        <v>1.9633835726981541</v>
      </c>
      <c r="T90" s="156">
        <f t="shared" si="20"/>
        <v>1.9816917863490771</v>
      </c>
    </row>
    <row r="91" spans="6:20" ht="16">
      <c r="F91" s="166">
        <f t="shared" si="21"/>
        <v>-0.17999999999999927</v>
      </c>
      <c r="G91" s="167">
        <f t="shared" si="14"/>
        <v>0.98358392569376285</v>
      </c>
      <c r="H91" s="167">
        <f t="shared" si="15"/>
        <v>1.6416074306237149E-2</v>
      </c>
      <c r="I91" s="167">
        <f t="shared" si="16"/>
        <v>1.9671678513875257</v>
      </c>
      <c r="J91" s="156">
        <f t="shared" si="17"/>
        <v>1.9835839256937629</v>
      </c>
      <c r="P91" s="166">
        <f t="shared" si="22"/>
        <v>-0.17999999999999927</v>
      </c>
      <c r="Q91" s="167">
        <f t="shared" si="23"/>
        <v>0.98358392569376285</v>
      </c>
      <c r="R91" s="167">
        <f t="shared" si="18"/>
        <v>1.6416074306237149E-2</v>
      </c>
      <c r="S91" s="167">
        <f t="shared" si="19"/>
        <v>1.9671678513875257</v>
      </c>
      <c r="T91" s="156">
        <f t="shared" si="20"/>
        <v>1.9835839256937629</v>
      </c>
    </row>
    <row r="92" spans="6:20" ht="16">
      <c r="F92" s="166">
        <f t="shared" si="21"/>
        <v>-0.16999999999999926</v>
      </c>
      <c r="G92" s="167">
        <f t="shared" si="14"/>
        <v>0.98537044318372813</v>
      </c>
      <c r="H92" s="167">
        <f t="shared" si="15"/>
        <v>1.4629556816271871E-2</v>
      </c>
      <c r="I92" s="167">
        <f t="shared" si="16"/>
        <v>1.9707408863674563</v>
      </c>
      <c r="J92" s="156">
        <f t="shared" si="17"/>
        <v>1.985370443183728</v>
      </c>
      <c r="P92" s="166">
        <f t="shared" si="22"/>
        <v>-0.16999999999999926</v>
      </c>
      <c r="Q92" s="167">
        <f t="shared" si="23"/>
        <v>0.98537044318372813</v>
      </c>
      <c r="R92" s="167">
        <f t="shared" si="18"/>
        <v>1.4629556816271871E-2</v>
      </c>
      <c r="S92" s="167">
        <f t="shared" si="19"/>
        <v>1.9707408863674563</v>
      </c>
      <c r="T92" s="156">
        <f t="shared" si="20"/>
        <v>1.985370443183728</v>
      </c>
    </row>
    <row r="93" spans="6:20" ht="16">
      <c r="F93" s="166">
        <f t="shared" si="21"/>
        <v>-0.15999999999999925</v>
      </c>
      <c r="G93" s="167">
        <f t="shared" si="14"/>
        <v>0.98705191233089251</v>
      </c>
      <c r="H93" s="167">
        <f t="shared" si="15"/>
        <v>1.2948087669107489E-2</v>
      </c>
      <c r="I93" s="167">
        <f t="shared" si="16"/>
        <v>1.974103824661785</v>
      </c>
      <c r="J93" s="156">
        <f t="shared" si="17"/>
        <v>1.9870519123308925</v>
      </c>
      <c r="P93" s="166">
        <f t="shared" si="22"/>
        <v>-0.15999999999999925</v>
      </c>
      <c r="Q93" s="167">
        <f t="shared" si="23"/>
        <v>0.98705191233089251</v>
      </c>
      <c r="R93" s="167">
        <f t="shared" si="18"/>
        <v>1.2948087669107489E-2</v>
      </c>
      <c r="S93" s="167">
        <f t="shared" si="19"/>
        <v>1.974103824661785</v>
      </c>
      <c r="T93" s="156">
        <f t="shared" si="20"/>
        <v>1.9870519123308925</v>
      </c>
    </row>
    <row r="94" spans="6:20" ht="16">
      <c r="F94" s="166">
        <f t="shared" si="21"/>
        <v>-0.14999999999999925</v>
      </c>
      <c r="G94" s="167">
        <f t="shared" si="14"/>
        <v>0.98862886913698755</v>
      </c>
      <c r="H94" s="167">
        <f t="shared" si="15"/>
        <v>1.1371130863012446E-2</v>
      </c>
      <c r="I94" s="167">
        <f t="shared" si="16"/>
        <v>1.9772577382739751</v>
      </c>
      <c r="J94" s="156">
        <f t="shared" si="17"/>
        <v>1.9886288691369876</v>
      </c>
      <c r="P94" s="166">
        <f t="shared" si="22"/>
        <v>-0.14999999999999925</v>
      </c>
      <c r="Q94" s="167">
        <f t="shared" si="23"/>
        <v>0.98862886913698755</v>
      </c>
      <c r="R94" s="167">
        <f t="shared" si="18"/>
        <v>1.1371130863012446E-2</v>
      </c>
      <c r="S94" s="167">
        <f t="shared" si="19"/>
        <v>1.9772577382739751</v>
      </c>
      <c r="T94" s="156">
        <f t="shared" si="20"/>
        <v>1.9886288691369876</v>
      </c>
    </row>
    <row r="95" spans="6:20" ht="16">
      <c r="F95" s="166">
        <f t="shared" si="21"/>
        <v>-0.13999999999999924</v>
      </c>
      <c r="G95" s="167">
        <f t="shared" si="14"/>
        <v>0.99010181297941147</v>
      </c>
      <c r="H95" s="167">
        <f t="shared" si="15"/>
        <v>9.8981870205885336E-3</v>
      </c>
      <c r="I95" s="167">
        <f t="shared" si="16"/>
        <v>1.9802036259588229</v>
      </c>
      <c r="J95" s="156">
        <f t="shared" si="17"/>
        <v>1.9901018129794115</v>
      </c>
      <c r="P95" s="166">
        <f t="shared" si="22"/>
        <v>-0.13999999999999924</v>
      </c>
      <c r="Q95" s="167">
        <f t="shared" si="23"/>
        <v>0.99010181297941147</v>
      </c>
      <c r="R95" s="167">
        <f t="shared" si="18"/>
        <v>9.8981870205885336E-3</v>
      </c>
      <c r="S95" s="167">
        <f t="shared" si="19"/>
        <v>1.9802036259588229</v>
      </c>
      <c r="T95" s="156">
        <f t="shared" si="20"/>
        <v>1.9901018129794115</v>
      </c>
    </row>
    <row r="96" spans="6:20" ht="16">
      <c r="F96" s="166">
        <f t="shared" si="21"/>
        <v>-0.12999999999999923</v>
      </c>
      <c r="G96" s="167">
        <f t="shared" si="14"/>
        <v>0.99147120742772366</v>
      </c>
      <c r="H96" s="167">
        <f t="shared" si="15"/>
        <v>8.5287925722763447E-3</v>
      </c>
      <c r="I96" s="167">
        <f t="shared" si="16"/>
        <v>1.9829424148554473</v>
      </c>
      <c r="J96" s="156">
        <f t="shared" si="17"/>
        <v>1.9914712074277237</v>
      </c>
      <c r="P96" s="166">
        <f t="shared" si="22"/>
        <v>-0.12999999999999923</v>
      </c>
      <c r="Q96" s="167">
        <f t="shared" si="23"/>
        <v>0.99147120742772366</v>
      </c>
      <c r="R96" s="167">
        <f t="shared" si="18"/>
        <v>8.5287925722763447E-3</v>
      </c>
      <c r="S96" s="167">
        <f t="shared" si="19"/>
        <v>1.9829424148554473</v>
      </c>
      <c r="T96" s="156">
        <f t="shared" si="20"/>
        <v>1.9914712074277237</v>
      </c>
    </row>
    <row r="97" spans="6:20" ht="16">
      <c r="F97" s="166">
        <f t="shared" si="21"/>
        <v>-0.11999999999999923</v>
      </c>
      <c r="G97" s="167">
        <f t="shared" si="14"/>
        <v>0.99273748099398895</v>
      </c>
      <c r="H97" s="167">
        <f t="shared" si="15"/>
        <v>7.2625190060110478E-3</v>
      </c>
      <c r="I97" s="167">
        <f t="shared" si="16"/>
        <v>1.9854749619879779</v>
      </c>
      <c r="J97" s="156">
        <f t="shared" si="17"/>
        <v>1.9927374809939891</v>
      </c>
      <c r="P97" s="166">
        <f t="shared" si="22"/>
        <v>-0.11999999999999923</v>
      </c>
      <c r="Q97" s="167">
        <f t="shared" si="23"/>
        <v>0.99273748099398895</v>
      </c>
      <c r="R97" s="167">
        <f t="shared" si="18"/>
        <v>7.2625190060110478E-3</v>
      </c>
      <c r="S97" s="167">
        <f t="shared" si="19"/>
        <v>1.9854749619879779</v>
      </c>
      <c r="T97" s="156">
        <f t="shared" si="20"/>
        <v>1.9927374809939891</v>
      </c>
    </row>
    <row r="98" spans="6:20" ht="16">
      <c r="F98" s="166">
        <f t="shared" si="21"/>
        <v>-0.10999999999999924</v>
      </c>
      <c r="G98" s="167">
        <f t="shared" si="14"/>
        <v>0.99390102781988543</v>
      </c>
      <c r="H98" s="167">
        <f t="shared" si="15"/>
        <v>6.0989721801145702E-3</v>
      </c>
      <c r="I98" s="167">
        <f t="shared" si="16"/>
        <v>1.9878020556397709</v>
      </c>
      <c r="J98" s="156">
        <f t="shared" si="17"/>
        <v>1.9939010278198854</v>
      </c>
      <c r="P98" s="166">
        <f t="shared" si="22"/>
        <v>-0.10999999999999924</v>
      </c>
      <c r="Q98" s="167">
        <f t="shared" si="23"/>
        <v>0.99390102781988543</v>
      </c>
      <c r="R98" s="167">
        <f t="shared" si="18"/>
        <v>6.0989721801145702E-3</v>
      </c>
      <c r="S98" s="167">
        <f t="shared" si="19"/>
        <v>1.9878020556397709</v>
      </c>
      <c r="T98" s="156">
        <f t="shared" si="20"/>
        <v>1.9939010278198854</v>
      </c>
    </row>
    <row r="99" spans="6:20" ht="16">
      <c r="F99" s="166">
        <f t="shared" si="21"/>
        <v>-9.9999999999999242E-2</v>
      </c>
      <c r="G99" s="167">
        <f t="shared" si="14"/>
        <v>0.99496220830320514</v>
      </c>
      <c r="H99" s="167">
        <f t="shared" si="15"/>
        <v>5.0377916967948577E-3</v>
      </c>
      <c r="I99" s="167">
        <f t="shared" si="16"/>
        <v>1.9899244166064103</v>
      </c>
      <c r="J99" s="156">
        <f t="shared" si="17"/>
        <v>1.994962208303205</v>
      </c>
      <c r="P99" s="166">
        <f t="shared" si="22"/>
        <v>-9.9999999999999242E-2</v>
      </c>
      <c r="Q99" s="167">
        <f t="shared" si="23"/>
        <v>0.99496220830320514</v>
      </c>
      <c r="R99" s="167">
        <f t="shared" si="18"/>
        <v>5.0377916967948577E-3</v>
      </c>
      <c r="S99" s="167">
        <f t="shared" si="19"/>
        <v>1.9899244166064103</v>
      </c>
      <c r="T99" s="156">
        <f t="shared" si="20"/>
        <v>1.994962208303205</v>
      </c>
    </row>
    <row r="100" spans="6:20" ht="16">
      <c r="F100" s="166">
        <f t="shared" si="21"/>
        <v>-8.9999999999999247E-2</v>
      </c>
      <c r="G100" s="167">
        <f t="shared" si="14"/>
        <v>0.99592134966612123</v>
      </c>
      <c r="H100" s="167">
        <f t="shared" si="15"/>
        <v>4.078650333878775E-3</v>
      </c>
      <c r="I100" s="167">
        <f t="shared" si="16"/>
        <v>1.9918426993322425</v>
      </c>
      <c r="J100" s="156">
        <f t="shared" si="17"/>
        <v>1.9959213496661212</v>
      </c>
      <c r="P100" s="166">
        <f t="shared" si="22"/>
        <v>-8.9999999999999247E-2</v>
      </c>
      <c r="Q100" s="167">
        <f t="shared" si="23"/>
        <v>0.99592134966612123</v>
      </c>
      <c r="R100" s="167">
        <f t="shared" si="18"/>
        <v>4.078650333878775E-3</v>
      </c>
      <c r="S100" s="167">
        <f t="shared" si="19"/>
        <v>1.9918426993322425</v>
      </c>
      <c r="T100" s="156">
        <f t="shared" si="20"/>
        <v>1.9959213496661212</v>
      </c>
    </row>
    <row r="101" spans="6:20" ht="16">
      <c r="F101" s="166">
        <f t="shared" si="21"/>
        <v>-7.9999999999999252E-2</v>
      </c>
      <c r="G101" s="167">
        <f t="shared" si="14"/>
        <v>0.99677874646734821</v>
      </c>
      <c r="H101" s="167">
        <f t="shared" si="15"/>
        <v>3.221253532651791E-3</v>
      </c>
      <c r="I101" s="167">
        <f t="shared" si="16"/>
        <v>1.9935574929346964</v>
      </c>
      <c r="J101" s="156">
        <f t="shared" si="17"/>
        <v>1.9967787464673483</v>
      </c>
      <c r="P101" s="166">
        <f t="shared" si="22"/>
        <v>-7.9999999999999252E-2</v>
      </c>
      <c r="Q101" s="167">
        <f t="shared" si="23"/>
        <v>0.99677874646734821</v>
      </c>
      <c r="R101" s="167">
        <f t="shared" si="18"/>
        <v>3.221253532651791E-3</v>
      </c>
      <c r="S101" s="167">
        <f t="shared" si="19"/>
        <v>1.9935574929346964</v>
      </c>
      <c r="T101" s="156">
        <f t="shared" si="20"/>
        <v>1.9967787464673483</v>
      </c>
    </row>
    <row r="102" spans="6:20" ht="16">
      <c r="F102" s="166">
        <f t="shared" si="21"/>
        <v>-6.9999999999999257E-2</v>
      </c>
      <c r="G102" s="167">
        <f t="shared" si="14"/>
        <v>0.99753466106009547</v>
      </c>
      <c r="H102" s="167">
        <f t="shared" si="15"/>
        <v>2.4653389399045267E-3</v>
      </c>
      <c r="I102" s="167">
        <f t="shared" si="16"/>
        <v>1.9950693221201909</v>
      </c>
      <c r="J102" s="156">
        <f t="shared" si="17"/>
        <v>1.9975346610600955</v>
      </c>
      <c r="P102" s="166">
        <f t="shared" si="22"/>
        <v>-6.9999999999999257E-2</v>
      </c>
      <c r="Q102" s="167">
        <f t="shared" si="23"/>
        <v>0.99753466106009547</v>
      </c>
      <c r="R102" s="167">
        <f t="shared" si="18"/>
        <v>2.4653389399045267E-3</v>
      </c>
      <c r="S102" s="167">
        <f t="shared" si="19"/>
        <v>1.9950693221201909</v>
      </c>
      <c r="T102" s="156">
        <f t="shared" si="20"/>
        <v>1.9975346610600955</v>
      </c>
    </row>
    <row r="103" spans="6:20" ht="16">
      <c r="F103" s="166">
        <f t="shared" si="21"/>
        <v>-5.9999999999999255E-2</v>
      </c>
      <c r="G103" s="167">
        <f t="shared" si="14"/>
        <v>0.99818932399749327</v>
      </c>
      <c r="H103" s="167">
        <f t="shared" si="15"/>
        <v>1.8106760025067281E-3</v>
      </c>
      <c r="I103" s="167">
        <f t="shared" si="16"/>
        <v>1.9963786479949865</v>
      </c>
      <c r="J103" s="156">
        <f t="shared" si="17"/>
        <v>1.9981893239974933</v>
      </c>
      <c r="P103" s="166">
        <f t="shared" si="22"/>
        <v>-5.9999999999999255E-2</v>
      </c>
      <c r="Q103" s="167">
        <f t="shared" si="23"/>
        <v>0.99818932399749327</v>
      </c>
      <c r="R103" s="167">
        <f t="shared" si="18"/>
        <v>1.8106760025067281E-3</v>
      </c>
      <c r="S103" s="167">
        <f t="shared" si="19"/>
        <v>1.9963786479949865</v>
      </c>
      <c r="T103" s="156">
        <f t="shared" si="20"/>
        <v>1.9981893239974933</v>
      </c>
    </row>
    <row r="104" spans="6:20" ht="16">
      <c r="F104" s="166">
        <f t="shared" si="21"/>
        <v>-4.9999999999999253E-2</v>
      </c>
      <c r="G104" s="167">
        <f t="shared" si="14"/>
        <v>0.99874293438697115</v>
      </c>
      <c r="H104" s="167">
        <f t="shared" si="15"/>
        <v>1.2570656130288516E-3</v>
      </c>
      <c r="I104" s="167">
        <f t="shared" si="16"/>
        <v>1.9974858687739423</v>
      </c>
      <c r="J104" s="156">
        <f t="shared" si="17"/>
        <v>1.9987429343869711</v>
      </c>
      <c r="P104" s="166">
        <f t="shared" si="22"/>
        <v>-4.9999999999999253E-2</v>
      </c>
      <c r="Q104" s="167">
        <f t="shared" si="23"/>
        <v>0.99874293438697115</v>
      </c>
      <c r="R104" s="167">
        <f t="shared" si="18"/>
        <v>1.2570656130288516E-3</v>
      </c>
      <c r="S104" s="167">
        <f t="shared" si="19"/>
        <v>1.9974858687739423</v>
      </c>
      <c r="T104" s="156">
        <f t="shared" si="20"/>
        <v>1.9987429343869711</v>
      </c>
    </row>
    <row r="105" spans="6:20" ht="16">
      <c r="F105" s="166">
        <f t="shared" si="21"/>
        <v>-3.9999999999999251E-2</v>
      </c>
      <c r="G105" s="167">
        <f t="shared" si="14"/>
        <v>0.99919566019486616</v>
      </c>
      <c r="H105" s="167">
        <f t="shared" si="15"/>
        <v>8.0433980513383574E-4</v>
      </c>
      <c r="I105" s="167">
        <f t="shared" si="16"/>
        <v>1.9983913203897323</v>
      </c>
      <c r="J105" s="156">
        <f t="shared" si="17"/>
        <v>1.9991956601948662</v>
      </c>
      <c r="P105" s="166">
        <f t="shared" si="22"/>
        <v>-3.9999999999999251E-2</v>
      </c>
      <c r="Q105" s="167">
        <f t="shared" si="23"/>
        <v>0.99919566019486616</v>
      </c>
      <c r="R105" s="167">
        <f t="shared" si="18"/>
        <v>8.0433980513383574E-4</v>
      </c>
      <c r="S105" s="167">
        <f t="shared" si="19"/>
        <v>1.9983913203897323</v>
      </c>
      <c r="T105" s="156">
        <f t="shared" si="20"/>
        <v>1.9991956601948662</v>
      </c>
    </row>
    <row r="106" spans="6:20" ht="16">
      <c r="F106" s="166">
        <f t="shared" si="21"/>
        <v>-2.9999999999999249E-2</v>
      </c>
      <c r="G106" s="167">
        <f t="shared" si="14"/>
        <v>0.99954763850235928</v>
      </c>
      <c r="H106" s="167">
        <f t="shared" si="15"/>
        <v>4.5236149764071865E-4</v>
      </c>
      <c r="I106" s="167">
        <f t="shared" si="16"/>
        <v>1.9990952770047186</v>
      </c>
      <c r="J106" s="156">
        <f t="shared" si="17"/>
        <v>1.9995476385023592</v>
      </c>
      <c r="P106" s="166">
        <f t="shared" si="22"/>
        <v>-2.9999999999999249E-2</v>
      </c>
      <c r="Q106" s="167">
        <f t="shared" si="23"/>
        <v>0.99954763850235928</v>
      </c>
      <c r="R106" s="167">
        <f t="shared" si="18"/>
        <v>4.5236149764071865E-4</v>
      </c>
      <c r="S106" s="167">
        <f t="shared" si="19"/>
        <v>1.9990952770047186</v>
      </c>
      <c r="T106" s="156">
        <f t="shared" si="20"/>
        <v>1.9995476385023592</v>
      </c>
    </row>
    <row r="107" spans="6:20" ht="16">
      <c r="F107" s="166">
        <f t="shared" si="21"/>
        <v>-1.9999999999999248E-2</v>
      </c>
      <c r="G107" s="167">
        <f t="shared" si="14"/>
        <v>0.99979897571364995</v>
      </c>
      <c r="H107" s="167">
        <f t="shared" si="15"/>
        <v>2.0102428635004888E-4</v>
      </c>
      <c r="I107" s="167">
        <f t="shared" si="16"/>
        <v>1.9995979514272999</v>
      </c>
      <c r="J107" s="156">
        <f t="shared" si="17"/>
        <v>1.9997989757136501</v>
      </c>
      <c r="P107" s="166">
        <f t="shared" si="22"/>
        <v>-1.9999999999999248E-2</v>
      </c>
      <c r="Q107" s="167">
        <f t="shared" si="23"/>
        <v>0.99979897571364995</v>
      </c>
      <c r="R107" s="167">
        <f t="shared" si="18"/>
        <v>2.0102428635004888E-4</v>
      </c>
      <c r="S107" s="167">
        <f t="shared" si="19"/>
        <v>1.9995979514272999</v>
      </c>
      <c r="T107" s="156">
        <f t="shared" si="20"/>
        <v>1.9997989757136501</v>
      </c>
    </row>
    <row r="108" spans="6:20" ht="16">
      <c r="F108" s="166">
        <f t="shared" si="21"/>
        <v>-9.9999999999992473E-3</v>
      </c>
      <c r="G108" s="167">
        <f t="shared" si="14"/>
        <v>0.99994974771711198</v>
      </c>
      <c r="H108" s="167">
        <f t="shared" si="15"/>
        <v>5.0252282888019195E-5</v>
      </c>
      <c r="I108" s="167">
        <f t="shared" si="16"/>
        <v>1.999899495434224</v>
      </c>
      <c r="J108" s="156">
        <f t="shared" si="17"/>
        <v>1.999949747717112</v>
      </c>
      <c r="P108" s="166">
        <f t="shared" si="22"/>
        <v>-9.9999999999992473E-3</v>
      </c>
      <c r="Q108" s="167">
        <f t="shared" si="23"/>
        <v>0.99994974771711198</v>
      </c>
      <c r="R108" s="167">
        <f t="shared" si="18"/>
        <v>5.0252282888019195E-5</v>
      </c>
      <c r="S108" s="167">
        <f t="shared" si="19"/>
        <v>1.999899495434224</v>
      </c>
      <c r="T108" s="156">
        <f t="shared" si="20"/>
        <v>1.999949747717112</v>
      </c>
    </row>
    <row r="109" spans="6:20" ht="16">
      <c r="F109" s="166">
        <f t="shared" si="21"/>
        <v>7.5286998857393428E-16</v>
      </c>
      <c r="G109" s="167">
        <f t="shared" si="14"/>
        <v>1</v>
      </c>
      <c r="H109" s="167">
        <f t="shared" si="15"/>
        <v>0</v>
      </c>
      <c r="I109" s="167">
        <f t="shared" si="16"/>
        <v>2</v>
      </c>
      <c r="J109" s="156">
        <f t="shared" si="17"/>
        <v>2</v>
      </c>
      <c r="P109" s="166">
        <f t="shared" si="22"/>
        <v>7.5286998857393428E-16</v>
      </c>
      <c r="Q109" s="167">
        <f t="shared" si="23"/>
        <v>1</v>
      </c>
      <c r="R109" s="167">
        <f t="shared" si="18"/>
        <v>0</v>
      </c>
      <c r="S109" s="167">
        <f t="shared" si="19"/>
        <v>2</v>
      </c>
      <c r="T109" s="156">
        <f t="shared" si="20"/>
        <v>2</v>
      </c>
    </row>
    <row r="110" spans="6:20" ht="16">
      <c r="F110" s="166">
        <f t="shared" si="21"/>
        <v>1.0000000000000753E-2</v>
      </c>
      <c r="G110" s="167">
        <f t="shared" si="14"/>
        <v>0.99994974771711198</v>
      </c>
      <c r="H110" s="167">
        <f t="shared" si="15"/>
        <v>0</v>
      </c>
      <c r="I110" s="167">
        <f t="shared" si="16"/>
        <v>2</v>
      </c>
      <c r="J110" s="156">
        <f t="shared" si="17"/>
        <v>2</v>
      </c>
      <c r="P110" s="166">
        <f t="shared" si="22"/>
        <v>1.0000000000000753E-2</v>
      </c>
      <c r="Q110" s="167">
        <f t="shared" si="23"/>
        <v>0.99994974771711198</v>
      </c>
      <c r="R110" s="167">
        <f t="shared" si="18"/>
        <v>0</v>
      </c>
      <c r="S110" s="167">
        <f t="shared" si="19"/>
        <v>2</v>
      </c>
      <c r="T110" s="156">
        <f t="shared" si="20"/>
        <v>2</v>
      </c>
    </row>
    <row r="111" spans="6:20" ht="16">
      <c r="F111" s="166">
        <f t="shared" si="21"/>
        <v>2.0000000000000753E-2</v>
      </c>
      <c r="G111" s="167">
        <f t="shared" si="14"/>
        <v>0.99979897571364995</v>
      </c>
      <c r="H111" s="167">
        <f t="shared" si="15"/>
        <v>0</v>
      </c>
      <c r="I111" s="167">
        <f t="shared" si="16"/>
        <v>2</v>
      </c>
      <c r="J111" s="156">
        <f t="shared" si="17"/>
        <v>2</v>
      </c>
      <c r="P111" s="166">
        <f t="shared" si="22"/>
        <v>2.0000000000000753E-2</v>
      </c>
      <c r="Q111" s="167">
        <f t="shared" si="23"/>
        <v>0.99979897571364995</v>
      </c>
      <c r="R111" s="167">
        <f t="shared" si="18"/>
        <v>0</v>
      </c>
      <c r="S111" s="167">
        <f t="shared" si="19"/>
        <v>2</v>
      </c>
      <c r="T111" s="156">
        <f t="shared" si="20"/>
        <v>2</v>
      </c>
    </row>
    <row r="112" spans="6:20" ht="16">
      <c r="F112" s="166">
        <f t="shared" si="21"/>
        <v>3.0000000000000755E-2</v>
      </c>
      <c r="G112" s="167">
        <f t="shared" si="14"/>
        <v>0.99954763850235928</v>
      </c>
      <c r="H112" s="167">
        <f t="shared" si="15"/>
        <v>0</v>
      </c>
      <c r="I112" s="167">
        <f t="shared" si="16"/>
        <v>2</v>
      </c>
      <c r="J112" s="156">
        <f t="shared" si="17"/>
        <v>2</v>
      </c>
      <c r="P112" s="166">
        <f t="shared" si="22"/>
        <v>3.0000000000000755E-2</v>
      </c>
      <c r="Q112" s="167">
        <f t="shared" si="23"/>
        <v>0.99954763850235928</v>
      </c>
      <c r="R112" s="167">
        <f t="shared" si="18"/>
        <v>0</v>
      </c>
      <c r="S112" s="167">
        <f t="shared" si="19"/>
        <v>2</v>
      </c>
      <c r="T112" s="156">
        <f t="shared" si="20"/>
        <v>2</v>
      </c>
    </row>
    <row r="113" spans="6:20" ht="16">
      <c r="F113" s="166">
        <f t="shared" si="21"/>
        <v>4.0000000000000757E-2</v>
      </c>
      <c r="G113" s="167">
        <f t="shared" si="14"/>
        <v>0.99919566019486616</v>
      </c>
      <c r="H113" s="167">
        <f t="shared" si="15"/>
        <v>0</v>
      </c>
      <c r="I113" s="167">
        <f t="shared" si="16"/>
        <v>2</v>
      </c>
      <c r="J113" s="156">
        <f t="shared" si="17"/>
        <v>2</v>
      </c>
      <c r="P113" s="166">
        <f t="shared" si="22"/>
        <v>4.0000000000000757E-2</v>
      </c>
      <c r="Q113" s="167">
        <f t="shared" si="23"/>
        <v>0.99919566019486616</v>
      </c>
      <c r="R113" s="167">
        <f t="shared" si="18"/>
        <v>0</v>
      </c>
      <c r="S113" s="167">
        <f t="shared" si="19"/>
        <v>2</v>
      </c>
      <c r="T113" s="156">
        <f t="shared" si="20"/>
        <v>2</v>
      </c>
    </row>
    <row r="114" spans="6:20" ht="16">
      <c r="F114" s="166">
        <f t="shared" si="21"/>
        <v>5.0000000000000759E-2</v>
      </c>
      <c r="G114" s="167">
        <f t="shared" si="14"/>
        <v>0.99874293438697104</v>
      </c>
      <c r="H114" s="167">
        <f t="shared" si="15"/>
        <v>0</v>
      </c>
      <c r="I114" s="167">
        <f t="shared" si="16"/>
        <v>2</v>
      </c>
      <c r="J114" s="156">
        <f t="shared" si="17"/>
        <v>2</v>
      </c>
      <c r="P114" s="166">
        <f t="shared" si="22"/>
        <v>5.0000000000000759E-2</v>
      </c>
      <c r="Q114" s="167">
        <f t="shared" si="23"/>
        <v>0.99874293438697104</v>
      </c>
      <c r="R114" s="167">
        <f t="shared" si="18"/>
        <v>0</v>
      </c>
      <c r="S114" s="167">
        <f t="shared" si="19"/>
        <v>2</v>
      </c>
      <c r="T114" s="156">
        <f t="shared" si="20"/>
        <v>2</v>
      </c>
    </row>
    <row r="115" spans="6:20" ht="16">
      <c r="F115" s="166">
        <f t="shared" si="21"/>
        <v>6.0000000000000761E-2</v>
      </c>
      <c r="G115" s="167">
        <f t="shared" si="14"/>
        <v>0.99818932399749327</v>
      </c>
      <c r="H115" s="167">
        <f t="shared" si="15"/>
        <v>0</v>
      </c>
      <c r="I115" s="167">
        <f t="shared" si="16"/>
        <v>2</v>
      </c>
      <c r="J115" s="156">
        <f t="shared" si="17"/>
        <v>2</v>
      </c>
      <c r="P115" s="166">
        <f t="shared" si="22"/>
        <v>6.0000000000000761E-2</v>
      </c>
      <c r="Q115" s="167">
        <f t="shared" si="23"/>
        <v>0.99818932399749327</v>
      </c>
      <c r="R115" s="167">
        <f t="shared" si="18"/>
        <v>0</v>
      </c>
      <c r="S115" s="167">
        <f t="shared" si="19"/>
        <v>2</v>
      </c>
      <c r="T115" s="156">
        <f t="shared" si="20"/>
        <v>2</v>
      </c>
    </row>
    <row r="116" spans="6:20" ht="16">
      <c r="F116" s="166">
        <f t="shared" si="21"/>
        <v>7.0000000000000756E-2</v>
      </c>
      <c r="G116" s="167">
        <f t="shared" si="14"/>
        <v>0.99753466106009536</v>
      </c>
      <c r="H116" s="167">
        <f t="shared" si="15"/>
        <v>0</v>
      </c>
      <c r="I116" s="167">
        <f t="shared" si="16"/>
        <v>2</v>
      </c>
      <c r="J116" s="156">
        <f t="shared" si="17"/>
        <v>2</v>
      </c>
      <c r="P116" s="166">
        <f t="shared" si="22"/>
        <v>7.0000000000000756E-2</v>
      </c>
      <c r="Q116" s="167">
        <f t="shared" si="23"/>
        <v>0.99753466106009536</v>
      </c>
      <c r="R116" s="167">
        <f t="shared" si="18"/>
        <v>0</v>
      </c>
      <c r="S116" s="167">
        <f t="shared" si="19"/>
        <v>2</v>
      </c>
      <c r="T116" s="156">
        <f t="shared" si="20"/>
        <v>2</v>
      </c>
    </row>
    <row r="117" spans="6:20" ht="16">
      <c r="F117" s="166">
        <f t="shared" si="21"/>
        <v>8.0000000000000751E-2</v>
      </c>
      <c r="G117" s="167">
        <f t="shared" si="14"/>
        <v>0.9967787464673481</v>
      </c>
      <c r="H117" s="167">
        <f t="shared" si="15"/>
        <v>0</v>
      </c>
      <c r="I117" s="167">
        <f t="shared" si="16"/>
        <v>2</v>
      </c>
      <c r="J117" s="156">
        <f t="shared" si="17"/>
        <v>2</v>
      </c>
      <c r="P117" s="166">
        <f t="shared" si="22"/>
        <v>8.0000000000000751E-2</v>
      </c>
      <c r="Q117" s="167">
        <f t="shared" si="23"/>
        <v>0.9967787464673481</v>
      </c>
      <c r="R117" s="167">
        <f t="shared" si="18"/>
        <v>0</v>
      </c>
      <c r="S117" s="167">
        <f t="shared" si="19"/>
        <v>2</v>
      </c>
      <c r="T117" s="156">
        <f t="shared" si="20"/>
        <v>2</v>
      </c>
    </row>
    <row r="118" spans="6:20" ht="16">
      <c r="F118" s="166">
        <f t="shared" si="21"/>
        <v>9.0000000000000746E-2</v>
      </c>
      <c r="G118" s="167">
        <f t="shared" si="14"/>
        <v>0.995921349666121</v>
      </c>
      <c r="H118" s="167">
        <f t="shared" si="15"/>
        <v>0</v>
      </c>
      <c r="I118" s="167">
        <f t="shared" si="16"/>
        <v>2</v>
      </c>
      <c r="J118" s="156">
        <f t="shared" si="17"/>
        <v>2</v>
      </c>
      <c r="P118" s="166">
        <f t="shared" si="22"/>
        <v>9.0000000000000746E-2</v>
      </c>
      <c r="Q118" s="167">
        <f t="shared" si="23"/>
        <v>0.995921349666121</v>
      </c>
      <c r="R118" s="167">
        <f t="shared" si="18"/>
        <v>0</v>
      </c>
      <c r="S118" s="167">
        <f t="shared" si="19"/>
        <v>2</v>
      </c>
      <c r="T118" s="156">
        <f t="shared" si="20"/>
        <v>2</v>
      </c>
    </row>
    <row r="119" spans="6:20" ht="16">
      <c r="F119" s="166">
        <f t="shared" si="21"/>
        <v>0.10000000000000074</v>
      </c>
      <c r="G119" s="167">
        <f t="shared" si="14"/>
        <v>0.99496220830320503</v>
      </c>
      <c r="H119" s="167">
        <f t="shared" si="15"/>
        <v>0</v>
      </c>
      <c r="I119" s="167">
        <f t="shared" si="16"/>
        <v>2</v>
      </c>
      <c r="J119" s="156">
        <f t="shared" si="17"/>
        <v>2</v>
      </c>
      <c r="P119" s="166">
        <f t="shared" si="22"/>
        <v>0.10000000000000074</v>
      </c>
      <c r="Q119" s="167">
        <f t="shared" si="23"/>
        <v>0.99496220830320503</v>
      </c>
      <c r="R119" s="167">
        <f t="shared" si="18"/>
        <v>0</v>
      </c>
      <c r="S119" s="167">
        <f t="shared" si="19"/>
        <v>2</v>
      </c>
      <c r="T119" s="156">
        <f t="shared" si="20"/>
        <v>2</v>
      </c>
    </row>
    <row r="120" spans="6:20" ht="16">
      <c r="F120" s="166">
        <f t="shared" si="21"/>
        <v>0.11000000000000074</v>
      </c>
      <c r="G120" s="167">
        <f t="shared" si="14"/>
        <v>0.99390102781988532</v>
      </c>
      <c r="H120" s="167">
        <f t="shared" si="15"/>
        <v>0</v>
      </c>
      <c r="I120" s="167">
        <f t="shared" si="16"/>
        <v>2</v>
      </c>
      <c r="J120" s="156">
        <f t="shared" si="17"/>
        <v>2</v>
      </c>
      <c r="P120" s="166">
        <f t="shared" si="22"/>
        <v>0.11000000000000074</v>
      </c>
      <c r="Q120" s="167">
        <f t="shared" si="23"/>
        <v>0.99390102781988532</v>
      </c>
      <c r="R120" s="167">
        <f t="shared" si="18"/>
        <v>0</v>
      </c>
      <c r="S120" s="167">
        <f t="shared" si="19"/>
        <v>2</v>
      </c>
      <c r="T120" s="156">
        <f t="shared" si="20"/>
        <v>2</v>
      </c>
    </row>
    <row r="121" spans="6:20" ht="16">
      <c r="F121" s="166">
        <f t="shared" si="21"/>
        <v>0.12000000000000073</v>
      </c>
      <c r="G121" s="167">
        <f t="shared" si="14"/>
        <v>0.99273748099398873</v>
      </c>
      <c r="H121" s="167">
        <f t="shared" si="15"/>
        <v>0</v>
      </c>
      <c r="I121" s="167">
        <f t="shared" si="16"/>
        <v>2</v>
      </c>
      <c r="J121" s="156">
        <f t="shared" si="17"/>
        <v>2</v>
      </c>
      <c r="P121" s="166">
        <f t="shared" si="22"/>
        <v>0.12000000000000073</v>
      </c>
      <c r="Q121" s="167">
        <f t="shared" si="23"/>
        <v>0.99273748099398873</v>
      </c>
      <c r="R121" s="167">
        <f t="shared" si="18"/>
        <v>0</v>
      </c>
      <c r="S121" s="167">
        <f t="shared" si="19"/>
        <v>2</v>
      </c>
      <c r="T121" s="156">
        <f t="shared" si="20"/>
        <v>2</v>
      </c>
    </row>
    <row r="122" spans="6:20" ht="16">
      <c r="F122" s="166">
        <f t="shared" si="21"/>
        <v>0.13000000000000073</v>
      </c>
      <c r="G122" s="167">
        <f t="shared" si="14"/>
        <v>0.99147120742772343</v>
      </c>
      <c r="H122" s="167">
        <f t="shared" si="15"/>
        <v>0</v>
      </c>
      <c r="I122" s="167">
        <f t="shared" si="16"/>
        <v>2</v>
      </c>
      <c r="J122" s="156">
        <f t="shared" si="17"/>
        <v>2</v>
      </c>
      <c r="P122" s="166">
        <f t="shared" si="22"/>
        <v>0.13000000000000073</v>
      </c>
      <c r="Q122" s="167">
        <f t="shared" si="23"/>
        <v>0.99147120742772343</v>
      </c>
      <c r="R122" s="167">
        <f t="shared" si="18"/>
        <v>0</v>
      </c>
      <c r="S122" s="167">
        <f t="shared" si="19"/>
        <v>2</v>
      </c>
      <c r="T122" s="156">
        <f t="shared" si="20"/>
        <v>2</v>
      </c>
    </row>
    <row r="123" spans="6:20" ht="16">
      <c r="F123" s="166">
        <f t="shared" si="21"/>
        <v>0.14000000000000073</v>
      </c>
      <c r="G123" s="167">
        <f t="shared" si="14"/>
        <v>0.99010181297941136</v>
      </c>
      <c r="H123" s="167">
        <f t="shared" si="15"/>
        <v>0</v>
      </c>
      <c r="I123" s="167">
        <f t="shared" si="16"/>
        <v>2</v>
      </c>
      <c r="J123" s="156">
        <f t="shared" si="17"/>
        <v>2</v>
      </c>
      <c r="P123" s="166">
        <f t="shared" si="22"/>
        <v>0.14000000000000073</v>
      </c>
      <c r="Q123" s="167">
        <f t="shared" si="23"/>
        <v>0.99010181297941136</v>
      </c>
      <c r="R123" s="167">
        <f t="shared" si="18"/>
        <v>0</v>
      </c>
      <c r="S123" s="167">
        <f t="shared" si="19"/>
        <v>2</v>
      </c>
      <c r="T123" s="156">
        <f t="shared" si="20"/>
        <v>2</v>
      </c>
    </row>
    <row r="124" spans="6:20" ht="16">
      <c r="F124" s="166">
        <f t="shared" si="21"/>
        <v>0.15000000000000074</v>
      </c>
      <c r="G124" s="167">
        <f t="shared" si="14"/>
        <v>0.98862886913698733</v>
      </c>
      <c r="H124" s="167">
        <f t="shared" si="15"/>
        <v>0</v>
      </c>
      <c r="I124" s="167">
        <f t="shared" si="16"/>
        <v>2</v>
      </c>
      <c r="J124" s="156">
        <f t="shared" si="17"/>
        <v>2</v>
      </c>
      <c r="P124" s="166">
        <f t="shared" si="22"/>
        <v>0.15000000000000074</v>
      </c>
      <c r="Q124" s="167">
        <f t="shared" si="23"/>
        <v>0.98862886913698733</v>
      </c>
      <c r="R124" s="167">
        <f t="shared" si="18"/>
        <v>0</v>
      </c>
      <c r="S124" s="167">
        <f t="shared" si="19"/>
        <v>2</v>
      </c>
      <c r="T124" s="156">
        <f t="shared" si="20"/>
        <v>2</v>
      </c>
    </row>
    <row r="125" spans="6:20" ht="16">
      <c r="F125" s="166">
        <f t="shared" si="21"/>
        <v>0.16000000000000075</v>
      </c>
      <c r="G125" s="167">
        <f t="shared" si="14"/>
        <v>0.98705191233089229</v>
      </c>
      <c r="H125" s="167">
        <f t="shared" si="15"/>
        <v>0</v>
      </c>
      <c r="I125" s="167">
        <f t="shared" si="16"/>
        <v>2</v>
      </c>
      <c r="J125" s="156">
        <f t="shared" si="17"/>
        <v>2</v>
      </c>
      <c r="P125" s="166">
        <f t="shared" si="22"/>
        <v>0.16000000000000075</v>
      </c>
      <c r="Q125" s="167">
        <f t="shared" si="23"/>
        <v>0.98705191233089229</v>
      </c>
      <c r="R125" s="167">
        <f t="shared" si="18"/>
        <v>0</v>
      </c>
      <c r="S125" s="167">
        <f t="shared" si="19"/>
        <v>2</v>
      </c>
      <c r="T125" s="156">
        <f t="shared" si="20"/>
        <v>2</v>
      </c>
    </row>
    <row r="126" spans="6:20" ht="16">
      <c r="F126" s="166">
        <f t="shared" si="21"/>
        <v>0.17000000000000076</v>
      </c>
      <c r="G126" s="167">
        <f t="shared" si="14"/>
        <v>0.98537044318372791</v>
      </c>
      <c r="H126" s="167">
        <f t="shared" si="15"/>
        <v>0</v>
      </c>
      <c r="I126" s="167">
        <f t="shared" si="16"/>
        <v>2</v>
      </c>
      <c r="J126" s="156">
        <f t="shared" si="17"/>
        <v>2</v>
      </c>
      <c r="P126" s="166">
        <f t="shared" si="22"/>
        <v>0.17000000000000076</v>
      </c>
      <c r="Q126" s="167">
        <f t="shared" si="23"/>
        <v>0.98537044318372791</v>
      </c>
      <c r="R126" s="167">
        <f t="shared" si="18"/>
        <v>0</v>
      </c>
      <c r="S126" s="167">
        <f t="shared" si="19"/>
        <v>2</v>
      </c>
      <c r="T126" s="156">
        <f t="shared" si="20"/>
        <v>2</v>
      </c>
    </row>
    <row r="127" spans="6:20" ht="16">
      <c r="F127" s="166">
        <f t="shared" si="21"/>
        <v>0.18000000000000077</v>
      </c>
      <c r="G127" s="167">
        <f t="shared" si="14"/>
        <v>0.98358392569376252</v>
      </c>
      <c r="H127" s="167">
        <f t="shared" si="15"/>
        <v>0</v>
      </c>
      <c r="I127" s="167">
        <f t="shared" si="16"/>
        <v>2</v>
      </c>
      <c r="J127" s="156">
        <f t="shared" si="17"/>
        <v>2</v>
      </c>
      <c r="P127" s="166">
        <f t="shared" si="22"/>
        <v>0.18000000000000077</v>
      </c>
      <c r="Q127" s="167">
        <f t="shared" si="23"/>
        <v>0.98358392569376252</v>
      </c>
      <c r="R127" s="167">
        <f t="shared" si="18"/>
        <v>0</v>
      </c>
      <c r="S127" s="167">
        <f t="shared" si="19"/>
        <v>2</v>
      </c>
      <c r="T127" s="156">
        <f t="shared" si="20"/>
        <v>2</v>
      </c>
    </row>
    <row r="128" spans="6:20" ht="16">
      <c r="F128" s="166">
        <f t="shared" si="21"/>
        <v>0.19000000000000078</v>
      </c>
      <c r="G128" s="167">
        <f t="shared" si="14"/>
        <v>0.98169178634907683</v>
      </c>
      <c r="H128" s="167">
        <f t="shared" si="15"/>
        <v>0</v>
      </c>
      <c r="I128" s="167">
        <f t="shared" si="16"/>
        <v>2</v>
      </c>
      <c r="J128" s="156">
        <f t="shared" si="17"/>
        <v>2</v>
      </c>
      <c r="P128" s="166">
        <f t="shared" si="22"/>
        <v>0.19000000000000078</v>
      </c>
      <c r="Q128" s="167">
        <f t="shared" si="23"/>
        <v>0.98169178634907683</v>
      </c>
      <c r="R128" s="167">
        <f t="shared" si="18"/>
        <v>0</v>
      </c>
      <c r="S128" s="167">
        <f t="shared" si="19"/>
        <v>2</v>
      </c>
      <c r="T128" s="156">
        <f t="shared" si="20"/>
        <v>2</v>
      </c>
    </row>
    <row r="129" spans="6:20" ht="16">
      <c r="F129" s="166">
        <f t="shared" si="21"/>
        <v>0.20000000000000079</v>
      </c>
      <c r="G129" s="167">
        <f t="shared" si="14"/>
        <v>0.97969341316881464</v>
      </c>
      <c r="H129" s="167">
        <f t="shared" si="15"/>
        <v>0</v>
      </c>
      <c r="I129" s="167">
        <f t="shared" si="16"/>
        <v>2</v>
      </c>
      <c r="J129" s="156">
        <f t="shared" si="17"/>
        <v>2</v>
      </c>
      <c r="P129" s="166">
        <f t="shared" si="22"/>
        <v>0.20000000000000079</v>
      </c>
      <c r="Q129" s="167">
        <f t="shared" si="23"/>
        <v>0.97969341316881464</v>
      </c>
      <c r="R129" s="167">
        <f t="shared" si="18"/>
        <v>0</v>
      </c>
      <c r="S129" s="167">
        <f t="shared" si="19"/>
        <v>2</v>
      </c>
      <c r="T129" s="156">
        <f t="shared" si="20"/>
        <v>2</v>
      </c>
    </row>
    <row r="130" spans="6:20" ht="16">
      <c r="F130" s="166">
        <f t="shared" si="21"/>
        <v>0.2100000000000008</v>
      </c>
      <c r="G130" s="167">
        <f t="shared" si="14"/>
        <v>0.97758815466765647</v>
      </c>
      <c r="H130" s="167">
        <f t="shared" si="15"/>
        <v>0</v>
      </c>
      <c r="I130" s="167">
        <f t="shared" si="16"/>
        <v>2</v>
      </c>
      <c r="J130" s="156">
        <f t="shared" si="17"/>
        <v>2</v>
      </c>
      <c r="P130" s="166">
        <f t="shared" si="22"/>
        <v>0.2100000000000008</v>
      </c>
      <c r="Q130" s="167">
        <f t="shared" si="23"/>
        <v>0.97758815466765647</v>
      </c>
      <c r="R130" s="167">
        <f t="shared" si="18"/>
        <v>0</v>
      </c>
      <c r="S130" s="167">
        <f t="shared" si="19"/>
        <v>2</v>
      </c>
      <c r="T130" s="156">
        <f t="shared" si="20"/>
        <v>2</v>
      </c>
    </row>
    <row r="131" spans="6:20" ht="16">
      <c r="F131" s="166">
        <f t="shared" si="21"/>
        <v>0.22000000000000081</v>
      </c>
      <c r="G131" s="167">
        <f t="shared" si="14"/>
        <v>0.9753753187392521</v>
      </c>
      <c r="H131" s="167">
        <f t="shared" si="15"/>
        <v>0</v>
      </c>
      <c r="I131" s="167">
        <f t="shared" si="16"/>
        <v>2</v>
      </c>
      <c r="J131" s="156">
        <f t="shared" si="17"/>
        <v>2</v>
      </c>
      <c r="P131" s="166">
        <f t="shared" si="22"/>
        <v>0.22000000000000081</v>
      </c>
      <c r="Q131" s="167">
        <f t="shared" si="23"/>
        <v>0.9753753187392521</v>
      </c>
      <c r="R131" s="167">
        <f t="shared" si="18"/>
        <v>0</v>
      </c>
      <c r="S131" s="167">
        <f t="shared" si="19"/>
        <v>2</v>
      </c>
      <c r="T131" s="156">
        <f t="shared" si="20"/>
        <v>2</v>
      </c>
    </row>
    <row r="132" spans="6:20" ht="16">
      <c r="F132" s="166">
        <f t="shared" si="21"/>
        <v>0.23000000000000081</v>
      </c>
      <c r="G132" s="167">
        <f t="shared" si="14"/>
        <v>0.97305417145393991</v>
      </c>
      <c r="H132" s="167">
        <f t="shared" si="15"/>
        <v>0</v>
      </c>
      <c r="I132" s="167">
        <f t="shared" si="16"/>
        <v>2</v>
      </c>
      <c r="J132" s="156">
        <f t="shared" si="17"/>
        <v>2</v>
      </c>
      <c r="P132" s="166">
        <f t="shared" si="22"/>
        <v>0.23000000000000081</v>
      </c>
      <c r="Q132" s="167">
        <f t="shared" si="23"/>
        <v>0.97305417145393991</v>
      </c>
      <c r="R132" s="167">
        <f t="shared" si="18"/>
        <v>0</v>
      </c>
      <c r="S132" s="167">
        <f t="shared" si="19"/>
        <v>2</v>
      </c>
      <c r="T132" s="156">
        <f t="shared" si="20"/>
        <v>2</v>
      </c>
    </row>
    <row r="133" spans="6:20" ht="16">
      <c r="F133" s="166">
        <f t="shared" si="21"/>
        <v>0.24000000000000082</v>
      </c>
      <c r="G133" s="167">
        <f t="shared" si="14"/>
        <v>0.97062393576562955</v>
      </c>
      <c r="H133" s="167">
        <f t="shared" si="15"/>
        <v>0</v>
      </c>
      <c r="I133" s="167">
        <f t="shared" si="16"/>
        <v>2</v>
      </c>
      <c r="J133" s="156">
        <f t="shared" si="17"/>
        <v>2</v>
      </c>
      <c r="P133" s="166">
        <f t="shared" si="22"/>
        <v>0.24000000000000082</v>
      </c>
      <c r="Q133" s="167">
        <f t="shared" si="23"/>
        <v>0.97062393576562955</v>
      </c>
      <c r="R133" s="167">
        <f t="shared" si="18"/>
        <v>0</v>
      </c>
      <c r="S133" s="167">
        <f t="shared" si="19"/>
        <v>2</v>
      </c>
      <c r="T133" s="156">
        <f t="shared" si="20"/>
        <v>2</v>
      </c>
    </row>
    <row r="134" spans="6:20" ht="16">
      <c r="F134" s="166">
        <f t="shared" si="21"/>
        <v>0.25000000000000083</v>
      </c>
      <c r="G134" s="167">
        <f t="shared" si="14"/>
        <v>0.96808379012223955</v>
      </c>
      <c r="H134" s="167">
        <f t="shared" si="15"/>
        <v>0</v>
      </c>
      <c r="I134" s="167">
        <f t="shared" si="16"/>
        <v>2</v>
      </c>
      <c r="J134" s="156">
        <f t="shared" si="17"/>
        <v>2</v>
      </c>
      <c r="P134" s="166">
        <f t="shared" si="22"/>
        <v>0.25000000000000083</v>
      </c>
      <c r="Q134" s="167">
        <f t="shared" si="23"/>
        <v>0.96808379012223955</v>
      </c>
      <c r="R134" s="167">
        <f t="shared" si="18"/>
        <v>0</v>
      </c>
      <c r="S134" s="167">
        <f t="shared" si="19"/>
        <v>2</v>
      </c>
      <c r="T134" s="156">
        <f t="shared" si="20"/>
        <v>2</v>
      </c>
    </row>
    <row r="135" spans="6:20" ht="16">
      <c r="F135" s="166">
        <f t="shared" si="21"/>
        <v>0.26000000000000084</v>
      </c>
      <c r="G135" s="167">
        <f t="shared" si="14"/>
        <v>0.96543286697354125</v>
      </c>
      <c r="H135" s="167">
        <f t="shared" si="15"/>
        <v>0</v>
      </c>
      <c r="I135" s="167">
        <f t="shared" si="16"/>
        <v>2</v>
      </c>
      <c r="J135" s="156">
        <f t="shared" si="17"/>
        <v>2</v>
      </c>
      <c r="P135" s="166">
        <f t="shared" si="22"/>
        <v>0.26000000000000084</v>
      </c>
      <c r="Q135" s="167">
        <f t="shared" si="23"/>
        <v>0.96543286697354125</v>
      </c>
      <c r="R135" s="167">
        <f t="shared" si="18"/>
        <v>0</v>
      </c>
      <c r="S135" s="167">
        <f t="shared" si="19"/>
        <v>2</v>
      </c>
      <c r="T135" s="156">
        <f t="shared" si="20"/>
        <v>2</v>
      </c>
    </row>
    <row r="136" spans="6:20" ht="16">
      <c r="F136" s="166">
        <f t="shared" si="21"/>
        <v>0.27000000000000085</v>
      </c>
      <c r="G136" s="167">
        <f t="shared" si="14"/>
        <v>0.96267025116967975</v>
      </c>
      <c r="H136" s="167">
        <f t="shared" si="15"/>
        <v>0</v>
      </c>
      <c r="I136" s="167">
        <f t="shared" si="16"/>
        <v>2</v>
      </c>
      <c r="J136" s="156">
        <f t="shared" si="17"/>
        <v>2</v>
      </c>
      <c r="P136" s="166">
        <f t="shared" si="22"/>
        <v>0.27000000000000085</v>
      </c>
      <c r="Q136" s="167">
        <f t="shared" si="23"/>
        <v>0.96267025116967975</v>
      </c>
      <c r="R136" s="167">
        <f t="shared" si="18"/>
        <v>0</v>
      </c>
      <c r="S136" s="167">
        <f t="shared" si="19"/>
        <v>2</v>
      </c>
      <c r="T136" s="156">
        <f t="shared" si="20"/>
        <v>2</v>
      </c>
    </row>
    <row r="137" spans="6:20" ht="16">
      <c r="F137" s="166">
        <f t="shared" si="21"/>
        <v>0.28000000000000086</v>
      </c>
      <c r="G137" s="167">
        <f t="shared" ref="G137:G200" si="24">IFERROR(IF(SQRT(1-(F137*F137)/($J$5*$J$5))&lt;0.05,0,SQRT(1-(F137*F137)/($J$5*$J$5))),0)</f>
        <v>0.95979497824299387</v>
      </c>
      <c r="H137" s="167">
        <f t="shared" ref="H137:H200" si="25">CHOOSE(MATCH($J$3,degrees),IF(F137&lt;0,IFERROR(1-G137,1),0),0,0,IF(F137&gt;0,IFERROR(1-G137,1),0))</f>
        <v>0</v>
      </c>
      <c r="I137" s="167">
        <f t="shared" ref="I137:I200" si="26">CHOOSE(MATCH($J$3,degrees),IF(F137&lt;0,2*G137,2),IF(F137&lt;0,0,1-G137),IF(F137&gt;0,0,1-G137),IF(F137&gt;0,2*G137,2))</f>
        <v>2</v>
      </c>
      <c r="J137" s="156">
        <f t="shared" ref="J137:J200" si="27">CHOOSE(MATCH($J$3,degrees),IF(F137&lt;0,G137+1,2),IF(F137&lt;0,2,2*G137),IF(F137&gt;0,2,2*G137),IF(F137&gt;0,G137+1,2))</f>
        <v>2</v>
      </c>
      <c r="P137" s="166">
        <f t="shared" si="22"/>
        <v>0.28000000000000086</v>
      </c>
      <c r="Q137" s="167">
        <f t="shared" si="23"/>
        <v>0.95979497824299387</v>
      </c>
      <c r="R137" s="167">
        <f t="shared" ref="R137:R200" si="28">CHOOSE(MATCH($T$3,degrees),IF(P137&lt;0,IFERROR(1-Q137,1),0),0,0,IF(P137&gt;0,IFERROR(1-Q137,1),0))</f>
        <v>0</v>
      </c>
      <c r="S137" s="167">
        <f t="shared" ref="S137:S200" si="29">CHOOSE(MATCH($T$3,degrees),IF(P137&lt;0,2*Q137,2),IF(P137&lt;0,0,1-Q137),IF(P137&gt;0,0,1-Q137),IF(P137&gt;0,2*Q137,2))</f>
        <v>2</v>
      </c>
      <c r="T137" s="156">
        <f t="shared" ref="T137:T200" si="30">CHOOSE(MATCH($T$3,degrees),IF(P137&lt;0,Q137+1,2),IF(P137&lt;0,2,2*Q137),IF(P137&gt;0,2,2*Q137),IF(P137&gt;0,Q137+1,2))</f>
        <v>2</v>
      </c>
    </row>
    <row r="138" spans="6:20" ht="16">
      <c r="F138" s="166">
        <f t="shared" ref="F138:F201" si="31">F137+$G$4</f>
        <v>0.29000000000000087</v>
      </c>
      <c r="G138" s="167">
        <f t="shared" si="24"/>
        <v>0.95680603256505214</v>
      </c>
      <c r="H138" s="167">
        <f t="shared" si="25"/>
        <v>0</v>
      </c>
      <c r="I138" s="167">
        <f t="shared" si="26"/>
        <v>2</v>
      </c>
      <c r="J138" s="156">
        <f t="shared" si="27"/>
        <v>2</v>
      </c>
      <c r="P138" s="166">
        <f t="shared" ref="P138:P201" si="32">P137+$G$4</f>
        <v>0.29000000000000087</v>
      </c>
      <c r="Q138" s="167">
        <f t="shared" ref="Q138:Q201" si="33">IFERROR(IF(SQRT(1-(P138*P138)/($T$5*$T$5))&lt;0.05,0,SQRT(1-(P138*P138)/($T$5*$T$5))),0)</f>
        <v>0.95680603256505214</v>
      </c>
      <c r="R138" s="167">
        <f t="shared" si="28"/>
        <v>0</v>
      </c>
      <c r="S138" s="167">
        <f t="shared" si="29"/>
        <v>2</v>
      </c>
      <c r="T138" s="156">
        <f t="shared" si="30"/>
        <v>2</v>
      </c>
    </row>
    <row r="139" spans="6:20" ht="16">
      <c r="F139" s="166">
        <f t="shared" si="31"/>
        <v>0.30000000000000088</v>
      </c>
      <c r="G139" s="167">
        <f t="shared" si="24"/>
        <v>0.95370234537003939</v>
      </c>
      <c r="H139" s="167">
        <f t="shared" si="25"/>
        <v>0</v>
      </c>
      <c r="I139" s="167">
        <f t="shared" si="26"/>
        <v>2</v>
      </c>
      <c r="J139" s="156">
        <f t="shared" si="27"/>
        <v>2</v>
      </c>
      <c r="P139" s="166">
        <f t="shared" si="32"/>
        <v>0.30000000000000088</v>
      </c>
      <c r="Q139" s="167">
        <f t="shared" si="33"/>
        <v>0.95370234537003939</v>
      </c>
      <c r="R139" s="167">
        <f t="shared" si="28"/>
        <v>0</v>
      </c>
      <c r="S139" s="167">
        <f t="shared" si="29"/>
        <v>2</v>
      </c>
      <c r="T139" s="156">
        <f t="shared" si="30"/>
        <v>2</v>
      </c>
    </row>
    <row r="140" spans="6:20" ht="16">
      <c r="F140" s="166">
        <f t="shared" si="31"/>
        <v>0.31000000000000089</v>
      </c>
      <c r="G140" s="167">
        <f t="shared" si="24"/>
        <v>0.95048279263476632</v>
      </c>
      <c r="H140" s="167">
        <f t="shared" si="25"/>
        <v>0</v>
      </c>
      <c r="I140" s="167">
        <f t="shared" si="26"/>
        <v>2</v>
      </c>
      <c r="J140" s="156">
        <f t="shared" si="27"/>
        <v>2</v>
      </c>
      <c r="P140" s="166">
        <f t="shared" si="32"/>
        <v>0.31000000000000089</v>
      </c>
      <c r="Q140" s="167">
        <f t="shared" si="33"/>
        <v>0.95048279263476632</v>
      </c>
      <c r="R140" s="167">
        <f t="shared" si="28"/>
        <v>0</v>
      </c>
      <c r="S140" s="167">
        <f t="shared" si="29"/>
        <v>2</v>
      </c>
      <c r="T140" s="156">
        <f t="shared" si="30"/>
        <v>2</v>
      </c>
    </row>
    <row r="141" spans="6:20" ht="16">
      <c r="F141" s="166">
        <f t="shared" si="31"/>
        <v>0.32000000000000089</v>
      </c>
      <c r="G141" s="167">
        <f t="shared" si="24"/>
        <v>0.94714619280461987</v>
      </c>
      <c r="H141" s="167">
        <f t="shared" si="25"/>
        <v>0</v>
      </c>
      <c r="I141" s="167">
        <f t="shared" si="26"/>
        <v>2</v>
      </c>
      <c r="J141" s="156">
        <f t="shared" si="27"/>
        <v>2</v>
      </c>
      <c r="P141" s="166">
        <f t="shared" si="32"/>
        <v>0.32000000000000089</v>
      </c>
      <c r="Q141" s="167">
        <f t="shared" si="33"/>
        <v>0.94714619280461987</v>
      </c>
      <c r="R141" s="167">
        <f t="shared" si="28"/>
        <v>0</v>
      </c>
      <c r="S141" s="167">
        <f t="shared" si="29"/>
        <v>2</v>
      </c>
      <c r="T141" s="156">
        <f t="shared" si="30"/>
        <v>2</v>
      </c>
    </row>
    <row r="142" spans="6:20" ht="16">
      <c r="F142" s="166">
        <f t="shared" si="31"/>
        <v>0.3300000000000009</v>
      </c>
      <c r="G142" s="167">
        <f t="shared" si="24"/>
        <v>0.94369130435371718</v>
      </c>
      <c r="H142" s="167">
        <f t="shared" si="25"/>
        <v>0</v>
      </c>
      <c r="I142" s="167">
        <f t="shared" si="26"/>
        <v>2</v>
      </c>
      <c r="J142" s="156">
        <f t="shared" si="27"/>
        <v>2</v>
      </c>
      <c r="P142" s="166">
        <f t="shared" si="32"/>
        <v>0.3300000000000009</v>
      </c>
      <c r="Q142" s="167">
        <f t="shared" si="33"/>
        <v>0.94369130435371718</v>
      </c>
      <c r="R142" s="167">
        <f t="shared" si="28"/>
        <v>0</v>
      </c>
      <c r="S142" s="167">
        <f t="shared" si="29"/>
        <v>2</v>
      </c>
      <c r="T142" s="156">
        <f t="shared" si="30"/>
        <v>2</v>
      </c>
    </row>
    <row r="143" spans="6:20" ht="16">
      <c r="F143" s="166">
        <f t="shared" si="31"/>
        <v>0.34000000000000091</v>
      </c>
      <c r="G143" s="167">
        <f t="shared" si="24"/>
        <v>0.94011682316634759</v>
      </c>
      <c r="H143" s="167">
        <f t="shared" si="25"/>
        <v>0</v>
      </c>
      <c r="I143" s="167">
        <f t="shared" si="26"/>
        <v>2</v>
      </c>
      <c r="J143" s="156">
        <f t="shared" si="27"/>
        <v>2</v>
      </c>
      <c r="P143" s="166">
        <f t="shared" si="32"/>
        <v>0.34000000000000091</v>
      </c>
      <c r="Q143" s="167">
        <f t="shared" si="33"/>
        <v>0.94011682316634759</v>
      </c>
      <c r="R143" s="167">
        <f t="shared" si="28"/>
        <v>0</v>
      </c>
      <c r="S143" s="167">
        <f t="shared" si="29"/>
        <v>2</v>
      </c>
      <c r="T143" s="156">
        <f t="shared" si="30"/>
        <v>2</v>
      </c>
    </row>
    <row r="144" spans="6:20" ht="16">
      <c r="F144" s="166">
        <f t="shared" si="31"/>
        <v>0.35000000000000092</v>
      </c>
      <c r="G144" s="167">
        <f t="shared" si="24"/>
        <v>0.93642137972548611</v>
      </c>
      <c r="H144" s="167">
        <f t="shared" si="25"/>
        <v>0</v>
      </c>
      <c r="I144" s="167">
        <f t="shared" si="26"/>
        <v>2</v>
      </c>
      <c r="J144" s="156">
        <f t="shared" si="27"/>
        <v>2</v>
      </c>
      <c r="P144" s="166">
        <f t="shared" si="32"/>
        <v>0.35000000000000092</v>
      </c>
      <c r="Q144" s="167">
        <f t="shared" si="33"/>
        <v>0.93642137972548611</v>
      </c>
      <c r="R144" s="167">
        <f t="shared" si="28"/>
        <v>0</v>
      </c>
      <c r="S144" s="167">
        <f t="shared" si="29"/>
        <v>2</v>
      </c>
      <c r="T144" s="156">
        <f t="shared" si="30"/>
        <v>2</v>
      </c>
    </row>
    <row r="145" spans="6:20" ht="16">
      <c r="F145" s="166">
        <f t="shared" si="31"/>
        <v>0.36000000000000093</v>
      </c>
      <c r="G145" s="167">
        <f t="shared" si="24"/>
        <v>0.9326035360927023</v>
      </c>
      <c r="H145" s="167">
        <f t="shared" si="25"/>
        <v>0</v>
      </c>
      <c r="I145" s="167">
        <f t="shared" si="26"/>
        <v>2</v>
      </c>
      <c r="J145" s="156">
        <f t="shared" si="27"/>
        <v>2</v>
      </c>
      <c r="P145" s="166">
        <f t="shared" si="32"/>
        <v>0.36000000000000093</v>
      </c>
      <c r="Q145" s="167">
        <f t="shared" si="33"/>
        <v>0.9326035360927023</v>
      </c>
      <c r="R145" s="167">
        <f t="shared" si="28"/>
        <v>0</v>
      </c>
      <c r="S145" s="167">
        <f t="shared" si="29"/>
        <v>2</v>
      </c>
      <c r="T145" s="156">
        <f t="shared" si="30"/>
        <v>2</v>
      </c>
    </row>
    <row r="146" spans="6:20" ht="16">
      <c r="F146" s="166">
        <f t="shared" si="31"/>
        <v>0.37000000000000094</v>
      </c>
      <c r="G146" s="167">
        <f t="shared" si="24"/>
        <v>0.9286617826621667</v>
      </c>
      <c r="H146" s="167">
        <f t="shared" si="25"/>
        <v>0</v>
      </c>
      <c r="I146" s="167">
        <f t="shared" si="26"/>
        <v>2</v>
      </c>
      <c r="J146" s="156">
        <f t="shared" si="27"/>
        <v>2</v>
      </c>
      <c r="P146" s="166">
        <f t="shared" si="32"/>
        <v>0.37000000000000094</v>
      </c>
      <c r="Q146" s="167">
        <f t="shared" si="33"/>
        <v>0.9286617826621667</v>
      </c>
      <c r="R146" s="167">
        <f t="shared" si="28"/>
        <v>0</v>
      </c>
      <c r="S146" s="167">
        <f t="shared" si="29"/>
        <v>2</v>
      </c>
      <c r="T146" s="156">
        <f t="shared" si="30"/>
        <v>2</v>
      </c>
    </row>
    <row r="147" spans="6:20" ht="16">
      <c r="F147" s="166">
        <f t="shared" si="31"/>
        <v>0.38000000000000095</v>
      </c>
      <c r="G147" s="167">
        <f t="shared" si="24"/>
        <v>0.92459453466963892</v>
      </c>
      <c r="H147" s="167">
        <f t="shared" si="25"/>
        <v>0</v>
      </c>
      <c r="I147" s="167">
        <f t="shared" si="26"/>
        <v>2</v>
      </c>
      <c r="J147" s="156">
        <f t="shared" si="27"/>
        <v>2</v>
      </c>
      <c r="P147" s="166">
        <f t="shared" si="32"/>
        <v>0.38000000000000095</v>
      </c>
      <c r="Q147" s="167">
        <f t="shared" si="33"/>
        <v>0.92459453466963892</v>
      </c>
      <c r="R147" s="167">
        <f t="shared" si="28"/>
        <v>0</v>
      </c>
      <c r="S147" s="167">
        <f t="shared" si="29"/>
        <v>2</v>
      </c>
      <c r="T147" s="156">
        <f t="shared" si="30"/>
        <v>2</v>
      </c>
    </row>
    <row r="148" spans="6:20" ht="16">
      <c r="F148" s="166">
        <f t="shared" si="31"/>
        <v>0.39000000000000096</v>
      </c>
      <c r="G148" s="167">
        <f t="shared" si="24"/>
        <v>0.92040012843528596</v>
      </c>
      <c r="H148" s="167">
        <f t="shared" si="25"/>
        <v>0</v>
      </c>
      <c r="I148" s="167">
        <f t="shared" si="26"/>
        <v>2</v>
      </c>
      <c r="J148" s="156">
        <f t="shared" si="27"/>
        <v>2</v>
      </c>
      <c r="P148" s="166">
        <f t="shared" si="32"/>
        <v>0.39000000000000096</v>
      </c>
      <c r="Q148" s="167">
        <f t="shared" si="33"/>
        <v>0.92040012843528596</v>
      </c>
      <c r="R148" s="167">
        <f t="shared" si="28"/>
        <v>0</v>
      </c>
      <c r="S148" s="167">
        <f t="shared" si="29"/>
        <v>2</v>
      </c>
      <c r="T148" s="156">
        <f t="shared" si="30"/>
        <v>2</v>
      </c>
    </row>
    <row r="149" spans="6:20" ht="16">
      <c r="F149" s="166">
        <f t="shared" si="31"/>
        <v>0.40000000000000097</v>
      </c>
      <c r="G149" s="167">
        <f t="shared" si="24"/>
        <v>0.91607681731689261</v>
      </c>
      <c r="H149" s="167">
        <f t="shared" si="25"/>
        <v>0</v>
      </c>
      <c r="I149" s="167">
        <f t="shared" si="26"/>
        <v>2</v>
      </c>
      <c r="J149" s="156">
        <f t="shared" si="27"/>
        <v>2</v>
      </c>
      <c r="P149" s="166">
        <f t="shared" si="32"/>
        <v>0.40000000000000097</v>
      </c>
      <c r="Q149" s="167">
        <f t="shared" si="33"/>
        <v>0.91607681731689261</v>
      </c>
      <c r="R149" s="167">
        <f t="shared" si="28"/>
        <v>0</v>
      </c>
      <c r="S149" s="167">
        <f t="shared" si="29"/>
        <v>2</v>
      </c>
      <c r="T149" s="156">
        <f t="shared" si="30"/>
        <v>2</v>
      </c>
    </row>
    <row r="150" spans="6:20" ht="16">
      <c r="F150" s="166">
        <f t="shared" si="31"/>
        <v>0.41000000000000097</v>
      </c>
      <c r="G150" s="167">
        <f t="shared" si="24"/>
        <v>0.91162276734745695</v>
      </c>
      <c r="H150" s="167">
        <f t="shared" si="25"/>
        <v>0</v>
      </c>
      <c r="I150" s="167">
        <f t="shared" si="26"/>
        <v>2</v>
      </c>
      <c r="J150" s="156">
        <f t="shared" si="27"/>
        <v>2</v>
      </c>
      <c r="P150" s="166">
        <f t="shared" si="32"/>
        <v>0.41000000000000097</v>
      </c>
      <c r="Q150" s="167">
        <f t="shared" si="33"/>
        <v>0.91162276734745695</v>
      </c>
      <c r="R150" s="167">
        <f t="shared" si="28"/>
        <v>0</v>
      </c>
      <c r="S150" s="167">
        <f t="shared" si="29"/>
        <v>2</v>
      </c>
      <c r="T150" s="156">
        <f t="shared" si="30"/>
        <v>2</v>
      </c>
    </row>
    <row r="151" spans="6:20" ht="16">
      <c r="F151" s="166">
        <f t="shared" si="31"/>
        <v>0.42000000000000098</v>
      </c>
      <c r="G151" s="167">
        <f t="shared" si="24"/>
        <v>0.90703605252826403</v>
      </c>
      <c r="H151" s="167">
        <f t="shared" si="25"/>
        <v>0</v>
      </c>
      <c r="I151" s="167">
        <f t="shared" si="26"/>
        <v>2</v>
      </c>
      <c r="J151" s="156">
        <f t="shared" si="27"/>
        <v>2</v>
      </c>
      <c r="P151" s="166">
        <f t="shared" si="32"/>
        <v>0.42000000000000098</v>
      </c>
      <c r="Q151" s="167">
        <f t="shared" si="33"/>
        <v>0.90703605252826403</v>
      </c>
      <c r="R151" s="167">
        <f t="shared" si="28"/>
        <v>0</v>
      </c>
      <c r="S151" s="167">
        <f t="shared" si="29"/>
        <v>2</v>
      </c>
      <c r="T151" s="156">
        <f t="shared" si="30"/>
        <v>2</v>
      </c>
    </row>
    <row r="152" spans="6:20" ht="16">
      <c r="F152" s="166">
        <f t="shared" si="31"/>
        <v>0.43000000000000099</v>
      </c>
      <c r="G152" s="167">
        <f t="shared" si="24"/>
        <v>0.90231464974525799</v>
      </c>
      <c r="H152" s="167">
        <f t="shared" si="25"/>
        <v>0</v>
      </c>
      <c r="I152" s="167">
        <f t="shared" si="26"/>
        <v>2</v>
      </c>
      <c r="J152" s="156">
        <f t="shared" si="27"/>
        <v>2</v>
      </c>
      <c r="P152" s="166">
        <f t="shared" si="32"/>
        <v>0.43000000000000099</v>
      </c>
      <c r="Q152" s="167">
        <f t="shared" si="33"/>
        <v>0.90231464974525799</v>
      </c>
      <c r="R152" s="167">
        <f t="shared" si="28"/>
        <v>0</v>
      </c>
      <c r="S152" s="167">
        <f t="shared" si="29"/>
        <v>2</v>
      </c>
      <c r="T152" s="156">
        <f t="shared" si="30"/>
        <v>2</v>
      </c>
    </row>
    <row r="153" spans="6:20" ht="16">
      <c r="F153" s="166">
        <f t="shared" si="31"/>
        <v>0.440000000000001</v>
      </c>
      <c r="G153" s="167">
        <f t="shared" si="24"/>
        <v>0.89745643327283098</v>
      </c>
      <c r="H153" s="167">
        <f t="shared" si="25"/>
        <v>0</v>
      </c>
      <c r="I153" s="167">
        <f t="shared" si="26"/>
        <v>2</v>
      </c>
      <c r="J153" s="156">
        <f t="shared" si="27"/>
        <v>2</v>
      </c>
      <c r="P153" s="166">
        <f t="shared" si="32"/>
        <v>0.440000000000001</v>
      </c>
      <c r="Q153" s="167">
        <f t="shared" si="33"/>
        <v>0.89745643327283098</v>
      </c>
      <c r="R153" s="167">
        <f t="shared" si="28"/>
        <v>0</v>
      </c>
      <c r="S153" s="167">
        <f t="shared" si="29"/>
        <v>2</v>
      </c>
      <c r="T153" s="156">
        <f t="shared" si="30"/>
        <v>2</v>
      </c>
    </row>
    <row r="154" spans="6:20" ht="16">
      <c r="F154" s="166">
        <f t="shared" si="31"/>
        <v>0.45000000000000101</v>
      </c>
      <c r="G154" s="167">
        <f t="shared" si="24"/>
        <v>0.89245916882494225</v>
      </c>
      <c r="H154" s="167">
        <f t="shared" si="25"/>
        <v>0</v>
      </c>
      <c r="I154" s="167">
        <f t="shared" si="26"/>
        <v>2</v>
      </c>
      <c r="J154" s="156">
        <f t="shared" si="27"/>
        <v>2</v>
      </c>
      <c r="P154" s="166">
        <f t="shared" si="32"/>
        <v>0.45000000000000101</v>
      </c>
      <c r="Q154" s="167">
        <f t="shared" si="33"/>
        <v>0.89245916882494225</v>
      </c>
      <c r="R154" s="167">
        <f t="shared" si="28"/>
        <v>0</v>
      </c>
      <c r="S154" s="167">
        <f t="shared" si="29"/>
        <v>2</v>
      </c>
      <c r="T154" s="156">
        <f t="shared" si="30"/>
        <v>2</v>
      </c>
    </row>
    <row r="155" spans="6:20" ht="16">
      <c r="F155" s="166">
        <f t="shared" si="31"/>
        <v>0.46000000000000102</v>
      </c>
      <c r="G155" s="167">
        <f t="shared" si="24"/>
        <v>0.88732050710870769</v>
      </c>
      <c r="H155" s="167">
        <f t="shared" si="25"/>
        <v>0</v>
      </c>
      <c r="I155" s="167">
        <f t="shared" si="26"/>
        <v>2</v>
      </c>
      <c r="J155" s="156">
        <f t="shared" si="27"/>
        <v>2</v>
      </c>
      <c r="P155" s="166">
        <f t="shared" si="32"/>
        <v>0.46000000000000102</v>
      </c>
      <c r="Q155" s="167">
        <f t="shared" si="33"/>
        <v>0.88732050710870769</v>
      </c>
      <c r="R155" s="167">
        <f t="shared" si="28"/>
        <v>0</v>
      </c>
      <c r="S155" s="167">
        <f t="shared" si="29"/>
        <v>2</v>
      </c>
      <c r="T155" s="156">
        <f t="shared" si="30"/>
        <v>2</v>
      </c>
    </row>
    <row r="156" spans="6:20" ht="16">
      <c r="F156" s="166">
        <f t="shared" si="31"/>
        <v>0.47000000000000103</v>
      </c>
      <c r="G156" s="167">
        <f t="shared" si="24"/>
        <v>0.88203797683015517</v>
      </c>
      <c r="H156" s="167">
        <f t="shared" si="25"/>
        <v>0</v>
      </c>
      <c r="I156" s="167">
        <f t="shared" si="26"/>
        <v>2</v>
      </c>
      <c r="J156" s="156">
        <f t="shared" si="27"/>
        <v>2</v>
      </c>
      <c r="P156" s="166">
        <f t="shared" si="32"/>
        <v>0.47000000000000103</v>
      </c>
      <c r="Q156" s="167">
        <f t="shared" si="33"/>
        <v>0.88203797683015517</v>
      </c>
      <c r="R156" s="167">
        <f t="shared" si="28"/>
        <v>0</v>
      </c>
      <c r="S156" s="167">
        <f t="shared" si="29"/>
        <v>2</v>
      </c>
      <c r="T156" s="156">
        <f t="shared" si="30"/>
        <v>2</v>
      </c>
    </row>
    <row r="157" spans="6:20" ht="16">
      <c r="F157" s="166">
        <f t="shared" si="31"/>
        <v>0.48000000000000104</v>
      </c>
      <c r="G157" s="167">
        <f t="shared" si="24"/>
        <v>0.87660897709562857</v>
      </c>
      <c r="H157" s="167">
        <f t="shared" si="25"/>
        <v>0</v>
      </c>
      <c r="I157" s="167">
        <f t="shared" si="26"/>
        <v>2</v>
      </c>
      <c r="J157" s="156">
        <f t="shared" si="27"/>
        <v>2</v>
      </c>
      <c r="P157" s="166">
        <f t="shared" si="32"/>
        <v>0.48000000000000104</v>
      </c>
      <c r="Q157" s="167">
        <f t="shared" si="33"/>
        <v>0.87660897709562857</v>
      </c>
      <c r="R157" s="167">
        <f t="shared" si="28"/>
        <v>0</v>
      </c>
      <c r="S157" s="167">
        <f t="shared" si="29"/>
        <v>2</v>
      </c>
      <c r="T157" s="156">
        <f t="shared" si="30"/>
        <v>2</v>
      </c>
    </row>
    <row r="158" spans="6:20" ht="16">
      <c r="F158" s="166">
        <f t="shared" si="31"/>
        <v>0.49000000000000105</v>
      </c>
      <c r="G158" s="167">
        <f t="shared" si="24"/>
        <v>0.87103076914520483</v>
      </c>
      <c r="H158" s="167">
        <f t="shared" si="25"/>
        <v>0</v>
      </c>
      <c r="I158" s="167">
        <f t="shared" si="26"/>
        <v>2</v>
      </c>
      <c r="J158" s="156">
        <f t="shared" si="27"/>
        <v>2</v>
      </c>
      <c r="P158" s="166">
        <f t="shared" si="32"/>
        <v>0.49000000000000105</v>
      </c>
      <c r="Q158" s="167">
        <f t="shared" si="33"/>
        <v>0.87103076914520483</v>
      </c>
      <c r="R158" s="167">
        <f t="shared" si="28"/>
        <v>0</v>
      </c>
      <c r="S158" s="167">
        <f t="shared" si="29"/>
        <v>2</v>
      </c>
      <c r="T158" s="156">
        <f t="shared" si="30"/>
        <v>2</v>
      </c>
    </row>
    <row r="159" spans="6:20" ht="16">
      <c r="F159" s="166">
        <f t="shared" si="31"/>
        <v>0.500000000000001</v>
      </c>
      <c r="G159" s="167">
        <f t="shared" si="24"/>
        <v>0.86530046734632104</v>
      </c>
      <c r="H159" s="167">
        <f t="shared" si="25"/>
        <v>0</v>
      </c>
      <c r="I159" s="167">
        <f t="shared" si="26"/>
        <v>2</v>
      </c>
      <c r="J159" s="156">
        <f t="shared" si="27"/>
        <v>2</v>
      </c>
      <c r="P159" s="166">
        <f t="shared" si="32"/>
        <v>0.500000000000001</v>
      </c>
      <c r="Q159" s="167">
        <f t="shared" si="33"/>
        <v>0.86530046734632104</v>
      </c>
      <c r="R159" s="167">
        <f t="shared" si="28"/>
        <v>0</v>
      </c>
      <c r="S159" s="167">
        <f t="shared" si="29"/>
        <v>2</v>
      </c>
      <c r="T159" s="156">
        <f t="shared" si="30"/>
        <v>2</v>
      </c>
    </row>
    <row r="160" spans="6:20" ht="16">
      <c r="F160" s="166">
        <f t="shared" si="31"/>
        <v>0.51000000000000101</v>
      </c>
      <c r="G160" s="167">
        <f t="shared" si="24"/>
        <v>0.85941502936641045</v>
      </c>
      <c r="H160" s="167">
        <f t="shared" si="25"/>
        <v>0</v>
      </c>
      <c r="I160" s="167">
        <f t="shared" si="26"/>
        <v>2</v>
      </c>
      <c r="J160" s="156">
        <f t="shared" si="27"/>
        <v>2</v>
      </c>
      <c r="P160" s="166">
        <f t="shared" si="32"/>
        <v>0.51000000000000101</v>
      </c>
      <c r="Q160" s="167">
        <f t="shared" si="33"/>
        <v>0.85941502936641045</v>
      </c>
      <c r="R160" s="167">
        <f t="shared" si="28"/>
        <v>0</v>
      </c>
      <c r="S160" s="167">
        <f t="shared" si="29"/>
        <v>2</v>
      </c>
      <c r="T160" s="156">
        <f t="shared" si="30"/>
        <v>2</v>
      </c>
    </row>
    <row r="161" spans="6:20" ht="16">
      <c r="F161" s="166">
        <f t="shared" si="31"/>
        <v>0.52000000000000102</v>
      </c>
      <c r="G161" s="167">
        <f t="shared" si="24"/>
        <v>0.85337124543249421</v>
      </c>
      <c r="H161" s="167">
        <f t="shared" si="25"/>
        <v>0</v>
      </c>
      <c r="I161" s="167">
        <f t="shared" si="26"/>
        <v>2</v>
      </c>
      <c r="J161" s="156">
        <f t="shared" si="27"/>
        <v>2</v>
      </c>
      <c r="P161" s="166">
        <f t="shared" si="32"/>
        <v>0.52000000000000102</v>
      </c>
      <c r="Q161" s="167">
        <f t="shared" si="33"/>
        <v>0.85337124543249421</v>
      </c>
      <c r="R161" s="167">
        <f t="shared" si="28"/>
        <v>0</v>
      </c>
      <c r="S161" s="167">
        <f t="shared" si="29"/>
        <v>2</v>
      </c>
      <c r="T161" s="156">
        <f t="shared" si="30"/>
        <v>2</v>
      </c>
    </row>
    <row r="162" spans="6:20" ht="16">
      <c r="F162" s="166">
        <f t="shared" si="31"/>
        <v>0.53000000000000103</v>
      </c>
      <c r="G162" s="167">
        <f t="shared" si="24"/>
        <v>0.84716572657312827</v>
      </c>
      <c r="H162" s="167">
        <f t="shared" si="25"/>
        <v>0</v>
      </c>
      <c r="I162" s="167">
        <f t="shared" si="26"/>
        <v>2</v>
      </c>
      <c r="J162" s="156">
        <f t="shared" si="27"/>
        <v>2</v>
      </c>
      <c r="P162" s="166">
        <f t="shared" si="32"/>
        <v>0.53000000000000103</v>
      </c>
      <c r="Q162" s="167">
        <f t="shared" si="33"/>
        <v>0.84716572657312827</v>
      </c>
      <c r="R162" s="167">
        <f t="shared" si="28"/>
        <v>0</v>
      </c>
      <c r="S162" s="167">
        <f t="shared" si="29"/>
        <v>2</v>
      </c>
      <c r="T162" s="156">
        <f t="shared" si="30"/>
        <v>2</v>
      </c>
    </row>
    <row r="163" spans="6:20" ht="16">
      <c r="F163" s="166">
        <f t="shared" si="31"/>
        <v>0.54000000000000103</v>
      </c>
      <c r="G163" s="167">
        <f t="shared" si="24"/>
        <v>0.84079489172352739</v>
      </c>
      <c r="H163" s="167">
        <f t="shared" si="25"/>
        <v>0</v>
      </c>
      <c r="I163" s="167">
        <f t="shared" si="26"/>
        <v>2</v>
      </c>
      <c r="J163" s="156">
        <f t="shared" si="27"/>
        <v>2</v>
      </c>
      <c r="P163" s="166">
        <f t="shared" si="32"/>
        <v>0.54000000000000103</v>
      </c>
      <c r="Q163" s="167">
        <f t="shared" si="33"/>
        <v>0.84079489172352739</v>
      </c>
      <c r="R163" s="167">
        <f t="shared" si="28"/>
        <v>0</v>
      </c>
      <c r="S163" s="167">
        <f t="shared" si="29"/>
        <v>2</v>
      </c>
      <c r="T163" s="156">
        <f t="shared" si="30"/>
        <v>2</v>
      </c>
    </row>
    <row r="164" spans="6:20" ht="16">
      <c r="F164" s="166">
        <f t="shared" si="31"/>
        <v>0.55000000000000104</v>
      </c>
      <c r="G164" s="167">
        <f t="shared" si="24"/>
        <v>0.83425495355773083</v>
      </c>
      <c r="H164" s="167">
        <f t="shared" si="25"/>
        <v>0</v>
      </c>
      <c r="I164" s="167">
        <f t="shared" si="26"/>
        <v>2</v>
      </c>
      <c r="J164" s="156">
        <f t="shared" si="27"/>
        <v>2</v>
      </c>
      <c r="P164" s="166">
        <f t="shared" si="32"/>
        <v>0.55000000000000104</v>
      </c>
      <c r="Q164" s="167">
        <f t="shared" si="33"/>
        <v>0.83425495355773083</v>
      </c>
      <c r="R164" s="167">
        <f t="shared" si="28"/>
        <v>0</v>
      </c>
      <c r="S164" s="167">
        <f t="shared" si="29"/>
        <v>2</v>
      </c>
      <c r="T164" s="156">
        <f t="shared" si="30"/>
        <v>2</v>
      </c>
    </row>
    <row r="165" spans="6:20" ht="16">
      <c r="F165" s="166">
        <f t="shared" si="31"/>
        <v>0.56000000000000105</v>
      </c>
      <c r="G165" s="167">
        <f t="shared" si="24"/>
        <v>0.82754190289185792</v>
      </c>
      <c r="H165" s="167">
        <f t="shared" si="25"/>
        <v>0</v>
      </c>
      <c r="I165" s="167">
        <f t="shared" si="26"/>
        <v>2</v>
      </c>
      <c r="J165" s="156">
        <f t="shared" si="27"/>
        <v>2</v>
      </c>
      <c r="P165" s="166">
        <f t="shared" si="32"/>
        <v>0.56000000000000105</v>
      </c>
      <c r="Q165" s="167">
        <f t="shared" si="33"/>
        <v>0.82754190289185792</v>
      </c>
      <c r="R165" s="167">
        <f t="shared" si="28"/>
        <v>0</v>
      </c>
      <c r="S165" s="167">
        <f t="shared" si="29"/>
        <v>2</v>
      </c>
      <c r="T165" s="156">
        <f t="shared" si="30"/>
        <v>2</v>
      </c>
    </row>
    <row r="166" spans="6:20" ht="16">
      <c r="F166" s="166">
        <f t="shared" si="31"/>
        <v>0.57000000000000106</v>
      </c>
      <c r="G166" s="167">
        <f t="shared" si="24"/>
        <v>0.82065149147928462</v>
      </c>
      <c r="H166" s="167">
        <f t="shared" si="25"/>
        <v>0</v>
      </c>
      <c r="I166" s="167">
        <f t="shared" si="26"/>
        <v>2</v>
      </c>
      <c r="J166" s="156">
        <f t="shared" si="27"/>
        <v>2</v>
      </c>
      <c r="P166" s="166">
        <f t="shared" si="32"/>
        <v>0.57000000000000106</v>
      </c>
      <c r="Q166" s="167">
        <f t="shared" si="33"/>
        <v>0.82065149147928462</v>
      </c>
      <c r="R166" s="167">
        <f t="shared" si="28"/>
        <v>0</v>
      </c>
      <c r="S166" s="167">
        <f t="shared" si="29"/>
        <v>2</v>
      </c>
      <c r="T166" s="156">
        <f t="shared" si="30"/>
        <v>2</v>
      </c>
    </row>
    <row r="167" spans="6:20" ht="16">
      <c r="F167" s="166">
        <f t="shared" si="31"/>
        <v>0.58000000000000107</v>
      </c>
      <c r="G167" s="167">
        <f t="shared" si="24"/>
        <v>0.81357921299127556</v>
      </c>
      <c r="H167" s="167">
        <f t="shared" si="25"/>
        <v>0</v>
      </c>
      <c r="I167" s="167">
        <f t="shared" si="26"/>
        <v>2</v>
      </c>
      <c r="J167" s="156">
        <f t="shared" si="27"/>
        <v>2</v>
      </c>
      <c r="P167" s="166">
        <f t="shared" si="32"/>
        <v>0.58000000000000107</v>
      </c>
      <c r="Q167" s="167">
        <f t="shared" si="33"/>
        <v>0.81357921299127556</v>
      </c>
      <c r="R167" s="167">
        <f t="shared" si="28"/>
        <v>0</v>
      </c>
      <c r="S167" s="167">
        <f t="shared" si="29"/>
        <v>2</v>
      </c>
      <c r="T167" s="156">
        <f t="shared" si="30"/>
        <v>2</v>
      </c>
    </row>
    <row r="168" spans="6:20" ht="16">
      <c r="F168" s="166">
        <f t="shared" si="31"/>
        <v>0.59000000000000108</v>
      </c>
      <c r="G168" s="167">
        <f t="shared" si="24"/>
        <v>0.80632028194437988</v>
      </c>
      <c r="H168" s="167">
        <f t="shared" si="25"/>
        <v>0</v>
      </c>
      <c r="I168" s="167">
        <f t="shared" si="26"/>
        <v>2</v>
      </c>
      <c r="J168" s="156">
        <f t="shared" si="27"/>
        <v>2</v>
      </c>
      <c r="P168" s="166">
        <f t="shared" si="32"/>
        <v>0.59000000000000108</v>
      </c>
      <c r="Q168" s="167">
        <f t="shared" si="33"/>
        <v>0.80632028194437988</v>
      </c>
      <c r="R168" s="167">
        <f t="shared" si="28"/>
        <v>0</v>
      </c>
      <c r="S168" s="167">
        <f t="shared" si="29"/>
        <v>2</v>
      </c>
      <c r="T168" s="156">
        <f t="shared" si="30"/>
        <v>2</v>
      </c>
    </row>
    <row r="169" spans="6:20" ht="16">
      <c r="F169" s="166">
        <f t="shared" si="31"/>
        <v>0.60000000000000109</v>
      </c>
      <c r="G169" s="167">
        <f t="shared" si="24"/>
        <v>0.79886961029773618</v>
      </c>
      <c r="H169" s="167">
        <f t="shared" si="25"/>
        <v>0</v>
      </c>
      <c r="I169" s="167">
        <f t="shared" si="26"/>
        <v>2</v>
      </c>
      <c r="J169" s="156">
        <f t="shared" si="27"/>
        <v>2</v>
      </c>
      <c r="P169" s="166">
        <f t="shared" si="32"/>
        <v>0.60000000000000109</v>
      </c>
      <c r="Q169" s="167">
        <f t="shared" si="33"/>
        <v>0.79886961029773618</v>
      </c>
      <c r="R169" s="167">
        <f t="shared" si="28"/>
        <v>0</v>
      </c>
      <c r="S169" s="167">
        <f t="shared" si="29"/>
        <v>2</v>
      </c>
      <c r="T169" s="156">
        <f t="shared" si="30"/>
        <v>2</v>
      </c>
    </row>
    <row r="170" spans="6:20" ht="16">
      <c r="F170" s="166">
        <f t="shared" si="31"/>
        <v>0.6100000000000011</v>
      </c>
      <c r="G170" s="167">
        <f t="shared" si="24"/>
        <v>0.79122178139803601</v>
      </c>
      <c r="H170" s="167">
        <f t="shared" si="25"/>
        <v>0</v>
      </c>
      <c r="I170" s="167">
        <f t="shared" si="26"/>
        <v>2</v>
      </c>
      <c r="J170" s="156">
        <f t="shared" si="27"/>
        <v>2</v>
      </c>
      <c r="P170" s="166">
        <f t="shared" si="32"/>
        <v>0.6100000000000011</v>
      </c>
      <c r="Q170" s="167">
        <f t="shared" si="33"/>
        <v>0.79122178139803601</v>
      </c>
      <c r="R170" s="167">
        <f t="shared" si="28"/>
        <v>0</v>
      </c>
      <c r="S170" s="167">
        <f t="shared" si="29"/>
        <v>2</v>
      </c>
      <c r="T170" s="156">
        <f t="shared" si="30"/>
        <v>2</v>
      </c>
    </row>
    <row r="171" spans="6:20" ht="16">
      <c r="F171" s="166">
        <f t="shared" si="31"/>
        <v>0.62000000000000111</v>
      </c>
      <c r="G171" s="167">
        <f t="shared" si="24"/>
        <v>0.78337102089567867</v>
      </c>
      <c r="H171" s="167">
        <f t="shared" si="25"/>
        <v>0</v>
      </c>
      <c r="I171" s="167">
        <f t="shared" si="26"/>
        <v>2</v>
      </c>
      <c r="J171" s="156">
        <f t="shared" si="27"/>
        <v>2</v>
      </c>
      <c r="P171" s="166">
        <f t="shared" si="32"/>
        <v>0.62000000000000111</v>
      </c>
      <c r="Q171" s="167">
        <f t="shared" si="33"/>
        <v>0.78337102089567867</v>
      </c>
      <c r="R171" s="167">
        <f t="shared" si="28"/>
        <v>0</v>
      </c>
      <c r="S171" s="167">
        <f t="shared" si="29"/>
        <v>2</v>
      </c>
      <c r="T171" s="156">
        <f t="shared" si="30"/>
        <v>2</v>
      </c>
    </row>
    <row r="172" spans="6:20" ht="16">
      <c r="F172" s="166">
        <f t="shared" si="31"/>
        <v>0.63000000000000111</v>
      </c>
      <c r="G172" s="167">
        <f t="shared" si="24"/>
        <v>0.77531116419062729</v>
      </c>
      <c r="H172" s="167">
        <f t="shared" si="25"/>
        <v>0</v>
      </c>
      <c r="I172" s="167">
        <f t="shared" si="26"/>
        <v>2</v>
      </c>
      <c r="J172" s="156">
        <f t="shared" si="27"/>
        <v>2</v>
      </c>
      <c r="P172" s="166">
        <f t="shared" si="32"/>
        <v>0.63000000000000111</v>
      </c>
      <c r="Q172" s="167">
        <f t="shared" si="33"/>
        <v>0.77531116419062729</v>
      </c>
      <c r="R172" s="167">
        <f t="shared" si="28"/>
        <v>0</v>
      </c>
      <c r="S172" s="167">
        <f t="shared" si="29"/>
        <v>2</v>
      </c>
      <c r="T172" s="156">
        <f t="shared" si="30"/>
        <v>2</v>
      </c>
    </row>
    <row r="173" spans="6:20" ht="16">
      <c r="F173" s="166">
        <f t="shared" si="31"/>
        <v>0.64000000000000112</v>
      </c>
      <c r="G173" s="167">
        <f t="shared" si="24"/>
        <v>0.76703561988811564</v>
      </c>
      <c r="H173" s="167">
        <f t="shared" si="25"/>
        <v>0</v>
      </c>
      <c r="I173" s="167">
        <f t="shared" si="26"/>
        <v>2</v>
      </c>
      <c r="J173" s="156">
        <f t="shared" si="27"/>
        <v>2</v>
      </c>
      <c r="P173" s="166">
        <f t="shared" si="32"/>
        <v>0.64000000000000112</v>
      </c>
      <c r="Q173" s="167">
        <f t="shared" si="33"/>
        <v>0.76703561988811564</v>
      </c>
      <c r="R173" s="167">
        <f t="shared" si="28"/>
        <v>0</v>
      </c>
      <c r="S173" s="167">
        <f t="shared" si="29"/>
        <v>2</v>
      </c>
      <c r="T173" s="156">
        <f t="shared" si="30"/>
        <v>2</v>
      </c>
    </row>
    <row r="174" spans="6:20" ht="16">
      <c r="F174" s="166">
        <f t="shared" si="31"/>
        <v>0.65000000000000113</v>
      </c>
      <c r="G174" s="167">
        <f t="shared" si="24"/>
        <v>0.75853732864948542</v>
      </c>
      <c r="H174" s="167">
        <f t="shared" si="25"/>
        <v>0</v>
      </c>
      <c r="I174" s="167">
        <f t="shared" si="26"/>
        <v>2</v>
      </c>
      <c r="J174" s="156">
        <f t="shared" si="27"/>
        <v>2</v>
      </c>
      <c r="P174" s="166">
        <f t="shared" si="32"/>
        <v>0.65000000000000113</v>
      </c>
      <c r="Q174" s="167">
        <f t="shared" si="33"/>
        <v>0.75853732864948542</v>
      </c>
      <c r="R174" s="167">
        <f t="shared" si="28"/>
        <v>0</v>
      </c>
      <c r="S174" s="167">
        <f t="shared" si="29"/>
        <v>2</v>
      </c>
      <c r="T174" s="156">
        <f t="shared" si="30"/>
        <v>2</v>
      </c>
    </row>
    <row r="175" spans="6:20" ht="16">
      <c r="F175" s="166">
        <f t="shared" si="31"/>
        <v>0.66000000000000114</v>
      </c>
      <c r="G175" s="167">
        <f t="shared" si="24"/>
        <v>0.74980871670798876</v>
      </c>
      <c r="H175" s="167">
        <f t="shared" si="25"/>
        <v>0</v>
      </c>
      <c r="I175" s="167">
        <f t="shared" si="26"/>
        <v>2</v>
      </c>
      <c r="J175" s="156">
        <f t="shared" si="27"/>
        <v>2</v>
      </c>
      <c r="P175" s="166">
        <f t="shared" si="32"/>
        <v>0.66000000000000114</v>
      </c>
      <c r="Q175" s="167">
        <f t="shared" si="33"/>
        <v>0.74980871670798876</v>
      </c>
      <c r="R175" s="167">
        <f t="shared" si="28"/>
        <v>0</v>
      </c>
      <c r="S175" s="167">
        <f t="shared" si="29"/>
        <v>2</v>
      </c>
      <c r="T175" s="156">
        <f t="shared" si="30"/>
        <v>2</v>
      </c>
    </row>
    <row r="176" spans="6:20" ht="16">
      <c r="F176" s="166">
        <f t="shared" si="31"/>
        <v>0.67000000000000115</v>
      </c>
      <c r="G176" s="167">
        <f t="shared" si="24"/>
        <v>0.74084164317814671</v>
      </c>
      <c r="H176" s="167">
        <f t="shared" si="25"/>
        <v>0</v>
      </c>
      <c r="I176" s="167">
        <f t="shared" si="26"/>
        <v>2</v>
      </c>
      <c r="J176" s="156">
        <f t="shared" si="27"/>
        <v>2</v>
      </c>
      <c r="P176" s="166">
        <f t="shared" si="32"/>
        <v>0.67000000000000115</v>
      </c>
      <c r="Q176" s="167">
        <f t="shared" si="33"/>
        <v>0.74084164317814671</v>
      </c>
      <c r="R176" s="167">
        <f t="shared" si="28"/>
        <v>0</v>
      </c>
      <c r="S176" s="167">
        <f t="shared" si="29"/>
        <v>2</v>
      </c>
      <c r="T176" s="156">
        <f t="shared" si="30"/>
        <v>2</v>
      </c>
    </row>
    <row r="177" spans="6:20" ht="16">
      <c r="F177" s="166">
        <f t="shared" si="31"/>
        <v>0.68000000000000116</v>
      </c>
      <c r="G177" s="167">
        <f t="shared" si="24"/>
        <v>0.73162734011349206</v>
      </c>
      <c r="H177" s="167">
        <f t="shared" si="25"/>
        <v>0</v>
      </c>
      <c r="I177" s="167">
        <f t="shared" si="26"/>
        <v>2</v>
      </c>
      <c r="J177" s="156">
        <f t="shared" si="27"/>
        <v>2</v>
      </c>
      <c r="P177" s="166">
        <f t="shared" si="32"/>
        <v>0.68000000000000116</v>
      </c>
      <c r="Q177" s="167">
        <f t="shared" si="33"/>
        <v>0.73162734011349206</v>
      </c>
      <c r="R177" s="167">
        <f t="shared" si="28"/>
        <v>0</v>
      </c>
      <c r="S177" s="167">
        <f t="shared" si="29"/>
        <v>2</v>
      </c>
      <c r="T177" s="156">
        <f t="shared" si="30"/>
        <v>2</v>
      </c>
    </row>
    <row r="178" spans="6:20" ht="16">
      <c r="F178" s="166">
        <f t="shared" si="31"/>
        <v>0.69000000000000117</v>
      </c>
      <c r="G178" s="167">
        <f t="shared" si="24"/>
        <v>0.72215634405246509</v>
      </c>
      <c r="H178" s="167">
        <f t="shared" si="25"/>
        <v>0</v>
      </c>
      <c r="I178" s="167">
        <f t="shared" si="26"/>
        <v>2</v>
      </c>
      <c r="J178" s="156">
        <f t="shared" si="27"/>
        <v>2</v>
      </c>
      <c r="P178" s="166">
        <f t="shared" si="32"/>
        <v>0.69000000000000117</v>
      </c>
      <c r="Q178" s="167">
        <f t="shared" si="33"/>
        <v>0.72215634405246509</v>
      </c>
      <c r="R178" s="167">
        <f t="shared" si="28"/>
        <v>0</v>
      </c>
      <c r="S178" s="167">
        <f t="shared" si="29"/>
        <v>2</v>
      </c>
      <c r="T178" s="156">
        <f t="shared" si="30"/>
        <v>2</v>
      </c>
    </row>
    <row r="179" spans="6:20" ht="16">
      <c r="F179" s="166">
        <f t="shared" si="31"/>
        <v>0.70000000000000118</v>
      </c>
      <c r="G179" s="167">
        <f t="shared" si="24"/>
        <v>0.71241841752437396</v>
      </c>
      <c r="H179" s="167">
        <f t="shared" si="25"/>
        <v>0</v>
      </c>
      <c r="I179" s="167">
        <f t="shared" si="26"/>
        <v>2</v>
      </c>
      <c r="J179" s="156">
        <f t="shared" si="27"/>
        <v>2</v>
      </c>
      <c r="P179" s="166">
        <f t="shared" si="32"/>
        <v>0.70000000000000118</v>
      </c>
      <c r="Q179" s="167">
        <f t="shared" si="33"/>
        <v>0.71241841752437396</v>
      </c>
      <c r="R179" s="167">
        <f t="shared" si="28"/>
        <v>0</v>
      </c>
      <c r="S179" s="167">
        <f t="shared" si="29"/>
        <v>2</v>
      </c>
      <c r="T179" s="156">
        <f t="shared" si="30"/>
        <v>2</v>
      </c>
    </row>
    <row r="180" spans="6:20" ht="16">
      <c r="F180" s="166">
        <f t="shared" si="31"/>
        <v>0.71000000000000119</v>
      </c>
      <c r="G180" s="167">
        <f t="shared" si="24"/>
        <v>0.70240245865150264</v>
      </c>
      <c r="H180" s="167">
        <f t="shared" si="25"/>
        <v>0</v>
      </c>
      <c r="I180" s="167">
        <f t="shared" si="26"/>
        <v>2</v>
      </c>
      <c r="J180" s="156">
        <f t="shared" si="27"/>
        <v>2</v>
      </c>
      <c r="P180" s="166">
        <f t="shared" si="32"/>
        <v>0.71000000000000119</v>
      </c>
      <c r="Q180" s="167">
        <f t="shared" si="33"/>
        <v>0.70240245865150264</v>
      </c>
      <c r="R180" s="167">
        <f t="shared" si="28"/>
        <v>0</v>
      </c>
      <c r="S180" s="167">
        <f t="shared" si="29"/>
        <v>2</v>
      </c>
      <c r="T180" s="156">
        <f t="shared" si="30"/>
        <v>2</v>
      </c>
    </row>
    <row r="181" spans="6:20" ht="16">
      <c r="F181" s="166">
        <f t="shared" si="31"/>
        <v>0.72000000000000119</v>
      </c>
      <c r="G181" s="167">
        <f t="shared" si="24"/>
        <v>0.69209639655935951</v>
      </c>
      <c r="H181" s="167">
        <f t="shared" si="25"/>
        <v>0</v>
      </c>
      <c r="I181" s="167">
        <f t="shared" si="26"/>
        <v>2</v>
      </c>
      <c r="J181" s="156">
        <f t="shared" si="27"/>
        <v>2</v>
      </c>
      <c r="P181" s="166">
        <f t="shared" si="32"/>
        <v>0.72000000000000119</v>
      </c>
      <c r="Q181" s="167">
        <f t="shared" si="33"/>
        <v>0.69209639655935951</v>
      </c>
      <c r="R181" s="167">
        <f t="shared" si="28"/>
        <v>0</v>
      </c>
      <c r="S181" s="167">
        <f t="shared" si="29"/>
        <v>2</v>
      </c>
      <c r="T181" s="156">
        <f t="shared" si="30"/>
        <v>2</v>
      </c>
    </row>
    <row r="182" spans="6:20" ht="16">
      <c r="F182" s="166">
        <f t="shared" si="31"/>
        <v>0.7300000000000012</v>
      </c>
      <c r="G182" s="167">
        <f t="shared" si="24"/>
        <v>0.68148706976747286</v>
      </c>
      <c r="H182" s="167">
        <f t="shared" si="25"/>
        <v>0</v>
      </c>
      <c r="I182" s="167">
        <f t="shared" si="26"/>
        <v>2</v>
      </c>
      <c r="J182" s="156">
        <f t="shared" si="27"/>
        <v>2</v>
      </c>
      <c r="P182" s="166">
        <f t="shared" si="32"/>
        <v>0.7300000000000012</v>
      </c>
      <c r="Q182" s="167">
        <f t="shared" si="33"/>
        <v>0.68148706976747286</v>
      </c>
      <c r="R182" s="167">
        <f t="shared" si="28"/>
        <v>0</v>
      </c>
      <c r="S182" s="167">
        <f t="shared" si="29"/>
        <v>2</v>
      </c>
      <c r="T182" s="156">
        <f t="shared" si="30"/>
        <v>2</v>
      </c>
    </row>
    <row r="183" spans="6:20" ht="16">
      <c r="F183" s="166">
        <f t="shared" si="31"/>
        <v>0.74000000000000121</v>
      </c>
      <c r="G183" s="167">
        <f t="shared" si="24"/>
        <v>0.67056008404101608</v>
      </c>
      <c r="H183" s="167">
        <f t="shared" si="25"/>
        <v>0</v>
      </c>
      <c r="I183" s="167">
        <f t="shared" si="26"/>
        <v>2</v>
      </c>
      <c r="J183" s="156">
        <f t="shared" si="27"/>
        <v>2</v>
      </c>
      <c r="P183" s="166">
        <f t="shared" si="32"/>
        <v>0.74000000000000121</v>
      </c>
      <c r="Q183" s="167">
        <f t="shared" si="33"/>
        <v>0.67056008404101608</v>
      </c>
      <c r="R183" s="167">
        <f t="shared" si="28"/>
        <v>0</v>
      </c>
      <c r="S183" s="167">
        <f t="shared" si="29"/>
        <v>2</v>
      </c>
      <c r="T183" s="156">
        <f t="shared" si="30"/>
        <v>2</v>
      </c>
    </row>
    <row r="184" spans="6:20" ht="16">
      <c r="F184" s="166">
        <f t="shared" si="31"/>
        <v>0.75000000000000122</v>
      </c>
      <c r="G184" s="167">
        <f t="shared" si="24"/>
        <v>0.65929964528806184</v>
      </c>
      <c r="H184" s="167">
        <f t="shared" si="25"/>
        <v>0</v>
      </c>
      <c r="I184" s="167">
        <f t="shared" si="26"/>
        <v>2</v>
      </c>
      <c r="J184" s="156">
        <f t="shared" si="27"/>
        <v>2</v>
      </c>
      <c r="P184" s="166">
        <f t="shared" si="32"/>
        <v>0.75000000000000122</v>
      </c>
      <c r="Q184" s="167">
        <f t="shared" si="33"/>
        <v>0.65929964528806184</v>
      </c>
      <c r="R184" s="167">
        <f t="shared" si="28"/>
        <v>0</v>
      </c>
      <c r="S184" s="167">
        <f t="shared" si="29"/>
        <v>2</v>
      </c>
      <c r="T184" s="156">
        <f t="shared" si="30"/>
        <v>2</v>
      </c>
    </row>
    <row r="185" spans="6:20" ht="16">
      <c r="F185" s="166">
        <f t="shared" si="31"/>
        <v>0.76000000000000123</v>
      </c>
      <c r="G185" s="167">
        <f t="shared" si="24"/>
        <v>0.64768836191787937</v>
      </c>
      <c r="H185" s="167">
        <f t="shared" si="25"/>
        <v>0</v>
      </c>
      <c r="I185" s="167">
        <f t="shared" si="26"/>
        <v>2</v>
      </c>
      <c r="J185" s="156">
        <f t="shared" si="27"/>
        <v>2</v>
      </c>
      <c r="P185" s="166">
        <f t="shared" si="32"/>
        <v>0.76000000000000123</v>
      </c>
      <c r="Q185" s="167">
        <f t="shared" si="33"/>
        <v>0.64768836191787937</v>
      </c>
      <c r="R185" s="167">
        <f t="shared" si="28"/>
        <v>0</v>
      </c>
      <c r="S185" s="167">
        <f t="shared" si="29"/>
        <v>2</v>
      </c>
      <c r="T185" s="156">
        <f t="shared" si="30"/>
        <v>2</v>
      </c>
    </row>
    <row r="186" spans="6:20" ht="16">
      <c r="F186" s="166">
        <f t="shared" si="31"/>
        <v>0.77000000000000124</v>
      </c>
      <c r="G186" s="167">
        <f t="shared" si="24"/>
        <v>0.63570700953332215</v>
      </c>
      <c r="H186" s="167">
        <f t="shared" si="25"/>
        <v>0</v>
      </c>
      <c r="I186" s="167">
        <f t="shared" si="26"/>
        <v>2</v>
      </c>
      <c r="J186" s="156">
        <f t="shared" si="27"/>
        <v>2</v>
      </c>
      <c r="P186" s="166">
        <f t="shared" si="32"/>
        <v>0.77000000000000124</v>
      </c>
      <c r="Q186" s="167">
        <f t="shared" si="33"/>
        <v>0.63570700953332215</v>
      </c>
      <c r="R186" s="167">
        <f t="shared" si="28"/>
        <v>0</v>
      </c>
      <c r="S186" s="167">
        <f t="shared" si="29"/>
        <v>2</v>
      </c>
      <c r="T186" s="156">
        <f t="shared" si="30"/>
        <v>2</v>
      </c>
    </row>
    <row r="187" spans="6:20" ht="16">
      <c r="F187" s="166">
        <f t="shared" si="31"/>
        <v>0.78000000000000125</v>
      </c>
      <c r="G187" s="167">
        <f t="shared" si="24"/>
        <v>0.62333424877409438</v>
      </c>
      <c r="H187" s="167">
        <f t="shared" si="25"/>
        <v>0</v>
      </c>
      <c r="I187" s="167">
        <f t="shared" si="26"/>
        <v>2</v>
      </c>
      <c r="J187" s="156">
        <f t="shared" si="27"/>
        <v>2</v>
      </c>
      <c r="P187" s="166">
        <f t="shared" si="32"/>
        <v>0.78000000000000125</v>
      </c>
      <c r="Q187" s="167">
        <f t="shared" si="33"/>
        <v>0.62333424877409438</v>
      </c>
      <c r="R187" s="167">
        <f t="shared" si="28"/>
        <v>0</v>
      </c>
      <c r="S187" s="167">
        <f t="shared" si="29"/>
        <v>2</v>
      </c>
      <c r="T187" s="156">
        <f t="shared" si="30"/>
        <v>2</v>
      </c>
    </row>
    <row r="188" spans="6:20" ht="16">
      <c r="F188" s="166">
        <f t="shared" si="31"/>
        <v>0.79000000000000126</v>
      </c>
      <c r="G188" s="167">
        <f t="shared" si="24"/>
        <v>0.61054628435423441</v>
      </c>
      <c r="H188" s="167">
        <f t="shared" si="25"/>
        <v>0</v>
      </c>
      <c r="I188" s="167">
        <f t="shared" si="26"/>
        <v>2</v>
      </c>
      <c r="J188" s="156">
        <f t="shared" si="27"/>
        <v>2</v>
      </c>
      <c r="P188" s="166">
        <f t="shared" si="32"/>
        <v>0.79000000000000126</v>
      </c>
      <c r="Q188" s="167">
        <f t="shared" si="33"/>
        <v>0.61054628435423441</v>
      </c>
      <c r="R188" s="167">
        <f t="shared" si="28"/>
        <v>0</v>
      </c>
      <c r="S188" s="167">
        <f t="shared" si="29"/>
        <v>2</v>
      </c>
      <c r="T188" s="156">
        <f t="shared" si="30"/>
        <v>2</v>
      </c>
    </row>
    <row r="189" spans="6:20" ht="16">
      <c r="F189" s="166">
        <f t="shared" si="31"/>
        <v>0.80000000000000127</v>
      </c>
      <c r="G189" s="167">
        <f t="shared" si="24"/>
        <v>0.59731644954897278</v>
      </c>
      <c r="H189" s="167">
        <f t="shared" si="25"/>
        <v>0</v>
      </c>
      <c r="I189" s="167">
        <f t="shared" si="26"/>
        <v>2</v>
      </c>
      <c r="J189" s="156">
        <f t="shared" si="27"/>
        <v>2</v>
      </c>
      <c r="P189" s="166">
        <f t="shared" si="32"/>
        <v>0.80000000000000127</v>
      </c>
      <c r="Q189" s="167">
        <f t="shared" si="33"/>
        <v>0.59731644954897278</v>
      </c>
      <c r="R189" s="167">
        <f t="shared" si="28"/>
        <v>0</v>
      </c>
      <c r="S189" s="167">
        <f t="shared" si="29"/>
        <v>2</v>
      </c>
      <c r="T189" s="156">
        <f t="shared" si="30"/>
        <v>2</v>
      </c>
    </row>
    <row r="190" spans="6:20" ht="16">
      <c r="F190" s="166">
        <f t="shared" si="31"/>
        <v>0.81000000000000127</v>
      </c>
      <c r="G190" s="167">
        <f t="shared" si="24"/>
        <v>0.58361469514042497</v>
      </c>
      <c r="H190" s="167">
        <f t="shared" si="25"/>
        <v>0</v>
      </c>
      <c r="I190" s="167">
        <f t="shared" si="26"/>
        <v>2</v>
      </c>
      <c r="J190" s="156">
        <f t="shared" si="27"/>
        <v>2</v>
      </c>
      <c r="P190" s="166">
        <f t="shared" si="32"/>
        <v>0.81000000000000127</v>
      </c>
      <c r="Q190" s="167">
        <f t="shared" si="33"/>
        <v>0.58361469514042497</v>
      </c>
      <c r="R190" s="167">
        <f t="shared" si="28"/>
        <v>0</v>
      </c>
      <c r="S190" s="167">
        <f t="shared" si="29"/>
        <v>2</v>
      </c>
      <c r="T190" s="156">
        <f t="shared" si="30"/>
        <v>2</v>
      </c>
    </row>
    <row r="191" spans="6:20" ht="16">
      <c r="F191" s="166">
        <f t="shared" si="31"/>
        <v>0.82000000000000128</v>
      </c>
      <c r="G191" s="167">
        <f t="shared" si="24"/>
        <v>0.56940695445783207</v>
      </c>
      <c r="H191" s="167">
        <f t="shared" si="25"/>
        <v>0</v>
      </c>
      <c r="I191" s="167">
        <f t="shared" si="26"/>
        <v>2</v>
      </c>
      <c r="J191" s="156">
        <f t="shared" si="27"/>
        <v>2</v>
      </c>
      <c r="P191" s="166">
        <f t="shared" si="32"/>
        <v>0.82000000000000128</v>
      </c>
      <c r="Q191" s="167">
        <f t="shared" si="33"/>
        <v>0.56940695445783207</v>
      </c>
      <c r="R191" s="167">
        <f t="shared" si="28"/>
        <v>0</v>
      </c>
      <c r="S191" s="167">
        <f t="shared" si="29"/>
        <v>2</v>
      </c>
      <c r="T191" s="156">
        <f t="shared" si="30"/>
        <v>2</v>
      </c>
    </row>
    <row r="192" spans="6:20" ht="16">
      <c r="F192" s="166">
        <f t="shared" si="31"/>
        <v>0.83000000000000129</v>
      </c>
      <c r="G192" s="167">
        <f t="shared" si="24"/>
        <v>0.55465434561091098</v>
      </c>
      <c r="H192" s="167">
        <f t="shared" si="25"/>
        <v>0</v>
      </c>
      <c r="I192" s="167">
        <f t="shared" si="26"/>
        <v>2</v>
      </c>
      <c r="J192" s="156">
        <f t="shared" si="27"/>
        <v>2</v>
      </c>
      <c r="P192" s="166">
        <f t="shared" si="32"/>
        <v>0.83000000000000129</v>
      </c>
      <c r="Q192" s="167">
        <f t="shared" si="33"/>
        <v>0.55465434561091098</v>
      </c>
      <c r="R192" s="167">
        <f t="shared" si="28"/>
        <v>0</v>
      </c>
      <c r="S192" s="167">
        <f t="shared" si="29"/>
        <v>2</v>
      </c>
      <c r="T192" s="156">
        <f t="shared" si="30"/>
        <v>2</v>
      </c>
    </row>
    <row r="193" spans="6:20" ht="16">
      <c r="F193" s="166">
        <f t="shared" si="31"/>
        <v>0.8400000000000013</v>
      </c>
      <c r="G193" s="167">
        <f t="shared" si="24"/>
        <v>0.53931215668128973</v>
      </c>
      <c r="H193" s="167">
        <f t="shared" si="25"/>
        <v>0</v>
      </c>
      <c r="I193" s="167">
        <f t="shared" si="26"/>
        <v>2</v>
      </c>
      <c r="J193" s="156">
        <f t="shared" si="27"/>
        <v>2</v>
      </c>
      <c r="P193" s="166">
        <f t="shared" si="32"/>
        <v>0.8400000000000013</v>
      </c>
      <c r="Q193" s="167">
        <f t="shared" si="33"/>
        <v>0.53931215668128973</v>
      </c>
      <c r="R193" s="167">
        <f t="shared" si="28"/>
        <v>0</v>
      </c>
      <c r="S193" s="167">
        <f t="shared" si="29"/>
        <v>2</v>
      </c>
      <c r="T193" s="156">
        <f t="shared" si="30"/>
        <v>2</v>
      </c>
    </row>
    <row r="194" spans="6:20" ht="16">
      <c r="F194" s="166">
        <f t="shared" si="31"/>
        <v>0.85000000000000131</v>
      </c>
      <c r="G194" s="167">
        <f t="shared" si="24"/>
        <v>0.52332853686992065</v>
      </c>
      <c r="H194" s="167">
        <f t="shared" si="25"/>
        <v>0</v>
      </c>
      <c r="I194" s="167">
        <f t="shared" si="26"/>
        <v>2</v>
      </c>
      <c r="J194" s="156">
        <f t="shared" si="27"/>
        <v>2</v>
      </c>
      <c r="P194" s="166">
        <f t="shared" si="32"/>
        <v>0.85000000000000131</v>
      </c>
      <c r="Q194" s="167">
        <f t="shared" si="33"/>
        <v>0.52332853686992065</v>
      </c>
      <c r="R194" s="167">
        <f t="shared" si="28"/>
        <v>0</v>
      </c>
      <c r="S194" s="167">
        <f t="shared" si="29"/>
        <v>2</v>
      </c>
      <c r="T194" s="156">
        <f t="shared" si="30"/>
        <v>2</v>
      </c>
    </row>
    <row r="195" spans="6:20" ht="16">
      <c r="F195" s="166">
        <f t="shared" si="31"/>
        <v>0.86000000000000132</v>
      </c>
      <c r="G195" s="167">
        <f t="shared" si="24"/>
        <v>0.50664278202657909</v>
      </c>
      <c r="H195" s="167">
        <f t="shared" si="25"/>
        <v>0</v>
      </c>
      <c r="I195" s="167">
        <f t="shared" si="26"/>
        <v>2</v>
      </c>
      <c r="J195" s="156">
        <f t="shared" si="27"/>
        <v>2</v>
      </c>
      <c r="P195" s="166">
        <f t="shared" si="32"/>
        <v>0.86000000000000132</v>
      </c>
      <c r="Q195" s="167">
        <f t="shared" si="33"/>
        <v>0.50664278202657909</v>
      </c>
      <c r="R195" s="167">
        <f t="shared" si="28"/>
        <v>0</v>
      </c>
      <c r="S195" s="167">
        <f t="shared" si="29"/>
        <v>2</v>
      </c>
      <c r="T195" s="156">
        <f t="shared" si="30"/>
        <v>2</v>
      </c>
    </row>
    <row r="196" spans="6:20" ht="16">
      <c r="F196" s="166">
        <f t="shared" si="31"/>
        <v>0.87000000000000133</v>
      </c>
      <c r="G196" s="167">
        <f t="shared" si="24"/>
        <v>0.48918304915019611</v>
      </c>
      <c r="H196" s="167">
        <f t="shared" si="25"/>
        <v>0</v>
      </c>
      <c r="I196" s="167">
        <f t="shared" si="26"/>
        <v>2</v>
      </c>
      <c r="J196" s="156">
        <f t="shared" si="27"/>
        <v>2</v>
      </c>
      <c r="P196" s="166">
        <f t="shared" si="32"/>
        <v>0.87000000000000133</v>
      </c>
      <c r="Q196" s="167">
        <f t="shared" si="33"/>
        <v>0.48918304915019611</v>
      </c>
      <c r="R196" s="167">
        <f t="shared" si="28"/>
        <v>0</v>
      </c>
      <c r="S196" s="167">
        <f t="shared" si="29"/>
        <v>2</v>
      </c>
      <c r="T196" s="156">
        <f t="shared" si="30"/>
        <v>2</v>
      </c>
    </row>
    <row r="197" spans="6:20" ht="16">
      <c r="F197" s="166">
        <f t="shared" si="31"/>
        <v>0.88000000000000134</v>
      </c>
      <c r="G197" s="167">
        <f t="shared" si="24"/>
        <v>0.47086324818482767</v>
      </c>
      <c r="H197" s="167">
        <f t="shared" si="25"/>
        <v>0</v>
      </c>
      <c r="I197" s="167">
        <f t="shared" si="26"/>
        <v>2</v>
      </c>
      <c r="J197" s="156">
        <f t="shared" si="27"/>
        <v>2</v>
      </c>
      <c r="P197" s="166">
        <f t="shared" si="32"/>
        <v>0.88000000000000134</v>
      </c>
      <c r="Q197" s="167">
        <f t="shared" si="33"/>
        <v>0.47086324818482767</v>
      </c>
      <c r="R197" s="167">
        <f t="shared" si="28"/>
        <v>0</v>
      </c>
      <c r="S197" s="167">
        <f t="shared" si="29"/>
        <v>2</v>
      </c>
      <c r="T197" s="156">
        <f t="shared" si="30"/>
        <v>2</v>
      </c>
    </row>
    <row r="198" spans="6:20" ht="16">
      <c r="F198" s="166">
        <f t="shared" si="31"/>
        <v>0.89000000000000135</v>
      </c>
      <c r="G198" s="167">
        <f t="shared" si="24"/>
        <v>0.45157871664360105</v>
      </c>
      <c r="H198" s="167">
        <f t="shared" si="25"/>
        <v>0</v>
      </c>
      <c r="I198" s="167">
        <f t="shared" si="26"/>
        <v>2</v>
      </c>
      <c r="J198" s="156">
        <f t="shared" si="27"/>
        <v>2</v>
      </c>
      <c r="P198" s="166">
        <f t="shared" si="32"/>
        <v>0.89000000000000135</v>
      </c>
      <c r="Q198" s="167">
        <f t="shared" si="33"/>
        <v>0.45157871664360105</v>
      </c>
      <c r="R198" s="167">
        <f t="shared" si="28"/>
        <v>0</v>
      </c>
      <c r="S198" s="167">
        <f t="shared" si="29"/>
        <v>2</v>
      </c>
      <c r="T198" s="156">
        <f t="shared" si="30"/>
        <v>2</v>
      </c>
    </row>
    <row r="199" spans="6:20" ht="16">
      <c r="F199" s="166">
        <f t="shared" si="31"/>
        <v>0.90000000000000135</v>
      </c>
      <c r="G199" s="167">
        <f t="shared" si="24"/>
        <v>0.43120003719715599</v>
      </c>
      <c r="H199" s="167">
        <f t="shared" si="25"/>
        <v>0</v>
      </c>
      <c r="I199" s="167">
        <f t="shared" si="26"/>
        <v>2</v>
      </c>
      <c r="J199" s="156">
        <f t="shared" si="27"/>
        <v>2</v>
      </c>
      <c r="P199" s="166">
        <f t="shared" si="32"/>
        <v>0.90000000000000135</v>
      </c>
      <c r="Q199" s="167">
        <f t="shared" si="33"/>
        <v>0.43120003719715599</v>
      </c>
      <c r="R199" s="167">
        <f t="shared" si="28"/>
        <v>0</v>
      </c>
      <c r="S199" s="167">
        <f t="shared" si="29"/>
        <v>2</v>
      </c>
      <c r="T199" s="156">
        <f t="shared" si="30"/>
        <v>2</v>
      </c>
    </row>
    <row r="200" spans="6:20" ht="16">
      <c r="F200" s="166">
        <f t="shared" si="31"/>
        <v>0.91000000000000136</v>
      </c>
      <c r="G200" s="167">
        <f t="shared" si="24"/>
        <v>0.40956391778476708</v>
      </c>
      <c r="H200" s="167">
        <f t="shared" si="25"/>
        <v>0</v>
      </c>
      <c r="I200" s="167">
        <f t="shared" si="26"/>
        <v>2</v>
      </c>
      <c r="J200" s="156">
        <f t="shared" si="27"/>
        <v>2</v>
      </c>
      <c r="P200" s="166">
        <f t="shared" si="32"/>
        <v>0.91000000000000136</v>
      </c>
      <c r="Q200" s="167">
        <f t="shared" si="33"/>
        <v>0.40956391778476708</v>
      </c>
      <c r="R200" s="167">
        <f t="shared" si="28"/>
        <v>0</v>
      </c>
      <c r="S200" s="167">
        <f t="shared" si="29"/>
        <v>2</v>
      </c>
      <c r="T200" s="156">
        <f t="shared" si="30"/>
        <v>2</v>
      </c>
    </row>
    <row r="201" spans="6:20" ht="16">
      <c r="F201" s="166">
        <f t="shared" si="31"/>
        <v>0.92000000000000137</v>
      </c>
      <c r="G201" s="167">
        <f t="shared" ref="G201:G209" si="34">IFERROR(IF(SQRT(1-(F201*F201)/($J$5*$J$5))&lt;0.05,0,SQRT(1-(F201*F201)/($J$5*$J$5))),0)</f>
        <v>0.38645922080164946</v>
      </c>
      <c r="H201" s="167">
        <f t="shared" ref="H201:H209" si="35">CHOOSE(MATCH($J$3,degrees),IF(F201&lt;0,IFERROR(1-G201,1),0),0,0,IF(F201&gt;0,IFERROR(1-G201,1),0))</f>
        <v>0</v>
      </c>
      <c r="I201" s="167">
        <f t="shared" ref="I201:I209" si="36">CHOOSE(MATCH($J$3,degrees),IF(F201&lt;0,2*G201,2),IF(F201&lt;0,0,1-G201),IF(F201&gt;0,0,1-G201),IF(F201&gt;0,2*G201,2))</f>
        <v>2</v>
      </c>
      <c r="J201" s="156">
        <f t="shared" ref="J201:J209" si="37">CHOOSE(MATCH($J$3,degrees),IF(F201&lt;0,G201+1,2),IF(F201&lt;0,2,2*G201),IF(F201&gt;0,2,2*G201),IF(F201&gt;0,G201+1,2))</f>
        <v>2</v>
      </c>
      <c r="P201" s="166">
        <f t="shared" si="32"/>
        <v>0.92000000000000137</v>
      </c>
      <c r="Q201" s="167">
        <f t="shared" si="33"/>
        <v>0.38645922080164946</v>
      </c>
      <c r="R201" s="167">
        <f t="shared" ref="R201:R209" si="38">CHOOSE(MATCH($T$3,degrees),IF(P201&lt;0,IFERROR(1-Q201,1),0),0,0,IF(P201&gt;0,IFERROR(1-Q201,1),0))</f>
        <v>0</v>
      </c>
      <c r="S201" s="167">
        <f t="shared" ref="S201:S209" si="39">CHOOSE(MATCH($T$3,degrees),IF(P201&lt;0,2*Q201,2),IF(P201&lt;0,0,1-Q201),IF(P201&gt;0,0,1-Q201),IF(P201&gt;0,2*Q201,2))</f>
        <v>2</v>
      </c>
      <c r="T201" s="156">
        <f t="shared" ref="T201:T209" si="40">CHOOSE(MATCH($T$3,degrees),IF(P201&lt;0,Q201+1,2),IF(P201&lt;0,2,2*Q201),IF(P201&gt;0,2,2*Q201),IF(P201&gt;0,Q201+1,2))</f>
        <v>2</v>
      </c>
    </row>
    <row r="202" spans="6:20" ht="16">
      <c r="F202" s="166">
        <f t="shared" ref="F202:F209" si="41">F201+$G$4</f>
        <v>0.93000000000000138</v>
      </c>
      <c r="G202" s="167">
        <f t="shared" si="34"/>
        <v>0.36160455175932232</v>
      </c>
      <c r="H202" s="167">
        <f t="shared" si="35"/>
        <v>0</v>
      </c>
      <c r="I202" s="167">
        <f t="shared" si="36"/>
        <v>2</v>
      </c>
      <c r="J202" s="156">
        <f t="shared" si="37"/>
        <v>2</v>
      </c>
      <c r="P202" s="166">
        <f t="shared" ref="P202:P209" si="42">P201+$G$4</f>
        <v>0.93000000000000138</v>
      </c>
      <c r="Q202" s="167">
        <f t="shared" ref="Q202:Q209" si="43">IFERROR(IF(SQRT(1-(P202*P202)/($T$5*$T$5))&lt;0.05,0,SQRT(1-(P202*P202)/($T$5*$T$5))),0)</f>
        <v>0.36160455175932232</v>
      </c>
      <c r="R202" s="167">
        <f t="shared" si="38"/>
        <v>0</v>
      </c>
      <c r="S202" s="167">
        <f t="shared" si="39"/>
        <v>2</v>
      </c>
      <c r="T202" s="156">
        <f t="shared" si="40"/>
        <v>2</v>
      </c>
    </row>
    <row r="203" spans="6:20" ht="16">
      <c r="F203" s="166">
        <f t="shared" si="41"/>
        <v>0.94000000000000139</v>
      </c>
      <c r="G203" s="167">
        <f t="shared" si="34"/>
        <v>0.33461017659738723</v>
      </c>
      <c r="H203" s="167">
        <f t="shared" si="35"/>
        <v>0</v>
      </c>
      <c r="I203" s="167">
        <f t="shared" si="36"/>
        <v>2</v>
      </c>
      <c r="J203" s="156">
        <f t="shared" si="37"/>
        <v>2</v>
      </c>
      <c r="P203" s="166">
        <f t="shared" si="42"/>
        <v>0.94000000000000139</v>
      </c>
      <c r="Q203" s="167">
        <f t="shared" si="43"/>
        <v>0.33461017659738723</v>
      </c>
      <c r="R203" s="167">
        <f t="shared" si="38"/>
        <v>0</v>
      </c>
      <c r="S203" s="167">
        <f t="shared" si="39"/>
        <v>2</v>
      </c>
      <c r="T203" s="156">
        <f t="shared" si="40"/>
        <v>2</v>
      </c>
    </row>
    <row r="204" spans="6:20" ht="16">
      <c r="F204" s="166">
        <f t="shared" si="41"/>
        <v>0.9500000000000014</v>
      </c>
      <c r="G204" s="167">
        <f t="shared" si="34"/>
        <v>0.30490832168217497</v>
      </c>
      <c r="H204" s="167">
        <f t="shared" si="35"/>
        <v>0</v>
      </c>
      <c r="I204" s="167">
        <f t="shared" si="36"/>
        <v>2</v>
      </c>
      <c r="J204" s="156">
        <f t="shared" si="37"/>
        <v>2</v>
      </c>
      <c r="P204" s="166">
        <f t="shared" si="42"/>
        <v>0.9500000000000014</v>
      </c>
      <c r="Q204" s="167">
        <f t="shared" si="43"/>
        <v>0.30490832168217497</v>
      </c>
      <c r="R204" s="167">
        <f t="shared" si="38"/>
        <v>0</v>
      </c>
      <c r="S204" s="167">
        <f t="shared" si="39"/>
        <v>2</v>
      </c>
      <c r="T204" s="156">
        <f t="shared" si="40"/>
        <v>2</v>
      </c>
    </row>
    <row r="205" spans="6:20" ht="16">
      <c r="F205" s="166">
        <f t="shared" si="41"/>
        <v>0.96000000000000141</v>
      </c>
      <c r="G205" s="167">
        <f t="shared" si="34"/>
        <v>0.27161221419254783</v>
      </c>
      <c r="H205" s="167">
        <f t="shared" si="35"/>
        <v>0</v>
      </c>
      <c r="I205" s="167">
        <f t="shared" si="36"/>
        <v>2</v>
      </c>
      <c r="J205" s="156">
        <f t="shared" si="37"/>
        <v>2</v>
      </c>
      <c r="P205" s="166">
        <f t="shared" si="42"/>
        <v>0.96000000000000141</v>
      </c>
      <c r="Q205" s="167">
        <f t="shared" si="43"/>
        <v>0.27161221419254783</v>
      </c>
      <c r="R205" s="167">
        <f t="shared" si="38"/>
        <v>0</v>
      </c>
      <c r="S205" s="167">
        <f t="shared" si="39"/>
        <v>2</v>
      </c>
      <c r="T205" s="156">
        <f t="shared" si="40"/>
        <v>2</v>
      </c>
    </row>
    <row r="206" spans="6:20" ht="16">
      <c r="F206" s="166">
        <f t="shared" si="41"/>
        <v>0.97000000000000142</v>
      </c>
      <c r="G206" s="167">
        <f t="shared" si="34"/>
        <v>0.23318726612992427</v>
      </c>
      <c r="H206" s="167">
        <f t="shared" si="35"/>
        <v>0</v>
      </c>
      <c r="I206" s="167">
        <f t="shared" si="36"/>
        <v>2</v>
      </c>
      <c r="J206" s="156">
        <f t="shared" si="37"/>
        <v>2</v>
      </c>
      <c r="P206" s="166">
        <f t="shared" si="42"/>
        <v>0.97000000000000142</v>
      </c>
      <c r="Q206" s="167">
        <f t="shared" si="43"/>
        <v>0.23318726612992427</v>
      </c>
      <c r="R206" s="167">
        <f t="shared" si="38"/>
        <v>0</v>
      </c>
      <c r="S206" s="167">
        <f t="shared" si="39"/>
        <v>2</v>
      </c>
      <c r="T206" s="156">
        <f t="shared" si="40"/>
        <v>2</v>
      </c>
    </row>
    <row r="207" spans="6:20" ht="16">
      <c r="F207" s="166">
        <f t="shared" si="41"/>
        <v>0.98000000000000143</v>
      </c>
      <c r="G207" s="167">
        <f t="shared" si="34"/>
        <v>0.18648968655330392</v>
      </c>
      <c r="H207" s="167">
        <f t="shared" si="35"/>
        <v>0</v>
      </c>
      <c r="I207" s="167">
        <f t="shared" si="36"/>
        <v>2</v>
      </c>
      <c r="J207" s="156">
        <f t="shared" si="37"/>
        <v>2</v>
      </c>
      <c r="P207" s="166">
        <f t="shared" si="42"/>
        <v>0.98000000000000143</v>
      </c>
      <c r="Q207" s="167">
        <f t="shared" si="43"/>
        <v>0.18648968655330392</v>
      </c>
      <c r="R207" s="167">
        <f t="shared" si="38"/>
        <v>0</v>
      </c>
      <c r="S207" s="167">
        <f t="shared" si="39"/>
        <v>2</v>
      </c>
      <c r="T207" s="156">
        <f t="shared" si="40"/>
        <v>2</v>
      </c>
    </row>
    <row r="208" spans="6:20" ht="16">
      <c r="F208" s="166">
        <f t="shared" si="41"/>
        <v>0.99000000000000143</v>
      </c>
      <c r="G208" s="167">
        <f t="shared" si="34"/>
        <v>0.12239077259084048</v>
      </c>
      <c r="H208" s="167">
        <f t="shared" si="35"/>
        <v>0</v>
      </c>
      <c r="I208" s="167">
        <f t="shared" si="36"/>
        <v>2</v>
      </c>
      <c r="J208" s="156">
        <f t="shared" si="37"/>
        <v>2</v>
      </c>
      <c r="P208" s="166">
        <f t="shared" si="42"/>
        <v>0.99000000000000143</v>
      </c>
      <c r="Q208" s="167">
        <f t="shared" si="43"/>
        <v>0.12239077259084048</v>
      </c>
      <c r="R208" s="167">
        <f t="shared" si="38"/>
        <v>0</v>
      </c>
      <c r="S208" s="167">
        <f t="shared" si="39"/>
        <v>2</v>
      </c>
      <c r="T208" s="156">
        <f t="shared" si="40"/>
        <v>2</v>
      </c>
    </row>
    <row r="209" spans="6:20" ht="16">
      <c r="F209" s="184">
        <f t="shared" si="41"/>
        <v>1.0000000000000013</v>
      </c>
      <c r="G209" s="185">
        <f t="shared" si="34"/>
        <v>0</v>
      </c>
      <c r="H209" s="185">
        <f t="shared" si="35"/>
        <v>0</v>
      </c>
      <c r="I209" s="185">
        <f t="shared" si="36"/>
        <v>2</v>
      </c>
      <c r="J209" s="186">
        <f t="shared" si="37"/>
        <v>2</v>
      </c>
      <c r="P209" s="184">
        <f t="shared" si="42"/>
        <v>1.0000000000000013</v>
      </c>
      <c r="Q209" s="185">
        <f t="shared" si="43"/>
        <v>0</v>
      </c>
      <c r="R209" s="185">
        <f t="shared" si="38"/>
        <v>0</v>
      </c>
      <c r="S209" s="185">
        <f t="shared" si="39"/>
        <v>2</v>
      </c>
      <c r="T209" s="186">
        <f t="shared" si="40"/>
        <v>2</v>
      </c>
    </row>
  </sheetData>
  <sheetProtection sheet="1" objects="1" scenarios="1"/>
  <pageMargins left="0.75" right="0.75" top="1" bottom="1" header="0.5" footer="0.5"/>
  <pageSetup paperSize="8" scale="150" orientation="landscape" horizontalDpi="300" verticalDpi="0" copies="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EB507-59E3-7246-BAF6-1BCAA097155A}">
  <dimension ref="A1"/>
  <sheetViews>
    <sheetView showGridLines="0" workbookViewId="0">
      <selection activeCell="P20" sqref="P20"/>
    </sheetView>
  </sheetViews>
  <sheetFormatPr baseColWidth="10" defaultRowHeight="15"/>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Visibility (Required)</vt:lpstr>
      <vt:lpstr>Visibility (Optional)</vt:lpstr>
      <vt:lpstr>Illumination (VR)</vt:lpstr>
      <vt:lpstr>Illumination (VO)</vt:lpstr>
      <vt:lpstr>Background</vt:lpstr>
      <vt:lpstr>'Visibility (Optional)'!Print_Area</vt:lpstr>
      <vt:lpstr>'Visibility (Required)'!Print_Area</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Dark Nebula</dc:title>
  <dc:subject/>
  <dc:creator>Anton Viola</dc:creator>
  <cp:keywords/>
  <dc:description/>
  <cp:lastModifiedBy>Anton Viola</cp:lastModifiedBy>
  <dcterms:created xsi:type="dcterms:W3CDTF">2009-01-01T15:24:05Z</dcterms:created>
  <dcterms:modified xsi:type="dcterms:W3CDTF">2024-08-09T07:39:36Z</dcterms:modified>
  <cp:category/>
</cp:coreProperties>
</file>