
<file path=[Content_Types].xml><?xml version="1.0" encoding="utf-8"?>
<Types xmlns="http://schemas.openxmlformats.org/package/2006/content-types"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hanssassenburg/Library/CloudStorage/Dropbox/X_Private/20_Astronomy/Morsels/"/>
    </mc:Choice>
  </mc:AlternateContent>
  <xr:revisionPtr revIDLastSave="0" documentId="13_ncr:1_{C7EFC655-DD87-224B-8FDA-E51B6EFB098A}" xr6:coauthVersionLast="47" xr6:coauthVersionMax="47" xr10:uidLastSave="{00000000-0000-0000-0000-000000000000}"/>
  <bookViews>
    <workbookView xWindow="18120" yWindow="3700" windowWidth="33080" windowHeight="23640" xr2:uid="{5604B167-511D-8C41-BB01-DEB117AC2E44}"/>
  </bookViews>
  <sheets>
    <sheet name="Introduction" sheetId="46" r:id="rId1"/>
    <sheet name="Rising, Transit, Setting" sheetId="47" r:id="rId2"/>
    <sheet name="Background" sheetId="50" r:id="rId3"/>
  </sheets>
  <definedNames>
    <definedName name="degrees">{0;90;180;270}</definedName>
    <definedName name="dgrs">{0;90;180;270}</definedName>
    <definedName name="SD" localSheetId="0">'Rising, Transit, Setting'!#REF!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47" l="1"/>
  <c r="C13" i="47"/>
  <c r="C5" i="47" l="1"/>
  <c r="C12" i="47" l="1"/>
  <c r="C6" i="47" l="1"/>
  <c r="C7" i="47" l="1"/>
  <c r="AC105" i="47" l="1"/>
  <c r="AC106" i="47" s="1"/>
  <c r="AC114" i="47" s="1"/>
  <c r="C9" i="47"/>
  <c r="C10" i="47"/>
  <c r="AL110" i="47"/>
  <c r="AK112" i="47"/>
  <c r="AK114" i="47"/>
  <c r="AK111" i="47"/>
  <c r="AL114" i="47"/>
  <c r="AH113" i="47"/>
  <c r="AI114" i="47"/>
  <c r="AC113" i="47"/>
  <c r="AD106" i="47"/>
  <c r="AG111" i="47"/>
  <c r="AI110" i="47"/>
  <c r="AJ114" i="47"/>
  <c r="AM116" i="47"/>
  <c r="AK109" i="47"/>
  <c r="AF113" i="47"/>
  <c r="AH109" i="47"/>
  <c r="AL113" i="47"/>
  <c r="AG114" i="47"/>
  <c r="AM117" i="47"/>
  <c r="AF110" i="47"/>
  <c r="AE111" i="47"/>
  <c r="P105" i="47"/>
  <c r="P106" i="47" s="1"/>
  <c r="C105" i="47"/>
  <c r="C106" i="47" s="1"/>
  <c r="C61" i="47"/>
  <c r="C62" i="47" s="1"/>
  <c r="AI113" i="47" l="1"/>
  <c r="AJ111" i="47"/>
  <c r="AJ115" i="47" s="1"/>
  <c r="AK110" i="47"/>
  <c r="AH114" i="47"/>
  <c r="AK113" i="47"/>
  <c r="AI109" i="47"/>
  <c r="AE114" i="47"/>
  <c r="AE110" i="47"/>
  <c r="AH111" i="47"/>
  <c r="AI111" i="47"/>
  <c r="AI115" i="47" s="1"/>
  <c r="AL111" i="47"/>
  <c r="AL115" i="47" s="1"/>
  <c r="AF109" i="47"/>
  <c r="AL109" i="47"/>
  <c r="AL112" i="47"/>
  <c r="AF111" i="47"/>
  <c r="AF115" i="47" s="1"/>
  <c r="AE109" i="47"/>
  <c r="AJ109" i="47"/>
  <c r="AH110" i="47"/>
  <c r="AE113" i="47"/>
  <c r="AG109" i="47"/>
  <c r="AG149" i="47" s="1"/>
  <c r="AG151" i="47" s="1"/>
  <c r="AC111" i="47"/>
  <c r="AC148" i="47" s="1"/>
  <c r="AJ113" i="47"/>
  <c r="AF114" i="47"/>
  <c r="AJ110" i="47"/>
  <c r="AK115" i="47"/>
  <c r="AE115" i="47"/>
  <c r="AI147" i="47"/>
  <c r="AD111" i="47"/>
  <c r="AD114" i="47"/>
  <c r="AD113" i="47"/>
  <c r="AG147" i="47"/>
  <c r="AG146" i="47"/>
  <c r="AC146" i="47"/>
  <c r="AJ147" i="47"/>
  <c r="AG115" i="47"/>
  <c r="P114" i="47"/>
  <c r="P113" i="47"/>
  <c r="P111" i="47"/>
  <c r="AK147" i="47"/>
  <c r="Y114" i="47"/>
  <c r="X112" i="47"/>
  <c r="V113" i="47"/>
  <c r="X110" i="47"/>
  <c r="Z116" i="47"/>
  <c r="R113" i="47"/>
  <c r="S110" i="47"/>
  <c r="V114" i="47"/>
  <c r="R114" i="47"/>
  <c r="R109" i="47"/>
  <c r="W110" i="47"/>
  <c r="Y109" i="47"/>
  <c r="Q106" i="47"/>
  <c r="U110" i="47"/>
  <c r="Y111" i="47"/>
  <c r="W109" i="47"/>
  <c r="T109" i="47"/>
  <c r="X113" i="47"/>
  <c r="R111" i="47"/>
  <c r="X111" i="47"/>
  <c r="T111" i="47"/>
  <c r="U113" i="47"/>
  <c r="W111" i="47"/>
  <c r="Y113" i="47"/>
  <c r="U109" i="47"/>
  <c r="W114" i="47"/>
  <c r="X109" i="47"/>
  <c r="U111" i="47"/>
  <c r="V109" i="47"/>
  <c r="R110" i="47"/>
  <c r="Y112" i="47"/>
  <c r="S114" i="47"/>
  <c r="V110" i="47"/>
  <c r="W113" i="47"/>
  <c r="S111" i="47"/>
  <c r="S109" i="47"/>
  <c r="Z117" i="47"/>
  <c r="T114" i="47"/>
  <c r="V111" i="47"/>
  <c r="S113" i="47"/>
  <c r="Y110" i="47"/>
  <c r="U114" i="47"/>
  <c r="X114" i="47"/>
  <c r="AH115" i="47" l="1"/>
  <c r="U115" i="47"/>
  <c r="AC115" i="47"/>
  <c r="AG148" i="47" s="1"/>
  <c r="AG150" i="47"/>
  <c r="P115" i="47"/>
  <c r="AD148" i="47"/>
  <c r="AD115" i="47"/>
  <c r="AD146" i="47"/>
  <c r="Y115" i="47"/>
  <c r="X147" i="47"/>
  <c r="W147" i="47"/>
  <c r="W115" i="47"/>
  <c r="Q111" i="47"/>
  <c r="Q113" i="47"/>
  <c r="Q114" i="47"/>
  <c r="V147" i="47"/>
  <c r="X115" i="47"/>
  <c r="V115" i="47"/>
  <c r="T147" i="47"/>
  <c r="T115" i="47"/>
  <c r="S115" i="47"/>
  <c r="R115" i="47"/>
  <c r="T149" i="47"/>
  <c r="T151" i="47" s="1"/>
  <c r="C100" i="47"/>
  <c r="AJ153" i="47" l="1"/>
  <c r="AI153" i="47"/>
  <c r="V122" i="47"/>
  <c r="V123" i="47" s="1"/>
  <c r="V124" i="47" s="1"/>
  <c r="V125" i="47" s="1"/>
  <c r="V126" i="47" s="1"/>
  <c r="V127" i="47" s="1"/>
  <c r="V132" i="47" s="1"/>
  <c r="AF122" i="47"/>
  <c r="AF123" i="47" s="1"/>
  <c r="AF124" i="47" s="1"/>
  <c r="AF125" i="47" s="1"/>
  <c r="AF126" i="47" s="1"/>
  <c r="AE122" i="47"/>
  <c r="AE123" i="47" s="1"/>
  <c r="AE124" i="47" s="1"/>
  <c r="AE125" i="47" s="1"/>
  <c r="AE126" i="47" s="1"/>
  <c r="AH122" i="47"/>
  <c r="AH123" i="47" s="1"/>
  <c r="AH124" i="47" s="1"/>
  <c r="AH125" i="47" s="1"/>
  <c r="AH126" i="47" s="1"/>
  <c r="AL122" i="47"/>
  <c r="AL123" i="47" s="1"/>
  <c r="AL124" i="47" s="1"/>
  <c r="AL125" i="47" s="1"/>
  <c r="AL126" i="47" s="1"/>
  <c r="AL127" i="47" s="1"/>
  <c r="AL132" i="47" s="1"/>
  <c r="AC122" i="47"/>
  <c r="AC123" i="47" s="1"/>
  <c r="AC124" i="47" s="1"/>
  <c r="AC125" i="47" s="1"/>
  <c r="AC126" i="47" s="1"/>
  <c r="AC127" i="47" s="1"/>
  <c r="AC132" i="47" s="1"/>
  <c r="AK122" i="47"/>
  <c r="AK123" i="47" s="1"/>
  <c r="AK124" i="47" s="1"/>
  <c r="AK125" i="47" s="1"/>
  <c r="AK126" i="47" s="1"/>
  <c r="AK127" i="47" s="1"/>
  <c r="AK132" i="47" s="1"/>
  <c r="AI122" i="47"/>
  <c r="AI123" i="47" s="1"/>
  <c r="AI124" i="47" s="1"/>
  <c r="AI125" i="47" s="1"/>
  <c r="AI126" i="47" s="1"/>
  <c r="AJ122" i="47"/>
  <c r="AJ123" i="47" s="1"/>
  <c r="AJ124" i="47" s="1"/>
  <c r="AJ125" i="47" s="1"/>
  <c r="AJ126" i="47" s="1"/>
  <c r="AJ127" i="47" s="1"/>
  <c r="AJ132" i="47" s="1"/>
  <c r="AG122" i="47"/>
  <c r="AG123" i="47" s="1"/>
  <c r="AG124" i="47" s="1"/>
  <c r="AG125" i="47" s="1"/>
  <c r="AG126" i="47" s="1"/>
  <c r="AM135" i="47"/>
  <c r="AM158" i="47" s="1"/>
  <c r="AM157" i="47"/>
  <c r="AG153" i="47"/>
  <c r="AK153" i="47"/>
  <c r="AG155" i="47"/>
  <c r="AD122" i="47"/>
  <c r="AD123" i="47" s="1"/>
  <c r="AD124" i="47" s="1"/>
  <c r="AD125" i="47" s="1"/>
  <c r="AD126" i="47" s="1"/>
  <c r="AD127" i="47" s="1"/>
  <c r="AJ154" i="47"/>
  <c r="AG154" i="47"/>
  <c r="Z135" i="47"/>
  <c r="Z158" i="47" s="1"/>
  <c r="Z157" i="47"/>
  <c r="W153" i="47"/>
  <c r="X153" i="47"/>
  <c r="V153" i="47"/>
  <c r="W154" i="47"/>
  <c r="Y122" i="47"/>
  <c r="Y123" i="47" s="1"/>
  <c r="Y124" i="47" s="1"/>
  <c r="Y125" i="47" s="1"/>
  <c r="Y126" i="47" s="1"/>
  <c r="Y127" i="47" s="1"/>
  <c r="Y133" i="47" s="1"/>
  <c r="R122" i="47"/>
  <c r="R123" i="47" s="1"/>
  <c r="R124" i="47" s="1"/>
  <c r="R125" i="47" s="1"/>
  <c r="R126" i="47" s="1"/>
  <c r="Q122" i="47"/>
  <c r="Q123" i="47" s="1"/>
  <c r="Q124" i="47" s="1"/>
  <c r="Q125" i="47" s="1"/>
  <c r="Q126" i="47" s="1"/>
  <c r="Q127" i="47" s="1"/>
  <c r="Q132" i="47" s="1"/>
  <c r="Q146" i="47"/>
  <c r="U122" i="47"/>
  <c r="U123" i="47" s="1"/>
  <c r="U124" i="47" s="1"/>
  <c r="U125" i="47" s="1"/>
  <c r="U126" i="47" s="1"/>
  <c r="X122" i="47"/>
  <c r="X123" i="47" s="1"/>
  <c r="X124" i="47" s="1"/>
  <c r="X125" i="47" s="1"/>
  <c r="X126" i="47" s="1"/>
  <c r="X127" i="47" s="1"/>
  <c r="X132" i="47" s="1"/>
  <c r="T122" i="47"/>
  <c r="T123" i="47" s="1"/>
  <c r="T124" i="47" s="1"/>
  <c r="T125" i="47" s="1"/>
  <c r="T126" i="47" s="1"/>
  <c r="Q115" i="47"/>
  <c r="Q148" i="47"/>
  <c r="W122" i="47"/>
  <c r="W123" i="47" s="1"/>
  <c r="W124" i="47" s="1"/>
  <c r="W125" i="47" s="1"/>
  <c r="W126" i="47" s="1"/>
  <c r="S122" i="47"/>
  <c r="S123" i="47" s="1"/>
  <c r="S124" i="47" s="1"/>
  <c r="S125" i="47" s="1"/>
  <c r="S126" i="47" s="1"/>
  <c r="AL133" i="47" l="1"/>
  <c r="AL135" i="47" s="1"/>
  <c r="AM165" i="47"/>
  <c r="AM174" i="47" s="1"/>
  <c r="AI127" i="47"/>
  <c r="AH127" i="47"/>
  <c r="AE127" i="47"/>
  <c r="AF127" i="47"/>
  <c r="AG127" i="47"/>
  <c r="AC133" i="47"/>
  <c r="AC134" i="47" s="1"/>
  <c r="AJ133" i="47"/>
  <c r="AJ135" i="47" s="1"/>
  <c r="AK133" i="47"/>
  <c r="AK134" i="47" s="1"/>
  <c r="V133" i="47"/>
  <c r="V134" i="47" s="1"/>
  <c r="AD132" i="47"/>
  <c r="AD133" i="47"/>
  <c r="Z165" i="47"/>
  <c r="Z174" i="47" s="1"/>
  <c r="S127" i="47"/>
  <c r="U127" i="47"/>
  <c r="W127" i="47"/>
  <c r="R127" i="47"/>
  <c r="Q133" i="47"/>
  <c r="Q134" i="47" s="1"/>
  <c r="Y132" i="47"/>
  <c r="X133" i="47"/>
  <c r="X135" i="47" s="1"/>
  <c r="T127" i="47"/>
  <c r="AL134" i="47" l="1"/>
  <c r="AL136" i="47" s="1"/>
  <c r="AL158" i="47"/>
  <c r="AC135" i="47"/>
  <c r="AC170" i="47" s="1"/>
  <c r="AH132" i="47"/>
  <c r="AH133" i="47"/>
  <c r="AH134" i="47" s="1"/>
  <c r="AG132" i="47"/>
  <c r="AG133" i="47"/>
  <c r="AE132" i="47"/>
  <c r="AE133" i="47"/>
  <c r="AC136" i="47"/>
  <c r="AC138" i="47"/>
  <c r="AC137" i="47"/>
  <c r="AC171" i="47"/>
  <c r="AJ158" i="47"/>
  <c r="AI133" i="47"/>
  <c r="AI132" i="47"/>
  <c r="AF132" i="47"/>
  <c r="AF133" i="47"/>
  <c r="AK135" i="47"/>
  <c r="AJ134" i="47"/>
  <c r="AJ137" i="47" s="1"/>
  <c r="V135" i="47"/>
  <c r="V138" i="47" s="1"/>
  <c r="AD134" i="47"/>
  <c r="AD135" i="47"/>
  <c r="AC141" i="47"/>
  <c r="C114" i="47"/>
  <c r="C111" i="47"/>
  <c r="C113" i="47"/>
  <c r="AM156" i="47"/>
  <c r="X158" i="47"/>
  <c r="W132" i="47"/>
  <c r="W133" i="47"/>
  <c r="Y135" i="47"/>
  <c r="Y134" i="47"/>
  <c r="U132" i="47"/>
  <c r="U133" i="47"/>
  <c r="S133" i="47"/>
  <c r="S132" i="47"/>
  <c r="T133" i="47"/>
  <c r="T132" i="47"/>
  <c r="R132" i="47"/>
  <c r="R133" i="47"/>
  <c r="Q135" i="47"/>
  <c r="X134" i="47"/>
  <c r="X136" i="47" s="1"/>
  <c r="K114" i="47"/>
  <c r="H114" i="47"/>
  <c r="F110" i="47"/>
  <c r="P141" i="47"/>
  <c r="H110" i="47"/>
  <c r="K110" i="47"/>
  <c r="K109" i="47"/>
  <c r="G111" i="47"/>
  <c r="G109" i="47"/>
  <c r="E114" i="47"/>
  <c r="I113" i="47"/>
  <c r="I111" i="47"/>
  <c r="F113" i="47"/>
  <c r="I109" i="47"/>
  <c r="K113" i="47"/>
  <c r="H113" i="47"/>
  <c r="F109" i="47"/>
  <c r="E111" i="47"/>
  <c r="K111" i="47"/>
  <c r="H109" i="47"/>
  <c r="M117" i="47"/>
  <c r="J110" i="47"/>
  <c r="J109" i="47"/>
  <c r="I114" i="47"/>
  <c r="E113" i="47"/>
  <c r="F114" i="47"/>
  <c r="I110" i="47"/>
  <c r="F111" i="47"/>
  <c r="K112" i="47"/>
  <c r="H111" i="47"/>
  <c r="E110" i="47"/>
  <c r="E109" i="47"/>
  <c r="G114" i="47"/>
  <c r="G122" i="47" s="1"/>
  <c r="J114" i="47"/>
  <c r="J113" i="47"/>
  <c r="J111" i="47"/>
  <c r="M116" i="47"/>
  <c r="L114" i="47"/>
  <c r="L113" i="47"/>
  <c r="L112" i="47"/>
  <c r="L111" i="47"/>
  <c r="L110" i="47"/>
  <c r="L109" i="47"/>
  <c r="Z156" i="47"/>
  <c r="D106" i="47"/>
  <c r="AD141" i="47" s="1"/>
  <c r="C141" i="47"/>
  <c r="AF134" i="47" l="1"/>
  <c r="AL138" i="47"/>
  <c r="AL137" i="47"/>
  <c r="AL139" i="47" s="1"/>
  <c r="AL156" i="47" s="1"/>
  <c r="R135" i="47"/>
  <c r="AJ138" i="47"/>
  <c r="AJ136" i="47"/>
  <c r="AJ139" i="47" s="1"/>
  <c r="AJ156" i="47" s="1"/>
  <c r="AI134" i="47"/>
  <c r="AI135" i="47"/>
  <c r="AI158" i="47" s="1"/>
  <c r="AJ140" i="47"/>
  <c r="AJ157" i="47" s="1"/>
  <c r="AJ165" i="47" s="1"/>
  <c r="AJ174" i="47" s="1"/>
  <c r="AK158" i="47"/>
  <c r="AK138" i="47"/>
  <c r="AK137" i="47"/>
  <c r="AK136" i="47"/>
  <c r="AE135" i="47"/>
  <c r="AE134" i="47"/>
  <c r="V158" i="47"/>
  <c r="AC179" i="47"/>
  <c r="AC172" i="47"/>
  <c r="AG134" i="47"/>
  <c r="AG135" i="47"/>
  <c r="V136" i="47"/>
  <c r="V137" i="47"/>
  <c r="AF135" i="47"/>
  <c r="AH135" i="47"/>
  <c r="AM163" i="47"/>
  <c r="AM172" i="47" s="1"/>
  <c r="AM179" i="47" s="1"/>
  <c r="AM164" i="47"/>
  <c r="AM173" i="47" s="1"/>
  <c r="Q170" i="47"/>
  <c r="Q172" i="47" s="1"/>
  <c r="Q171" i="47"/>
  <c r="W135" i="47"/>
  <c r="W158" i="47" s="1"/>
  <c r="AD137" i="47"/>
  <c r="AD138" i="47"/>
  <c r="AD170" i="47"/>
  <c r="AD171" i="47"/>
  <c r="AD136" i="47"/>
  <c r="AC180" i="47"/>
  <c r="AC181" i="47"/>
  <c r="AC173" i="47"/>
  <c r="AC174" i="47"/>
  <c r="Q136" i="47"/>
  <c r="Q138" i="47"/>
  <c r="Q137" i="47"/>
  <c r="S135" i="47"/>
  <c r="S134" i="47"/>
  <c r="X137" i="47"/>
  <c r="U135" i="47"/>
  <c r="U134" i="47"/>
  <c r="Y138" i="47"/>
  <c r="Y137" i="47"/>
  <c r="Y136" i="47"/>
  <c r="Y158" i="47"/>
  <c r="X138" i="47"/>
  <c r="R134" i="47"/>
  <c r="R138" i="47" s="1"/>
  <c r="R158" i="47"/>
  <c r="T135" i="47"/>
  <c r="T134" i="47"/>
  <c r="W134" i="47"/>
  <c r="P122" i="47"/>
  <c r="P123" i="47" s="1"/>
  <c r="P124" i="47" s="1"/>
  <c r="P125" i="47" s="1"/>
  <c r="P126" i="47" s="1"/>
  <c r="T146" i="47"/>
  <c r="P146" i="47"/>
  <c r="T148" i="47"/>
  <c r="P148" i="47"/>
  <c r="T150" i="47" s="1"/>
  <c r="D114" i="47"/>
  <c r="D146" i="47" s="1"/>
  <c r="D113" i="47"/>
  <c r="D111" i="47"/>
  <c r="Q141" i="47"/>
  <c r="Z164" i="47"/>
  <c r="Z163" i="47"/>
  <c r="L122" i="47"/>
  <c r="L123" i="47" s="1"/>
  <c r="L124" i="47" s="1"/>
  <c r="L125" i="47" s="1"/>
  <c r="L126" i="47" s="1"/>
  <c r="L127" i="47" s="1"/>
  <c r="L133" i="47" s="1"/>
  <c r="G123" i="47"/>
  <c r="G124" i="47" s="1"/>
  <c r="C122" i="47"/>
  <c r="F122" i="47"/>
  <c r="H122" i="47"/>
  <c r="K122" i="47"/>
  <c r="J122" i="47"/>
  <c r="E122" i="47"/>
  <c r="E123" i="47" s="1"/>
  <c r="E124" i="47" s="1"/>
  <c r="E125" i="47" s="1"/>
  <c r="E126" i="47" s="1"/>
  <c r="E127" i="47" s="1"/>
  <c r="E132" i="47" s="1"/>
  <c r="I122" i="47"/>
  <c r="C146" i="47"/>
  <c r="J147" i="47"/>
  <c r="M135" i="47"/>
  <c r="M158" i="47" s="1"/>
  <c r="M157" i="47"/>
  <c r="M156" i="47"/>
  <c r="I115" i="47"/>
  <c r="J115" i="47"/>
  <c r="E115" i="47"/>
  <c r="F115" i="47"/>
  <c r="L115" i="47"/>
  <c r="H115" i="47"/>
  <c r="G149" i="47"/>
  <c r="G151" i="47" s="1"/>
  <c r="I147" i="47"/>
  <c r="C148" i="47"/>
  <c r="C115" i="47"/>
  <c r="G148" i="47" s="1"/>
  <c r="G147" i="47"/>
  <c r="G115" i="47"/>
  <c r="D141" i="47"/>
  <c r="G146" i="47"/>
  <c r="K115" i="47"/>
  <c r="K147" i="47"/>
  <c r="AL140" i="47" l="1"/>
  <c r="AL157" i="47" s="1"/>
  <c r="AL165" i="47" s="1"/>
  <c r="AL174" i="47" s="1"/>
  <c r="AI137" i="47"/>
  <c r="AI138" i="47"/>
  <c r="V140" i="47"/>
  <c r="V157" i="47" s="1"/>
  <c r="V139" i="47"/>
  <c r="V156" i="47" s="1"/>
  <c r="V163" i="47" s="1"/>
  <c r="D148" i="47"/>
  <c r="D122" i="47"/>
  <c r="D123" i="47" s="1"/>
  <c r="D124" i="47" s="1"/>
  <c r="AJ164" i="47"/>
  <c r="AJ173" i="47" s="1"/>
  <c r="AJ181" i="47" s="1"/>
  <c r="AI136" i="47"/>
  <c r="AI140" i="47" s="1"/>
  <c r="AI157" i="47" s="1"/>
  <c r="AI165" i="47" s="1"/>
  <c r="AI174" i="47" s="1"/>
  <c r="AJ180" i="47"/>
  <c r="AE137" i="47"/>
  <c r="AE158" i="47"/>
  <c r="AE136" i="47"/>
  <c r="AE138" i="47"/>
  <c r="AK140" i="47"/>
  <c r="AK157" i="47" s="1"/>
  <c r="AK165" i="47" s="1"/>
  <c r="AK174" i="47" s="1"/>
  <c r="AK139" i="47"/>
  <c r="AK156" i="47" s="1"/>
  <c r="AF136" i="47"/>
  <c r="AF137" i="47"/>
  <c r="AF138" i="47"/>
  <c r="AF158" i="47"/>
  <c r="AH136" i="47"/>
  <c r="AH137" i="47"/>
  <c r="AH158" i="47"/>
  <c r="AH138" i="47"/>
  <c r="V165" i="47"/>
  <c r="V174" i="47" s="1"/>
  <c r="AG136" i="47"/>
  <c r="AG137" i="47"/>
  <c r="AG158" i="47"/>
  <c r="AG138" i="47"/>
  <c r="AJ163" i="47"/>
  <c r="AJ172" i="47" s="1"/>
  <c r="AJ179" i="47" s="1"/>
  <c r="Q173" i="47"/>
  <c r="Q174" i="47"/>
  <c r="Q181" i="47"/>
  <c r="Q180" i="47"/>
  <c r="X140" i="47"/>
  <c r="X157" i="47" s="1"/>
  <c r="X165" i="47" s="1"/>
  <c r="X174" i="47" s="1"/>
  <c r="AM181" i="47"/>
  <c r="AM180" i="47"/>
  <c r="AD174" i="47"/>
  <c r="AD173" i="47"/>
  <c r="AD180" i="47"/>
  <c r="AD181" i="47"/>
  <c r="AC185" i="47"/>
  <c r="AC186" i="47" s="1"/>
  <c r="H50" i="47" s="1"/>
  <c r="AC187" i="47"/>
  <c r="AC182" i="47"/>
  <c r="W138" i="47"/>
  <c r="R137" i="47"/>
  <c r="AD179" i="47"/>
  <c r="AD172" i="47"/>
  <c r="R136" i="47"/>
  <c r="T138" i="47"/>
  <c r="T136" i="47"/>
  <c r="T137" i="47"/>
  <c r="Q179" i="47"/>
  <c r="S158" i="47"/>
  <c r="S138" i="47"/>
  <c r="S136" i="47"/>
  <c r="S137" i="47"/>
  <c r="W137" i="47"/>
  <c r="U137" i="47"/>
  <c r="U158" i="47"/>
  <c r="U138" i="47"/>
  <c r="U136" i="47"/>
  <c r="W136" i="47"/>
  <c r="Y140" i="47"/>
  <c r="Y157" i="47" s="1"/>
  <c r="Y165" i="47" s="1"/>
  <c r="Y174" i="47" s="1"/>
  <c r="Y139" i="47"/>
  <c r="Y156" i="47" s="1"/>
  <c r="X139" i="47"/>
  <c r="X156" i="47" s="1"/>
  <c r="T155" i="47"/>
  <c r="T158" i="47" s="1"/>
  <c r="T153" i="47"/>
  <c r="T154" i="47"/>
  <c r="P127" i="47"/>
  <c r="L132" i="47"/>
  <c r="L134" i="47" s="1"/>
  <c r="K123" i="47"/>
  <c r="K124" i="47" s="1"/>
  <c r="H123" i="47"/>
  <c r="H124" i="47" s="1"/>
  <c r="F123" i="47"/>
  <c r="F124" i="47" s="1"/>
  <c r="C123" i="47"/>
  <c r="C124" i="47" s="1"/>
  <c r="J123" i="47"/>
  <c r="J124" i="47" s="1"/>
  <c r="I123" i="47"/>
  <c r="I124" i="47" s="1"/>
  <c r="G125" i="47"/>
  <c r="G126" i="47" s="1"/>
  <c r="E133" i="47"/>
  <c r="E135" i="47" s="1"/>
  <c r="M163" i="47"/>
  <c r="M164" i="47"/>
  <c r="M165" i="47"/>
  <c r="M174" i="47" s="1"/>
  <c r="I153" i="47"/>
  <c r="J154" i="47"/>
  <c r="J153" i="47"/>
  <c r="K153" i="47"/>
  <c r="D115" i="47"/>
  <c r="G150" i="47"/>
  <c r="G154" i="47" s="1"/>
  <c r="V164" i="47" l="1"/>
  <c r="AL163" i="47"/>
  <c r="AL172" i="47" s="1"/>
  <c r="AL179" i="47" s="1"/>
  <c r="AL164" i="47"/>
  <c r="AL173" i="47" s="1"/>
  <c r="AM187" i="47"/>
  <c r="AI139" i="47"/>
  <c r="AI156" i="47" s="1"/>
  <c r="AF140" i="47"/>
  <c r="AF157" i="47" s="1"/>
  <c r="AF165" i="47" s="1"/>
  <c r="AF174" i="47" s="1"/>
  <c r="AF139" i="47"/>
  <c r="AF156" i="47" s="1"/>
  <c r="AK164" i="47"/>
  <c r="AK173" i="47" s="1"/>
  <c r="AK163" i="47"/>
  <c r="AK172" i="47" s="1"/>
  <c r="AK179" i="47" s="1"/>
  <c r="AH140" i="47"/>
  <c r="AH157" i="47" s="1"/>
  <c r="AH165" i="47" s="1"/>
  <c r="AH174" i="47" s="1"/>
  <c r="AH139" i="47"/>
  <c r="AH156" i="47" s="1"/>
  <c r="AJ187" i="47"/>
  <c r="AJ185" i="47"/>
  <c r="AJ186" i="47" s="1"/>
  <c r="H56" i="47" s="1"/>
  <c r="AE140" i="47"/>
  <c r="AE157" i="47" s="1"/>
  <c r="AE165" i="47" s="1"/>
  <c r="AE174" i="47" s="1"/>
  <c r="AE139" i="47"/>
  <c r="AE156" i="47" s="1"/>
  <c r="AG140" i="47"/>
  <c r="AG157" i="47" s="1"/>
  <c r="AG165" i="47" s="1"/>
  <c r="AG174" i="47" s="1"/>
  <c r="AG139" i="47"/>
  <c r="AG156" i="47" s="1"/>
  <c r="AJ182" i="47"/>
  <c r="L135" i="47"/>
  <c r="L137" i="47" s="1"/>
  <c r="R139" i="47"/>
  <c r="R156" i="47" s="1"/>
  <c r="AM185" i="47"/>
  <c r="AM186" i="47" s="1"/>
  <c r="H59" i="47" s="1"/>
  <c r="AM182" i="47"/>
  <c r="AC184" i="47"/>
  <c r="G50" i="47" s="1"/>
  <c r="AC183" i="47"/>
  <c r="Y163" i="47"/>
  <c r="R140" i="47"/>
  <c r="R157" i="47" s="1"/>
  <c r="R165" i="47" s="1"/>
  <c r="R174" i="47" s="1"/>
  <c r="AD187" i="47"/>
  <c r="AD182" i="47"/>
  <c r="AD185" i="47"/>
  <c r="AD186" i="47" s="1"/>
  <c r="S140" i="47"/>
  <c r="S157" i="47" s="1"/>
  <c r="S165" i="47" s="1"/>
  <c r="S174" i="47" s="1"/>
  <c r="S139" i="47"/>
  <c r="S156" i="47" s="1"/>
  <c r="Y164" i="47"/>
  <c r="U139" i="47"/>
  <c r="U156" i="47" s="1"/>
  <c r="U140" i="47"/>
  <c r="U157" i="47" s="1"/>
  <c r="U165" i="47" s="1"/>
  <c r="U174" i="47" s="1"/>
  <c r="W139" i="47"/>
  <c r="W156" i="47" s="1"/>
  <c r="W140" i="47"/>
  <c r="W157" i="47" s="1"/>
  <c r="W165" i="47" s="1"/>
  <c r="W174" i="47" s="1"/>
  <c r="X163" i="47"/>
  <c r="X164" i="47"/>
  <c r="T139" i="47"/>
  <c r="T156" i="47" s="1"/>
  <c r="T140" i="47"/>
  <c r="T157" i="47" s="1"/>
  <c r="T165" i="47" s="1"/>
  <c r="T174" i="47" s="1"/>
  <c r="P132" i="47"/>
  <c r="P133" i="47"/>
  <c r="Q187" i="47"/>
  <c r="Q185" i="47"/>
  <c r="Q186" i="47" s="1"/>
  <c r="Q182" i="47"/>
  <c r="G127" i="47"/>
  <c r="G133" i="47" s="1"/>
  <c r="E134" i="47"/>
  <c r="E136" i="47" s="1"/>
  <c r="F125" i="47"/>
  <c r="F126" i="47" s="1"/>
  <c r="J125" i="47"/>
  <c r="J126" i="47" s="1"/>
  <c r="D125" i="47"/>
  <c r="D126" i="47" s="1"/>
  <c r="H125" i="47"/>
  <c r="H126" i="47" s="1"/>
  <c r="I125" i="47"/>
  <c r="I126" i="47" s="1"/>
  <c r="C125" i="47"/>
  <c r="C126" i="47" s="1"/>
  <c r="K125" i="47"/>
  <c r="K126" i="47" s="1"/>
  <c r="G155" i="47"/>
  <c r="G153" i="47"/>
  <c r="E158" i="47"/>
  <c r="AL181" i="47" l="1"/>
  <c r="AL180" i="47"/>
  <c r="AL185" i="47" s="1"/>
  <c r="AL186" i="47" s="1"/>
  <c r="H58" i="47" s="1"/>
  <c r="P134" i="47"/>
  <c r="AH164" i="47"/>
  <c r="AH173" i="47" s="1"/>
  <c r="AH180" i="47" s="1"/>
  <c r="S164" i="47"/>
  <c r="AH163" i="47"/>
  <c r="AH172" i="47" s="1"/>
  <c r="AH179" i="47" s="1"/>
  <c r="AF164" i="47"/>
  <c r="AF173" i="47" s="1"/>
  <c r="AF180" i="47" s="1"/>
  <c r="L136" i="47"/>
  <c r="L139" i="47" s="1"/>
  <c r="L156" i="47" s="1"/>
  <c r="L158" i="47"/>
  <c r="L138" i="47"/>
  <c r="AE164" i="47"/>
  <c r="AE173" i="47" s="1"/>
  <c r="AE181" i="47" s="1"/>
  <c r="G132" i="47"/>
  <c r="G135" i="47" s="1"/>
  <c r="AI163" i="47"/>
  <c r="AI172" i="47" s="1"/>
  <c r="AI179" i="47" s="1"/>
  <c r="AI164" i="47"/>
  <c r="AI173" i="47" s="1"/>
  <c r="AK180" i="47"/>
  <c r="AK181" i="47"/>
  <c r="AE163" i="47"/>
  <c r="AE172" i="47" s="1"/>
  <c r="AE179" i="47" s="1"/>
  <c r="AJ183" i="47"/>
  <c r="AJ184" i="47"/>
  <c r="G56" i="47" s="1"/>
  <c r="AF163" i="47"/>
  <c r="AF172" i="47" s="1"/>
  <c r="AF179" i="47" s="1"/>
  <c r="AG164" i="47"/>
  <c r="AG163" i="47"/>
  <c r="R164" i="47"/>
  <c r="S163" i="47"/>
  <c r="AD184" i="47"/>
  <c r="AD183" i="47"/>
  <c r="AM184" i="47"/>
  <c r="G59" i="47" s="1"/>
  <c r="AM183" i="47"/>
  <c r="R163" i="47"/>
  <c r="T163" i="47"/>
  <c r="T179" i="47" s="1"/>
  <c r="T164" i="47"/>
  <c r="U163" i="47"/>
  <c r="U164" i="47"/>
  <c r="W163" i="47"/>
  <c r="W164" i="47"/>
  <c r="E138" i="47"/>
  <c r="E137" i="47"/>
  <c r="Q183" i="47"/>
  <c r="Q184" i="47"/>
  <c r="P135" i="47"/>
  <c r="K127" i="47"/>
  <c r="K132" i="47" s="1"/>
  <c r="I127" i="47"/>
  <c r="I132" i="47" s="1"/>
  <c r="C127" i="47"/>
  <c r="C132" i="47" s="1"/>
  <c r="D127" i="47"/>
  <c r="D132" i="47" s="1"/>
  <c r="H127" i="47"/>
  <c r="H132" i="47" s="1"/>
  <c r="F127" i="47"/>
  <c r="F132" i="47" s="1"/>
  <c r="J127" i="47"/>
  <c r="J133" i="47" s="1"/>
  <c r="AL182" i="47" l="1"/>
  <c r="E140" i="47"/>
  <c r="E157" i="47" s="1"/>
  <c r="AL187" i="47"/>
  <c r="AL183" i="47"/>
  <c r="AL184" i="47"/>
  <c r="G58" i="47" s="1"/>
  <c r="AF181" i="47"/>
  <c r="AF185" i="47" s="1"/>
  <c r="AF186" i="47" s="1"/>
  <c r="H52" i="47" s="1"/>
  <c r="AE180" i="47"/>
  <c r="AE182" i="47" s="1"/>
  <c r="AH182" i="47"/>
  <c r="AH184" i="47" s="1"/>
  <c r="G54" i="47" s="1"/>
  <c r="AH181" i="47"/>
  <c r="AH187" i="47" s="1"/>
  <c r="L140" i="47"/>
  <c r="L157" i="47" s="1"/>
  <c r="L165" i="47" s="1"/>
  <c r="L174" i="47" s="1"/>
  <c r="G134" i="47"/>
  <c r="G136" i="47" s="1"/>
  <c r="AK185" i="47"/>
  <c r="AK186" i="47" s="1"/>
  <c r="H57" i="47" s="1"/>
  <c r="AK187" i="47"/>
  <c r="AI180" i="47"/>
  <c r="AI181" i="47"/>
  <c r="AG172" i="47"/>
  <c r="AG179" i="47"/>
  <c r="AK182" i="47"/>
  <c r="AG173" i="47"/>
  <c r="AG180" i="47"/>
  <c r="AG181" i="47"/>
  <c r="AF182" i="47"/>
  <c r="E139" i="47"/>
  <c r="E156" i="47" s="1"/>
  <c r="E163" i="47" s="1"/>
  <c r="P171" i="47"/>
  <c r="T173" i="47" s="1"/>
  <c r="P170" i="47"/>
  <c r="T172" i="47" s="1"/>
  <c r="T181" i="47"/>
  <c r="T180" i="47"/>
  <c r="C133" i="47"/>
  <c r="C134" i="47" s="1"/>
  <c r="P136" i="47"/>
  <c r="P137" i="47"/>
  <c r="P138" i="47"/>
  <c r="K133" i="47"/>
  <c r="K134" i="47" s="1"/>
  <c r="H133" i="47"/>
  <c r="H134" i="47" s="1"/>
  <c r="F133" i="47"/>
  <c r="F135" i="47" s="1"/>
  <c r="J132" i="47"/>
  <c r="J134" i="47" s="1"/>
  <c r="D133" i="47"/>
  <c r="D134" i="47" s="1"/>
  <c r="I133" i="47"/>
  <c r="I135" i="47" s="1"/>
  <c r="I158" i="47" s="1"/>
  <c r="G158" i="47"/>
  <c r="E165" i="47"/>
  <c r="E174" i="47" s="1"/>
  <c r="AH183" i="47" l="1"/>
  <c r="AH185" i="47"/>
  <c r="AH186" i="47" s="1"/>
  <c r="H54" i="47" s="1"/>
  <c r="AF187" i="47"/>
  <c r="G137" i="47"/>
  <c r="G138" i="47"/>
  <c r="AE187" i="47"/>
  <c r="AE185" i="47"/>
  <c r="AE186" i="47" s="1"/>
  <c r="H51" i="47" s="1"/>
  <c r="T185" i="47"/>
  <c r="T186" i="47" s="1"/>
  <c r="F53" i="47" s="1"/>
  <c r="J53" i="47" s="1"/>
  <c r="K53" i="47" s="1"/>
  <c r="L164" i="47"/>
  <c r="T182" i="47"/>
  <c r="T183" i="47" s="1"/>
  <c r="L163" i="47"/>
  <c r="T187" i="47"/>
  <c r="AI182" i="47"/>
  <c r="AI187" i="47"/>
  <c r="AI185" i="47"/>
  <c r="AI186" i="47" s="1"/>
  <c r="H55" i="47" s="1"/>
  <c r="E164" i="47"/>
  <c r="AF183" i="47"/>
  <c r="AF184" i="47"/>
  <c r="G52" i="47" s="1"/>
  <c r="AE184" i="47"/>
  <c r="G51" i="47" s="1"/>
  <c r="AE183" i="47"/>
  <c r="AK184" i="47"/>
  <c r="G57" i="47" s="1"/>
  <c r="AK183" i="47"/>
  <c r="AG185" i="47"/>
  <c r="AG186" i="47" s="1"/>
  <c r="H53" i="47" s="1"/>
  <c r="AG187" i="47"/>
  <c r="AG182" i="47"/>
  <c r="C135" i="47"/>
  <c r="C136" i="47" s="1"/>
  <c r="P172" i="47"/>
  <c r="X172" i="47"/>
  <c r="W172" i="47"/>
  <c r="V172" i="47"/>
  <c r="U172" i="47"/>
  <c r="S172" i="47"/>
  <c r="Z172" i="47"/>
  <c r="R172" i="47"/>
  <c r="Y172" i="47"/>
  <c r="U173" i="47"/>
  <c r="P181" i="47"/>
  <c r="P174" i="47"/>
  <c r="Z173" i="47"/>
  <c r="Y173" i="47"/>
  <c r="X173" i="47"/>
  <c r="P173" i="47"/>
  <c r="P180" i="47"/>
  <c r="W173" i="47"/>
  <c r="V173" i="47"/>
  <c r="R173" i="47"/>
  <c r="S173" i="47"/>
  <c r="H135" i="47"/>
  <c r="H136" i="47" s="1"/>
  <c r="K135" i="47"/>
  <c r="K136" i="47" s="1"/>
  <c r="F134" i="47"/>
  <c r="F138" i="47" s="1"/>
  <c r="P179" i="47"/>
  <c r="J135" i="47"/>
  <c r="J158" i="47" s="1"/>
  <c r="D135" i="47"/>
  <c r="D137" i="47" s="1"/>
  <c r="I134" i="47"/>
  <c r="I138" i="47" s="1"/>
  <c r="F158" i="47"/>
  <c r="G140" i="47"/>
  <c r="G157" i="47" s="1"/>
  <c r="G165" i="47" s="1"/>
  <c r="G174" i="47" s="1"/>
  <c r="G139" i="47"/>
  <c r="G156" i="47" s="1"/>
  <c r="T184" i="47" l="1"/>
  <c r="E53" i="47" s="1"/>
  <c r="F136" i="47"/>
  <c r="C170" i="47"/>
  <c r="E172" i="47" s="1"/>
  <c r="E179" i="47" s="1"/>
  <c r="C171" i="47"/>
  <c r="C174" i="47" s="1"/>
  <c r="C138" i="47"/>
  <c r="C137" i="47"/>
  <c r="AI183" i="47"/>
  <c r="AI184" i="47"/>
  <c r="G55" i="47" s="1"/>
  <c r="AG184" i="47"/>
  <c r="G53" i="47" s="1"/>
  <c r="AG183" i="47"/>
  <c r="H137" i="47"/>
  <c r="H139" i="47" s="1"/>
  <c r="H156" i="47" s="1"/>
  <c r="J138" i="47"/>
  <c r="J137" i="47"/>
  <c r="H138" i="47"/>
  <c r="J136" i="47"/>
  <c r="H158" i="47"/>
  <c r="K137" i="47"/>
  <c r="K139" i="47" s="1"/>
  <c r="K156" i="47" s="1"/>
  <c r="K158" i="47"/>
  <c r="I136" i="47"/>
  <c r="I137" i="47"/>
  <c r="K138" i="47"/>
  <c r="D136" i="47"/>
  <c r="X180" i="47"/>
  <c r="X181" i="47"/>
  <c r="Y180" i="47"/>
  <c r="Y181" i="47"/>
  <c r="Z180" i="47"/>
  <c r="Z181" i="47"/>
  <c r="U180" i="47"/>
  <c r="U181" i="47"/>
  <c r="R180" i="47"/>
  <c r="R181" i="47"/>
  <c r="S180" i="47"/>
  <c r="S181" i="47"/>
  <c r="V181" i="47"/>
  <c r="V180" i="47"/>
  <c r="W181" i="47"/>
  <c r="W180" i="47"/>
  <c r="C180" i="47"/>
  <c r="L173" i="47"/>
  <c r="M173" i="47"/>
  <c r="M180" i="47" s="1"/>
  <c r="E173" i="47"/>
  <c r="M172" i="47"/>
  <c r="M179" i="47" s="1"/>
  <c r="D171" i="47"/>
  <c r="D180" i="47" s="1"/>
  <c r="C181" i="47"/>
  <c r="F137" i="47"/>
  <c r="D138" i="47"/>
  <c r="D170" i="47"/>
  <c r="D179" i="47" s="1"/>
  <c r="U179" i="47"/>
  <c r="Y179" i="47"/>
  <c r="X179" i="47"/>
  <c r="R179" i="47"/>
  <c r="W179" i="47"/>
  <c r="S179" i="47"/>
  <c r="V179" i="47"/>
  <c r="Z179" i="47"/>
  <c r="P187" i="47"/>
  <c r="P185" i="47"/>
  <c r="P186" i="47" s="1"/>
  <c r="F50" i="47" s="1"/>
  <c r="P182" i="47"/>
  <c r="G164" i="47"/>
  <c r="G163" i="47"/>
  <c r="I140" i="47" l="1"/>
  <c r="I157" i="47" s="1"/>
  <c r="I165" i="47" s="1"/>
  <c r="I174" i="47" s="1"/>
  <c r="C173" i="47"/>
  <c r="G172" i="47"/>
  <c r="F139" i="47"/>
  <c r="F156" i="47" s="1"/>
  <c r="J50" i="47"/>
  <c r="K50" i="47" s="1"/>
  <c r="J140" i="47"/>
  <c r="J157" i="47" s="1"/>
  <c r="J165" i="47" s="1"/>
  <c r="J174" i="47" s="1"/>
  <c r="C172" i="47"/>
  <c r="C179" i="47"/>
  <c r="C187" i="47" s="1"/>
  <c r="L172" i="47"/>
  <c r="L179" i="47" s="1"/>
  <c r="H140" i="47"/>
  <c r="H157" i="47" s="1"/>
  <c r="H165" i="47" s="1"/>
  <c r="H174" i="47" s="1"/>
  <c r="K140" i="47"/>
  <c r="K157" i="47" s="1"/>
  <c r="K165" i="47" s="1"/>
  <c r="K174" i="47" s="1"/>
  <c r="J139" i="47"/>
  <c r="J156" i="47" s="1"/>
  <c r="I139" i="47"/>
  <c r="I156" i="47" s="1"/>
  <c r="D173" i="47"/>
  <c r="D174" i="47"/>
  <c r="D181" i="47"/>
  <c r="D187" i="47" s="1"/>
  <c r="F140" i="47"/>
  <c r="F157" i="47" s="1"/>
  <c r="F165" i="47" s="1"/>
  <c r="F174" i="47" s="1"/>
  <c r="L180" i="47"/>
  <c r="L181" i="47"/>
  <c r="E181" i="47"/>
  <c r="E180" i="47"/>
  <c r="G181" i="47"/>
  <c r="G180" i="47"/>
  <c r="G173" i="47"/>
  <c r="D172" i="47"/>
  <c r="M181" i="47"/>
  <c r="Z185" i="47"/>
  <c r="Z186" i="47" s="1"/>
  <c r="F59" i="47" s="1"/>
  <c r="S185" i="47"/>
  <c r="S186" i="47" s="1"/>
  <c r="F52" i="47" s="1"/>
  <c r="W182" i="47"/>
  <c r="X185" i="47"/>
  <c r="X186" i="47" s="1"/>
  <c r="F57" i="47" s="1"/>
  <c r="U182" i="47"/>
  <c r="P183" i="47"/>
  <c r="P184" i="47"/>
  <c r="E50" i="47" s="1"/>
  <c r="V182" i="47"/>
  <c r="D182" i="47"/>
  <c r="G179" i="47"/>
  <c r="I164" i="47" l="1"/>
  <c r="I173" i="47" s="1"/>
  <c r="I180" i="47" s="1"/>
  <c r="M53" i="47"/>
  <c r="S68" i="47" s="1"/>
  <c r="M50" i="47"/>
  <c r="D68" i="47" s="1"/>
  <c r="J164" i="47"/>
  <c r="J173" i="47" s="1"/>
  <c r="J181" i="47" s="1"/>
  <c r="C182" i="47"/>
  <c r="C183" i="47" s="1"/>
  <c r="C185" i="47"/>
  <c r="C186" i="47" s="1"/>
  <c r="D50" i="47" s="1"/>
  <c r="J52" i="47"/>
  <c r="K52" i="47" s="1"/>
  <c r="J57" i="47"/>
  <c r="K57" i="47" s="1"/>
  <c r="J59" i="47"/>
  <c r="K59" i="47" s="1"/>
  <c r="L182" i="47"/>
  <c r="L183" i="47" s="1"/>
  <c r="K164" i="47"/>
  <c r="K173" i="47" s="1"/>
  <c r="K181" i="47" s="1"/>
  <c r="H164" i="47"/>
  <c r="H173" i="47" s="1"/>
  <c r="H181" i="47" s="1"/>
  <c r="H163" i="47"/>
  <c r="H172" i="47" s="1"/>
  <c r="H179" i="47" s="1"/>
  <c r="J163" i="47"/>
  <c r="J172" i="47" s="1"/>
  <c r="J179" i="47" s="1"/>
  <c r="K163" i="47"/>
  <c r="K172" i="47" s="1"/>
  <c r="K179" i="47" s="1"/>
  <c r="E187" i="47"/>
  <c r="L185" i="47"/>
  <c r="L186" i="47" s="1"/>
  <c r="D58" i="47" s="1"/>
  <c r="I163" i="47"/>
  <c r="I172" i="47" s="1"/>
  <c r="I179" i="47" s="1"/>
  <c r="I182" i="47" s="1"/>
  <c r="F163" i="47"/>
  <c r="F172" i="47" s="1"/>
  <c r="F179" i="47" s="1"/>
  <c r="D185" i="47"/>
  <c r="D186" i="47" s="1"/>
  <c r="F164" i="47"/>
  <c r="F173" i="47" s="1"/>
  <c r="I181" i="47"/>
  <c r="E182" i="47"/>
  <c r="E185" i="47"/>
  <c r="E186" i="47" s="1"/>
  <c r="D51" i="47" s="1"/>
  <c r="L187" i="47"/>
  <c r="Z182" i="47"/>
  <c r="Z183" i="47" s="1"/>
  <c r="Z187" i="47"/>
  <c r="U187" i="47"/>
  <c r="R185" i="47"/>
  <c r="R186" i="47" s="1"/>
  <c r="F51" i="47" s="1"/>
  <c r="S187" i="47"/>
  <c r="V183" i="47"/>
  <c r="V184" i="47"/>
  <c r="E55" i="47" s="1"/>
  <c r="X187" i="47"/>
  <c r="W185" i="47"/>
  <c r="W186" i="47" s="1"/>
  <c r="F56" i="47" s="1"/>
  <c r="X182" i="47"/>
  <c r="V187" i="47"/>
  <c r="Y187" i="47"/>
  <c r="U183" i="47"/>
  <c r="U184" i="47"/>
  <c r="E54" i="47" s="1"/>
  <c r="U185" i="47"/>
  <c r="U186" i="47" s="1"/>
  <c r="F54" i="47" s="1"/>
  <c r="Y182" i="47"/>
  <c r="V185" i="47"/>
  <c r="V186" i="47" s="1"/>
  <c r="F55" i="47" s="1"/>
  <c r="W187" i="47"/>
  <c r="R187" i="47"/>
  <c r="W183" i="47"/>
  <c r="W184" i="47"/>
  <c r="E56" i="47" s="1"/>
  <c r="Y185" i="47"/>
  <c r="Y186" i="47" s="1"/>
  <c r="F58" i="47" s="1"/>
  <c r="R182" i="47"/>
  <c r="S182" i="47"/>
  <c r="M187" i="47"/>
  <c r="M185" i="47"/>
  <c r="M186" i="47" s="1"/>
  <c r="D59" i="47" s="1"/>
  <c r="M182" i="47"/>
  <c r="D184" i="47"/>
  <c r="D183" i="47"/>
  <c r="G187" i="47"/>
  <c r="G182" i="47"/>
  <c r="G185" i="47"/>
  <c r="G186" i="47" s="1"/>
  <c r="D53" i="47" s="1"/>
  <c r="M55" i="47" l="1"/>
  <c r="M56" i="47"/>
  <c r="AH68" i="47" s="1"/>
  <c r="AH70" i="47" s="1"/>
  <c r="M54" i="47"/>
  <c r="X68" i="47" s="1"/>
  <c r="N53" i="47"/>
  <c r="S70" i="47"/>
  <c r="S69" i="47"/>
  <c r="AC68" i="47"/>
  <c r="D70" i="47"/>
  <c r="D69" i="47"/>
  <c r="X70" i="47"/>
  <c r="X69" i="47"/>
  <c r="L50" i="47"/>
  <c r="C68" i="47" s="1"/>
  <c r="N50" i="47"/>
  <c r="E68" i="47" s="1"/>
  <c r="J180" i="47"/>
  <c r="J185" i="47" s="1"/>
  <c r="J186" i="47" s="1"/>
  <c r="D56" i="47" s="1"/>
  <c r="L53" i="47"/>
  <c r="R68" i="47" s="1"/>
  <c r="C184" i="47"/>
  <c r="C50" i="47" s="1"/>
  <c r="L184" i="47"/>
  <c r="C58" i="47" s="1"/>
  <c r="J55" i="47"/>
  <c r="K55" i="47" s="1"/>
  <c r="N55" i="47" s="1"/>
  <c r="J56" i="47"/>
  <c r="K56" i="47" s="1"/>
  <c r="J58" i="47"/>
  <c r="K58" i="47" s="1"/>
  <c r="J54" i="47"/>
  <c r="K54" i="47" s="1"/>
  <c r="J51" i="47"/>
  <c r="K51" i="47" s="1"/>
  <c r="H180" i="47"/>
  <c r="H187" i="47" s="1"/>
  <c r="K180" i="47"/>
  <c r="K182" i="47" s="1"/>
  <c r="Z184" i="47"/>
  <c r="E59" i="47" s="1"/>
  <c r="F181" i="47"/>
  <c r="F180" i="47"/>
  <c r="F182" i="47" s="1"/>
  <c r="E183" i="47"/>
  <c r="E184" i="47"/>
  <c r="C51" i="47" s="1"/>
  <c r="M184" i="47"/>
  <c r="C59" i="47" s="1"/>
  <c r="M183" i="47"/>
  <c r="X183" i="47"/>
  <c r="X184" i="47"/>
  <c r="E57" i="47" s="1"/>
  <c r="Y183" i="47"/>
  <c r="Y184" i="47"/>
  <c r="E58" i="47" s="1"/>
  <c r="S183" i="47"/>
  <c r="S184" i="47"/>
  <c r="E52" i="47" s="1"/>
  <c r="R184" i="47"/>
  <c r="E51" i="47" s="1"/>
  <c r="R183" i="47"/>
  <c r="I187" i="47"/>
  <c r="G183" i="47"/>
  <c r="G184" i="47"/>
  <c r="C53" i="47" s="1"/>
  <c r="I183" i="47"/>
  <c r="I184" i="47"/>
  <c r="C55" i="47" s="1"/>
  <c r="I185" i="47"/>
  <c r="I186" i="47" s="1"/>
  <c r="D55" i="47" s="1"/>
  <c r="J187" i="47" l="1"/>
  <c r="J182" i="47"/>
  <c r="AH72" i="47"/>
  <c r="M57" i="47"/>
  <c r="AM68" i="47" s="1"/>
  <c r="AM70" i="47" s="1"/>
  <c r="AH69" i="47"/>
  <c r="L56" i="47"/>
  <c r="AG68" i="47" s="1"/>
  <c r="M58" i="47"/>
  <c r="AR68" i="47" s="1"/>
  <c r="AR70" i="47" s="1"/>
  <c r="S72" i="47"/>
  <c r="S71" i="47"/>
  <c r="S73" i="47" s="1"/>
  <c r="M59" i="47"/>
  <c r="AW68" i="47" s="1"/>
  <c r="AW69" i="47" s="1"/>
  <c r="M51" i="47"/>
  <c r="I68" i="47" s="1"/>
  <c r="I70" i="47" s="1"/>
  <c r="D72" i="47"/>
  <c r="D71" i="47"/>
  <c r="D73" i="47" s="1"/>
  <c r="E70" i="47"/>
  <c r="E69" i="47"/>
  <c r="L55" i="47"/>
  <c r="AC70" i="47"/>
  <c r="AC69" i="47"/>
  <c r="AD68" i="47"/>
  <c r="T68" i="47"/>
  <c r="C70" i="47"/>
  <c r="C69" i="47"/>
  <c r="R70" i="47"/>
  <c r="R69" i="47"/>
  <c r="M52" i="47"/>
  <c r="N68" i="47" s="1"/>
  <c r="L54" i="47"/>
  <c r="H6" i="47"/>
  <c r="N56" i="47"/>
  <c r="N54" i="47"/>
  <c r="H182" i="47"/>
  <c r="H183" i="47" s="1"/>
  <c r="K187" i="47"/>
  <c r="K185" i="47"/>
  <c r="K186" i="47" s="1"/>
  <c r="D57" i="47" s="1"/>
  <c r="H185" i="47"/>
  <c r="H186" i="47" s="1"/>
  <c r="D54" i="47" s="1"/>
  <c r="X72" i="47" s="1"/>
  <c r="F185" i="47"/>
  <c r="F186" i="47" s="1"/>
  <c r="D52" i="47" s="1"/>
  <c r="F187" i="47"/>
  <c r="F183" i="47"/>
  <c r="F184" i="47"/>
  <c r="C52" i="47" s="1"/>
  <c r="K183" i="47"/>
  <c r="K184" i="47"/>
  <c r="C57" i="47" s="1"/>
  <c r="J183" i="47"/>
  <c r="J184" i="47"/>
  <c r="C56" i="47" s="1"/>
  <c r="AH71" i="47" s="1"/>
  <c r="AR69" i="47" l="1"/>
  <c r="N57" i="47"/>
  <c r="L57" i="47"/>
  <c r="AM69" i="47"/>
  <c r="N58" i="47"/>
  <c r="AS68" i="47" s="1"/>
  <c r="AW70" i="47"/>
  <c r="AW72" i="47" s="1"/>
  <c r="N59" i="47"/>
  <c r="AX68" i="47" s="1"/>
  <c r="S74" i="47"/>
  <c r="AR72" i="47"/>
  <c r="AR71" i="47"/>
  <c r="AR73" i="47" s="1"/>
  <c r="AH73" i="47"/>
  <c r="AH74" i="47" s="1"/>
  <c r="AC72" i="47"/>
  <c r="AC71" i="47"/>
  <c r="AC73" i="47" s="1"/>
  <c r="AM72" i="47"/>
  <c r="AM71" i="47"/>
  <c r="L58" i="47"/>
  <c r="AQ68" i="47" s="1"/>
  <c r="D74" i="47"/>
  <c r="I72" i="47"/>
  <c r="I71" i="47"/>
  <c r="N52" i="47"/>
  <c r="O68" i="47" s="1"/>
  <c r="C72" i="47"/>
  <c r="C71" i="47"/>
  <c r="C73" i="47" s="1"/>
  <c r="C74" i="47" s="1"/>
  <c r="C75" i="47" s="1"/>
  <c r="N51" i="47"/>
  <c r="J68" i="47" s="1"/>
  <c r="R72" i="47"/>
  <c r="R71" i="47"/>
  <c r="R73" i="47" s="1"/>
  <c r="R74" i="47" s="1"/>
  <c r="R75" i="47" s="1"/>
  <c r="L51" i="47"/>
  <c r="L59" i="47"/>
  <c r="I69" i="47"/>
  <c r="E72" i="47"/>
  <c r="E71" i="47"/>
  <c r="E73" i="47" s="1"/>
  <c r="E74" i="47" s="1"/>
  <c r="E75" i="47" s="1"/>
  <c r="Y68" i="47"/>
  <c r="AG70" i="47"/>
  <c r="AG69" i="47"/>
  <c r="AD70" i="47"/>
  <c r="AD69" i="47"/>
  <c r="AB68" i="47"/>
  <c r="L52" i="47"/>
  <c r="M68" i="47" s="1"/>
  <c r="AL68" i="47"/>
  <c r="AI68" i="47"/>
  <c r="AN68" i="47"/>
  <c r="T70" i="47"/>
  <c r="T69" i="47"/>
  <c r="W68" i="47"/>
  <c r="N70" i="47"/>
  <c r="N69" i="47"/>
  <c r="H184" i="47"/>
  <c r="C54" i="47" s="1"/>
  <c r="X71" i="47" s="1"/>
  <c r="X73" i="47" s="1"/>
  <c r="AW71" i="47" l="1"/>
  <c r="AW73" i="47" s="1"/>
  <c r="AM73" i="47"/>
  <c r="AM74" i="47" s="1"/>
  <c r="AW74" i="47"/>
  <c r="I73" i="47"/>
  <c r="AD72" i="47"/>
  <c r="AD71" i="47"/>
  <c r="AD73" i="47" s="1"/>
  <c r="AD74" i="47" s="1"/>
  <c r="AD75" i="47" s="1"/>
  <c r="X74" i="47"/>
  <c r="S75" i="47"/>
  <c r="S76" i="47"/>
  <c r="S77" i="47" s="1"/>
  <c r="AG72" i="47"/>
  <c r="AG71" i="47"/>
  <c r="AG73" i="47" s="1"/>
  <c r="AG74" i="47" s="1"/>
  <c r="AG75" i="47" s="1"/>
  <c r="AG76" i="47" s="1"/>
  <c r="D76" i="47"/>
  <c r="D77" i="47" s="1"/>
  <c r="D75" i="47"/>
  <c r="AH75" i="47"/>
  <c r="AH76" i="47"/>
  <c r="AH77" i="47" s="1"/>
  <c r="AR74" i="47"/>
  <c r="AC74" i="47"/>
  <c r="H68" i="47"/>
  <c r="AV68" i="47"/>
  <c r="AV70" i="47" s="1"/>
  <c r="T72" i="47"/>
  <c r="T71" i="47"/>
  <c r="T73" i="47" s="1"/>
  <c r="T74" i="47" s="1"/>
  <c r="T75" i="47" s="1"/>
  <c r="E76" i="47"/>
  <c r="E77" i="47" s="1"/>
  <c r="R76" i="47"/>
  <c r="R77" i="47" s="1"/>
  <c r="C76" i="47"/>
  <c r="C77" i="47" s="1"/>
  <c r="H70" i="47"/>
  <c r="H69" i="47"/>
  <c r="AQ70" i="47"/>
  <c r="AQ69" i="47"/>
  <c r="W70" i="47"/>
  <c r="W69" i="47"/>
  <c r="AX70" i="47"/>
  <c r="AX69" i="47"/>
  <c r="AN70" i="47"/>
  <c r="AN69" i="47"/>
  <c r="AL70" i="47"/>
  <c r="AL69" i="47"/>
  <c r="AB70" i="47"/>
  <c r="AB69" i="47"/>
  <c r="AI70" i="47"/>
  <c r="AI69" i="47"/>
  <c r="N72" i="47"/>
  <c r="N71" i="47"/>
  <c r="N73" i="47" s="1"/>
  <c r="Y70" i="47"/>
  <c r="Y69" i="47"/>
  <c r="J70" i="47"/>
  <c r="J69" i="47"/>
  <c r="AS70" i="47"/>
  <c r="AS69" i="47"/>
  <c r="M70" i="47"/>
  <c r="M69" i="47"/>
  <c r="O70" i="47"/>
  <c r="O69" i="47"/>
  <c r="G86" i="47" l="1"/>
  <c r="D30" i="47"/>
  <c r="H86" i="47"/>
  <c r="I86" i="47" s="1"/>
  <c r="J86" i="47" s="1"/>
  <c r="K83" i="47"/>
  <c r="L83" i="47" s="1"/>
  <c r="M83" i="47" s="1"/>
  <c r="N83" i="47" s="1"/>
  <c r="E27" i="47"/>
  <c r="G89" i="47"/>
  <c r="D33" i="47"/>
  <c r="H89" i="47"/>
  <c r="I89" i="47" s="1"/>
  <c r="J89" i="47" s="1"/>
  <c r="G83" i="47"/>
  <c r="H83" i="47" s="1"/>
  <c r="I83" i="47" s="1"/>
  <c r="J83" i="47" s="1"/>
  <c r="D27" i="47"/>
  <c r="C27" i="47"/>
  <c r="C83" i="47"/>
  <c r="D83" i="47" s="1"/>
  <c r="E83" i="47" s="1"/>
  <c r="F83" i="47" s="1"/>
  <c r="AL72" i="47"/>
  <c r="AL71" i="47"/>
  <c r="AL73" i="47" s="1"/>
  <c r="AL74" i="47" s="1"/>
  <c r="AL75" i="47" s="1"/>
  <c r="C30" i="47"/>
  <c r="F30" i="47" s="1"/>
  <c r="C86" i="47"/>
  <c r="D86" i="47" s="1"/>
  <c r="E86" i="47" s="1"/>
  <c r="F86" i="47" s="1"/>
  <c r="AV69" i="47"/>
  <c r="AN72" i="47"/>
  <c r="AN71" i="47"/>
  <c r="AN73" i="47" s="1"/>
  <c r="AN74" i="47" s="1"/>
  <c r="AN75" i="47" s="1"/>
  <c r="AS72" i="47"/>
  <c r="AS71" i="47"/>
  <c r="AS73" i="47" s="1"/>
  <c r="AS74" i="47" s="1"/>
  <c r="X75" i="47"/>
  <c r="X76" i="47"/>
  <c r="X77" i="47" s="1"/>
  <c r="N74" i="47"/>
  <c r="AC75" i="47"/>
  <c r="AC76" i="47"/>
  <c r="AC77" i="47" s="1"/>
  <c r="I74" i="47"/>
  <c r="AB72" i="47"/>
  <c r="AB71" i="47"/>
  <c r="AB73" i="47" s="1"/>
  <c r="AB74" i="47" s="1"/>
  <c r="AI71" i="47"/>
  <c r="AI73" i="47" s="1"/>
  <c r="AI74" i="47" s="1"/>
  <c r="AI72" i="47"/>
  <c r="AQ72" i="47"/>
  <c r="AQ71" i="47"/>
  <c r="AW75" i="47"/>
  <c r="AW76" i="47"/>
  <c r="AW77" i="47" s="1"/>
  <c r="AM75" i="47"/>
  <c r="AM76" i="47"/>
  <c r="AM77" i="47" s="1"/>
  <c r="AR75" i="47"/>
  <c r="AR76" i="47"/>
  <c r="AR77" i="47" s="1"/>
  <c r="AV72" i="47"/>
  <c r="AV71" i="47"/>
  <c r="AV73" i="47" s="1"/>
  <c r="AV74" i="47" s="1"/>
  <c r="AV75" i="47" s="1"/>
  <c r="W71" i="47"/>
  <c r="W73" i="47" s="1"/>
  <c r="W74" i="47" s="1"/>
  <c r="W72" i="47"/>
  <c r="J72" i="47"/>
  <c r="J71" i="47"/>
  <c r="J73" i="47" s="1"/>
  <c r="J74" i="47" s="1"/>
  <c r="H72" i="47"/>
  <c r="H71" i="47"/>
  <c r="H73" i="47" s="1"/>
  <c r="H74" i="47" s="1"/>
  <c r="H75" i="47" s="1"/>
  <c r="AX72" i="47"/>
  <c r="AX71" i="47"/>
  <c r="AX73" i="47" s="1"/>
  <c r="AX74" i="47" s="1"/>
  <c r="Y71" i="47"/>
  <c r="Y73" i="47" s="1"/>
  <c r="Y74" i="47" s="1"/>
  <c r="Y72" i="47"/>
  <c r="AQ73" i="47"/>
  <c r="AQ74" i="47" s="1"/>
  <c r="O72" i="47"/>
  <c r="O71" i="47"/>
  <c r="O73" i="47" s="1"/>
  <c r="M72" i="47"/>
  <c r="M71" i="47"/>
  <c r="M73" i="47" s="1"/>
  <c r="M74" i="47" s="1"/>
  <c r="M75" i="47" s="1"/>
  <c r="P40" i="47"/>
  <c r="O40" i="47"/>
  <c r="AS75" i="47" l="1"/>
  <c r="W75" i="47"/>
  <c r="AQ75" i="47"/>
  <c r="G88" i="47"/>
  <c r="D32" i="47"/>
  <c r="H88" i="47"/>
  <c r="I88" i="47" s="1"/>
  <c r="J88" i="47" s="1"/>
  <c r="AB75" i="47"/>
  <c r="G92" i="47"/>
  <c r="H92" i="47" s="1"/>
  <c r="I92" i="47" s="1"/>
  <c r="J92" i="47" s="1"/>
  <c r="D36" i="47"/>
  <c r="G27" i="47"/>
  <c r="G87" i="47"/>
  <c r="H87" i="47" s="1"/>
  <c r="I87" i="47" s="1"/>
  <c r="J87" i="47" s="1"/>
  <c r="D31" i="47"/>
  <c r="AX75" i="47"/>
  <c r="G91" i="47"/>
  <c r="H91" i="47" s="1"/>
  <c r="I91" i="47" s="1"/>
  <c r="J91" i="47" s="1"/>
  <c r="D35" i="47"/>
  <c r="G90" i="47"/>
  <c r="H90" i="47" s="1"/>
  <c r="D34" i="47"/>
  <c r="AI75" i="47"/>
  <c r="F27" i="47"/>
  <c r="J75" i="47"/>
  <c r="Y75" i="47"/>
  <c r="N75" i="47"/>
  <c r="N76" i="47"/>
  <c r="N77" i="47" s="1"/>
  <c r="I75" i="47"/>
  <c r="I76" i="47"/>
  <c r="I77" i="47" s="1"/>
  <c r="O74" i="47"/>
  <c r="O75" i="47" s="1"/>
  <c r="O76" i="47" s="1"/>
  <c r="O77" i="47" s="1"/>
  <c r="AG77" i="47"/>
  <c r="AD76" i="47"/>
  <c r="AD77" i="47" s="1"/>
  <c r="T76" i="47"/>
  <c r="T77" i="47" s="1"/>
  <c r="M76" i="47"/>
  <c r="M77" i="47" s="1"/>
  <c r="I90" i="47" l="1"/>
  <c r="J90" i="47" s="1"/>
  <c r="G84" i="47"/>
  <c r="D28" i="47"/>
  <c r="H84" i="47"/>
  <c r="I84" i="47" s="1"/>
  <c r="J84" i="47" s="1"/>
  <c r="G85" i="47"/>
  <c r="D29" i="47"/>
  <c r="J27" i="47" s="1"/>
  <c r="H85" i="47"/>
  <c r="I85" i="47" s="1"/>
  <c r="J85" i="47" s="1"/>
  <c r="K27" i="47" s="1"/>
  <c r="K86" i="47"/>
  <c r="L86" i="47" s="1"/>
  <c r="M86" i="47" s="1"/>
  <c r="N86" i="47" s="1"/>
  <c r="E30" i="47"/>
  <c r="K88" i="47"/>
  <c r="L88" i="47" s="1"/>
  <c r="M88" i="47" s="1"/>
  <c r="N88" i="47" s="1"/>
  <c r="E32" i="47"/>
  <c r="G32" i="47" s="1"/>
  <c r="K85" i="47"/>
  <c r="L85" i="47" s="1"/>
  <c r="M85" i="47" s="1"/>
  <c r="N85" i="47" s="1"/>
  <c r="K28" i="47" s="1"/>
  <c r="E29" i="47"/>
  <c r="G29" i="47" s="1"/>
  <c r="C33" i="47"/>
  <c r="F33" i="47" s="1"/>
  <c r="C89" i="47"/>
  <c r="D89" i="47" s="1"/>
  <c r="E89" i="47" s="1"/>
  <c r="F89" i="47" s="1"/>
  <c r="C29" i="47"/>
  <c r="C85" i="47"/>
  <c r="D85" i="47" s="1"/>
  <c r="E85" i="47" s="1"/>
  <c r="F85" i="47" s="1"/>
  <c r="AQ76" i="47"/>
  <c r="AQ77" i="47" s="1"/>
  <c r="AS76" i="47"/>
  <c r="AS77" i="47" s="1"/>
  <c r="AL76" i="47"/>
  <c r="AL77" i="47" s="1"/>
  <c r="AN76" i="47"/>
  <c r="AN77" i="47" s="1"/>
  <c r="AB76" i="47"/>
  <c r="AB77" i="47" s="1"/>
  <c r="AI76" i="47"/>
  <c r="AI77" i="47" s="1"/>
  <c r="H76" i="47"/>
  <c r="H77" i="47" s="1"/>
  <c r="Y76" i="47"/>
  <c r="Y77" i="47" s="1"/>
  <c r="W76" i="47"/>
  <c r="W77" i="47" s="1"/>
  <c r="AX76" i="47"/>
  <c r="AX77" i="47" s="1"/>
  <c r="AV76" i="47"/>
  <c r="AV77" i="47" s="1"/>
  <c r="J76" i="47"/>
  <c r="J77" i="47" s="1"/>
  <c r="F29" i="47" l="1"/>
  <c r="K84" i="47"/>
  <c r="L84" i="47" s="1"/>
  <c r="M84" i="47" s="1"/>
  <c r="N84" i="47" s="1"/>
  <c r="E28" i="47"/>
  <c r="G28" i="47" s="1"/>
  <c r="K92" i="47"/>
  <c r="L92" i="47" s="1"/>
  <c r="M92" i="47" s="1"/>
  <c r="N92" i="47" s="1"/>
  <c r="E36" i="47"/>
  <c r="G36" i="47" s="1"/>
  <c r="K89" i="47"/>
  <c r="L89" i="47" s="1"/>
  <c r="M89" i="47" s="1"/>
  <c r="N89" i="47" s="1"/>
  <c r="E33" i="47"/>
  <c r="G33" i="47" s="1"/>
  <c r="K87" i="47"/>
  <c r="L87" i="47" s="1"/>
  <c r="M87" i="47" s="1"/>
  <c r="N87" i="47" s="1"/>
  <c r="E31" i="47"/>
  <c r="G31" i="47" s="1"/>
  <c r="G30" i="47"/>
  <c r="J28" i="47"/>
  <c r="K90" i="47"/>
  <c r="L90" i="47" s="1"/>
  <c r="M90" i="47" s="1"/>
  <c r="N90" i="47" s="1"/>
  <c r="E34" i="47"/>
  <c r="G34" i="47" s="1"/>
  <c r="K91" i="47"/>
  <c r="L91" i="47" s="1"/>
  <c r="M91" i="47" s="1"/>
  <c r="N91" i="47" s="1"/>
  <c r="E35" i="47"/>
  <c r="G35" i="47" s="1"/>
  <c r="C28" i="47"/>
  <c r="F28" i="47" s="1"/>
  <c r="C84" i="47"/>
  <c r="D84" i="47" s="1"/>
  <c r="E84" i="47" s="1"/>
  <c r="F84" i="47" s="1"/>
  <c r="C36" i="47"/>
  <c r="F36" i="47" s="1"/>
  <c r="C92" i="47"/>
  <c r="D92" i="47" s="1"/>
  <c r="E92" i="47" s="1"/>
  <c r="F92" i="47" s="1"/>
  <c r="C31" i="47"/>
  <c r="F31" i="47" s="1"/>
  <c r="C87" i="47"/>
  <c r="D87" i="47" s="1"/>
  <c r="E87" i="47" s="1"/>
  <c r="F87" i="47" s="1"/>
  <c r="C34" i="47"/>
  <c r="F34" i="47" s="1"/>
  <c r="C90" i="47"/>
  <c r="D90" i="47" s="1"/>
  <c r="E90" i="47" s="1"/>
  <c r="F90" i="47" s="1"/>
  <c r="C35" i="47"/>
  <c r="F35" i="47" s="1"/>
  <c r="C91" i="47"/>
  <c r="D91" i="47" s="1"/>
  <c r="E91" i="47" s="1"/>
  <c r="F91" i="47" s="1"/>
  <c r="C32" i="47"/>
  <c r="C88" i="47"/>
  <c r="D88" i="47" s="1"/>
  <c r="E88" i="47" s="1"/>
  <c r="F88" i="47" s="1"/>
  <c r="K26" i="47" s="1"/>
  <c r="F32" i="47" l="1"/>
  <c r="J26" i="47"/>
</calcChain>
</file>

<file path=xl/sharedStrings.xml><?xml version="1.0" encoding="utf-8"?>
<sst xmlns="http://schemas.openxmlformats.org/spreadsheetml/2006/main" count="672" uniqueCount="140">
  <si>
    <t>Sun</t>
  </si>
  <si>
    <t>Moon</t>
  </si>
  <si>
    <t>r</t>
  </si>
  <si>
    <t>Mercury</t>
  </si>
  <si>
    <t>Mars</t>
  </si>
  <si>
    <t>Jupiter</t>
  </si>
  <si>
    <t>Venus</t>
  </si>
  <si>
    <t>Saturn</t>
  </si>
  <si>
    <t>a</t>
  </si>
  <si>
    <t>Inputs</t>
  </si>
  <si>
    <t>e</t>
  </si>
  <si>
    <t>Date</t>
  </si>
  <si>
    <t>F</t>
  </si>
  <si>
    <t>D</t>
  </si>
  <si>
    <t>RA (h)</t>
  </si>
  <si>
    <t>i</t>
  </si>
  <si>
    <t>N</t>
  </si>
  <si>
    <t>Nonetheless, this spreadsheet has been carefully reviewed, and calculation results have been compared with other applications.</t>
  </si>
  <si>
    <t>I'm solely responsible for the input and express no warranty.  Use at your own risk.</t>
  </si>
  <si>
    <t>All Rights Reserved:  © Astronomy Morsels.</t>
  </si>
  <si>
    <t>Email</t>
  </si>
  <si>
    <t>Day nr.</t>
  </si>
  <si>
    <t>Leap year?</t>
  </si>
  <si>
    <t>JDN (UT)</t>
  </si>
  <si>
    <t>Source: Paul Schlyter</t>
  </si>
  <si>
    <t>Pluto</t>
  </si>
  <si>
    <t>Neptune</t>
  </si>
  <si>
    <t>Uranus</t>
  </si>
  <si>
    <t>Sun/Earth</t>
  </si>
  <si>
    <t>noon</t>
  </si>
  <si>
    <t>rg</t>
  </si>
  <si>
    <t>Decl (d)</t>
  </si>
  <si>
    <t>Decl (r)</t>
  </si>
  <si>
    <t>RA (d)</t>
  </si>
  <si>
    <t>RA (r)</t>
  </si>
  <si>
    <t>ze</t>
  </si>
  <si>
    <t>ye</t>
  </si>
  <si>
    <t>xe</t>
  </si>
  <si>
    <t>7. Geocentric Equatorial Coordinates</t>
  </si>
  <si>
    <t>zg</t>
  </si>
  <si>
    <t>yg</t>
  </si>
  <si>
    <t>xg</t>
  </si>
  <si>
    <t>ys</t>
  </si>
  <si>
    <t>xs</t>
  </si>
  <si>
    <t>6. Geocentric Ecliptic Coordinates</t>
  </si>
  <si>
    <t>zh</t>
  </si>
  <si>
    <t>yh</t>
  </si>
  <si>
    <t>xh</t>
  </si>
  <si>
    <t xml:space="preserve">5. Heliocentric  Ecliptic Coordinates </t>
  </si>
  <si>
    <t>r`</t>
  </si>
  <si>
    <t>latecl`(d)</t>
  </si>
  <si>
    <t>lonecl` (d)</t>
  </si>
  <si>
    <t>Pdist</t>
  </si>
  <si>
    <t>Plat</t>
  </si>
  <si>
    <t>Plong</t>
  </si>
  <si>
    <t>Lm</t>
  </si>
  <si>
    <t>Ls</t>
  </si>
  <si>
    <t>Mx</t>
  </si>
  <si>
    <t>Ms</t>
  </si>
  <si>
    <t>4. Correction for Perturbations</t>
  </si>
  <si>
    <t>oblecl (d)</t>
  </si>
  <si>
    <t>latecl (d)</t>
  </si>
  <si>
    <t>lonecl (d)</t>
  </si>
  <si>
    <t>v (d)</t>
  </si>
  <si>
    <t>yv</t>
  </si>
  <si>
    <t>xv</t>
  </si>
  <si>
    <t>3. Heliocentric  Ecliptic Coordinates (uncorrected for Perturbations), moon geocentric</t>
  </si>
  <si>
    <t>E5 (d)</t>
  </si>
  <si>
    <t>E4 (d)</t>
  </si>
  <si>
    <t>E3 (d)</t>
  </si>
  <si>
    <t>E2 (d)</t>
  </si>
  <si>
    <t>E1 (d)</t>
  </si>
  <si>
    <t>E0 (d)</t>
  </si>
  <si>
    <t>2. Eccentric Anomaly (iteration, limited to 5 here)</t>
  </si>
  <si>
    <t>P (d)</t>
  </si>
  <si>
    <t>S (d)</t>
  </si>
  <si>
    <t>L (d)</t>
  </si>
  <si>
    <t>M (d)</t>
  </si>
  <si>
    <t>w (d)</t>
  </si>
  <si>
    <t>1. Orbital Elements</t>
  </si>
  <si>
    <r>
      <rPr>
        <b/>
        <sz val="14"/>
        <color theme="0"/>
        <rFont val="Calibri (Body)"/>
      </rPr>
      <t>Compiled by</t>
    </r>
    <r>
      <rPr>
        <sz val="14"/>
        <color theme="0"/>
        <rFont val="Calibri (Body)"/>
      </rPr>
      <t>: Anton Viola (Astronomy Morsels).</t>
    </r>
  </si>
  <si>
    <t>RA</t>
  </si>
  <si>
    <t>Dec</t>
  </si>
  <si>
    <t>Julian centuries</t>
  </si>
  <si>
    <t>JDE</t>
  </si>
  <si>
    <t>Location</t>
  </si>
  <si>
    <t>Lenk (CH)</t>
  </si>
  <si>
    <t>φ    (latitude)</t>
  </si>
  <si>
    <t>L     (longitude)</t>
  </si>
  <si>
    <t>Locations</t>
  </si>
  <si>
    <t>Name</t>
  </si>
  <si>
    <t>φ (latitude)</t>
  </si>
  <si>
    <t>L (longitude)</t>
  </si>
  <si>
    <t>Greenwich</t>
  </si>
  <si>
    <t>Timezone</t>
  </si>
  <si>
    <t>J2000 Epoch</t>
  </si>
  <si>
    <t>days since Epoch</t>
  </si>
  <si>
    <t>HA</t>
  </si>
  <si>
    <t>UT  (hours)</t>
  </si>
  <si>
    <t>LST (degrees)</t>
  </si>
  <si>
    <t>Planet</t>
  </si>
  <si>
    <t>DtoR</t>
  </si>
  <si>
    <t>T</t>
  </si>
  <si>
    <t>Boston</t>
  </si>
  <si>
    <r>
      <t>Θ</t>
    </r>
    <r>
      <rPr>
        <vertAlign val="subscript"/>
        <sz val="11"/>
        <color rgb="FF000000"/>
        <rFont val="Calibri"/>
        <family val="2"/>
        <scheme val="minor"/>
      </rPr>
      <t>0</t>
    </r>
  </si>
  <si>
    <t>rising</t>
  </si>
  <si>
    <t>transit</t>
  </si>
  <si>
    <t>setting</t>
  </si>
  <si>
    <r>
      <t>cos (H</t>
    </r>
    <r>
      <rPr>
        <vertAlign val="subscript"/>
        <sz val="12"/>
        <color theme="1"/>
        <rFont val="Calibri"/>
        <family val="2"/>
      </rPr>
      <t>0</t>
    </r>
    <r>
      <rPr>
        <sz val="12"/>
        <color theme="1"/>
        <rFont val="Calibri"/>
        <family val="2"/>
      </rPr>
      <t>)</t>
    </r>
  </si>
  <si>
    <r>
      <t>h</t>
    </r>
    <r>
      <rPr>
        <vertAlign val="subscript"/>
        <sz val="12"/>
        <color rgb="FF000000"/>
        <rFont val="Calibri"/>
        <family val="2"/>
      </rPr>
      <t>0</t>
    </r>
  </si>
  <si>
    <r>
      <t>H</t>
    </r>
    <r>
      <rPr>
        <vertAlign val="subscript"/>
        <sz val="12"/>
        <color rgb="FF000000"/>
        <rFont val="Calibri"/>
        <family val="2"/>
      </rPr>
      <t>0</t>
    </r>
  </si>
  <si>
    <t>Date, location</t>
  </si>
  <si>
    <t>Date-1</t>
  </si>
  <si>
    <t>Date+1</t>
  </si>
  <si>
    <t>altitude</t>
  </si>
  <si>
    <t>Rising</t>
  </si>
  <si>
    <t>Transit</t>
  </si>
  <si>
    <t>Setting</t>
  </si>
  <si>
    <t>(East:   +, West:  -)</t>
  </si>
  <si>
    <t>(North: +, South: -)</t>
  </si>
  <si>
    <t>Reference: Meeus, Astronomical Algorithms, First Edition, pp. 97-100.</t>
  </si>
  <si>
    <t>Note: sign of longitude changed!</t>
  </si>
  <si>
    <t>V1.0</t>
  </si>
  <si>
    <r>
      <rPr>
        <b/>
        <sz val="14"/>
        <color theme="0"/>
        <rFont val="Calibri (Body)"/>
      </rPr>
      <t>Latest update</t>
    </r>
    <r>
      <rPr>
        <sz val="14"/>
        <color theme="0"/>
        <rFont val="Calibri (Body)"/>
      </rPr>
      <t>: 31st January, 2025.</t>
    </r>
  </si>
  <si>
    <t>ΔT (sec)</t>
  </si>
  <si>
    <t>Note: If the body is circumpolar (i.e., the body will remain the whole day either below or above the horizon), no graph will be displayed.</t>
  </si>
  <si>
    <t>m</t>
  </si>
  <si>
    <t>Θ</t>
  </si>
  <si>
    <t>n</t>
  </si>
  <si>
    <t>H</t>
  </si>
  <si>
    <t>h</t>
  </si>
  <si>
    <t>Δm</t>
  </si>
  <si>
    <t>corrected m</t>
  </si>
  <si>
    <r>
      <t>H</t>
    </r>
    <r>
      <rPr>
        <vertAlign val="subscript"/>
        <sz val="11"/>
        <color rgb="FF000000"/>
        <rFont val="Calibri (Body)"/>
      </rPr>
      <t>corr</t>
    </r>
  </si>
  <si>
    <t>Step 1: First approximation of rising, transit and setting times (for 3 different dates).</t>
  </si>
  <si>
    <t>In this spreadsheet, the rising, transit and setting times are calculated for Sun, Moon and the planets in our solar system.</t>
  </si>
  <si>
    <t>Step 2: Interpolation of the values, calculated in Step 1, to obtain more accurate values.</t>
  </si>
  <si>
    <t>Step 3: Calculation of the altitude at rise, transit and set time.</t>
  </si>
  <si>
    <t>This section calculates the RA/Dec values for the different Solar System bodies.</t>
  </si>
  <si>
    <t>To Do: improve algorithm for moon values.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</si>
</sst>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0"/>
    <numFmt numFmtId="165" formatCode="#,##0.00000"/>
    <numFmt numFmtId="166" formatCode="0.0000"/>
    <numFmt numFmtId="167" formatCode="[$-F400]h:mm:ss\ AM/PM"/>
    <numFmt numFmtId="168" formatCode="#,##0.0000"/>
    <numFmt numFmtId="169" formatCode="0.000000"/>
    <numFmt numFmtId="170" formatCode="[$]dd/mm/yyyy;@"/>
    <numFmt numFmtId="171" formatCode="[$]hh:mm;@" x16r2:formatCode16="[$-en-CH,1]hh:mm;@"/>
  </numFmts>
  <fonts count="47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4"/>
      <color theme="0"/>
      <name val="Calibri"/>
      <family val="2"/>
    </font>
    <font>
      <b/>
      <u/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 (Body)"/>
    </font>
    <font>
      <b/>
      <sz val="14"/>
      <color theme="0"/>
      <name val="Calibri (Body)"/>
    </font>
    <font>
      <u/>
      <sz val="14"/>
      <color theme="0"/>
      <name val="Calibri (Body)"/>
    </font>
    <font>
      <u/>
      <sz val="11"/>
      <color theme="0"/>
      <name val="Calibri"/>
      <family val="2"/>
      <scheme val="minor"/>
    </font>
    <font>
      <u/>
      <sz val="12"/>
      <color theme="0"/>
      <name val="Calibri"/>
      <family val="2"/>
    </font>
    <font>
      <sz val="9"/>
      <color theme="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sz val="11"/>
      <name val="ＭＳ Ｐゴシック"/>
      <family val="2"/>
      <charset val="128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20212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vertAlign val="subscript"/>
      <sz val="11"/>
      <color rgb="FF000000"/>
      <name val="Calibri"/>
      <family val="2"/>
      <scheme val="minor"/>
    </font>
    <font>
      <vertAlign val="subscript"/>
      <sz val="12"/>
      <color theme="1"/>
      <name val="Calibri"/>
      <family val="2"/>
    </font>
    <font>
      <sz val="12"/>
      <color rgb="FF000000"/>
      <name val="Calibri"/>
      <family val="2"/>
    </font>
    <font>
      <vertAlign val="subscript"/>
      <sz val="12"/>
      <color rgb="FF000000"/>
      <name val="Calibri"/>
      <family val="2"/>
    </font>
    <font>
      <sz val="12"/>
      <color theme="0"/>
      <name val="Calibri"/>
      <family val="2"/>
    </font>
    <font>
      <sz val="12"/>
      <color theme="1"/>
      <name val="Calibri (Body)"/>
    </font>
    <font>
      <sz val="12"/>
      <name val="Calibri (Body)"/>
    </font>
    <font>
      <sz val="10"/>
      <color theme="1"/>
      <name val="Calibri"/>
      <family val="2"/>
    </font>
    <font>
      <u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vertAlign val="subscript"/>
      <sz val="11"/>
      <color rgb="FF000000"/>
      <name val="Calibri (Body)"/>
    </font>
    <font>
      <b/>
      <u/>
      <sz val="14"/>
      <name val="Calibri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0" fontId="10" fillId="0" borderId="0"/>
    <xf numFmtId="0" fontId="1" fillId="0" borderId="0" applyNumberFormat="0" applyFill="0" applyBorder="0" applyAlignment="0" applyProtection="0"/>
    <xf numFmtId="0" fontId="10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0" fillId="0" borderId="0"/>
    <xf numFmtId="0" fontId="9" fillId="0" borderId="0"/>
    <xf numFmtId="0" fontId="6" fillId="0" borderId="0"/>
  </cellStyleXfs>
  <cellXfs count="182">
    <xf numFmtId="0" fontId="0" fillId="0" borderId="0" xfId="0"/>
    <xf numFmtId="0" fontId="8" fillId="0" borderId="0" xfId="5"/>
    <xf numFmtId="0" fontId="2" fillId="0" borderId="0" xfId="5" applyFont="1"/>
    <xf numFmtId="0" fontId="8" fillId="2" borderId="0" xfId="5" applyFill="1"/>
    <xf numFmtId="0" fontId="13" fillId="0" borderId="0" xfId="4" applyFont="1"/>
    <xf numFmtId="0" fontId="14" fillId="3" borderId="0" xfId="5" applyFont="1" applyFill="1"/>
    <xf numFmtId="168" fontId="14" fillId="3" borderId="0" xfId="5" applyNumberFormat="1" applyFont="1" applyFill="1"/>
    <xf numFmtId="0" fontId="9" fillId="2" borderId="0" xfId="6" applyFill="1"/>
    <xf numFmtId="0" fontId="15" fillId="2" borderId="1" xfId="9" applyFont="1" applyFill="1" applyBorder="1" applyAlignment="1">
      <alignment horizontal="left"/>
    </xf>
    <xf numFmtId="0" fontId="15" fillId="2" borderId="3" xfId="6" applyFont="1" applyFill="1" applyBorder="1" applyAlignment="1">
      <alignment horizontal="center"/>
    </xf>
    <xf numFmtId="0" fontId="15" fillId="2" borderId="3" xfId="6" applyFont="1" applyFill="1" applyBorder="1"/>
    <xf numFmtId="0" fontId="17" fillId="2" borderId="2" xfId="8" applyFont="1" applyFill="1" applyBorder="1" applyAlignment="1">
      <alignment horizontal="center"/>
    </xf>
    <xf numFmtId="0" fontId="17" fillId="2" borderId="5" xfId="8" applyFont="1" applyFill="1" applyBorder="1" applyAlignment="1">
      <alignment horizontal="left"/>
    </xf>
    <xf numFmtId="0" fontId="15" fillId="2" borderId="0" xfId="6" applyFont="1" applyFill="1" applyAlignment="1">
      <alignment horizontal="center"/>
    </xf>
    <xf numFmtId="0" fontId="15" fillId="2" borderId="0" xfId="6" applyFont="1" applyFill="1"/>
    <xf numFmtId="0" fontId="15" fillId="2" borderId="6" xfId="6" applyFont="1" applyFill="1" applyBorder="1" applyAlignment="1">
      <alignment horizontal="center"/>
    </xf>
    <xf numFmtId="0" fontId="15" fillId="2" borderId="7" xfId="8" applyFont="1" applyFill="1" applyBorder="1" applyAlignment="1">
      <alignment horizontal="left"/>
    </xf>
    <xf numFmtId="0" fontId="15" fillId="2" borderId="8" xfId="8" applyFont="1" applyFill="1" applyBorder="1" applyAlignment="1">
      <alignment horizontal="left"/>
    </xf>
    <xf numFmtId="0" fontId="15" fillId="2" borderId="8" xfId="6" applyFont="1" applyFill="1" applyBorder="1"/>
    <xf numFmtId="0" fontId="16" fillId="2" borderId="9" xfId="6" applyFont="1" applyFill="1" applyBorder="1" applyAlignment="1">
      <alignment horizontal="center"/>
    </xf>
    <xf numFmtId="0" fontId="10" fillId="2" borderId="0" xfId="9" applyFill="1"/>
    <xf numFmtId="0" fontId="15" fillId="2" borderId="0" xfId="8" applyFont="1" applyFill="1" applyBorder="1" applyAlignment="1">
      <alignment horizontal="left"/>
    </xf>
    <xf numFmtId="0" fontId="16" fillId="2" borderId="0" xfId="6" applyFont="1" applyFill="1" applyAlignment="1">
      <alignment horizontal="center"/>
    </xf>
    <xf numFmtId="0" fontId="3" fillId="0" borderId="0" xfId="1"/>
    <xf numFmtId="0" fontId="22" fillId="5" borderId="2" xfId="0" applyFont="1" applyFill="1" applyBorder="1" applyAlignment="1" applyProtection="1">
      <alignment horizontal="right"/>
      <protection locked="0"/>
    </xf>
    <xf numFmtId="0" fontId="22" fillId="5" borderId="14" xfId="3" applyFont="1" applyFill="1" applyBorder="1" applyAlignment="1" applyProtection="1">
      <alignment vertical="center"/>
      <protection locked="0"/>
    </xf>
    <xf numFmtId="0" fontId="24" fillId="0" borderId="14" xfId="0" applyFont="1" applyBorder="1"/>
    <xf numFmtId="0" fontId="24" fillId="0" borderId="10" xfId="0" applyFont="1" applyBorder="1"/>
    <xf numFmtId="0" fontId="23" fillId="0" borderId="0" xfId="1" applyFont="1"/>
    <xf numFmtId="0" fontId="23" fillId="0" borderId="0" xfId="1" applyFont="1" applyAlignment="1">
      <alignment horizontal="right"/>
    </xf>
    <xf numFmtId="0" fontId="23" fillId="6" borderId="14" xfId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4" fillId="0" borderId="0" xfId="0" applyFont="1"/>
    <xf numFmtId="0" fontId="27" fillId="0" borderId="0" xfId="0" applyFont="1" applyAlignment="1">
      <alignment horizontal="center"/>
    </xf>
    <xf numFmtId="0" fontId="26" fillId="7" borderId="9" xfId="0" applyFont="1" applyFill="1" applyBorder="1" applyAlignment="1">
      <alignment horizontal="right"/>
    </xf>
    <xf numFmtId="0" fontId="26" fillId="0" borderId="0" xfId="0" applyFont="1" applyAlignment="1">
      <alignment horizontal="right"/>
    </xf>
    <xf numFmtId="0" fontId="5" fillId="0" borderId="0" xfId="0" applyFont="1"/>
    <xf numFmtId="170" fontId="26" fillId="7" borderId="12" xfId="0" applyNumberFormat="1" applyFont="1" applyFill="1" applyBorder="1" applyAlignment="1" applyProtection="1">
      <alignment horizontal="right"/>
      <protection locked="0"/>
    </xf>
    <xf numFmtId="14" fontId="26" fillId="0" borderId="0" xfId="0" applyNumberFormat="1" applyFont="1" applyAlignment="1" applyProtection="1">
      <alignment horizontal="right"/>
      <protection locked="0"/>
    </xf>
    <xf numFmtId="0" fontId="28" fillId="0" borderId="0" xfId="0" applyFont="1"/>
    <xf numFmtId="0" fontId="24" fillId="9" borderId="9" xfId="0" applyFont="1" applyFill="1" applyBorder="1" applyAlignment="1">
      <alignment horizontal="right"/>
    </xf>
    <xf numFmtId="0" fontId="29" fillId="0" borderId="0" xfId="0" applyFont="1"/>
    <xf numFmtId="1" fontId="24" fillId="9" borderId="9" xfId="0" applyNumberFormat="1" applyFont="1" applyFill="1" applyBorder="1" applyAlignment="1">
      <alignment horizontal="right"/>
    </xf>
    <xf numFmtId="1" fontId="29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1" fontId="24" fillId="0" borderId="0" xfId="0" applyNumberFormat="1" applyFont="1" applyAlignment="1">
      <alignment horizontal="right"/>
    </xf>
    <xf numFmtId="4" fontId="24" fillId="0" borderId="4" xfId="0" applyNumberFormat="1" applyFont="1" applyBorder="1" applyAlignment="1">
      <alignment horizontal="right"/>
    </xf>
    <xf numFmtId="0" fontId="24" fillId="0" borderId="4" xfId="0" applyFont="1" applyBorder="1"/>
    <xf numFmtId="165" fontId="24" fillId="0" borderId="2" xfId="0" applyNumberFormat="1" applyFont="1" applyBorder="1" applyAlignment="1">
      <alignment horizontal="right"/>
    </xf>
    <xf numFmtId="0" fontId="30" fillId="0" borderId="14" xfId="0" applyFont="1" applyBorder="1" applyAlignment="1">
      <alignment vertical="center"/>
    </xf>
    <xf numFmtId="4" fontId="5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 applyProtection="1">
      <alignment horizontal="center"/>
      <protection locked="0"/>
    </xf>
    <xf numFmtId="2" fontId="26" fillId="0" borderId="0" xfId="0" applyNumberFormat="1" applyFont="1" applyAlignment="1" applyProtection="1">
      <alignment horizontal="right"/>
      <protection locked="0"/>
    </xf>
    <xf numFmtId="0" fontId="24" fillId="8" borderId="14" xfId="0" applyFont="1" applyFill="1" applyBorder="1" applyAlignment="1">
      <alignment vertical="center"/>
    </xf>
    <xf numFmtId="0" fontId="30" fillId="8" borderId="12" xfId="0" applyFont="1" applyFill="1" applyBorder="1" applyAlignment="1">
      <alignment horizontal="right" vertical="center"/>
    </xf>
    <xf numFmtId="0" fontId="24" fillId="8" borderId="12" xfId="0" applyFont="1" applyFill="1" applyBorder="1" applyAlignment="1">
      <alignment horizontal="right" vertical="center"/>
    </xf>
    <xf numFmtId="0" fontId="26" fillId="7" borderId="10" xfId="0" applyFont="1" applyFill="1" applyBorder="1" applyAlignment="1" applyProtection="1">
      <alignment vertical="center"/>
      <protection locked="0"/>
    </xf>
    <xf numFmtId="4" fontId="24" fillId="0" borderId="9" xfId="0" applyNumberFormat="1" applyFont="1" applyBorder="1" applyAlignment="1">
      <alignment horizontal="right"/>
    </xf>
    <xf numFmtId="166" fontId="22" fillId="5" borderId="14" xfId="3" applyNumberFormat="1" applyFont="1" applyFill="1" applyBorder="1" applyAlignment="1" applyProtection="1">
      <alignment vertical="center"/>
      <protection locked="0"/>
    </xf>
    <xf numFmtId="166" fontId="23" fillId="0" borderId="14" xfId="0" applyNumberFormat="1" applyFont="1" applyBorder="1" applyProtection="1">
      <protection locked="0"/>
    </xf>
    <xf numFmtId="166" fontId="26" fillId="7" borderId="9" xfId="0" applyNumberFormat="1" applyFont="1" applyFill="1" applyBorder="1" applyAlignment="1" applyProtection="1">
      <alignment vertical="center"/>
      <protection locked="0"/>
    </xf>
    <xf numFmtId="166" fontId="26" fillId="7" borderId="14" xfId="0" applyNumberFormat="1" applyFont="1" applyFill="1" applyBorder="1" applyAlignment="1" applyProtection="1">
      <alignment vertical="center"/>
      <protection locked="0"/>
    </xf>
    <xf numFmtId="166" fontId="26" fillId="7" borderId="12" xfId="0" applyNumberFormat="1" applyFont="1" applyFill="1" applyBorder="1" applyAlignment="1" applyProtection="1">
      <alignment vertical="center"/>
      <protection locked="0"/>
    </xf>
    <xf numFmtId="0" fontId="24" fillId="0" borderId="7" xfId="0" applyFont="1" applyBorder="1"/>
    <xf numFmtId="0" fontId="9" fillId="6" borderId="11" xfId="5" applyFont="1" applyFill="1" applyBorder="1"/>
    <xf numFmtId="164" fontId="9" fillId="6" borderId="14" xfId="5" applyNumberFormat="1" applyFont="1" applyFill="1" applyBorder="1"/>
    <xf numFmtId="0" fontId="9" fillId="0" borderId="0" xfId="5" applyFont="1"/>
    <xf numFmtId="0" fontId="1" fillId="0" borderId="0" xfId="4" applyFont="1"/>
    <xf numFmtId="0" fontId="12" fillId="0" borderId="0" xfId="5" applyFont="1"/>
    <xf numFmtId="4" fontId="9" fillId="0" borderId="0" xfId="5" applyNumberFormat="1" applyFont="1"/>
    <xf numFmtId="0" fontId="32" fillId="0" borderId="0" xfId="5" applyFont="1"/>
    <xf numFmtId="2" fontId="32" fillId="0" borderId="0" xfId="5" applyNumberFormat="1" applyFont="1"/>
    <xf numFmtId="2" fontId="9" fillId="0" borderId="0" xfId="5" applyNumberFormat="1" applyFont="1"/>
    <xf numFmtId="0" fontId="31" fillId="4" borderId="1" xfId="5" applyFont="1" applyFill="1" applyBorder="1" applyAlignment="1">
      <alignment horizontal="right"/>
    </xf>
    <xf numFmtId="0" fontId="31" fillId="4" borderId="3" xfId="5" applyFont="1" applyFill="1" applyBorder="1" applyAlignment="1">
      <alignment horizontal="right"/>
    </xf>
    <xf numFmtId="0" fontId="31" fillId="4" borderId="2" xfId="5" applyFont="1" applyFill="1" applyBorder="1" applyAlignment="1">
      <alignment horizontal="right"/>
    </xf>
    <xf numFmtId="0" fontId="9" fillId="6" borderId="4" xfId="5" applyFont="1" applyFill="1" applyBorder="1"/>
    <xf numFmtId="166" fontId="9" fillId="6" borderId="15" xfId="5" applyNumberFormat="1" applyFont="1" applyFill="1" applyBorder="1"/>
    <xf numFmtId="166" fontId="9" fillId="6" borderId="16" xfId="5" applyNumberFormat="1" applyFont="1" applyFill="1" applyBorder="1"/>
    <xf numFmtId="166" fontId="9" fillId="6" borderId="0" xfId="5" applyNumberFormat="1" applyFont="1" applyFill="1"/>
    <xf numFmtId="166" fontId="9" fillId="6" borderId="6" xfId="5" applyNumberFormat="1" applyFont="1" applyFill="1" applyBorder="1"/>
    <xf numFmtId="0" fontId="9" fillId="6" borderId="13" xfId="5" applyFont="1" applyFill="1" applyBorder="1"/>
    <xf numFmtId="0" fontId="9" fillId="6" borderId="10" xfId="5" applyFont="1" applyFill="1" applyBorder="1"/>
    <xf numFmtId="166" fontId="9" fillId="6" borderId="17" xfId="5" applyNumberFormat="1" applyFont="1" applyFill="1" applyBorder="1"/>
    <xf numFmtId="166" fontId="9" fillId="6" borderId="18" xfId="5" applyNumberFormat="1" applyFont="1" applyFill="1" applyBorder="1"/>
    <xf numFmtId="166" fontId="9" fillId="6" borderId="8" xfId="5" applyNumberFormat="1" applyFont="1" applyFill="1" applyBorder="1"/>
    <xf numFmtId="166" fontId="9" fillId="6" borderId="9" xfId="5" applyNumberFormat="1" applyFont="1" applyFill="1" applyBorder="1"/>
    <xf numFmtId="0" fontId="31" fillId="4" borderId="0" xfId="5" applyFont="1" applyFill="1" applyAlignment="1">
      <alignment horizontal="right"/>
    </xf>
    <xf numFmtId="166" fontId="9" fillId="6" borderId="19" xfId="5" applyNumberFormat="1" applyFont="1" applyFill="1" applyBorder="1"/>
    <xf numFmtId="166" fontId="9" fillId="6" borderId="20" xfId="5" applyNumberFormat="1" applyFont="1" applyFill="1" applyBorder="1"/>
    <xf numFmtId="166" fontId="9" fillId="6" borderId="3" xfId="5" applyNumberFormat="1" applyFont="1" applyFill="1" applyBorder="1"/>
    <xf numFmtId="166" fontId="9" fillId="6" borderId="2" xfId="5" applyNumberFormat="1" applyFont="1" applyFill="1" applyBorder="1"/>
    <xf numFmtId="11" fontId="9" fillId="0" borderId="0" xfId="5" applyNumberFormat="1" applyFont="1"/>
    <xf numFmtId="0" fontId="9" fillId="6" borderId="17" xfId="5" applyFont="1" applyFill="1" applyBorder="1"/>
    <xf numFmtId="0" fontId="9" fillId="6" borderId="18" xfId="5" applyFont="1" applyFill="1" applyBorder="1"/>
    <xf numFmtId="0" fontId="9" fillId="6" borderId="8" xfId="5" applyFont="1" applyFill="1" applyBorder="1"/>
    <xf numFmtId="0" fontId="9" fillId="6" borderId="9" xfId="5" applyFont="1" applyFill="1" applyBorder="1"/>
    <xf numFmtId="166" fontId="9" fillId="0" borderId="0" xfId="5" applyNumberFormat="1" applyFont="1"/>
    <xf numFmtId="164" fontId="9" fillId="6" borderId="19" xfId="5" applyNumberFormat="1" applyFont="1" applyFill="1" applyBorder="1"/>
    <xf numFmtId="164" fontId="9" fillId="6" borderId="20" xfId="5" applyNumberFormat="1" applyFont="1" applyFill="1" applyBorder="1"/>
    <xf numFmtId="164" fontId="9" fillId="6" borderId="3" xfId="5" applyNumberFormat="1" applyFont="1" applyFill="1" applyBorder="1"/>
    <xf numFmtId="164" fontId="9" fillId="6" borderId="2" xfId="5" applyNumberFormat="1" applyFont="1" applyFill="1" applyBorder="1"/>
    <xf numFmtId="164" fontId="9" fillId="6" borderId="15" xfId="5" applyNumberFormat="1" applyFont="1" applyFill="1" applyBorder="1"/>
    <xf numFmtId="164" fontId="9" fillId="6" borderId="16" xfId="5" applyNumberFormat="1" applyFont="1" applyFill="1" applyBorder="1"/>
    <xf numFmtId="164" fontId="9" fillId="6" borderId="0" xfId="5" applyNumberFormat="1" applyFont="1" applyFill="1"/>
    <xf numFmtId="164" fontId="9" fillId="6" borderId="6" xfId="5" applyNumberFormat="1" applyFont="1" applyFill="1" applyBorder="1"/>
    <xf numFmtId="164" fontId="9" fillId="6" borderId="17" xfId="5" applyNumberFormat="1" applyFont="1" applyFill="1" applyBorder="1"/>
    <xf numFmtId="164" fontId="9" fillId="6" borderId="18" xfId="5" applyNumberFormat="1" applyFont="1" applyFill="1" applyBorder="1"/>
    <xf numFmtId="164" fontId="9" fillId="6" borderId="8" xfId="5" applyNumberFormat="1" applyFont="1" applyFill="1" applyBorder="1"/>
    <xf numFmtId="164" fontId="9" fillId="6" borderId="9" xfId="5" applyNumberFormat="1" applyFont="1" applyFill="1" applyBorder="1"/>
    <xf numFmtId="0" fontId="33" fillId="0" borderId="0" xfId="5" applyFont="1" applyAlignment="1">
      <alignment horizontal="center"/>
    </xf>
    <xf numFmtId="167" fontId="9" fillId="0" borderId="0" xfId="5" applyNumberFormat="1" applyFont="1"/>
    <xf numFmtId="166" fontId="9" fillId="6" borderId="1" xfId="5" applyNumberFormat="1" applyFont="1" applyFill="1" applyBorder="1"/>
    <xf numFmtId="166" fontId="9" fillId="6" borderId="5" xfId="5" applyNumberFormat="1" applyFont="1" applyFill="1" applyBorder="1"/>
    <xf numFmtId="166" fontId="9" fillId="6" borderId="7" xfId="5" applyNumberFormat="1" applyFont="1" applyFill="1" applyBorder="1"/>
    <xf numFmtId="0" fontId="5" fillId="0" borderId="0" xfId="1" applyFont="1"/>
    <xf numFmtId="169" fontId="24" fillId="0" borderId="0" xfId="0" applyNumberFormat="1" applyFont="1"/>
    <xf numFmtId="166" fontId="21" fillId="0" borderId="14" xfId="5" applyNumberFormat="1" applyFont="1" applyBorder="1" applyAlignment="1">
      <alignment horizontal="right"/>
    </xf>
    <xf numFmtId="166" fontId="23" fillId="0" borderId="14" xfId="1" applyNumberFormat="1" applyFont="1" applyBorder="1" applyAlignment="1">
      <alignment horizontal="right"/>
    </xf>
    <xf numFmtId="166" fontId="36" fillId="0" borderId="14" xfId="0" applyNumberFormat="1" applyFont="1" applyBorder="1" applyAlignment="1">
      <alignment horizontal="right"/>
    </xf>
    <xf numFmtId="0" fontId="36" fillId="0" borderId="10" xfId="0" applyFont="1" applyBorder="1" applyAlignment="1">
      <alignment horizontal="right"/>
    </xf>
    <xf numFmtId="0" fontId="21" fillId="0" borderId="10" xfId="5" applyFont="1" applyBorder="1" applyAlignment="1">
      <alignment horizontal="right"/>
    </xf>
    <xf numFmtId="0" fontId="23" fillId="0" borderId="10" xfId="1" applyFont="1" applyBorder="1" applyAlignment="1">
      <alignment horizontal="right"/>
    </xf>
    <xf numFmtId="0" fontId="23" fillId="0" borderId="8" xfId="1" applyFont="1" applyBorder="1"/>
    <xf numFmtId="0" fontId="29" fillId="5" borderId="14" xfId="0" applyFont="1" applyFill="1" applyBorder="1"/>
    <xf numFmtId="0" fontId="23" fillId="0" borderId="14" xfId="1" applyFont="1" applyBorder="1" applyAlignment="1">
      <alignment horizontal="center"/>
    </xf>
    <xf numFmtId="171" fontId="23" fillId="0" borderId="14" xfId="1" applyNumberFormat="1" applyFont="1" applyBorder="1" applyAlignment="1">
      <alignment horizontal="center"/>
    </xf>
    <xf numFmtId="0" fontId="23" fillId="0" borderId="14" xfId="1" applyFont="1" applyBorder="1" applyAlignment="1">
      <alignment horizontal="right"/>
    </xf>
    <xf numFmtId="4" fontId="23" fillId="0" borderId="14" xfId="1" applyNumberFormat="1" applyFont="1" applyBorder="1"/>
    <xf numFmtId="0" fontId="38" fillId="0" borderId="0" xfId="1" applyFont="1" applyAlignment="1">
      <alignment horizontal="right"/>
    </xf>
    <xf numFmtId="0" fontId="23" fillId="0" borderId="0" xfId="10" applyFont="1"/>
    <xf numFmtId="168" fontId="9" fillId="3" borderId="14" xfId="5" applyNumberFormat="1" applyFont="1" applyFill="1" applyBorder="1" applyAlignment="1">
      <alignment horizontal="right"/>
    </xf>
    <xf numFmtId="0" fontId="2" fillId="5" borderId="0" xfId="5" applyFont="1" applyFill="1" applyAlignment="1" applyProtection="1">
      <alignment horizontal="center"/>
      <protection locked="0"/>
    </xf>
    <xf numFmtId="0" fontId="8" fillId="0" borderId="14" xfId="5" applyBorder="1" applyAlignment="1">
      <alignment horizontal="right"/>
    </xf>
    <xf numFmtId="2" fontId="9" fillId="0" borderId="14" xfId="5" applyNumberFormat="1" applyFont="1" applyBorder="1"/>
    <xf numFmtId="1" fontId="39" fillId="0" borderId="14" xfId="7" applyNumberFormat="1" applyFont="1" applyBorder="1" applyAlignment="1" applyProtection="1">
      <alignment horizontal="right"/>
      <protection locked="0"/>
    </xf>
    <xf numFmtId="2" fontId="39" fillId="0" borderId="14" xfId="3" applyNumberFormat="1" applyFont="1" applyBorder="1" applyAlignment="1">
      <alignment horizontal="right"/>
    </xf>
    <xf numFmtId="0" fontId="21" fillId="0" borderId="14" xfId="3" applyFont="1" applyBorder="1" applyAlignment="1">
      <alignment horizontal="right"/>
    </xf>
    <xf numFmtId="171" fontId="40" fillId="0" borderId="14" xfId="1" applyNumberFormat="1" applyFont="1" applyBorder="1"/>
    <xf numFmtId="0" fontId="41" fillId="0" borderId="0" xfId="0" applyFont="1"/>
    <xf numFmtId="0" fontId="42" fillId="0" borderId="0" xfId="4" applyFont="1"/>
    <xf numFmtId="169" fontId="8" fillId="0" borderId="0" xfId="5" applyNumberFormat="1"/>
    <xf numFmtId="0" fontId="24" fillId="0" borderId="14" xfId="0" applyFont="1" applyBorder="1" applyAlignment="1">
      <alignment horizontal="left"/>
    </xf>
    <xf numFmtId="1" fontId="26" fillId="7" borderId="14" xfId="0" applyNumberFormat="1" applyFont="1" applyFill="1" applyBorder="1"/>
    <xf numFmtId="0" fontId="43" fillId="4" borderId="14" xfId="1" applyFont="1" applyFill="1" applyBorder="1" applyAlignment="1">
      <alignment horizontal="center"/>
    </xf>
    <xf numFmtId="0" fontId="8" fillId="0" borderId="14" xfId="5" applyBorder="1"/>
    <xf numFmtId="0" fontId="28" fillId="0" borderId="14" xfId="0" applyFont="1" applyBorder="1"/>
    <xf numFmtId="166" fontId="24" fillId="0" borderId="14" xfId="0" applyNumberFormat="1" applyFont="1" applyBorder="1"/>
    <xf numFmtId="0" fontId="28" fillId="0" borderId="14" xfId="0" applyFont="1" applyBorder="1" applyAlignment="1">
      <alignment horizontal="right"/>
    </xf>
    <xf numFmtId="0" fontId="24" fillId="0" borderId="14" xfId="0" applyFont="1" applyBorder="1" applyAlignment="1">
      <alignment horizontal="right"/>
    </xf>
    <xf numFmtId="0" fontId="23" fillId="0" borderId="14" xfId="1" applyFont="1" applyBorder="1"/>
    <xf numFmtId="166" fontId="23" fillId="0" borderId="14" xfId="1" applyNumberFormat="1" applyFont="1" applyBorder="1"/>
    <xf numFmtId="0" fontId="45" fillId="0" borderId="0" xfId="1" applyFont="1"/>
    <xf numFmtId="0" fontId="32" fillId="0" borderId="0" xfId="5" applyFont="1" applyAlignment="1">
      <alignment horizontal="center"/>
    </xf>
    <xf numFmtId="0" fontId="11" fillId="2" borderId="0" xfId="6" applyFont="1" applyFill="1" applyAlignment="1">
      <alignment horizontal="center" vertical="center" wrapText="1"/>
    </xf>
    <xf numFmtId="0" fontId="19" fillId="2" borderId="1" xfId="8" applyFont="1" applyFill="1" applyBorder="1" applyAlignment="1">
      <alignment horizontal="center"/>
    </xf>
    <xf numFmtId="0" fontId="19" fillId="2" borderId="3" xfId="8" applyFont="1" applyFill="1" applyBorder="1" applyAlignment="1">
      <alignment horizontal="center"/>
    </xf>
    <xf numFmtId="0" fontId="19" fillId="2" borderId="23" xfId="8" applyFont="1" applyFill="1" applyBorder="1" applyAlignment="1">
      <alignment horizontal="center"/>
    </xf>
    <xf numFmtId="0" fontId="20" fillId="2" borderId="5" xfId="9" applyFont="1" applyFill="1" applyBorder="1" applyAlignment="1">
      <alignment horizontal="center"/>
    </xf>
    <xf numFmtId="0" fontId="20" fillId="2" borderId="0" xfId="9" applyFont="1" applyFill="1" applyAlignment="1">
      <alignment horizontal="center"/>
    </xf>
    <xf numFmtId="0" fontId="20" fillId="2" borderId="22" xfId="9" applyFont="1" applyFill="1" applyBorder="1" applyAlignment="1">
      <alignment horizontal="center"/>
    </xf>
    <xf numFmtId="0" fontId="20" fillId="2" borderId="7" xfId="9" applyFont="1" applyFill="1" applyBorder="1" applyAlignment="1">
      <alignment horizontal="center"/>
    </xf>
    <xf numFmtId="0" fontId="20" fillId="2" borderId="8" xfId="9" applyFont="1" applyFill="1" applyBorder="1" applyAlignment="1">
      <alignment horizontal="center"/>
    </xf>
    <xf numFmtId="0" fontId="20" fillId="2" borderId="21" xfId="9" applyFont="1" applyFill="1" applyBorder="1" applyAlignment="1">
      <alignment horizontal="center"/>
    </xf>
    <xf numFmtId="0" fontId="18" fillId="2" borderId="0" xfId="4" applyFont="1" applyFill="1" applyAlignment="1">
      <alignment horizontal="center"/>
    </xf>
    <xf numFmtId="0" fontId="26" fillId="8" borderId="11" xfId="0" applyFont="1" applyFill="1" applyBorder="1" applyAlignment="1">
      <alignment horizontal="center"/>
    </xf>
    <xf numFmtId="0" fontId="26" fillId="8" borderId="24" xfId="0" applyFont="1" applyFill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12" xfId="1" applyFont="1" applyBorder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22" fillId="10" borderId="0" xfId="4" applyFont="1" applyFill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168" fontId="9" fillId="3" borderId="11" xfId="5" applyNumberFormat="1" applyFont="1" applyFill="1" applyBorder="1" applyAlignment="1">
      <alignment horizontal="center"/>
    </xf>
    <xf numFmtId="168" fontId="9" fillId="3" borderId="25" xfId="5" applyNumberFormat="1" applyFont="1" applyFill="1" applyBorder="1" applyAlignment="1">
      <alignment horizontal="center"/>
    </xf>
    <xf numFmtId="168" fontId="9" fillId="3" borderId="12" xfId="5" applyNumberFormat="1" applyFont="1" applyFill="1" applyBorder="1" applyAlignment="1">
      <alignment horizontal="center"/>
    </xf>
    <xf numFmtId="0" fontId="32" fillId="0" borderId="0" xfId="5" applyFont="1" applyAlignment="1">
      <alignment horizontal="center"/>
    </xf>
    <xf numFmtId="0" fontId="46" fillId="0" borderId="0" xfId="5" applyFont="1"/>
  </cellXfs>
  <cellStyles count="17">
    <cellStyle name="Hyperlink 2" xfId="2" xr:uid="{4FE61311-DBD8-B048-945F-211246329FAC}"/>
    <cellStyle name="Hyperlink 2 2" xfId="8" xr:uid="{9AEAE755-0984-374B-83D3-325E278840C1}"/>
    <cellStyle name="Hyperlink 3" xfId="4" xr:uid="{6006D9EC-8120-0749-984A-414BFE0882C3}"/>
    <cellStyle name="Normal" xfId="0" builtinId="0"/>
    <cellStyle name="Normal 2" xfId="1" xr:uid="{63DDC796-707B-E346-BECA-246AC8FB8D6E}"/>
    <cellStyle name="Normal 2 2" xfId="6" xr:uid="{23C92AB3-C5D4-E44F-86E5-0B511C926082}"/>
    <cellStyle name="Normal 3" xfId="3" xr:uid="{9EF0BE49-41F8-3641-9F36-6E0EA183D3EE}"/>
    <cellStyle name="Normal 3 2" xfId="9" xr:uid="{5627FF92-F093-7C46-954F-31B3B211F802}"/>
    <cellStyle name="Normal 3 2 2" xfId="11" xr:uid="{7F2098B5-2226-4742-A1C6-86DAB5D2BB83}"/>
    <cellStyle name="Normal 3 3" xfId="10" xr:uid="{1DD90604-4865-8242-83D3-9268C930F74F}"/>
    <cellStyle name="Normal 3 3 2" xfId="16" xr:uid="{13942382-BE12-7342-8A8D-8219E283292D}"/>
    <cellStyle name="Normal 4" xfId="5" xr:uid="{19ECB998-5E58-6E4F-9183-EF25138180AA}"/>
    <cellStyle name="Normal 5" xfId="7" xr:uid="{25E274EF-2CE5-6C42-848D-8D45B2DC2040}"/>
    <cellStyle name="Normal 5 2" xfId="14" xr:uid="{8396C64D-6D11-1D48-8F96-A211B4BC5D5E}"/>
    <cellStyle name="Normal 6" xfId="12" xr:uid="{096B7B64-14C0-5442-B5C0-7F2BE1FF7D90}"/>
    <cellStyle name="Normal 6 2" xfId="13" xr:uid="{2360357B-AEDA-254F-838A-091192EDDE26}"/>
    <cellStyle name="Normal 7" xfId="15" xr:uid="{CD2DB8F3-73D0-3645-A96F-3762F3AB95EB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Medium7"/>
  <colors>
    <mruColors>
      <color rgb="FFFFF4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Rising, Transit and Setting Times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>
        <c:manualLayout>
          <c:layoutTarget val="inner"/>
          <c:xMode val="edge"/>
          <c:yMode val="edge"/>
          <c:x val="6.3231827204395144E-2"/>
          <c:y val="8.650573354589669E-2"/>
          <c:w val="0.9295997140142428"/>
          <c:h val="0.8699073407191008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'Rising, Transit, Setting'!$J$26:$J$28</c:f>
              <c:numCache>
                <mc:AlternateContent xmlns:mc="http://schemas.openxmlformats.org/markup-compatibility/2006">
                  <mc:Choice Requires="c16r2">
                    <c16r2:formatcode2>[$-en-CH,1]hh:mm;@</c16r2:formatcode2>
                  </mc:Choice>
                  <mc:Fallback>
                    <c:formatCode>[$]hh:mm;@</c:formatCode>
                  </mc:Fallback>
                </mc:AlternateContent>
                <c:ptCount val="3"/>
                <c:pt idx="0">
                  <c:v>0.3684837962962963</c:v>
                </c:pt>
                <c:pt idx="1">
                  <c:v>0.69026620370370373</c:v>
                </c:pt>
                <c:pt idx="2">
                  <c:v>2.1747685185185186E-2</c:v>
                </c:pt>
              </c:numCache>
            </c:numRef>
          </c:cat>
          <c:val>
            <c:numRef>
              <c:f>'Rising, Transit, Setting'!$K$26:$K$28</c:f>
              <c:numCache>
                <c:formatCode>0.0000</c:formatCode>
                <c:ptCount val="3"/>
                <c:pt idx="0">
                  <c:v>-0.28413772692005534</c:v>
                </c:pt>
                <c:pt idx="1">
                  <c:v>64.378423415142052</c:v>
                </c:pt>
                <c:pt idx="2">
                  <c:v>0.72298922685096434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7-D841-9DA7-837EC9B27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66432"/>
        <c:axId val="817422336"/>
      </c:lineChart>
      <c:catAx>
        <c:axId val="817066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Local 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[$]hh:mm;@" c16r2:formatcode2="[$-en-CH,1]h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817422336"/>
        <c:crosses val="autoZero"/>
        <c:auto val="1"/>
        <c:lblAlgn val="ctr"/>
        <c:lblOffset val="100"/>
        <c:noMultiLvlLbl val="0"/>
      </c:catAx>
      <c:valAx>
        <c:axId val="817422336"/>
        <c:scaling>
          <c:orientation val="minMax"/>
          <c:max val="90"/>
          <c:min val="-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Altitude</a:t>
                </a:r>
                <a:r>
                  <a:rPr lang="en-GB" baseline="0"/>
                  <a:t> (degrees)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H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817066432"/>
        <c:crosses val="autoZero"/>
        <c:crossBetween val="between"/>
        <c:majorUnit val="15"/>
      </c:valAx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17" Type="http://schemas.openxmlformats.org/officeDocument/2006/relationships/chart" Target="../charts/chart1.xml"/><Relationship Id="rId2" Type="http://schemas.openxmlformats.org/officeDocument/2006/relationships/image" Target="../media/image3.gif"/><Relationship Id="rId16" Type="http://schemas.openxmlformats.org/officeDocument/2006/relationships/image" Target="../media/image17.gif"/><Relationship Id="rId1" Type="http://schemas.openxmlformats.org/officeDocument/2006/relationships/image" Target="../media/image2.gif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g"/><Relationship Id="rId1" Type="http://schemas.openxmlformats.org/officeDocument/2006/relationships/image" Target="../media/image1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15</xdr:row>
      <xdr:rowOff>228600</xdr:rowOff>
    </xdr:from>
    <xdr:to>
      <xdr:col>9</xdr:col>
      <xdr:colOff>508000</xdr:colOff>
      <xdr:row>37</xdr:row>
      <xdr:rowOff>12700</xdr:rowOff>
    </xdr:to>
    <xdr:pic>
      <xdr:nvPicPr>
        <xdr:cNvPr id="4" name="Picture 3" descr="Jigsaw Puzzle of Solar system orbit diagram, digital illustration">
          <a:extLst>
            <a:ext uri="{FF2B5EF4-FFF2-40B4-BE49-F238E27FC236}">
              <a16:creationId xmlns:a16="http://schemas.microsoft.com/office/drawing/2014/main" id="{1D08373A-6C10-F300-0855-8B993D876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400" y="3378200"/>
          <a:ext cx="6438900" cy="429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227</xdr:row>
      <xdr:rowOff>0</xdr:rowOff>
    </xdr:from>
    <xdr:ext cx="476250" cy="489137"/>
    <xdr:pic>
      <xdr:nvPicPr>
        <xdr:cNvPr id="3" name="Moon_NM" descr="O" hidden="1">
          <a:extLst>
            <a:ext uri="{FF2B5EF4-FFF2-40B4-BE49-F238E27FC236}">
              <a16:creationId xmlns:a16="http://schemas.microsoft.com/office/drawing/2014/main" id="{A736A3DE-16CC-954F-96CE-E59ECA592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78125" y="59626500"/>
          <a:ext cx="476250" cy="489137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39</xdr:row>
      <xdr:rowOff>0</xdr:rowOff>
    </xdr:from>
    <xdr:ext cx="2448411" cy="2173740"/>
    <xdr:pic>
      <xdr:nvPicPr>
        <xdr:cNvPr id="4" name="Picture 11" descr="http://lepmfi.gsfc.nasa.gov/mfi/lepedu/siteimg/all_planets.gif" hidden="1">
          <a:extLst>
            <a:ext uri="{FF2B5EF4-FFF2-40B4-BE49-F238E27FC236}">
              <a16:creationId xmlns:a16="http://schemas.microsoft.com/office/drawing/2014/main" id="{6261DBD9-ACD1-A84E-95AC-CCABD88F9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77200" y="3048000"/>
          <a:ext cx="2448411" cy="2173740"/>
        </a:xfrm>
        <a:prstGeom prst="rect">
          <a:avLst/>
        </a:prstGeom>
        <a:noFill/>
      </xdr:spPr>
    </xdr:pic>
    <xdr:clientData/>
  </xdr:oneCellAnchor>
  <xdr:oneCellAnchor>
    <xdr:from>
      <xdr:col>2</xdr:col>
      <xdr:colOff>9525</xdr:colOff>
      <xdr:row>39</xdr:row>
      <xdr:rowOff>0</xdr:rowOff>
    </xdr:from>
    <xdr:ext cx="635000" cy="446367"/>
    <xdr:pic macro="[0]!InfoSun">
      <xdr:nvPicPr>
        <xdr:cNvPr id="5" name="Picture 14" descr="http://upload.wikimedia.org/wikipedia/commons/thumb/a/aa/Sun920607.jpg/100px-Sun920607.jpg" hidden="1">
          <a:extLst>
            <a:ext uri="{FF2B5EF4-FFF2-40B4-BE49-F238E27FC236}">
              <a16:creationId xmlns:a16="http://schemas.microsoft.com/office/drawing/2014/main" id="{27ADAFC4-F4CA-F645-98AC-B07F8F091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55725" y="3238500"/>
          <a:ext cx="635000" cy="446367"/>
        </a:xfrm>
        <a:prstGeom prst="rect">
          <a:avLst/>
        </a:prstGeom>
        <a:noFill/>
      </xdr:spPr>
    </xdr:pic>
    <xdr:clientData/>
  </xdr:oneCellAnchor>
  <xdr:oneCellAnchor>
    <xdr:from>
      <xdr:col>5</xdr:col>
      <xdr:colOff>19050</xdr:colOff>
      <xdr:row>39</xdr:row>
      <xdr:rowOff>0</xdr:rowOff>
    </xdr:from>
    <xdr:ext cx="622426" cy="577103"/>
    <xdr:pic macro="[0]!InfoMoon">
      <xdr:nvPicPr>
        <xdr:cNvPr id="6" name="Picture 15" descr="http://upload.wikimedia.org/wikipedia/commons/thumb/d/dd/Full_Moon_Luc_Viatour.jpg/100px-Full_Moon_Luc_Viatour.jpg" hidden="1">
          <a:extLst>
            <a:ext uri="{FF2B5EF4-FFF2-40B4-BE49-F238E27FC236}">
              <a16:creationId xmlns:a16="http://schemas.microsoft.com/office/drawing/2014/main" id="{052786A6-1756-4047-9AE7-49A3E6B48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384550" y="3162300"/>
          <a:ext cx="622426" cy="577103"/>
        </a:xfrm>
        <a:prstGeom prst="rect">
          <a:avLst/>
        </a:prstGeom>
        <a:noFill/>
      </xdr:spPr>
    </xdr:pic>
    <xdr:clientData/>
  </xdr:oneCellAnchor>
  <xdr:oneCellAnchor>
    <xdr:from>
      <xdr:col>3</xdr:col>
      <xdr:colOff>19049</xdr:colOff>
      <xdr:row>39</xdr:row>
      <xdr:rowOff>0</xdr:rowOff>
    </xdr:from>
    <xdr:ext cx="615759" cy="558054"/>
    <xdr:pic macro="[0]!InfoMercury">
      <xdr:nvPicPr>
        <xdr:cNvPr id="7" name="Picture 16" descr="http://upload.wikimedia.org/wikipedia/commons/thumb/3/30/Mercury_in_color_-_Prockter07_centered.jpg/100px-Mercury_in_color_-_Prockter07_centered.jpg" hidden="1">
          <a:extLst>
            <a:ext uri="{FF2B5EF4-FFF2-40B4-BE49-F238E27FC236}">
              <a16:creationId xmlns:a16="http://schemas.microsoft.com/office/drawing/2014/main" id="{D0EF82CF-B05E-814D-8BDE-2FD19B78F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38349" y="3181350"/>
          <a:ext cx="615759" cy="558054"/>
        </a:xfrm>
        <a:prstGeom prst="rect">
          <a:avLst/>
        </a:prstGeom>
        <a:noFill/>
      </xdr:spPr>
    </xdr:pic>
    <xdr:clientData/>
  </xdr:oneCellAnchor>
  <xdr:oneCellAnchor>
    <xdr:from>
      <xdr:col>4</xdr:col>
      <xdr:colOff>19050</xdr:colOff>
      <xdr:row>39</xdr:row>
      <xdr:rowOff>0</xdr:rowOff>
    </xdr:from>
    <xdr:ext cx="717550" cy="577103"/>
    <xdr:pic macro="[0]!InfoVenus">
      <xdr:nvPicPr>
        <xdr:cNvPr id="8" name="Picture 17" descr="http://upload.wikimedia.org/wikipedia/commons/thumb/5/51/Venus-real.jpg/100px-Venus-real.jpg" hidden="1">
          <a:extLst>
            <a:ext uri="{FF2B5EF4-FFF2-40B4-BE49-F238E27FC236}">
              <a16:creationId xmlns:a16="http://schemas.microsoft.com/office/drawing/2014/main" id="{EB4473AB-25EA-3341-AEEF-0217DE52B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711450" y="3162300"/>
          <a:ext cx="717550" cy="577103"/>
        </a:xfrm>
        <a:prstGeom prst="rect">
          <a:avLst/>
        </a:prstGeom>
        <a:noFill/>
      </xdr:spPr>
    </xdr:pic>
    <xdr:clientData/>
  </xdr:oneCellAnchor>
  <xdr:oneCellAnchor>
    <xdr:from>
      <xdr:col>6</xdr:col>
      <xdr:colOff>19050</xdr:colOff>
      <xdr:row>39</xdr:row>
      <xdr:rowOff>0</xdr:rowOff>
    </xdr:from>
    <xdr:ext cx="624417" cy="510428"/>
    <xdr:pic macro="[0]!InfoMars">
      <xdr:nvPicPr>
        <xdr:cNvPr id="9" name="Picture 18" descr="http://upload.wikimedia.org/wikipedia/commons/thumb/7/76/Mars_Hubble.jpg/100px-Mars_Hubble.jpg" hidden="1">
          <a:extLst>
            <a:ext uri="{FF2B5EF4-FFF2-40B4-BE49-F238E27FC236}">
              <a16:creationId xmlns:a16="http://schemas.microsoft.com/office/drawing/2014/main" id="{56BC7D5A-E52B-EC4A-9B42-3773389F3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57650" y="3228974"/>
          <a:ext cx="624417" cy="510428"/>
        </a:xfrm>
        <a:prstGeom prst="rect">
          <a:avLst/>
        </a:prstGeom>
        <a:noFill/>
      </xdr:spPr>
    </xdr:pic>
    <xdr:clientData/>
  </xdr:oneCellAnchor>
  <xdr:oneCellAnchor>
    <xdr:from>
      <xdr:col>7</xdr:col>
      <xdr:colOff>19050</xdr:colOff>
      <xdr:row>39</xdr:row>
      <xdr:rowOff>0</xdr:rowOff>
    </xdr:from>
    <xdr:ext cx="727075" cy="586628"/>
    <xdr:pic macro="[0]!InfoJupiter">
      <xdr:nvPicPr>
        <xdr:cNvPr id="10" name="Picture 19" descr="http://upload.wikimedia.org/wikipedia/commons/thumb/e/e2/Jupiter.jpg/100px-Jupiter.jpg" hidden="1">
          <a:extLst>
            <a:ext uri="{FF2B5EF4-FFF2-40B4-BE49-F238E27FC236}">
              <a16:creationId xmlns:a16="http://schemas.microsoft.com/office/drawing/2014/main" id="{F6568823-84F4-A145-B697-5991EA81B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730750" y="3152774"/>
          <a:ext cx="727075" cy="586628"/>
        </a:xfrm>
        <a:prstGeom prst="rect">
          <a:avLst/>
        </a:prstGeom>
        <a:noFill/>
      </xdr:spPr>
    </xdr:pic>
    <xdr:clientData/>
  </xdr:oneCellAnchor>
  <xdr:oneCellAnchor>
    <xdr:from>
      <xdr:col>9</xdr:col>
      <xdr:colOff>19050</xdr:colOff>
      <xdr:row>39</xdr:row>
      <xdr:rowOff>0</xdr:rowOff>
    </xdr:from>
    <xdr:ext cx="730187" cy="596153"/>
    <xdr:pic macro="[0]!InfoUranus">
      <xdr:nvPicPr>
        <xdr:cNvPr id="11" name="Picture 21" descr="http://upload.wikimedia.org/wikipedia/commons/thumb/3/3d/Uranus2.jpg/100px-Uranus2.jpg" hidden="1">
          <a:extLst>
            <a:ext uri="{FF2B5EF4-FFF2-40B4-BE49-F238E27FC236}">
              <a16:creationId xmlns:a16="http://schemas.microsoft.com/office/drawing/2014/main" id="{AA9ECD2D-BAA8-2A46-98CC-7C70283D8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076950" y="3143250"/>
          <a:ext cx="730187" cy="596153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28575</xdr:colOff>
      <xdr:row>39</xdr:row>
      <xdr:rowOff>0</xdr:rowOff>
    </xdr:from>
    <xdr:ext cx="710940" cy="558052"/>
    <xdr:pic macro="[0]!InfoNeptune">
      <xdr:nvPicPr>
        <xdr:cNvPr id="12" name="Picture 22" descr="http://upload.wikimedia.org/wikipedia/commons/thumb/0/06/Neptune.jpg/100px-Neptune.jpg" hidden="1">
          <a:extLst>
            <a:ext uri="{FF2B5EF4-FFF2-40B4-BE49-F238E27FC236}">
              <a16:creationId xmlns:a16="http://schemas.microsoft.com/office/drawing/2014/main" id="{B9F42A87-E8FF-4E40-865A-BEA5F11CC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759575" y="3181350"/>
          <a:ext cx="710940" cy="558052"/>
        </a:xfrm>
        <a:prstGeom prst="rect">
          <a:avLst/>
        </a:prstGeom>
        <a:noFill/>
      </xdr:spPr>
    </xdr:pic>
    <xdr:clientData/>
  </xdr:oneCellAnchor>
  <xdr:oneCellAnchor>
    <xdr:from>
      <xdr:col>11</xdr:col>
      <xdr:colOff>9524</xdr:colOff>
      <xdr:row>39</xdr:row>
      <xdr:rowOff>0</xdr:rowOff>
    </xdr:from>
    <xdr:ext cx="638175" cy="586628"/>
    <xdr:pic macro="[0]!InfoPluto">
      <xdr:nvPicPr>
        <xdr:cNvPr id="13" name="Picture 23" descr="http://upload.wikimedia.org/wikipedia/en/thumb/9/90/Pluto2.jpg/100px-Pluto2.jpg" hidden="1">
          <a:extLst>
            <a:ext uri="{FF2B5EF4-FFF2-40B4-BE49-F238E27FC236}">
              <a16:creationId xmlns:a16="http://schemas.microsoft.com/office/drawing/2014/main" id="{4BA8A18D-629E-0348-8BB5-151F3A875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413624" y="3152775"/>
          <a:ext cx="638175" cy="586628"/>
        </a:xfrm>
        <a:prstGeom prst="rect">
          <a:avLst/>
        </a:prstGeom>
        <a:noFill/>
      </xdr:spPr>
    </xdr:pic>
    <xdr:clientData/>
  </xdr:oneCellAnchor>
  <xdr:oneCellAnchor>
    <xdr:from>
      <xdr:col>8</xdr:col>
      <xdr:colOff>9525</xdr:colOff>
      <xdr:row>39</xdr:row>
      <xdr:rowOff>0</xdr:rowOff>
    </xdr:from>
    <xdr:ext cx="739492" cy="451410"/>
    <xdr:pic macro="[0]!InfoSaturn">
      <xdr:nvPicPr>
        <xdr:cNvPr id="14" name="Picture 24" descr="http://www.planetengrund.net/desktophintergrund/small/planeten/saturn03_1024.jpg" hidden="1">
          <a:extLst>
            <a:ext uri="{FF2B5EF4-FFF2-40B4-BE49-F238E27FC236}">
              <a16:creationId xmlns:a16="http://schemas.microsoft.com/office/drawing/2014/main" id="{83576662-797A-6C40-856C-239C5F771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394325" y="3257549"/>
          <a:ext cx="739492" cy="451410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39</xdr:row>
      <xdr:rowOff>0</xdr:rowOff>
    </xdr:from>
    <xdr:ext cx="2309345" cy="2187598"/>
    <xdr:pic>
      <xdr:nvPicPr>
        <xdr:cNvPr id="15" name="Picture 14" descr="SolarSystem.jpg" hidden="1">
          <a:extLst>
            <a:ext uri="{FF2B5EF4-FFF2-40B4-BE49-F238E27FC236}">
              <a16:creationId xmlns:a16="http://schemas.microsoft.com/office/drawing/2014/main" id="{9DA5AB0A-5B8B-CE42-A8DE-5C6EC5A8B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77200" y="3048000"/>
          <a:ext cx="2309345" cy="2187598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39</xdr:row>
      <xdr:rowOff>0</xdr:rowOff>
    </xdr:from>
    <xdr:ext cx="3141196" cy="1865593"/>
    <xdr:pic>
      <xdr:nvPicPr>
        <xdr:cNvPr id="16" name="Picture 15" descr="SolarSystem2.jpg" hidden="1">
          <a:extLst>
            <a:ext uri="{FF2B5EF4-FFF2-40B4-BE49-F238E27FC236}">
              <a16:creationId xmlns:a16="http://schemas.microsoft.com/office/drawing/2014/main" id="{539C99DB-A6DC-3C44-A0FE-F884CB88B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73100" y="3048000"/>
          <a:ext cx="3141196" cy="1865593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39</xdr:row>
      <xdr:rowOff>0</xdr:rowOff>
    </xdr:from>
    <xdr:ext cx="2213534" cy="2186747"/>
    <xdr:pic>
      <xdr:nvPicPr>
        <xdr:cNvPr id="17" name="Picture 16" descr="SolarSystem.jpg" hidden="1">
          <a:extLst>
            <a:ext uri="{FF2B5EF4-FFF2-40B4-BE49-F238E27FC236}">
              <a16:creationId xmlns:a16="http://schemas.microsoft.com/office/drawing/2014/main" id="{ED323756-A631-E142-966D-BB6583E18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77200" y="3048000"/>
          <a:ext cx="2213534" cy="2186747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39</xdr:row>
      <xdr:rowOff>0</xdr:rowOff>
    </xdr:from>
    <xdr:ext cx="3122146" cy="1865593"/>
    <xdr:pic>
      <xdr:nvPicPr>
        <xdr:cNvPr id="18" name="Picture 17" descr="SolarSystem2.jpg" hidden="1">
          <a:extLst>
            <a:ext uri="{FF2B5EF4-FFF2-40B4-BE49-F238E27FC236}">
              <a16:creationId xmlns:a16="http://schemas.microsoft.com/office/drawing/2014/main" id="{72F72226-099E-6844-AA5E-3D583B45A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87400" y="3048000"/>
          <a:ext cx="3122146" cy="18655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39</xdr:row>
      <xdr:rowOff>0</xdr:rowOff>
    </xdr:from>
    <xdr:ext cx="3106270" cy="1865593"/>
    <xdr:pic>
      <xdr:nvPicPr>
        <xdr:cNvPr id="19" name="Picture 18" descr="SolarSystem2.jpg" hidden="1">
          <a:extLst>
            <a:ext uri="{FF2B5EF4-FFF2-40B4-BE49-F238E27FC236}">
              <a16:creationId xmlns:a16="http://schemas.microsoft.com/office/drawing/2014/main" id="{B958E33B-1856-9644-939C-F4E499E5E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46200" y="3048000"/>
          <a:ext cx="3106270" cy="186559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39</xdr:row>
      <xdr:rowOff>0</xdr:rowOff>
    </xdr:from>
    <xdr:ext cx="3106270" cy="1865593"/>
    <xdr:pic>
      <xdr:nvPicPr>
        <xdr:cNvPr id="20" name="Picture 19" descr="SolarSystem2.jpg" hidden="1">
          <a:extLst>
            <a:ext uri="{FF2B5EF4-FFF2-40B4-BE49-F238E27FC236}">
              <a16:creationId xmlns:a16="http://schemas.microsoft.com/office/drawing/2014/main" id="{10A5C326-71C5-F742-BA19-66D3769B1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038600" y="3048000"/>
          <a:ext cx="3106270" cy="18655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39</xdr:row>
      <xdr:rowOff>0</xdr:rowOff>
    </xdr:from>
    <xdr:ext cx="1368985" cy="915521"/>
    <xdr:pic>
      <xdr:nvPicPr>
        <xdr:cNvPr id="21" name="Picture 20" descr="Saturn.jpg" hidden="1">
          <a:extLst>
            <a:ext uri="{FF2B5EF4-FFF2-40B4-BE49-F238E27FC236}">
              <a16:creationId xmlns:a16="http://schemas.microsoft.com/office/drawing/2014/main" id="{52EF15F4-FFD2-EC4C-9483-57F4E6E2E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46200" y="3048000"/>
          <a:ext cx="1368985" cy="915521"/>
        </a:xfrm>
        <a:prstGeom prst="rect">
          <a:avLst/>
        </a:prstGeom>
      </xdr:spPr>
    </xdr:pic>
    <xdr:clientData/>
  </xdr:oneCellAnchor>
  <xdr:oneCellAnchor>
    <xdr:from>
      <xdr:col>3</xdr:col>
      <xdr:colOff>485775</xdr:colOff>
      <xdr:row>39</xdr:row>
      <xdr:rowOff>0</xdr:rowOff>
    </xdr:from>
    <xdr:ext cx="1134035" cy="881903"/>
    <xdr:pic>
      <xdr:nvPicPr>
        <xdr:cNvPr id="22" name="MoonNewMoon" descr="MoonNew.gif" hidden="1">
          <a:extLst>
            <a:ext uri="{FF2B5EF4-FFF2-40B4-BE49-F238E27FC236}">
              <a16:creationId xmlns:a16="http://schemas.microsoft.com/office/drawing/2014/main" id="{27E336B2-FC0C-7D42-BEC4-2898C8C67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505075" y="3048000"/>
          <a:ext cx="1134035" cy="881903"/>
        </a:xfrm>
        <a:prstGeom prst="rect">
          <a:avLst/>
        </a:prstGeom>
      </xdr:spPr>
    </xdr:pic>
    <xdr:clientData/>
  </xdr:oneCellAnchor>
  <xdr:oneCellAnchor>
    <xdr:from>
      <xdr:col>4</xdr:col>
      <xdr:colOff>457200</xdr:colOff>
      <xdr:row>39</xdr:row>
      <xdr:rowOff>0</xdr:rowOff>
    </xdr:from>
    <xdr:ext cx="1451535" cy="1145988"/>
    <xdr:pic>
      <xdr:nvPicPr>
        <xdr:cNvPr id="23" name="Picture 22" descr="Jupiter.jpg" hidden="1">
          <a:extLst>
            <a:ext uri="{FF2B5EF4-FFF2-40B4-BE49-F238E27FC236}">
              <a16:creationId xmlns:a16="http://schemas.microsoft.com/office/drawing/2014/main" id="{51A8F7FE-9F4D-7C45-A041-EC6A0516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149600" y="3048000"/>
          <a:ext cx="1451535" cy="114598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39</xdr:row>
      <xdr:rowOff>0</xdr:rowOff>
    </xdr:from>
    <xdr:ext cx="1041400" cy="881903"/>
    <xdr:pic>
      <xdr:nvPicPr>
        <xdr:cNvPr id="25" name="Picture 24" descr="MoonNew.gif" hidden="1">
          <a:extLst>
            <a:ext uri="{FF2B5EF4-FFF2-40B4-BE49-F238E27FC236}">
              <a16:creationId xmlns:a16="http://schemas.microsoft.com/office/drawing/2014/main" id="{38D84CDC-BD30-244A-A7DE-BEE056053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46200" y="3048000"/>
          <a:ext cx="1041400" cy="881903"/>
        </a:xfrm>
        <a:prstGeom prst="rect">
          <a:avLst/>
        </a:prstGeom>
      </xdr:spPr>
    </xdr:pic>
    <xdr:clientData/>
  </xdr:oneCellAnchor>
  <xdr:oneCellAnchor>
    <xdr:from>
      <xdr:col>1</xdr:col>
      <xdr:colOff>647700</xdr:colOff>
      <xdr:row>39</xdr:row>
      <xdr:rowOff>0</xdr:rowOff>
    </xdr:from>
    <xdr:ext cx="3214781" cy="1865593"/>
    <xdr:pic>
      <xdr:nvPicPr>
        <xdr:cNvPr id="26" name="Picture 25" descr="SolarSystem2.jpg" hidden="1">
          <a:extLst>
            <a:ext uri="{FF2B5EF4-FFF2-40B4-BE49-F238E27FC236}">
              <a16:creationId xmlns:a16="http://schemas.microsoft.com/office/drawing/2014/main" id="{290FC3C3-7446-5441-9213-3D014986E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20800" y="3048000"/>
          <a:ext cx="3214781" cy="1865593"/>
        </a:xfrm>
        <a:prstGeom prst="rect">
          <a:avLst/>
        </a:prstGeom>
      </xdr:spPr>
    </xdr:pic>
    <xdr:clientData/>
  </xdr:oneCellAnchor>
  <xdr:oneCellAnchor>
    <xdr:from>
      <xdr:col>1</xdr:col>
      <xdr:colOff>647700</xdr:colOff>
      <xdr:row>39</xdr:row>
      <xdr:rowOff>0</xdr:rowOff>
    </xdr:from>
    <xdr:ext cx="3214781" cy="1865593"/>
    <xdr:pic>
      <xdr:nvPicPr>
        <xdr:cNvPr id="27" name="Picture 26" descr="SolarSystem2.jpg" hidden="1">
          <a:extLst>
            <a:ext uri="{FF2B5EF4-FFF2-40B4-BE49-F238E27FC236}">
              <a16:creationId xmlns:a16="http://schemas.microsoft.com/office/drawing/2014/main" id="{DBF80FEE-4E5E-E94B-AD2C-845552BAF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20800" y="3048000"/>
          <a:ext cx="3214781" cy="1865593"/>
        </a:xfrm>
        <a:prstGeom prst="rect">
          <a:avLst/>
        </a:prstGeom>
      </xdr:spPr>
    </xdr:pic>
    <xdr:clientData/>
  </xdr:oneCellAnchor>
  <xdr:twoCellAnchor>
    <xdr:from>
      <xdr:col>8</xdr:col>
      <xdr:colOff>304800</xdr:colOff>
      <xdr:row>1</xdr:row>
      <xdr:rowOff>184150</xdr:rowOff>
    </xdr:from>
    <xdr:to>
      <xdr:col>19</xdr:col>
      <xdr:colOff>533400</xdr:colOff>
      <xdr:row>35</xdr:row>
      <xdr:rowOff>38100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4AF155BA-1FE0-B914-3BE4-955F96C44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812800</xdr:colOff>
      <xdr:row>1</xdr:row>
      <xdr:rowOff>76200</xdr:rowOff>
    </xdr:from>
    <xdr:to>
      <xdr:col>8</xdr:col>
      <xdr:colOff>152400</xdr:colOff>
      <xdr:row>45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E358D2-BACE-6895-751D-73CC6271F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0" y="279400"/>
          <a:ext cx="5943600" cy="8940800"/>
        </a:xfrm>
        <a:prstGeom prst="rect">
          <a:avLst/>
        </a:prstGeom>
      </xdr:spPr>
    </xdr:pic>
    <xdr:clientData/>
  </xdr:twoCellAnchor>
  <xdr:twoCellAnchor editAs="oneCell">
    <xdr:from>
      <xdr:col>0</xdr:col>
      <xdr:colOff>812800</xdr:colOff>
      <xdr:row>45</xdr:row>
      <xdr:rowOff>63500</xdr:rowOff>
    </xdr:from>
    <xdr:to>
      <xdr:col>8</xdr:col>
      <xdr:colOff>152400</xdr:colOff>
      <xdr:row>81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AC60AA-90EE-F7A7-3C0F-B648A0303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800" y="9207500"/>
          <a:ext cx="5943600" cy="7251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astronomy-morsels.ch/" TargetMode="External"/><Relationship Id="rId1" Type="http://schemas.openxmlformats.org/officeDocument/2006/relationships/hyperlink" Target="mailto:anton@astronomy-morsels.ch?subject=Eclipse%20Dat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astro.if.ufrgs.br/trigesf/position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9D7B0-E520-5B48-AB53-2047706F7C9A}">
  <dimension ref="A2:K41"/>
  <sheetViews>
    <sheetView showGridLines="0" tabSelected="1" workbookViewId="0">
      <selection activeCell="B10" sqref="B10"/>
    </sheetView>
  </sheetViews>
  <sheetFormatPr baseColWidth="10" defaultRowHeight="16"/>
  <cols>
    <col min="1" max="1" width="10.83203125" style="7"/>
    <col min="2" max="11" width="11.33203125" style="7" customWidth="1"/>
    <col min="12" max="16384" width="10.83203125" style="7"/>
  </cols>
  <sheetData>
    <row r="2" spans="1:11" ht="15" customHeight="1"/>
    <row r="3" spans="1:11" ht="16" customHeight="1">
      <c r="A3"/>
      <c r="B3" s="157" t="s">
        <v>135</v>
      </c>
      <c r="C3" s="157"/>
      <c r="D3" s="157"/>
      <c r="E3" s="157"/>
      <c r="F3" s="157"/>
      <c r="G3" s="157"/>
      <c r="H3" s="157"/>
      <c r="I3" s="157"/>
      <c r="J3" s="157"/>
      <c r="K3" s="157"/>
    </row>
    <row r="4" spans="1:11" ht="16" customHeight="1"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5" spans="1:11" ht="16" customHeight="1">
      <c r="B5" s="157"/>
      <c r="C5" s="157"/>
      <c r="D5" s="157"/>
      <c r="E5" s="157"/>
      <c r="F5" s="157"/>
      <c r="G5" s="157"/>
      <c r="H5" s="157"/>
      <c r="I5" s="157"/>
      <c r="J5" s="157"/>
      <c r="K5" s="157"/>
    </row>
    <row r="6" spans="1:11" ht="16" customHeight="1">
      <c r="B6" s="157"/>
      <c r="C6" s="157"/>
      <c r="D6" s="157"/>
      <c r="E6" s="157"/>
      <c r="F6" s="157"/>
      <c r="G6" s="157"/>
      <c r="H6" s="157"/>
      <c r="I6" s="157"/>
      <c r="J6" s="157"/>
      <c r="K6" s="157"/>
    </row>
    <row r="7" spans="1:11" ht="16" customHeight="1">
      <c r="B7" s="157"/>
      <c r="C7" s="157"/>
      <c r="D7" s="157"/>
      <c r="E7" s="157"/>
      <c r="F7" s="157"/>
      <c r="G7" s="157"/>
      <c r="H7" s="157"/>
      <c r="I7" s="157"/>
      <c r="J7" s="157"/>
      <c r="K7" s="157"/>
    </row>
    <row r="8" spans="1:11" ht="16" customHeight="1">
      <c r="B8" s="157"/>
      <c r="C8" s="157"/>
      <c r="D8" s="157"/>
      <c r="E8" s="157"/>
      <c r="F8" s="157"/>
      <c r="G8" s="157"/>
      <c r="H8" s="157"/>
      <c r="I8" s="157"/>
      <c r="J8" s="157"/>
      <c r="K8" s="157"/>
    </row>
    <row r="9" spans="1:11" ht="16" customHeight="1">
      <c r="B9" s="157"/>
      <c r="C9" s="157"/>
      <c r="D9" s="157"/>
      <c r="E9" s="157"/>
      <c r="F9" s="157"/>
      <c r="G9" s="157"/>
      <c r="H9" s="157"/>
      <c r="I9" s="157"/>
      <c r="J9" s="157"/>
      <c r="K9" s="157"/>
    </row>
    <row r="13" spans="1:11" ht="19">
      <c r="D13" s="8" t="s">
        <v>80</v>
      </c>
      <c r="E13" s="9"/>
      <c r="F13" s="10"/>
      <c r="G13" s="10"/>
      <c r="H13" s="10"/>
      <c r="I13" s="11" t="s">
        <v>20</v>
      </c>
    </row>
    <row r="14" spans="1:11" ht="19">
      <c r="D14" s="12"/>
      <c r="E14" s="13"/>
      <c r="F14" s="14"/>
      <c r="G14" s="14"/>
      <c r="H14" s="14"/>
      <c r="I14" s="15"/>
    </row>
    <row r="15" spans="1:11" ht="19">
      <c r="D15" s="16" t="s">
        <v>123</v>
      </c>
      <c r="E15" s="17"/>
      <c r="F15" s="18"/>
      <c r="G15" s="18"/>
      <c r="H15" s="18"/>
      <c r="I15" s="19" t="s">
        <v>122</v>
      </c>
    </row>
    <row r="16" spans="1:11" ht="19">
      <c r="D16" s="21"/>
      <c r="E16" s="21"/>
      <c r="F16" s="14"/>
      <c r="G16" s="14"/>
      <c r="H16" s="14"/>
      <c r="I16" s="22"/>
    </row>
    <row r="17" spans="3:9">
      <c r="D17" s="167"/>
      <c r="E17" s="167"/>
      <c r="F17" s="167"/>
      <c r="G17" s="167"/>
      <c r="H17" s="167"/>
      <c r="I17" s="167"/>
    </row>
    <row r="22" spans="3:9">
      <c r="C22" s="20"/>
    </row>
    <row r="39" spans="2:11">
      <c r="B39" s="158" t="s">
        <v>19</v>
      </c>
      <c r="C39" s="159"/>
      <c r="D39" s="159"/>
      <c r="E39" s="159"/>
      <c r="F39" s="159"/>
      <c r="G39" s="159"/>
      <c r="H39" s="159"/>
      <c r="I39" s="159"/>
      <c r="J39" s="159"/>
      <c r="K39" s="160"/>
    </row>
    <row r="40" spans="2:11">
      <c r="B40" s="161" t="s">
        <v>18</v>
      </c>
      <c r="C40" s="162"/>
      <c r="D40" s="162"/>
      <c r="E40" s="162"/>
      <c r="F40" s="162"/>
      <c r="G40" s="162"/>
      <c r="H40" s="162"/>
      <c r="I40" s="162"/>
      <c r="J40" s="162"/>
      <c r="K40" s="163"/>
    </row>
    <row r="41" spans="2:11">
      <c r="B41" s="164" t="s">
        <v>17</v>
      </c>
      <c r="C41" s="165"/>
      <c r="D41" s="165"/>
      <c r="E41" s="165"/>
      <c r="F41" s="165"/>
      <c r="G41" s="165"/>
      <c r="H41" s="165"/>
      <c r="I41" s="165"/>
      <c r="J41" s="165"/>
      <c r="K41" s="166"/>
    </row>
  </sheetData>
  <sheetProtection sheet="1" objects="1" scenarios="1"/>
  <mergeCells count="5">
    <mergeCell ref="B3:K9"/>
    <mergeCell ref="B39:K39"/>
    <mergeCell ref="B40:K40"/>
    <mergeCell ref="B41:K41"/>
    <mergeCell ref="D17:I17"/>
  </mergeCells>
  <hyperlinks>
    <hyperlink ref="I13" r:id="rId1" xr:uid="{75108EA2-78C2-9541-82F2-F14EB18BCD96}"/>
    <hyperlink ref="B39" r:id="rId2" display="http://www.astronomy-morsels.ch/" xr:uid="{6B801436-B97F-0D47-A6EC-ECA2EA398712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482BE-3BB6-6445-A3F7-1F6214F97C1D}">
  <dimension ref="A1:AX276"/>
  <sheetViews>
    <sheetView showGridLines="0" zoomScaleNormal="100" zoomScalePageLayoutView="85" workbookViewId="0">
      <selection activeCell="H36" sqref="H36"/>
    </sheetView>
  </sheetViews>
  <sheetFormatPr baseColWidth="10" defaultColWidth="8.83203125" defaultRowHeight="15"/>
  <cols>
    <col min="1" max="1" width="10.83203125" style="1" customWidth="1"/>
    <col min="2" max="2" width="16.5" style="1" customWidth="1"/>
    <col min="3" max="13" width="12.83203125" style="1" customWidth="1"/>
    <col min="14" max="14" width="11.1640625" style="1" customWidth="1"/>
    <col min="15" max="26" width="12.83203125" style="1" customWidth="1"/>
    <col min="27" max="27" width="10.5" style="1" bestFit="1" customWidth="1"/>
    <col min="28" max="50" width="12.83203125" style="1" customWidth="1"/>
    <col min="51" max="16384" width="8.83203125" style="1"/>
  </cols>
  <sheetData>
    <row r="1" spans="2:8" ht="16" customHeight="1"/>
    <row r="2" spans="2:8" ht="16" customHeight="1">
      <c r="B2" s="168" t="s">
        <v>111</v>
      </c>
      <c r="C2" s="169"/>
      <c r="D2" s="31"/>
      <c r="E2" s="32"/>
      <c r="F2" s="33"/>
      <c r="G2" s="33"/>
    </row>
    <row r="3" spans="2:8" ht="16" customHeight="1">
      <c r="B3" s="66"/>
      <c r="C3" s="34" t="s">
        <v>9</v>
      </c>
      <c r="D3" s="35"/>
      <c r="E3" s="36"/>
      <c r="F3" s="33"/>
      <c r="G3" s="33"/>
      <c r="H3" s="135" t="s">
        <v>1</v>
      </c>
    </row>
    <row r="4" spans="2:8" ht="16" customHeight="1">
      <c r="B4" s="26" t="s">
        <v>11</v>
      </c>
      <c r="C4" s="37">
        <v>45720</v>
      </c>
      <c r="D4" s="38"/>
      <c r="E4" s="36"/>
      <c r="F4" s="39"/>
      <c r="G4" s="39"/>
    </row>
    <row r="5" spans="2:8" ht="16" customHeight="1">
      <c r="B5" s="27" t="s">
        <v>22</v>
      </c>
      <c r="C5" s="40" t="str">
        <f>IF(OR(MOD(YEAR(C4),400)=0,AND(MOD(YEAR(C4),4)=0,MOD(YEAR(C4),100)&lt;&gt;0)),"Y", "N")</f>
        <v>N</v>
      </c>
      <c r="D5" s="38"/>
      <c r="E5" s="36"/>
      <c r="F5" s="39"/>
      <c r="G5" s="39"/>
    </row>
    <row r="6" spans="2:8" ht="16" customHeight="1">
      <c r="B6" s="27" t="s">
        <v>21</v>
      </c>
      <c r="C6" s="42">
        <f>INT(275*MONTH(C4)/9)-IF(C5="Y",1,2)*INT((MONTH(C4)+9)/12)+DAY(C4)-30</f>
        <v>63</v>
      </c>
      <c r="D6" s="43"/>
      <c r="E6" s="36"/>
      <c r="F6" s="44"/>
      <c r="G6" s="44"/>
      <c r="H6" s="1" t="str">
        <f>IF(VLOOKUP(H3,B50:K59,10,FALSE)="-","circumpolar","")</f>
        <v/>
      </c>
    </row>
    <row r="7" spans="2:8" ht="16" customHeight="1">
      <c r="B7" s="27" t="s">
        <v>84</v>
      </c>
      <c r="C7" s="60">
        <f>367*YEAR(C4)-INT(7/4*YEAR(C4))-INT(3*(INT((YEAR(C4)-8/7)/100)+1)/4)+1721059.5-1+C6</f>
        <v>2460738.5</v>
      </c>
      <c r="D7" s="45"/>
      <c r="E7" s="36"/>
      <c r="F7" s="44"/>
      <c r="G7" s="44"/>
    </row>
    <row r="8" spans="2:8" ht="16" customHeight="1">
      <c r="B8" s="27" t="s">
        <v>95</v>
      </c>
      <c r="C8" s="60">
        <v>2451545</v>
      </c>
      <c r="D8" s="46"/>
      <c r="E8" s="36"/>
      <c r="F8" s="44"/>
      <c r="G8" s="44"/>
    </row>
    <row r="9" spans="2:8" ht="16" customHeight="1">
      <c r="B9" s="27" t="s">
        <v>96</v>
      </c>
      <c r="C9" s="47">
        <f>C7-C8</f>
        <v>9193.5</v>
      </c>
      <c r="D9" s="36"/>
      <c r="E9" s="36"/>
      <c r="F9" s="44"/>
      <c r="G9" s="44"/>
    </row>
    <row r="10" spans="2:8" ht="16" customHeight="1">
      <c r="B10" s="48" t="s">
        <v>83</v>
      </c>
      <c r="C10" s="49">
        <f>(C7-2451545)/36525</f>
        <v>0.25170431211498973</v>
      </c>
      <c r="D10" s="36"/>
      <c r="E10" s="36"/>
      <c r="F10" s="44"/>
      <c r="G10" s="44"/>
    </row>
    <row r="11" spans="2:8" ht="16" customHeight="1">
      <c r="B11" s="48" t="s">
        <v>85</v>
      </c>
      <c r="C11" s="24" t="s">
        <v>86</v>
      </c>
      <c r="D11" s="46"/>
      <c r="E11" s="36"/>
      <c r="F11" s="44"/>
      <c r="G11" s="44"/>
    </row>
    <row r="12" spans="2:8" ht="16" customHeight="1">
      <c r="B12" s="50" t="s">
        <v>87</v>
      </c>
      <c r="C12" s="62">
        <f>VLOOKUP(C11,B19:D23,2,FALSE)</f>
        <v>46.4572</v>
      </c>
      <c r="D12" s="142" t="s">
        <v>119</v>
      </c>
      <c r="E12" s="36"/>
      <c r="F12" s="44"/>
      <c r="G12" s="51"/>
    </row>
    <row r="13" spans="2:8" ht="16" customHeight="1">
      <c r="B13" s="27" t="s">
        <v>88</v>
      </c>
      <c r="C13" s="62">
        <f>VLOOKUP(C11,B19:D23,3,FALSE)</f>
        <v>7.4428999999999998</v>
      </c>
      <c r="D13" s="142" t="s">
        <v>118</v>
      </c>
      <c r="E13" s="36"/>
      <c r="F13" s="44"/>
      <c r="G13" s="51"/>
    </row>
    <row r="14" spans="2:8" ht="16" customHeight="1">
      <c r="B14" s="27" t="s">
        <v>94</v>
      </c>
      <c r="C14" s="138">
        <f>VLOOKUP(C11,B19:E21,4,FALSE)</f>
        <v>1</v>
      </c>
      <c r="D14" s="52"/>
      <c r="E14" s="36"/>
      <c r="F14" s="44"/>
      <c r="G14" s="51"/>
    </row>
    <row r="15" spans="2:8" ht="16" customHeight="1">
      <c r="B15" s="145" t="s">
        <v>124</v>
      </c>
      <c r="C15" s="146">
        <v>56</v>
      </c>
      <c r="D15" s="52"/>
      <c r="E15" s="36"/>
      <c r="F15" s="44"/>
      <c r="G15" s="51"/>
    </row>
    <row r="16" spans="2:8" ht="16" customHeight="1">
      <c r="B16" s="53"/>
      <c r="C16" s="54"/>
      <c r="D16" s="55"/>
      <c r="E16" s="36"/>
      <c r="F16" s="44"/>
      <c r="G16" s="44"/>
    </row>
    <row r="17" spans="1:14" ht="16" customHeight="1">
      <c r="B17" s="172" t="s">
        <v>89</v>
      </c>
      <c r="C17" s="172"/>
      <c r="D17" s="172"/>
      <c r="E17" s="172"/>
      <c r="F17" s="44"/>
      <c r="G17" s="44"/>
    </row>
    <row r="18" spans="1:14" ht="16" customHeight="1">
      <c r="B18" s="56" t="s">
        <v>90</v>
      </c>
      <c r="C18" s="57" t="s">
        <v>91</v>
      </c>
      <c r="D18" s="58" t="s">
        <v>92</v>
      </c>
      <c r="E18" s="58" t="s">
        <v>94</v>
      </c>
      <c r="F18" s="44"/>
      <c r="G18" s="44"/>
    </row>
    <row r="19" spans="1:14" ht="16" customHeight="1">
      <c r="B19" s="59" t="s">
        <v>86</v>
      </c>
      <c r="C19" s="64">
        <v>46.4572</v>
      </c>
      <c r="D19" s="65">
        <v>7.4428999999999998</v>
      </c>
      <c r="E19" s="127">
        <v>1</v>
      </c>
      <c r="F19" s="44"/>
      <c r="G19" s="44"/>
    </row>
    <row r="20" spans="1:14" ht="16" customHeight="1">
      <c r="B20" s="59" t="s">
        <v>93</v>
      </c>
      <c r="C20" s="63">
        <v>51.49</v>
      </c>
      <c r="D20" s="63">
        <v>0.01</v>
      </c>
      <c r="E20" s="127">
        <v>0</v>
      </c>
      <c r="F20" s="44"/>
      <c r="G20" s="44"/>
    </row>
    <row r="21" spans="1:14" ht="16" customHeight="1">
      <c r="B21" s="25" t="s">
        <v>103</v>
      </c>
      <c r="C21" s="61">
        <v>42.333300000000001</v>
      </c>
      <c r="D21" s="61">
        <v>-71.083299999999994</v>
      </c>
      <c r="E21" s="127">
        <v>-5</v>
      </c>
      <c r="F21" s="44"/>
      <c r="G21" s="44"/>
    </row>
    <row r="22" spans="1:14" ht="16" customHeight="1">
      <c r="B22" s="59"/>
      <c r="C22" s="63"/>
      <c r="D22" s="63"/>
      <c r="E22" s="127"/>
      <c r="F22" s="44"/>
      <c r="G22" s="44"/>
    </row>
    <row r="23" spans="1:14" ht="16" customHeight="1">
      <c r="B23" s="59"/>
      <c r="C23" s="63"/>
      <c r="D23" s="63"/>
      <c r="E23" s="127"/>
      <c r="F23" s="44"/>
      <c r="G23" s="44"/>
    </row>
    <row r="24" spans="1:14" ht="16" customHeight="1">
      <c r="B24" s="41"/>
      <c r="C24" s="41"/>
      <c r="D24" s="54"/>
      <c r="E24" s="36"/>
      <c r="F24" s="44"/>
      <c r="G24" s="44"/>
    </row>
    <row r="25" spans="1:14" ht="16" customHeight="1">
      <c r="B25" s="36"/>
      <c r="C25" s="36"/>
      <c r="D25" s="36"/>
      <c r="E25" s="36"/>
      <c r="F25" s="44"/>
      <c r="G25" s="44"/>
    </row>
    <row r="26" spans="1:14" ht="16" customHeight="1">
      <c r="A26" s="28"/>
      <c r="B26" s="28"/>
      <c r="C26" s="147" t="s">
        <v>105</v>
      </c>
      <c r="D26" s="147" t="s">
        <v>106</v>
      </c>
      <c r="E26" s="147" t="s">
        <v>107</v>
      </c>
      <c r="F26" s="29"/>
      <c r="G26" s="29"/>
      <c r="H26" s="29"/>
      <c r="I26" s="28"/>
      <c r="J26" s="141">
        <f>VLOOKUP(H3,B27:C36,2,FALSE)</f>
        <v>0.3684837962962963</v>
      </c>
      <c r="K26" s="121">
        <f>VLOOKUP(H3,B83:F92,5,FALSE)</f>
        <v>-0.28413772692005534</v>
      </c>
      <c r="L26" s="28"/>
      <c r="M26" s="28"/>
    </row>
    <row r="27" spans="1:14" ht="16" customHeight="1">
      <c r="A27" s="28"/>
      <c r="B27" s="30" t="s">
        <v>0</v>
      </c>
      <c r="C27" s="129">
        <f>TIME(MOD(24+INT(C77*24)+$C$14,24),INT(3600*(24*C77-INT(C77*24))/60),INT(MOD(C77*3600*24,60)))</f>
        <v>0.29431712962962964</v>
      </c>
      <c r="D27" s="129">
        <f>TIME(MOD(24+INT(D77*24)+$C$14,24),INT(3600*(24*D77-INT(D77*24))/60),INT(MOD(D77*3600*24,60)))</f>
        <v>0.52908564814814818</v>
      </c>
      <c r="E27" s="129">
        <f>TIME(MOD(24+INT(E77*24)+$C$14,24),INT(3600*(24*E77-INT(E77*24))/60),INT(MOD(E77*3600*24,60)))</f>
        <v>0.76437500000000003</v>
      </c>
      <c r="F27" s="132" t="str">
        <f>IF(C27&gt;D27,"Y","")</f>
        <v/>
      </c>
      <c r="G27" s="132" t="str">
        <f>IF(E27&lt;D27,"y","")</f>
        <v/>
      </c>
      <c r="H27" s="132"/>
      <c r="I27" s="28"/>
      <c r="J27" s="141">
        <f>VLOOKUP(H3,B27:D36,3,FALSE)</f>
        <v>0.69026620370370373</v>
      </c>
      <c r="K27" s="121">
        <f>VLOOKUP(H3,B83:J92,9,FALSE)</f>
        <v>64.378423415142052</v>
      </c>
      <c r="L27" s="28"/>
      <c r="M27" s="28"/>
    </row>
    <row r="28" spans="1:14" ht="16" customHeight="1">
      <c r="A28" s="28"/>
      <c r="B28" s="30" t="s">
        <v>3</v>
      </c>
      <c r="C28" s="129">
        <f>TIME(MOD(24+INT(H77*24)+$C$14,24),INT(3600*(24*H77-INT(H77*24))/60),INT(MOD(H77*3600*24,60)))</f>
        <v>0.1991087962962963</v>
      </c>
      <c r="D28" s="129">
        <f>TIME(MOD(24+INT(I77*24)+$C$14,24),INT(3600*(24*I77-INT(I77*24))/60),INT(MOD(I77*3600*24,60)))</f>
        <v>0.44810185185185186</v>
      </c>
      <c r="E28" s="129">
        <f>TIME(MOD(24+INT(J77*24)+$C$14,24),INT(3600*(24*J77-INT(J77*24))/60),INT(MOD(J77*3600*24,60)))</f>
        <v>0.73519675925925931</v>
      </c>
      <c r="F28" s="132" t="str">
        <f t="shared" ref="F28:F36" si="0">IF(C28&gt;D28,"Y","")</f>
        <v/>
      </c>
      <c r="G28" s="132" t="str">
        <f t="shared" ref="G28:G36" si="1">IF(E28&lt;D28,"y","")</f>
        <v/>
      </c>
      <c r="H28" s="132"/>
      <c r="I28" s="28"/>
      <c r="J28" s="141">
        <f>VLOOKUP(H3,B27:E36,4,FALSE)</f>
        <v>2.1747685185185186E-2</v>
      </c>
      <c r="K28" s="121">
        <f>VLOOKUP(H3,B83:N92,13,FALSE)</f>
        <v>0.72298922685096434</v>
      </c>
      <c r="L28" s="28"/>
      <c r="M28" s="28"/>
    </row>
    <row r="29" spans="1:14" ht="16" customHeight="1">
      <c r="A29" s="28"/>
      <c r="B29" s="30" t="s">
        <v>6</v>
      </c>
      <c r="C29" s="129">
        <f>TIME(MOD(24+INT(M77*24)+$C$14,24),INT(3600*(24*M77-INT(M77*24))/60),INT(MOD(M77*3600*24,60)))</f>
        <v>0.30478009259259259</v>
      </c>
      <c r="D29" s="129">
        <f>TIME(MOD(24+INT(N77*24)+$C$14,24),INT(3600*(24*N77-INT(N77*24))/60),INT(MOD(N77*3600*24,60)))</f>
        <v>0.58876157407407403</v>
      </c>
      <c r="E29" s="129">
        <f>TIME(MOD(24+INT(O77*24)+$C$14,24),INT(3600*(24*O77-INT(O77*24))/60),INT(MOD(O77*3600*24,60)))</f>
        <v>0.87290509259259264</v>
      </c>
      <c r="F29" s="132" t="str">
        <f t="shared" si="0"/>
        <v/>
      </c>
      <c r="G29" s="132" t="str">
        <f t="shared" si="1"/>
        <v/>
      </c>
      <c r="H29" s="132"/>
      <c r="I29" s="28"/>
      <c r="J29" s="28"/>
      <c r="K29" s="28"/>
      <c r="L29" s="28"/>
      <c r="M29" s="28"/>
      <c r="N29" s="28"/>
    </row>
    <row r="30" spans="1:14" ht="16" customHeight="1">
      <c r="A30" s="28"/>
      <c r="B30" s="30" t="s">
        <v>1</v>
      </c>
      <c r="C30" s="129">
        <f>TIME(MOD(24+INT(R77*24)+$C$14,24),INT(3600*(24*R77-INT(R77*24))/60),INT(MOD(R77*3600*24,60)))</f>
        <v>0.3684837962962963</v>
      </c>
      <c r="D30" s="129">
        <f>TIME(MOD(24+INT(S77*24)+$C$14,24),INT(3600*(24*S77-INT(S77*24))/60),INT(MOD(S77*3600*24,60)))</f>
        <v>0.69026620370370373</v>
      </c>
      <c r="E30" s="129">
        <f>TIME(MOD(24+INT(T77*24)+$C$14,24),INT(3600*(24*T77-INT(T77*24))/60),INT(MOD(T77*3600*24,60)))</f>
        <v>2.1747685185185186E-2</v>
      </c>
      <c r="F30" s="132" t="str">
        <f t="shared" si="0"/>
        <v/>
      </c>
      <c r="G30" s="132" t="str">
        <f t="shared" si="1"/>
        <v>y</v>
      </c>
      <c r="H30" s="132"/>
      <c r="I30" s="28"/>
      <c r="J30" s="28"/>
      <c r="K30" s="28"/>
      <c r="L30" s="28"/>
      <c r="M30" s="28"/>
      <c r="N30" s="28"/>
    </row>
    <row r="31" spans="1:14" ht="16" customHeight="1">
      <c r="A31" s="28"/>
      <c r="B31" s="30" t="s">
        <v>4</v>
      </c>
      <c r="C31" s="129">
        <f>TIME(MOD(24+INT(W77*24)+$C$14,24),INT(3600*(24*W77-INT(W77*24))/60),INT(MOD(W77*3600*24,60)))</f>
        <v>0.53600694444444441</v>
      </c>
      <c r="D31" s="129">
        <f>TIME(MOD(24+INT(X77*24)+$C$14,24),INT(3600*(24*X77-INT(X77*24))/60),INT(MOD(X77*3600*24,60)))</f>
        <v>0.87267361111111108</v>
      </c>
      <c r="E31" s="129">
        <f>TIME(MOD(24+INT(Y77*24)+$C$14,24),INT(3600*(24*Y77-INT(Y77*24))/60),INT(MOD(Y77*3600*24,60)))</f>
        <v>0.21185185185185185</v>
      </c>
      <c r="F31" s="132" t="str">
        <f t="shared" si="0"/>
        <v/>
      </c>
      <c r="G31" s="132" t="str">
        <f t="shared" si="1"/>
        <v>y</v>
      </c>
      <c r="H31" s="132"/>
      <c r="I31" s="28"/>
      <c r="J31" s="28"/>
      <c r="K31" s="28"/>
      <c r="L31" s="28"/>
      <c r="M31" s="28"/>
      <c r="N31" s="28"/>
    </row>
    <row r="32" spans="1:14" ht="16" customHeight="1">
      <c r="A32" s="28"/>
      <c r="B32" s="30" t="s">
        <v>5</v>
      </c>
      <c r="C32" s="129">
        <f>TIME(MOD(24+INT(AB77*24)+$C$14,24),INT(3600*(24*AB77-INT(AB77*24))/60),INT(MOD(AB77*3600*24,60)))</f>
        <v>0.44520833333333332</v>
      </c>
      <c r="D32" s="129">
        <f>TIME(MOD(24+INT(AC77*24)+$C$14,24),INT(3600*(24*AC77-INT(AC77*24))/60),INT(MOD(AC77*3600*24,60)))</f>
        <v>0.76672453703703702</v>
      </c>
      <c r="E32" s="129">
        <f>TIME(MOD(24+INT(AD77*24)+$C$14,24),INT(3600*(24*AD77-INT(AD77*24))/60),INT(MOD(AD77*3600*24,60)))</f>
        <v>9.0682870370370372E-2</v>
      </c>
      <c r="F32" s="132" t="str">
        <f t="shared" si="0"/>
        <v/>
      </c>
      <c r="G32" s="132" t="str">
        <f t="shared" si="1"/>
        <v>y</v>
      </c>
      <c r="H32" s="132"/>
      <c r="I32" s="28"/>
      <c r="J32" s="28"/>
      <c r="K32" s="28"/>
      <c r="L32" s="28"/>
      <c r="M32" s="28"/>
      <c r="N32" s="28"/>
    </row>
    <row r="33" spans="1:20" ht="16" customHeight="1">
      <c r="A33" s="28"/>
      <c r="B33" s="30" t="s">
        <v>7</v>
      </c>
      <c r="C33" s="129">
        <f>TIME(MOD(24+INT(AG77*24)+$C$14,24),INT(3600*(24*AG77-INT(AG77*24))/60),INT(MOD(AG77*3600*24,60)))</f>
        <v>0.3128009259259259</v>
      </c>
      <c r="D33" s="129">
        <f>TIME(MOD(24+INT(AH77*24)+$C$14,24),INT(3600*(24*AH77-INT(AH77*24))/60),INT(MOD(AH77*3600*24,60)))</f>
        <v>0.54900462962962959</v>
      </c>
      <c r="E33" s="129">
        <f>TIME(MOD(24+INT(AI77*24)+$C$14,24),INT(3600*(24*AI77-INT(AI77*24))/60),INT(MOD(AI77*3600*24,60)))</f>
        <v>0.7852662037037037</v>
      </c>
      <c r="F33" s="132" t="str">
        <f t="shared" si="0"/>
        <v/>
      </c>
      <c r="G33" s="132" t="str">
        <f t="shared" si="1"/>
        <v/>
      </c>
      <c r="H33" s="132"/>
      <c r="I33" s="28"/>
      <c r="J33" s="28"/>
      <c r="K33" s="28"/>
      <c r="L33" s="28"/>
      <c r="M33" s="28"/>
      <c r="N33" s="28"/>
    </row>
    <row r="34" spans="1:20" ht="16" customHeight="1">
      <c r="A34" s="28"/>
      <c r="B34" s="30" t="s">
        <v>27</v>
      </c>
      <c r="C34" s="129">
        <f>TIME(MOD(24+INT(AL77*24)+$C$14,24),INT(3600*(24*AL77-INT(AL77*24))/60),INT(MOD(AL77*3600*24,60)))</f>
        <v>0.40303240740740742</v>
      </c>
      <c r="D34" s="129">
        <f>TIME(MOD(24+INT(AM77*24)+$C$14,24),INT(3600*(24*AM77-INT(AM77*24))/60),INT(MOD(AM77*3600*24,60)))</f>
        <v>0.71199074074074076</v>
      </c>
      <c r="E34" s="129">
        <f>TIME(MOD(24+INT(AN77*24)+$C$14,24),INT(3600*(24*AN77-INT(AN77*24))/60),INT(MOD(AN77*3600*24,60)))</f>
        <v>2.0960648148148148E-2</v>
      </c>
      <c r="F34" s="132" t="str">
        <f t="shared" si="0"/>
        <v/>
      </c>
      <c r="G34" s="132" t="str">
        <f t="shared" si="1"/>
        <v>y</v>
      </c>
      <c r="H34" s="132"/>
      <c r="I34" s="28"/>
      <c r="J34" s="28"/>
      <c r="K34" s="28"/>
      <c r="L34" s="28"/>
      <c r="M34" s="28"/>
      <c r="N34" s="28"/>
    </row>
    <row r="35" spans="1:20" ht="16" customHeight="1">
      <c r="A35" s="28"/>
      <c r="B35" s="30" t="s">
        <v>26</v>
      </c>
      <c r="C35" s="129">
        <f>TIME(MOD(24+INT(AQ77*24)+$C$14,24),INT(3600*(24*AQ77-INT(AQ77*24))/60),INT(MOD(AQ77*3600*24,60)))</f>
        <v>0.32131944444444444</v>
      </c>
      <c r="D35" s="129">
        <f>TIME(MOD(24+INT(AR77*24)+$C$14,24),INT(3600*(24*AR77-INT(AR77*24))/60),INT(MOD(MAR77*3600*24,60)))</f>
        <v>0.56805555555555554</v>
      </c>
      <c r="E35" s="129">
        <f>TIME(MOD(24+INT(AS77*24)+$C$14,24),INT(3600*(24*AS77-INT(AS77*24))/60),INT(MOD(AS77*3600*24,60)))</f>
        <v>0.81554398148148144</v>
      </c>
      <c r="F35" s="132" t="str">
        <f t="shared" si="0"/>
        <v/>
      </c>
      <c r="G35" s="132" t="str">
        <f t="shared" si="1"/>
        <v/>
      </c>
      <c r="H35" s="132"/>
      <c r="I35" s="28"/>
      <c r="J35" s="28"/>
      <c r="K35" s="28"/>
      <c r="L35" s="28"/>
      <c r="M35" s="28"/>
      <c r="N35" s="28"/>
    </row>
    <row r="36" spans="1:20" ht="16" customHeight="1">
      <c r="A36" s="28"/>
      <c r="B36" s="30" t="s">
        <v>25</v>
      </c>
      <c r="C36" s="129">
        <f>TIME(MOD(24+INT(AV77*24)+$C$14,24),INT(3600*(24*AV77-INT(AV77*24))/60),INT(MOD(AV77*3600*24,60)))</f>
        <v>0.24075231481481482</v>
      </c>
      <c r="D36" s="129">
        <f>TIME(MOD(24+INT(AW77*24)+$C$14,24),INT(3600*(24*AW77-INT(AW77*24))/60),INT(MOD(AW77*3600*24,60)))</f>
        <v>0.42019675925925926</v>
      </c>
      <c r="E36" s="129">
        <f>TIME(MOD(24+INT(AX77*24)+$C$14,24),INT(3600*(24*AX77-INT(AX77*24))/60),INT(MOD(AX77*3600*24,60)))</f>
        <v>0.59965277777777781</v>
      </c>
      <c r="F36" s="132" t="str">
        <f t="shared" si="0"/>
        <v/>
      </c>
      <c r="G36" s="132" t="str">
        <f t="shared" si="1"/>
        <v/>
      </c>
      <c r="H36" s="132"/>
      <c r="I36" s="28"/>
      <c r="J36" s="28"/>
      <c r="K36" s="28"/>
      <c r="L36" s="28"/>
      <c r="M36" s="28"/>
      <c r="N36" s="28"/>
    </row>
    <row r="37" spans="1:20" ht="16" customHeight="1">
      <c r="I37" s="180" t="s">
        <v>125</v>
      </c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</row>
    <row r="38" spans="1:20" ht="16" customHeight="1"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</row>
    <row r="39" spans="1:20" ht="16" customHeight="1">
      <c r="B39" s="181" t="s">
        <v>139</v>
      </c>
    </row>
    <row r="40" spans="1:20" ht="16" customHeight="1">
      <c r="N40" s="5" t="s">
        <v>7</v>
      </c>
      <c r="O40" s="6" t="e">
        <f>('Rising, Transit, Setting'!#REF!)</f>
        <v>#REF!</v>
      </c>
      <c r="P40" s="6" t="e">
        <f>'Rising, Transit, Setting'!#REF!</f>
        <v>#REF!</v>
      </c>
    </row>
    <row r="41" spans="1:20" s="3" customFormat="1" ht="16" customHeight="1"/>
    <row r="42" spans="1:20" ht="16" customHeight="1">
      <c r="A42" s="28"/>
      <c r="B42" s="28"/>
      <c r="C42" s="28"/>
      <c r="D42" s="28"/>
      <c r="E42" s="28"/>
      <c r="F42" s="29"/>
      <c r="G42" s="29"/>
      <c r="H42" s="29"/>
      <c r="I42" s="28"/>
      <c r="J42" s="28"/>
      <c r="K42" s="28"/>
      <c r="L42" s="28"/>
      <c r="M42" s="28"/>
      <c r="N42" s="28"/>
      <c r="O42" s="28"/>
      <c r="P42" s="28"/>
    </row>
    <row r="43" spans="1:20" ht="16" customHeight="1">
      <c r="A43" s="28"/>
      <c r="B43" s="133" t="s">
        <v>120</v>
      </c>
      <c r="C43" s="28"/>
      <c r="D43" s="28"/>
      <c r="E43" s="28"/>
      <c r="F43" s="29"/>
      <c r="G43" s="29"/>
      <c r="H43" s="29"/>
      <c r="I43" s="28"/>
      <c r="J43" s="28"/>
      <c r="K43" s="28"/>
      <c r="L43" s="28"/>
      <c r="M43" s="28"/>
      <c r="N43" s="28"/>
      <c r="O43" s="6"/>
      <c r="P43" s="6"/>
    </row>
    <row r="44" spans="1:20" ht="16" customHeight="1">
      <c r="A44" s="28"/>
      <c r="B44" s="133" t="s">
        <v>121</v>
      </c>
      <c r="C44" s="28"/>
      <c r="D44" s="28"/>
      <c r="E44" s="28"/>
      <c r="F44" s="29"/>
      <c r="G44" s="29"/>
      <c r="H44" s="29"/>
      <c r="I44" s="28"/>
      <c r="J44" s="28"/>
      <c r="K44" s="28"/>
      <c r="L44" s="28"/>
      <c r="M44" s="28"/>
      <c r="N44" s="28"/>
      <c r="O44" s="6"/>
      <c r="P44" s="6"/>
    </row>
    <row r="45" spans="1:20" ht="16" customHeight="1">
      <c r="A45" s="28"/>
      <c r="B45" s="28"/>
      <c r="C45" s="28"/>
      <c r="D45" s="28"/>
      <c r="E45" s="28"/>
      <c r="F45" s="29"/>
      <c r="G45" s="29"/>
      <c r="H45" s="29"/>
      <c r="I45" s="28"/>
      <c r="J45" s="28"/>
      <c r="K45" s="28"/>
      <c r="L45" s="28"/>
      <c r="M45" s="28"/>
      <c r="N45" s="28"/>
      <c r="O45" s="6"/>
      <c r="P45" s="6"/>
    </row>
    <row r="46" spans="1:20" ht="16" customHeight="1">
      <c r="A46" s="28"/>
      <c r="B46" s="155" t="s">
        <v>134</v>
      </c>
      <c r="C46" s="28"/>
      <c r="D46" s="28"/>
      <c r="E46" s="28"/>
      <c r="F46" s="29"/>
      <c r="G46" s="29"/>
      <c r="H46" s="29"/>
      <c r="I46" s="28"/>
      <c r="J46" s="28"/>
      <c r="K46" s="28"/>
      <c r="L46" s="28"/>
      <c r="M46" s="28"/>
      <c r="N46" s="28"/>
      <c r="O46" s="6"/>
      <c r="P46" s="6"/>
    </row>
    <row r="47" spans="1:20" ht="16" customHeight="1">
      <c r="A47" s="28"/>
      <c r="B47" s="28"/>
      <c r="C47" s="28"/>
      <c r="D47" s="28"/>
      <c r="E47" s="28"/>
      <c r="F47" s="29"/>
      <c r="G47" s="29"/>
      <c r="H47" s="29"/>
      <c r="I47" s="28"/>
      <c r="J47" s="28"/>
      <c r="K47" s="28"/>
      <c r="L47" s="28"/>
      <c r="M47" s="28"/>
      <c r="N47" s="28"/>
      <c r="O47" s="6"/>
      <c r="P47" s="6"/>
    </row>
    <row r="48" spans="1:20" ht="16" customHeight="1">
      <c r="A48" s="28"/>
      <c r="B48" s="28"/>
      <c r="C48" s="170" t="s">
        <v>112</v>
      </c>
      <c r="D48" s="171"/>
      <c r="E48" s="170" t="s">
        <v>11</v>
      </c>
      <c r="F48" s="171"/>
      <c r="G48" s="170" t="s">
        <v>113</v>
      </c>
      <c r="H48" s="171"/>
      <c r="I48" s="126"/>
      <c r="J48" s="126"/>
      <c r="K48" s="126"/>
      <c r="L48" s="126"/>
      <c r="M48" s="126"/>
      <c r="N48" s="126"/>
    </row>
    <row r="49" spans="1:31" ht="16" customHeight="1">
      <c r="A49" s="28"/>
      <c r="B49" s="128" t="s">
        <v>100</v>
      </c>
      <c r="C49" s="130" t="s">
        <v>81</v>
      </c>
      <c r="D49" s="130" t="s">
        <v>82</v>
      </c>
      <c r="E49" s="130" t="s">
        <v>81</v>
      </c>
      <c r="F49" s="130" t="s">
        <v>82</v>
      </c>
      <c r="G49" s="130" t="s">
        <v>81</v>
      </c>
      <c r="H49" s="130" t="s">
        <v>82</v>
      </c>
      <c r="I49" s="123" t="s">
        <v>109</v>
      </c>
      <c r="J49" s="124" t="s">
        <v>108</v>
      </c>
      <c r="K49" s="123" t="s">
        <v>110</v>
      </c>
      <c r="L49" s="125" t="s">
        <v>105</v>
      </c>
      <c r="M49" s="125" t="s">
        <v>106</v>
      </c>
      <c r="N49" s="125" t="s">
        <v>107</v>
      </c>
      <c r="AC49" s="144"/>
      <c r="AD49" s="144"/>
      <c r="AE49" s="144"/>
    </row>
    <row r="50" spans="1:31" ht="16" customHeight="1">
      <c r="A50" s="28"/>
      <c r="B50" s="128" t="s">
        <v>0</v>
      </c>
      <c r="C50" s="131">
        <f>IF(C184&lt;30,C184+360,C184)</f>
        <v>344.01791693404209</v>
      </c>
      <c r="D50" s="131">
        <f>C186</f>
        <v>-6.8063077947422697</v>
      </c>
      <c r="E50" s="131">
        <f>IF(P184&lt;30,P184+360,P184)</f>
        <v>344.95027030130461</v>
      </c>
      <c r="F50" s="131">
        <f>P186</f>
        <v>-6.4220478433295822</v>
      </c>
      <c r="G50" s="131">
        <f>IF(AC184&lt;30,AC184+360,AC184)</f>
        <v>345.88074598603583</v>
      </c>
      <c r="H50" s="131">
        <f>AC186</f>
        <v>-6.0362987324321482</v>
      </c>
      <c r="I50" s="120">
        <v>-0.83330000000000004</v>
      </c>
      <c r="J50" s="121">
        <f>(SIN($C$100*I50)-SIN($C$100*$C$12)*SIN($C$100*F50))/(COS($C$100*$C$12)*COS($C$100*F50))</f>
        <v>9.718934390443075E-2</v>
      </c>
      <c r="K50" s="121">
        <f>IF(ABS(J50)&gt;1,""-"",ACOS(J50))</f>
        <v>1.4734533241741392</v>
      </c>
      <c r="L50" s="121">
        <f t="shared" ref="L50:L59" si="2">IF($K$50&lt;&gt;"-",MOD(1+M50-((K50/$C$100)/360),1),"-")</f>
        <v>0.25298613495047739</v>
      </c>
      <c r="M50" s="121">
        <f>IF($K$50&lt;&gt;"-",MOD(1+(E50-$C$13-$C$62)/360,1),"-")</f>
        <v>0.48749351490797643</v>
      </c>
      <c r="N50" s="121">
        <f t="shared" ref="N50:N59" si="3">IF($K$50&lt;&gt;"-",MOD(1+M50+((K50/$C$100)/360),1),"-")</f>
        <v>0.72200089486547547</v>
      </c>
      <c r="AC50" s="144"/>
      <c r="AD50" s="144"/>
      <c r="AE50" s="144"/>
    </row>
    <row r="51" spans="1:31" ht="16" customHeight="1">
      <c r="A51" s="28"/>
      <c r="B51" s="128" t="s">
        <v>3</v>
      </c>
      <c r="C51" s="131">
        <f>E184</f>
        <v>359.22779209762518</v>
      </c>
      <c r="D51" s="131">
        <f>E186</f>
        <v>0.3945127731494425</v>
      </c>
      <c r="E51" s="131">
        <f>R184</f>
        <v>0.48236102335698661</v>
      </c>
      <c r="F51" s="131">
        <f>R186</f>
        <v>1.1863710719341702</v>
      </c>
      <c r="G51" s="131">
        <f>AE184</f>
        <v>1.6573082229415377</v>
      </c>
      <c r="H51" s="131">
        <f>AE186</f>
        <v>1.9471655942707926</v>
      </c>
      <c r="I51" s="121">
        <v>-0.56669999999999998</v>
      </c>
      <c r="J51" s="121">
        <f>(SIN($C$100*I51)-SIN($C$100*$C$12)*SIN($C$100*F51))/(COS($C$100*$C$12)*COS($C$100*F51))</f>
        <v>-3.6150429710980633E-2</v>
      </c>
      <c r="K51" s="121">
        <f t="shared" ref="K51:K59" si="4">IF(ABS(J51)&gt;1,""-"",ACOS(J51))</f>
        <v>1.6069546350263337</v>
      </c>
      <c r="L51" s="121">
        <f t="shared" si="2"/>
        <v>0.2748834378692484</v>
      </c>
      <c r="M51" s="121">
        <f>IF($K$50&lt;&gt;"-",MOD(1+(E51-$C$13-$C$62)/360,1),"-")</f>
        <v>0.53063821135812184</v>
      </c>
      <c r="N51" s="121">
        <f t="shared" si="3"/>
        <v>0.78639298484699527</v>
      </c>
      <c r="AC51" s="144"/>
      <c r="AD51" s="144"/>
      <c r="AE51" s="144"/>
    </row>
    <row r="52" spans="1:31" ht="16" customHeight="1">
      <c r="A52" s="28"/>
      <c r="B52" s="128" t="s">
        <v>6</v>
      </c>
      <c r="C52" s="131">
        <f>F184</f>
        <v>7.153326885048898</v>
      </c>
      <c r="D52" s="131">
        <f>F186</f>
        <v>10.757123511220266</v>
      </c>
      <c r="E52" s="131">
        <f>S184</f>
        <v>7.0311905172217735</v>
      </c>
      <c r="F52" s="131">
        <f>S186</f>
        <v>10.880253664797239</v>
      </c>
      <c r="G52" s="131">
        <f>AF184</f>
        <v>6.8724518989299668</v>
      </c>
      <c r="H52" s="131">
        <f>AF186</f>
        <v>10.982243299110516</v>
      </c>
      <c r="I52" s="121">
        <v>-0.56669999999999998</v>
      </c>
      <c r="J52" s="121">
        <f>(SIN($C$100*I52)-SIN($C$100*$C$12)*SIN($C$100*F52))/(COS($C$100*$C$12)*COS($C$100*F52))</f>
        <v>-0.21686667469243653</v>
      </c>
      <c r="K52" s="121">
        <f t="shared" si="4"/>
        <v>1.7893999341022722</v>
      </c>
      <c r="L52" s="121">
        <f t="shared" si="2"/>
        <v>0.264037559715947</v>
      </c>
      <c r="M52" s="121">
        <f>IF($K$50&lt;&gt;"-",MOD(1+(E52-$C$13-$C$62)/360,1),"-")</f>
        <v>0.54882940439663519</v>
      </c>
      <c r="N52" s="121">
        <f t="shared" si="3"/>
        <v>0.8336212490773236</v>
      </c>
      <c r="AC52" s="144"/>
      <c r="AD52" s="144"/>
      <c r="AE52" s="144"/>
    </row>
    <row r="53" spans="1:31" ht="16" customHeight="1">
      <c r="A53" s="28"/>
      <c r="B53" s="128" t="s">
        <v>1</v>
      </c>
      <c r="C53" s="131">
        <f>G184</f>
        <v>20.880831169196199</v>
      </c>
      <c r="D53" s="131">
        <f>G186</f>
        <v>11.285350166883152</v>
      </c>
      <c r="E53" s="131">
        <f>T184</f>
        <v>34.634422696995614</v>
      </c>
      <c r="F53" s="131">
        <f>T186</f>
        <v>17.497573442901331</v>
      </c>
      <c r="G53" s="131">
        <f>AG184</f>
        <v>49.020514467636076</v>
      </c>
      <c r="H53" s="131">
        <f>AG186</f>
        <v>22.626128299399991</v>
      </c>
      <c r="I53" s="122">
        <v>-0.125</v>
      </c>
      <c r="J53" s="121">
        <f>(SIN($C$100*I53)-SIN($C$100*$C$12)*SIN($C$100*F53))/(COS($C$100*$C$12)*COS($C$100*F53))</f>
        <v>-0.33503045856388564</v>
      </c>
      <c r="K53" s="121">
        <f t="shared" si="4"/>
        <v>1.9124338835289751</v>
      </c>
      <c r="L53" s="121">
        <f t="shared" si="2"/>
        <v>0.32113174344038486</v>
      </c>
      <c r="M53" s="121">
        <f>IF($K$50&lt;&gt;"-",MOD(1+(E53-$C$13-$C$62)/360,1),"-")</f>
        <v>0.62550504934045137</v>
      </c>
      <c r="N53" s="121">
        <f t="shared" si="3"/>
        <v>0.92987835524051765</v>
      </c>
      <c r="AC53" s="144"/>
      <c r="AD53" s="144"/>
      <c r="AE53" s="144"/>
    </row>
    <row r="54" spans="1:31" ht="16" customHeight="1">
      <c r="A54" s="28"/>
      <c r="B54" s="128" t="s">
        <v>4</v>
      </c>
      <c r="C54" s="131">
        <f>H184</f>
        <v>109.26081458804447</v>
      </c>
      <c r="D54" s="131">
        <f>H186</f>
        <v>25.76978706879089</v>
      </c>
      <c r="E54" s="131">
        <f>U184</f>
        <v>109.35277592425064</v>
      </c>
      <c r="F54" s="131">
        <f>U186</f>
        <v>25.728212040345397</v>
      </c>
      <c r="G54" s="131">
        <f>AH184</f>
        <v>109.4567415060248</v>
      </c>
      <c r="H54" s="131">
        <f>AH186</f>
        <v>25.685177904788972</v>
      </c>
      <c r="I54" s="121">
        <v>-0.56669999999999998</v>
      </c>
      <c r="J54" s="121">
        <f>(SIN($C$100*I54)-SIN($C$100*$C$12)*SIN($C$100*F54))/(COS($C$100*$C$12)*COS($C$100*F54))</f>
        <v>-0.52296740320589497</v>
      </c>
      <c r="K54" s="121">
        <f t="shared" si="4"/>
        <v>2.1211250006395366</v>
      </c>
      <c r="L54" s="121">
        <f t="shared" si="2"/>
        <v>0.49546850175968915</v>
      </c>
      <c r="M54" s="121">
        <f>IF($K$50&lt;&gt;"-",MOD(1+(E54-$C$13-$C$62)/360,1),"-")</f>
        <v>0.83305603052727095</v>
      </c>
      <c r="N54" s="121">
        <f t="shared" si="3"/>
        <v>0.17064355929485275</v>
      </c>
    </row>
    <row r="55" spans="1:31" ht="16" customHeight="1">
      <c r="A55" s="28"/>
      <c r="B55" s="128" t="s">
        <v>5</v>
      </c>
      <c r="C55" s="131">
        <f>I184</f>
        <v>71.030034208572488</v>
      </c>
      <c r="D55" s="131">
        <f>I186</f>
        <v>21.898357931697166</v>
      </c>
      <c r="E55" s="131">
        <f>V184</f>
        <v>71.121878930271919</v>
      </c>
      <c r="F55" s="131">
        <f>V186</f>
        <v>21.912601123902022</v>
      </c>
      <c r="G55" s="131">
        <f>AI184</f>
        <v>71.216782581092048</v>
      </c>
      <c r="H55" s="131">
        <f>AI186</f>
        <v>21.927136863687501</v>
      </c>
      <c r="I55" s="121">
        <v>-0.56669999999999998</v>
      </c>
      <c r="J55" s="121">
        <f>(SIN($C$100*I55)-SIN($C$100*$C$12)*SIN($C$100*F55))/(COS($C$100*$C$12)*COS($C$100*F55))</f>
        <v>-0.43872769004052076</v>
      </c>
      <c r="K55" s="121">
        <f t="shared" si="4"/>
        <v>2.0249786614203358</v>
      </c>
      <c r="L55" s="121">
        <f t="shared" si="2"/>
        <v>0.40457373081222969</v>
      </c>
      <c r="M55" s="121">
        <f>IF($K$50&lt;&gt;"-",MOD(1+(E55-$C$13-$C$62)/360,1),"-")</f>
        <v>0.72685909443288566</v>
      </c>
      <c r="N55" s="121">
        <f t="shared" si="3"/>
        <v>4.914445805354184E-2</v>
      </c>
    </row>
    <row r="56" spans="1:31" ht="16" customHeight="1">
      <c r="A56" s="28"/>
      <c r="B56" s="128" t="s">
        <v>7</v>
      </c>
      <c r="C56" s="131">
        <f>J184</f>
        <v>352.4254240221386</v>
      </c>
      <c r="D56" s="131">
        <f>J186</f>
        <v>-5.3502891697751824</v>
      </c>
      <c r="E56" s="131">
        <f>W184</f>
        <v>352.53854132733255</v>
      </c>
      <c r="F56" s="131">
        <f>W186</f>
        <v>-5.3021776427793403</v>
      </c>
      <c r="G56" s="131">
        <f>AJ184</f>
        <v>352.65181003687701</v>
      </c>
      <c r="H56" s="131">
        <f>AJ186</f>
        <v>-5.254031575646211</v>
      </c>
      <c r="I56" s="121">
        <v>-0.56669999999999998</v>
      </c>
      <c r="J56" s="121">
        <f>(SIN($C$100*I56)-SIN($C$100*$C$12)*SIN($C$100*F56))/(COS($C$100*$C$12)*COS($C$100*F56))</f>
        <v>8.3231535051309327E-2</v>
      </c>
      <c r="K56" s="121">
        <f t="shared" si="4"/>
        <v>1.4874683933481088</v>
      </c>
      <c r="L56" s="121">
        <f t="shared" si="2"/>
        <v>0.27183409804152059</v>
      </c>
      <c r="M56" s="121">
        <f>IF($K$50&lt;&gt;"-",MOD(1+(E56-$C$13-$C$62)/360,1),"-")</f>
        <v>0.5085720455358318</v>
      </c>
      <c r="N56" s="121">
        <f t="shared" si="3"/>
        <v>0.745309993030143</v>
      </c>
    </row>
    <row r="57" spans="1:31" ht="16" customHeight="1">
      <c r="A57" s="28"/>
      <c r="B57" s="128" t="s">
        <v>27</v>
      </c>
      <c r="C57" s="131">
        <f>K184</f>
        <v>51.387308195003015</v>
      </c>
      <c r="D57" s="131">
        <f>K186</f>
        <v>18.473467230324296</v>
      </c>
      <c r="E57" s="131">
        <f>X184</f>
        <v>51.414960869854553</v>
      </c>
      <c r="F57" s="131">
        <f>X186</f>
        <v>18.480528759003114</v>
      </c>
      <c r="G57" s="131">
        <f>AK184</f>
        <v>51.44340549135967</v>
      </c>
      <c r="H57" s="131">
        <f>AK186</f>
        <v>18.487776128657256</v>
      </c>
      <c r="I57" s="121">
        <v>-0.56669999999999998</v>
      </c>
      <c r="J57" s="121">
        <f>(SIN($C$100*I57)-SIN($C$100*$C$12)*SIN($C$100*F57))/(COS($C$100*$C$12)*COS($C$100*F57))</f>
        <v>-0.36680308835860254</v>
      </c>
      <c r="K57" s="121">
        <f t="shared" si="4"/>
        <v>1.9463665734444604</v>
      </c>
      <c r="L57" s="121">
        <f t="shared" si="2"/>
        <v>0.36234379414365026</v>
      </c>
      <c r="M57" s="121">
        <f>IF($K$50&lt;&gt;"-",MOD(1+(E57-$C$13-$C$62)/360,1),"-")</f>
        <v>0.67211765537617074</v>
      </c>
      <c r="N57" s="121">
        <f t="shared" si="3"/>
        <v>0.98189151660869123</v>
      </c>
    </row>
    <row r="58" spans="1:31" ht="16" customHeight="1">
      <c r="A58" s="28"/>
      <c r="B58" s="128" t="s">
        <v>26</v>
      </c>
      <c r="C58" s="131">
        <f>L184</f>
        <v>359.55513507471028</v>
      </c>
      <c r="D58" s="131">
        <f>L186</f>
        <v>-1.5684677427640916</v>
      </c>
      <c r="E58" s="131">
        <f>Y184</f>
        <v>359.58887950431819</v>
      </c>
      <c r="F58" s="131">
        <f>Y186</f>
        <v>-1.55375465686555</v>
      </c>
      <c r="G58" s="131">
        <f>AL184</f>
        <v>359.6227535152301</v>
      </c>
      <c r="H58" s="131">
        <f>AL186</f>
        <v>-1.5389976364567732</v>
      </c>
      <c r="I58" s="121">
        <v>-0.56669999999999998</v>
      </c>
      <c r="J58" s="121">
        <f>(SIN($C$100*I58)-SIN($C$100*$C$12)*SIN($C$100*F58))/(COS($C$100*$C$12)*COS($C$100*F58))</f>
        <v>1.4178350828244287E-2</v>
      </c>
      <c r="K58" s="121">
        <f t="shared" si="4"/>
        <v>1.5566175008883516</v>
      </c>
      <c r="L58" s="121">
        <f t="shared" si="2"/>
        <v>0.28041294847994691</v>
      </c>
      <c r="M58" s="121">
        <f>IF($K$50&lt;&gt;"-",MOD(1+(E58-$C$13-$C$62)/360,1),"-")</f>
        <v>0.5281563182496809</v>
      </c>
      <c r="N58" s="121">
        <f t="shared" si="3"/>
        <v>0.77589968801941489</v>
      </c>
    </row>
    <row r="59" spans="1:31" ht="16" customHeight="1">
      <c r="A59" s="28"/>
      <c r="B59" s="128" t="s">
        <v>25</v>
      </c>
      <c r="C59" s="131">
        <f>M184</f>
        <v>306.0677898455441</v>
      </c>
      <c r="D59" s="131">
        <f>M186</f>
        <v>-22.778737083617759</v>
      </c>
      <c r="E59" s="131">
        <f>Z184</f>
        <v>306.09163721538226</v>
      </c>
      <c r="F59" s="131">
        <f>Z186</f>
        <v>-22.775903555089645</v>
      </c>
      <c r="G59" s="131">
        <f>AM184</f>
        <v>306.11517237844822</v>
      </c>
      <c r="H59" s="131">
        <f>AM186</f>
        <v>-22.773159283884752</v>
      </c>
      <c r="I59" s="121">
        <v>-0.56669999999999998</v>
      </c>
      <c r="J59" s="121">
        <f>(SIN($C$100*I59)-SIN($C$100*$C$12)*SIN($C$100*F59))/(COS($C$100*$C$12)*COS($C$100*F59))</f>
        <v>0.42621421502341428</v>
      </c>
      <c r="K59" s="121">
        <f t="shared" si="4"/>
        <v>1.1304926306368286</v>
      </c>
      <c r="L59" s="121">
        <f t="shared" si="2"/>
        <v>0.19962937715226947</v>
      </c>
      <c r="M59" s="121">
        <f>IF($K$50&lt;&gt;"-",MOD(1+(E59-$C$13-$C$62)/360,1),"-")</f>
        <v>0.37955286744708094</v>
      </c>
      <c r="N59" s="121">
        <f t="shared" si="3"/>
        <v>0.55947635774189242</v>
      </c>
    </row>
    <row r="60" spans="1:31" ht="16" customHeight="1">
      <c r="A60" s="28"/>
      <c r="B60" s="28"/>
      <c r="C60" s="28"/>
      <c r="D60" s="29"/>
      <c r="E60" s="29"/>
      <c r="F60" s="29"/>
      <c r="G60" s="28"/>
      <c r="H60" s="28"/>
      <c r="I60" s="23"/>
      <c r="J60" s="23"/>
      <c r="K60" s="23"/>
      <c r="L60" s="23"/>
      <c r="M60" s="23"/>
      <c r="N60" s="23"/>
    </row>
    <row r="61" spans="1:31" ht="16" customHeight="1">
      <c r="A61" s="118"/>
      <c r="B61" s="39" t="s">
        <v>102</v>
      </c>
      <c r="C61" s="119">
        <f>($C$7-2451545)/36525</f>
        <v>0.25170431211498973</v>
      </c>
      <c r="D61" s="29"/>
      <c r="E61" s="29"/>
      <c r="F61" s="29"/>
      <c r="G61" s="28"/>
      <c r="H61" s="28"/>
      <c r="I61" s="23"/>
      <c r="J61" s="23"/>
      <c r="K61" s="23"/>
      <c r="L61" s="23"/>
      <c r="M61" s="23"/>
      <c r="N61" s="23"/>
    </row>
    <row r="62" spans="1:31" ht="16" customHeight="1">
      <c r="A62" s="118"/>
      <c r="B62" s="39" t="s">
        <v>104</v>
      </c>
      <c r="C62" s="32">
        <f>MOD(280.46061837+360.98564736629*(C7-2451545)+0.000387933*POWER(C61,2)-((POWER(C61,3)/38710000)),360)</f>
        <v>162.0097049344331</v>
      </c>
      <c r="D62" s="29"/>
      <c r="E62" s="29"/>
      <c r="F62" s="29"/>
      <c r="G62" s="28"/>
      <c r="H62" s="28"/>
      <c r="I62" s="23"/>
      <c r="J62" s="23"/>
      <c r="K62" s="23"/>
      <c r="L62" s="23"/>
      <c r="M62" s="23"/>
      <c r="N62" s="23"/>
    </row>
    <row r="63" spans="1:31" ht="16" customHeight="1">
      <c r="A63" s="118"/>
      <c r="B63" s="39"/>
      <c r="C63" s="32"/>
      <c r="D63" s="29"/>
      <c r="E63" s="29"/>
      <c r="F63" s="29"/>
      <c r="G63" s="28"/>
      <c r="H63" s="28"/>
      <c r="I63" s="23"/>
      <c r="J63" s="23"/>
      <c r="K63" s="23"/>
      <c r="L63" s="23"/>
      <c r="M63" s="23"/>
      <c r="N63" s="23"/>
    </row>
    <row r="64" spans="1:31" ht="16" customHeight="1">
      <c r="A64" s="118"/>
      <c r="B64" s="155" t="s">
        <v>136</v>
      </c>
      <c r="C64" s="32"/>
      <c r="D64" s="29"/>
      <c r="E64" s="29"/>
      <c r="F64" s="29"/>
      <c r="G64" s="28"/>
      <c r="H64" s="28"/>
      <c r="I64" s="23"/>
      <c r="J64" s="23"/>
      <c r="K64" s="23"/>
      <c r="L64" s="23"/>
      <c r="M64" s="23"/>
      <c r="N64" s="23"/>
    </row>
    <row r="65" spans="1:50" ht="16" customHeight="1">
      <c r="A65" s="118"/>
      <c r="B65" s="39"/>
      <c r="C65" s="32"/>
      <c r="D65" s="29"/>
      <c r="E65" s="29"/>
      <c r="F65" s="29"/>
      <c r="G65" s="28"/>
      <c r="H65" s="28"/>
      <c r="I65" s="23"/>
      <c r="J65" s="23"/>
      <c r="K65" s="23"/>
      <c r="L65" s="23"/>
      <c r="M65" s="23"/>
      <c r="N65" s="23"/>
    </row>
    <row r="66" spans="1:50" ht="16" customHeight="1">
      <c r="A66" s="118"/>
      <c r="C66" s="174" t="s">
        <v>0</v>
      </c>
      <c r="D66" s="175"/>
      <c r="E66" s="176"/>
      <c r="F66" s="29"/>
      <c r="H66" s="174" t="s">
        <v>3</v>
      </c>
      <c r="I66" s="175"/>
      <c r="J66" s="176"/>
      <c r="K66" s="23"/>
      <c r="M66" s="174" t="s">
        <v>6</v>
      </c>
      <c r="N66" s="175"/>
      <c r="O66" s="176"/>
      <c r="R66" s="174" t="s">
        <v>1</v>
      </c>
      <c r="S66" s="175"/>
      <c r="T66" s="176"/>
      <c r="W66" s="174" t="s">
        <v>4</v>
      </c>
      <c r="X66" s="175"/>
      <c r="Y66" s="176"/>
      <c r="AB66" s="174" t="s">
        <v>5</v>
      </c>
      <c r="AC66" s="175"/>
      <c r="AD66" s="176"/>
      <c r="AG66" s="174" t="s">
        <v>7</v>
      </c>
      <c r="AH66" s="175"/>
      <c r="AI66" s="176"/>
      <c r="AL66" s="174" t="s">
        <v>27</v>
      </c>
      <c r="AM66" s="175"/>
      <c r="AN66" s="176"/>
      <c r="AQ66" s="174" t="s">
        <v>26</v>
      </c>
      <c r="AR66" s="175"/>
      <c r="AS66" s="176"/>
      <c r="AV66" s="174" t="s">
        <v>25</v>
      </c>
      <c r="AW66" s="175"/>
      <c r="AX66" s="176"/>
    </row>
    <row r="67" spans="1:50" ht="16" customHeight="1">
      <c r="A67" s="118"/>
      <c r="B67" s="148"/>
      <c r="C67" s="151" t="s">
        <v>105</v>
      </c>
      <c r="D67" s="152" t="s">
        <v>106</v>
      </c>
      <c r="E67" s="130" t="s">
        <v>107</v>
      </c>
      <c r="F67" s="29"/>
      <c r="G67" s="148"/>
      <c r="H67" s="151" t="s">
        <v>105</v>
      </c>
      <c r="I67" s="152" t="s">
        <v>106</v>
      </c>
      <c r="J67" s="130" t="s">
        <v>107</v>
      </c>
      <c r="K67" s="23"/>
      <c r="L67" s="148"/>
      <c r="M67" s="151" t="s">
        <v>105</v>
      </c>
      <c r="N67" s="152" t="s">
        <v>106</v>
      </c>
      <c r="O67" s="130" t="s">
        <v>107</v>
      </c>
      <c r="Q67" s="148"/>
      <c r="R67" s="151" t="s">
        <v>105</v>
      </c>
      <c r="S67" s="152" t="s">
        <v>106</v>
      </c>
      <c r="T67" s="130" t="s">
        <v>107</v>
      </c>
      <c r="V67" s="148"/>
      <c r="W67" s="151" t="s">
        <v>105</v>
      </c>
      <c r="X67" s="152" t="s">
        <v>106</v>
      </c>
      <c r="Y67" s="130" t="s">
        <v>107</v>
      </c>
      <c r="AA67" s="148"/>
      <c r="AB67" s="151" t="s">
        <v>105</v>
      </c>
      <c r="AC67" s="152" t="s">
        <v>106</v>
      </c>
      <c r="AD67" s="130" t="s">
        <v>107</v>
      </c>
      <c r="AF67" s="148"/>
      <c r="AG67" s="151" t="s">
        <v>105</v>
      </c>
      <c r="AH67" s="152" t="s">
        <v>106</v>
      </c>
      <c r="AI67" s="130" t="s">
        <v>107</v>
      </c>
      <c r="AK67" s="148"/>
      <c r="AL67" s="151" t="s">
        <v>105</v>
      </c>
      <c r="AM67" s="152" t="s">
        <v>106</v>
      </c>
      <c r="AN67" s="130" t="s">
        <v>107</v>
      </c>
      <c r="AP67" s="148"/>
      <c r="AQ67" s="151" t="s">
        <v>105</v>
      </c>
      <c r="AR67" s="152" t="s">
        <v>106</v>
      </c>
      <c r="AS67" s="130" t="s">
        <v>107</v>
      </c>
      <c r="AU67" s="148"/>
      <c r="AV67" s="151" t="s">
        <v>105</v>
      </c>
      <c r="AW67" s="152" t="s">
        <v>106</v>
      </c>
      <c r="AX67" s="130" t="s">
        <v>107</v>
      </c>
    </row>
    <row r="68" spans="1:50" ht="16" customHeight="1">
      <c r="A68" s="118"/>
      <c r="B68" s="149" t="s">
        <v>126</v>
      </c>
      <c r="C68" s="150">
        <f>L50</f>
        <v>0.25298613495047739</v>
      </c>
      <c r="D68" s="121">
        <f>M50</f>
        <v>0.48749351490797643</v>
      </c>
      <c r="E68" s="121">
        <f>N50</f>
        <v>0.72200089486547547</v>
      </c>
      <c r="F68" s="29"/>
      <c r="G68" s="149" t="s">
        <v>126</v>
      </c>
      <c r="H68" s="150">
        <f>L51</f>
        <v>0.2748834378692484</v>
      </c>
      <c r="I68" s="150">
        <f>M51</f>
        <v>0.53063821135812184</v>
      </c>
      <c r="J68" s="150">
        <f>N51</f>
        <v>0.78639298484699527</v>
      </c>
      <c r="K68" s="23"/>
      <c r="L68" s="149" t="s">
        <v>126</v>
      </c>
      <c r="M68" s="150">
        <f>L52</f>
        <v>0.264037559715947</v>
      </c>
      <c r="N68" s="121">
        <f>M52</f>
        <v>0.54882940439663519</v>
      </c>
      <c r="O68" s="121">
        <f>N52</f>
        <v>0.8336212490773236</v>
      </c>
      <c r="Q68" s="149" t="s">
        <v>126</v>
      </c>
      <c r="R68" s="150">
        <f>L53</f>
        <v>0.32113174344038486</v>
      </c>
      <c r="S68" s="150">
        <f>M53</f>
        <v>0.62550504934045137</v>
      </c>
      <c r="T68" s="150">
        <f>N53</f>
        <v>0.92987835524051765</v>
      </c>
      <c r="V68" s="149" t="s">
        <v>126</v>
      </c>
      <c r="W68" s="150">
        <f>L54</f>
        <v>0.49546850175968915</v>
      </c>
      <c r="X68" s="150">
        <f>M54</f>
        <v>0.83305603052727095</v>
      </c>
      <c r="Y68" s="150">
        <f>N54</f>
        <v>0.17064355929485275</v>
      </c>
      <c r="AA68" s="149" t="s">
        <v>126</v>
      </c>
      <c r="AB68" s="150">
        <f>L55</f>
        <v>0.40457373081222969</v>
      </c>
      <c r="AC68" s="150">
        <f>M55</f>
        <v>0.72685909443288566</v>
      </c>
      <c r="AD68" s="150">
        <f>N55</f>
        <v>4.914445805354184E-2</v>
      </c>
      <c r="AF68" s="149" t="s">
        <v>126</v>
      </c>
      <c r="AG68" s="150">
        <f>L56</f>
        <v>0.27183409804152059</v>
      </c>
      <c r="AH68" s="150">
        <f>M56</f>
        <v>0.5085720455358318</v>
      </c>
      <c r="AI68" s="150">
        <f>N56</f>
        <v>0.745309993030143</v>
      </c>
      <c r="AK68" s="149" t="s">
        <v>126</v>
      </c>
      <c r="AL68" s="150">
        <f>L57</f>
        <v>0.36234379414365026</v>
      </c>
      <c r="AM68" s="150">
        <f>M57</f>
        <v>0.67211765537617074</v>
      </c>
      <c r="AN68" s="150">
        <f>N57</f>
        <v>0.98189151660869123</v>
      </c>
      <c r="AP68" s="149" t="s">
        <v>126</v>
      </c>
      <c r="AQ68" s="150">
        <f>L58</f>
        <v>0.28041294847994691</v>
      </c>
      <c r="AR68" s="150">
        <f>M58</f>
        <v>0.5281563182496809</v>
      </c>
      <c r="AS68" s="150">
        <f>N58</f>
        <v>0.77589968801941489</v>
      </c>
      <c r="AU68" s="149" t="s">
        <v>126</v>
      </c>
      <c r="AV68" s="150">
        <f>L59</f>
        <v>0.19962937715226947</v>
      </c>
      <c r="AW68" s="150">
        <f>M59</f>
        <v>0.37955286744708094</v>
      </c>
      <c r="AX68" s="150">
        <f>N59</f>
        <v>0.55947635774189242</v>
      </c>
    </row>
    <row r="69" spans="1:50" ht="16" customHeight="1">
      <c r="A69" s="118"/>
      <c r="B69" s="149" t="s">
        <v>127</v>
      </c>
      <c r="C69" s="150">
        <f>MOD($C$62+360.985647*C68,360)</f>
        <v>253.3340685415605</v>
      </c>
      <c r="D69" s="150">
        <f>MOD($C$62+360.985647*D68,360)</f>
        <v>337.98786682179309</v>
      </c>
      <c r="E69" s="150">
        <f>MOD($C$62+360.985647*E68,360)</f>
        <v>62.64166510202574</v>
      </c>
      <c r="F69" s="29"/>
      <c r="G69" s="149" t="s">
        <v>127</v>
      </c>
      <c r="H69" s="150">
        <f>MOD($C$62+360.985647*H68,360)</f>
        <v>261.23868060324804</v>
      </c>
      <c r="I69" s="150">
        <f>MOD($C$62+360.985647*I68,360)</f>
        <v>353.56248298446747</v>
      </c>
      <c r="J69" s="150">
        <f>MOD($C$62+360.985647*J68,360)</f>
        <v>85.886285365686888</v>
      </c>
      <c r="K69" s="23"/>
      <c r="L69" s="149" t="s">
        <v>127</v>
      </c>
      <c r="M69" s="150">
        <f>MOD($C$62+360.985647*M68,360)</f>
        <v>257.32347426079536</v>
      </c>
      <c r="N69" s="150">
        <f>MOD($C$62+360.985647*N68,360)</f>
        <v>0.12924257317706633</v>
      </c>
      <c r="O69" s="150">
        <f>MOD($C$62+360.985647*O68,360)</f>
        <v>102.93501088555888</v>
      </c>
      <c r="Q69" s="149" t="s">
        <v>127</v>
      </c>
      <c r="R69" s="150">
        <f>MOD($C$62+360.985647*R68,360)</f>
        <v>277.9336551124984</v>
      </c>
      <c r="S69" s="150">
        <f>MOD($C$62+360.985647*S68,360)</f>
        <v>27.808049872362858</v>
      </c>
      <c r="T69" s="150">
        <f>MOD($C$62+360.985647*T68,360)</f>
        <v>137.6824446322272</v>
      </c>
      <c r="V69" s="149" t="s">
        <v>127</v>
      </c>
      <c r="W69" s="150">
        <f>MOD($C$62+360.985647*W68,360)</f>
        <v>340.86672261027513</v>
      </c>
      <c r="X69" s="150">
        <f>MOD($C$62+360.985647*X68,360)</f>
        <v>102.73097510157174</v>
      </c>
      <c r="Y69" s="150">
        <f>MOD($C$62+360.985647*Y68,360)</f>
        <v>223.60958059286838</v>
      </c>
      <c r="AA69" s="149" t="s">
        <v>127</v>
      </c>
      <c r="AB69" s="150">
        <f>MOD($C$62+360.985647*AB68,360)</f>
        <v>308.05501491088967</v>
      </c>
      <c r="AC69" s="150">
        <f>MOD($C$62+360.985647*AC68,360)</f>
        <v>64.395405416122401</v>
      </c>
      <c r="AD69" s="150">
        <f>MOD($C$62+360.985647*AD68,360)</f>
        <v>179.75014892135528</v>
      </c>
      <c r="AF69" s="149" t="s">
        <v>127</v>
      </c>
      <c r="AG69" s="150">
        <f>MOD($C$62+360.985647*AG68,360)</f>
        <v>260.13791269261287</v>
      </c>
      <c r="AH69" s="150">
        <f>MOD($C$62+360.985647*AH68,360)</f>
        <v>345.5969138382988</v>
      </c>
      <c r="AI69" s="150">
        <f>MOD($C$62+360.985647*AI68,360)</f>
        <v>71.055914983984735</v>
      </c>
      <c r="AK69" s="149" t="s">
        <v>127</v>
      </c>
      <c r="AL69" s="150">
        <f>MOD($C$62+360.985647*AL68,360)</f>
        <v>292.81061389981346</v>
      </c>
      <c r="AM69" s="150">
        <f>MOD($C$62+360.985647*AM68,360)</f>
        <v>44.634531620523148</v>
      </c>
      <c r="AN69" s="150">
        <f>MOD($C$62+360.985647*AN68,360)</f>
        <v>156.45844934123272</v>
      </c>
      <c r="AP69" s="149" t="s">
        <v>127</v>
      </c>
      <c r="AQ69" s="150">
        <f>MOD($C$62+360.985647*AQ68,360)</f>
        <v>263.23475456864441</v>
      </c>
      <c r="AR69" s="150">
        <f>MOD($C$62+360.985647*AR68,360)</f>
        <v>352.66655519493202</v>
      </c>
      <c r="AS69" s="150">
        <f>MOD($C$62+360.985647*AS68,360)</f>
        <v>82.098355821219741</v>
      </c>
      <c r="AU69" s="149" t="s">
        <v>127</v>
      </c>
      <c r="AV69" s="150">
        <f>MOD($C$62+360.985647*AV68,360)</f>
        <v>234.07304480595212</v>
      </c>
      <c r="AW69" s="150">
        <f>MOD($C$62+360.985647*AW68,360)</f>
        <v>299.02284236052287</v>
      </c>
      <c r="AX69" s="150">
        <f>MOD($C$62+360.985647*AX68,360)</f>
        <v>3.9726399150935663</v>
      </c>
    </row>
    <row r="70" spans="1:50" ht="16" customHeight="1">
      <c r="A70" s="118"/>
      <c r="B70" s="149" t="s">
        <v>128</v>
      </c>
      <c r="C70" s="150">
        <f>C68+$C$15/86400</f>
        <v>0.25363428309862557</v>
      </c>
      <c r="D70" s="150">
        <f>D68+$C$15/86400</f>
        <v>0.48814166305612461</v>
      </c>
      <c r="E70" s="150">
        <f>E68+$C$15/86400</f>
        <v>0.72264904301362365</v>
      </c>
      <c r="F70" s="29"/>
      <c r="G70" s="149" t="s">
        <v>128</v>
      </c>
      <c r="H70" s="150">
        <f>H68+$C$15/86400</f>
        <v>0.27553158601739658</v>
      </c>
      <c r="I70" s="150">
        <f>I68+$C$15/86400</f>
        <v>0.53128635950627001</v>
      </c>
      <c r="J70" s="150">
        <f>J68+$C$15/86400</f>
        <v>0.78704113299514344</v>
      </c>
      <c r="K70" s="23"/>
      <c r="L70" s="149" t="s">
        <v>128</v>
      </c>
      <c r="M70" s="150">
        <f>M68+$C$15/86400</f>
        <v>0.26468570786409518</v>
      </c>
      <c r="N70" s="150">
        <f>N68+$C$15/86400</f>
        <v>0.54947755254478337</v>
      </c>
      <c r="O70" s="150">
        <f>O68+$C$15/86400</f>
        <v>0.83426939722547178</v>
      </c>
      <c r="Q70" s="149" t="s">
        <v>128</v>
      </c>
      <c r="R70" s="150">
        <f>R68+$C$15/86400</f>
        <v>0.32177989158853304</v>
      </c>
      <c r="S70" s="150">
        <f>S68+$C$15/86400</f>
        <v>0.62615319748859954</v>
      </c>
      <c r="T70" s="150">
        <f>T68+$C$15/86400</f>
        <v>0.93052650338866583</v>
      </c>
      <c r="V70" s="149" t="s">
        <v>128</v>
      </c>
      <c r="W70" s="150">
        <f>W68+$C$15/86400</f>
        <v>0.49611664990783733</v>
      </c>
      <c r="X70" s="150">
        <f>X68+$C$15/86400</f>
        <v>0.83370417867541913</v>
      </c>
      <c r="Y70" s="150">
        <f>Y68+$C$15/86400</f>
        <v>0.1712917074430009</v>
      </c>
      <c r="AA70" s="149" t="s">
        <v>128</v>
      </c>
      <c r="AB70" s="150">
        <f>AB68+$C$15/86400</f>
        <v>0.40522187896037787</v>
      </c>
      <c r="AC70" s="150">
        <f>AC68+$C$15/86400</f>
        <v>0.72750724258103383</v>
      </c>
      <c r="AD70" s="150">
        <f>AD68+$C$15/86400</f>
        <v>4.9792606201689987E-2</v>
      </c>
      <c r="AF70" s="149" t="s">
        <v>128</v>
      </c>
      <c r="AG70" s="150">
        <f>AG68+$C$15/86400</f>
        <v>0.27248224618966876</v>
      </c>
      <c r="AH70" s="150">
        <f>AH68+$C$15/86400</f>
        <v>0.50922019368397997</v>
      </c>
      <c r="AI70" s="150">
        <f>AI68+$C$15/86400</f>
        <v>0.74595814117829118</v>
      </c>
      <c r="AK70" s="149" t="s">
        <v>128</v>
      </c>
      <c r="AL70" s="150">
        <f>AL68+$C$15/86400</f>
        <v>0.36299194229179843</v>
      </c>
      <c r="AM70" s="150">
        <f>AM68+$C$15/86400</f>
        <v>0.67276580352431892</v>
      </c>
      <c r="AN70" s="150">
        <f>AN68+$C$15/86400</f>
        <v>0.9825396647568394</v>
      </c>
      <c r="AP70" s="149" t="s">
        <v>128</v>
      </c>
      <c r="AQ70" s="150">
        <f>AQ68+$C$15/86400</f>
        <v>0.28106109662809509</v>
      </c>
      <c r="AR70" s="150">
        <f>AR68+$C$15/86400</f>
        <v>0.52880446639782908</v>
      </c>
      <c r="AS70" s="150">
        <f>AS68+$C$15/86400</f>
        <v>0.77654783616756307</v>
      </c>
      <c r="AU70" s="149" t="s">
        <v>128</v>
      </c>
      <c r="AV70" s="150">
        <f>AV68+$C$15/86400</f>
        <v>0.20027752530041762</v>
      </c>
      <c r="AW70" s="150">
        <f>AW68+$C$15/86400</f>
        <v>0.38020101559522912</v>
      </c>
      <c r="AX70" s="150">
        <f>AX68+$C$15/86400</f>
        <v>0.56012450589004059</v>
      </c>
    </row>
    <row r="71" spans="1:50" ht="16" customHeight="1">
      <c r="A71" s="118"/>
      <c r="B71" s="149" t="s">
        <v>81</v>
      </c>
      <c r="C71" s="150">
        <f>$E$50+(C70/2)*(($E$50-$C$50)+($G$50-$E$50)+C70*($C$50+$G$50-2*$E$50))</f>
        <v>345.18644856088667</v>
      </c>
      <c r="D71" s="150">
        <f>$E$50+(D70/2)*(($E$50-$C$50)+($G$50-$E$50)+D70*($C$50+$G$50-2*$E$50))</f>
        <v>345.40470882777902</v>
      </c>
      <c r="E71" s="150">
        <f>$E$50+(E70/2)*(($E$50-$C$50)+($G$50-$E$50)+E70*($C$50+$G$50-2*$E$50))</f>
        <v>345.62286583394035</v>
      </c>
      <c r="F71" s="29"/>
      <c r="G71" s="149" t="s">
        <v>81</v>
      </c>
      <c r="H71" s="150">
        <f>$E$51+(H70/2)*(($E$51-$C$51)+($G$51-$E$51)+H70*($C$51+$G$51-2*$E$51))</f>
        <v>-35.116464710719434</v>
      </c>
      <c r="I71" s="150">
        <f>$E$51+(I70/2)*(($E$51-$C$51)+($G$51-$E$51)+I70*($C$51+$G$51-2*$E$51))</f>
        <v>-43.707301276504793</v>
      </c>
      <c r="J71" s="150">
        <f>$E$51+(J70/2)*(($E$51-$C$51)+($G$51-$E$51)+J70*($C$51+$G$51-2*$E$51))</f>
        <v>-28.755564441095554</v>
      </c>
      <c r="K71" s="23"/>
      <c r="L71" s="149" t="s">
        <v>81</v>
      </c>
      <c r="M71" s="150">
        <f>$E$52+(M70/2)*(($E$52-$C$52)+($G$52-$E$52)+M70*($C$52+$G$52-2*$E$52))</f>
        <v>6.9927365701403135</v>
      </c>
      <c r="N71" s="150">
        <f>$E$52+(N70/2)*(($E$52-$C$52)+($G$52-$E$52)+N70*($C$52+$G$52-2*$E$52))</f>
        <v>6.9484976893857695</v>
      </c>
      <c r="O71" s="150">
        <f>$E$52+(O70/2)*(($E$52-$C$52)+($G$52-$E$52)+O70*($C$52+$G$52-2*$E$52))</f>
        <v>6.9012901320545916</v>
      </c>
      <c r="Q71" s="149" t="s">
        <v>81</v>
      </c>
      <c r="R71" s="150">
        <f>$E$53+(R70/2)*(($E$53-$C$53)+($G$53-$E$53)+R70*($C$53+$G$53-2*$E$53))</f>
        <v>39.19456008206356</v>
      </c>
      <c r="S71" s="150">
        <f>$E$53+(S70/2)*(($E$53-$C$53)+($G$53-$E$53)+S70*($C$53+$G$53-2*$E$53))</f>
        <v>43.568290531619873</v>
      </c>
      <c r="T71" s="150">
        <f>$E$53+(T70/2)*(($E$53-$C$53)+($G$53-$E$53)+T70*($C$53+$G$53-2*$E$53))</f>
        <v>48.000617770334152</v>
      </c>
      <c r="V71" s="149" t="s">
        <v>81</v>
      </c>
      <c r="W71" s="150">
        <f>$E$54+(W70/2)*(($E$54-$C$54)+($G$54-$E$54)+W70*($C$54+$G$54-2*$E$54))</f>
        <v>109.40285454020461</v>
      </c>
      <c r="X71" s="150">
        <f>$E$54+(X70/2)*(($E$54-$C$54)+($G$54-$E$54)+X70*($C$54+$G$54-2*$E$54))</f>
        <v>109.43862032078137</v>
      </c>
      <c r="Y71" s="150">
        <f>$E$54+(Y70/2)*(($E$54-$C$54)+($G$54-$E$54)+Y70*($C$54+$G$54-2*$E$54))</f>
        <v>109.3697323597866</v>
      </c>
      <c r="AA71" s="149" t="s">
        <v>81</v>
      </c>
      <c r="AB71" s="150">
        <f>$E$55+(AB70/2)*(($E$55-$C$55)+($G$55-$E$55)+AB70*($C$55+$G$55-2*$E$55))</f>
        <v>71.159967338852681</v>
      </c>
      <c r="AC71" s="150">
        <f>$E$55+(AC70/2)*(($E$55-$C$55)+($G$55-$E$55)+AC70*($C$55+$G$55-2*$E$55))</f>
        <v>71.190618821841241</v>
      </c>
      <c r="AD71" s="150">
        <f>$E$55+(AD70/2)*(($E$55-$C$55)+($G$55-$E$55)+AD70*($C$55+$G$55-2*$E$55))</f>
        <v>71.126532066364788</v>
      </c>
      <c r="AF71" s="149" t="s">
        <v>81</v>
      </c>
      <c r="AG71" s="150">
        <f>$E$56+(AG70/2)*(($E$56-$C$56)+($G$56-$E$56)+AG70*($C$56+$G$56-2*$E$56))</f>
        <v>352.56939003286067</v>
      </c>
      <c r="AH71" s="150">
        <f>$E$56+(AH70/2)*(($E$56-$C$56)+($G$56-$E$56)+AH70*($C$56+$G$56-2*$E$56))</f>
        <v>352.59620112243687</v>
      </c>
      <c r="AI71" s="150">
        <f>$E$56+(AI70/2)*(($E$56-$C$56)+($G$56-$E$56)+AI70*($C$56+$G$56-2*$E$56))</f>
        <v>352.62302069744811</v>
      </c>
      <c r="AK71" s="149" t="s">
        <v>81</v>
      </c>
      <c r="AL71" s="150">
        <f>$E$57+(AL70/2)*(($E$57-$C$57)+($G$57-$E$57)+AL70*($C$57+$G$57-2*$E$57))</f>
        <v>51.425194477828384</v>
      </c>
      <c r="AM71" s="150">
        <f>$E$57+(AM70/2)*(($E$57-$C$57)+($G$57-$E$57)+AM70*($C$57+$G$57-2*$E$57))</f>
        <v>51.434010264186604</v>
      </c>
      <c r="AN71" s="150">
        <f>$E$57+(AN70/2)*(($E$57-$C$57)+($G$57-$E$57)+AN70*($C$57+$G$57-2*$E$57))</f>
        <v>51.442902045623029</v>
      </c>
      <c r="AP71" s="149" t="s">
        <v>81</v>
      </c>
      <c r="AQ71" s="150">
        <f>$E$58+(AQ70/2)*(($E$58-$C$58)+($G$58-$E$58)+AQ70*($C$58+$G$58-2*$E$58))</f>
        <v>359.59838707900019</v>
      </c>
      <c r="AR71" s="150">
        <f>$E$58+(AR70/2)*(($E$58-$C$58)+($G$58-$E$58)+AR70*($C$58+$G$58-2*$E$58))</f>
        <v>359.60677608867684</v>
      </c>
      <c r="AS71" s="150">
        <f>$E$58+(AS70/2)*(($E$58-$C$58)+($G$58-$E$58)+AS70*($C$58+$G$58-2*$E$58))</f>
        <v>359.61517305163636</v>
      </c>
      <c r="AU71" s="149" t="s">
        <v>81</v>
      </c>
      <c r="AV71" s="150">
        <f>$E$59+(AV70/2)*(($E$59-$C$59)+($G$59-$E$59)+AV70*($C$59+$G$59-2*$E$59))</f>
        <v>306.09637578212198</v>
      </c>
      <c r="AW71" s="150">
        <f>$E$59+(AW70/2)*(($E$59-$C$59)+($G$59-$E$59)+AW70*($C$59+$G$59-2*$E$59))</f>
        <v>306.10062209376463</v>
      </c>
      <c r="AX71" s="150">
        <f>$E$59+(AX70/2)*(($E$59-$C$59)+($G$59-$E$59)+AX70*($C$59+$G$59-2*$E$59))</f>
        <v>306.10485829850523</v>
      </c>
    </row>
    <row r="72" spans="1:50" ht="16" customHeight="1">
      <c r="A72" s="118"/>
      <c r="B72" s="149" t="s">
        <v>82</v>
      </c>
      <c r="C72" s="150">
        <f>$F$50+(C70/2)*(($F$50-$D$50)+($H$50-$F$50)+C70*($D$50+$H$50-2*$F$50))</f>
        <v>-6.3243495960052414</v>
      </c>
      <c r="D72" s="150">
        <f>$F$50+(D70/2)*(($F$50-$D$50)+($H$50-$F$50)+D70*($D$50+$H$50-2*$F$50))</f>
        <v>-6.233933671046362</v>
      </c>
      <c r="E72" s="150">
        <f>$F$50+(E70/2)*(($F$50-$D$50)+($H$50-$F$50)+E70*($D$50+$H$50-2*$F$50))</f>
        <v>-6.1434358516807661</v>
      </c>
      <c r="F72" s="29"/>
      <c r="G72" s="149" t="s">
        <v>82</v>
      </c>
      <c r="H72" s="150">
        <f>$F$51+(H70/2)*(($F$51-$D$51)+($H$51-$F$51)+H70*($D$51+$H$51-2*$F$51))</f>
        <v>1.3990943745731113</v>
      </c>
      <c r="I72" s="150">
        <f>$F$51+(I70/2)*(($F$51-$D$51)+($H$51-$F$51)+I70*($D$51+$H$51-2*$F$51))</f>
        <v>1.5944385929188551</v>
      </c>
      <c r="J72" s="150">
        <f>$F$51+(J70/2)*(($F$51-$D$51)+($H$51-$F$51)+J70*($D$51+$H$51-2*$F$51))</f>
        <v>1.7877509139859424</v>
      </c>
      <c r="K72" s="23"/>
      <c r="L72" s="149" t="s">
        <v>82</v>
      </c>
      <c r="M72" s="150">
        <f>$F$52+(M70/2)*(($F$52-$D$52)+($H$52-$F$52)+M70*($D$52+$H$52-2*$F$52))</f>
        <v>10.909306123215663</v>
      </c>
      <c r="N72" s="150">
        <f t="shared" ref="N72:O72" si="5">$F$52+(N70/2)*(($F$52-$D$52)+($H$52-$F$52)+N70*($D$52+$H$52-2*$F$52))</f>
        <v>10.938911368058877</v>
      </c>
      <c r="O72" s="150">
        <f t="shared" si="5"/>
        <v>10.966801981600483</v>
      </c>
      <c r="Q72" s="149" t="s">
        <v>82</v>
      </c>
      <c r="R72" s="150">
        <f>$F$53+(R70/2)*(($F$53-$D$53)+($H$53-$F$53)+R70*($D$53+$H$53-2*$F$53))</f>
        <v>19.26608786235148</v>
      </c>
      <c r="S72" s="150">
        <f>$F$53+(S70/2)*(($F$53-$D$53)+($H$53-$F$53)+S70*($D$53+$H$53-2*$F$53))</f>
        <v>20.835669926677561</v>
      </c>
      <c r="T72" s="150">
        <f>$F$53+(T70/2)*(($F$53-$D$53)+($H$53-$F$53)+T70*($D$53+$H$53-2*$F$53))</f>
        <v>22.304857579120878</v>
      </c>
      <c r="V72" s="149" t="s">
        <v>82</v>
      </c>
      <c r="W72" s="150">
        <f>$F$54+(W70/2)*(($F$54-$D$54)+($H$54-$F$54)+W70*($D$54+$H$54-2*$F$54))</f>
        <v>25.707044466568366</v>
      </c>
      <c r="X72" s="150">
        <f>$F$54+(X70/2)*(($F$54-$D$54)+($H$54-$F$54)+X70*($D$54+$H$54-2*$F$54))</f>
        <v>25.692435448121</v>
      </c>
      <c r="Y72" s="150">
        <f>$F$54+(Y70/2)*(($F$54-$D$54)+($H$54-$F$54)+Y70*($D$54+$H$54-2*$F$54))</f>
        <v>25.720944210541052</v>
      </c>
      <c r="AA72" s="149" t="s">
        <v>82</v>
      </c>
      <c r="AB72" s="150">
        <f>$F$55+(AB70/2)*(($F$55-$D$55)+($H$55-$F$55)+AB70*($D$55+$H$55-2*$F$55))</f>
        <v>21.91845606920409</v>
      </c>
      <c r="AC72" s="150">
        <f>$F$55+(AC70/2)*(($F$55-$D$55)+($H$55-$F$55)+AC70*($D$55+$H$55-2*$F$55))</f>
        <v>21.923146982489548</v>
      </c>
      <c r="AD72" s="150">
        <f>$F$55+(AD70/2)*(($F$55-$D$55)+($H$55-$F$55)+AD70*($D$55+$H$55-2*$F$55))</f>
        <v>21.913317975572912</v>
      </c>
      <c r="AF72" s="149" t="s">
        <v>82</v>
      </c>
      <c r="AG72" s="150">
        <f>$F$56+(AG70/2)*(($F$56-$D$56)+($H$56-$F$56)+AG70*($D$56+$H$56-2*$F$56))</f>
        <v>-5.2890621178053649</v>
      </c>
      <c r="AH72" s="150">
        <f>$F$56+(AH70/2)*(($F$56-$D$56)+($H$56-$F$56)+AH70*($D$56+$H$56-2*$F$56))</f>
        <v>-5.2776650091976842</v>
      </c>
      <c r="AI72" s="150">
        <f>$F$56+(AI70/2)*(($F$56-$D$56)+($H$56-$F$56)+AI70*($D$56+$H$56-2*$F$56))</f>
        <v>-5.2662659647929919</v>
      </c>
      <c r="AK72" s="149" t="s">
        <v>82</v>
      </c>
      <c r="AL72" s="150">
        <f>$F$57+(AL70/2)*(($F$57-$D$57)+($H$57-$F$57)+AL70*($D$57+$H$57-2*$F$57))</f>
        <v>18.483138009898251</v>
      </c>
      <c r="AM72" s="150">
        <f>$F$57+(AM70/2)*(($F$57-$D$57)+($H$57-$F$57)+AM70*($D$57+$H$57-2*$F$57))</f>
        <v>18.485384084842845</v>
      </c>
      <c r="AN72" s="150">
        <f>$F$57+(AN70/2)*(($F$57-$D$57)+($H$57-$F$57)+AN70*($D$57+$H$57-2*$F$57))</f>
        <v>18.487647993058644</v>
      </c>
      <c r="AP72" s="149" t="s">
        <v>82</v>
      </c>
      <c r="AQ72" s="150">
        <f>$F$58+(AQ70/2)*(($F$58-$D$58)+($H$58-$F$58)+AQ70*($D$58+$H$58-2*$F$58))</f>
        <v>-1.5496114713565217</v>
      </c>
      <c r="AR72" s="150">
        <f>$F$58+(AR70/2)*(($F$58-$D$58)+($H$58-$F$58)+AR70*($D$58+$H$58-2*$F$58))</f>
        <v>-1.5459565521502725</v>
      </c>
      <c r="AS72" s="150">
        <f>$F$58+(AS70/2)*(($F$58-$D$58)+($H$58-$F$58)+AS70*($D$58+$H$58-2*$F$58))</f>
        <v>-1.5422989363853743</v>
      </c>
      <c r="AU72" s="149" t="s">
        <v>82</v>
      </c>
      <c r="AV72" s="150">
        <f>$F$59+(AV70/2)*(($F$59-$D$59)+($H$59-$F$59)+AV70*($D$59+$H$59-2*$F$59))</f>
        <v>-22.775346791230206</v>
      </c>
      <c r="AW72" s="150">
        <f>$F$59+(AW70/2)*(($F$59-$D$59)+($H$59-$F$59)+AW70*($D$59+$H$59-2*$F$59))</f>
        <v>-22.774849663726549</v>
      </c>
      <c r="AX72" s="150">
        <f>$F$59+(AX70/2)*(($F$59-$D$59)+($H$59-$F$59)+AX70*($D$59+$H$59-2*$F$59))</f>
        <v>-22.774355425702229</v>
      </c>
    </row>
    <row r="73" spans="1:50" ht="16" customHeight="1">
      <c r="A73" s="118"/>
      <c r="B73" s="149" t="s">
        <v>129</v>
      </c>
      <c r="C73" s="150">
        <f>C69+$C$13-C71</f>
        <v>-84.409480019326168</v>
      </c>
      <c r="D73" s="150">
        <f t="shared" ref="D73:E73" si="6">D69+$C$13-D71</f>
        <v>2.6057994014081487E-2</v>
      </c>
      <c r="E73" s="150">
        <f t="shared" si="6"/>
        <v>-275.5383007319146</v>
      </c>
      <c r="F73" s="29"/>
      <c r="G73" s="149" t="s">
        <v>129</v>
      </c>
      <c r="H73" s="150">
        <f>H69+$C$13-H71</f>
        <v>303.79804531396746</v>
      </c>
      <c r="I73" s="150">
        <f t="shared" ref="I73:J73" si="7">I69+$C$13-I71</f>
        <v>404.71268426097225</v>
      </c>
      <c r="J73" s="150">
        <f t="shared" si="7"/>
        <v>122.08474980678244</v>
      </c>
      <c r="K73" s="23"/>
      <c r="L73" s="149" t="s">
        <v>129</v>
      </c>
      <c r="M73" s="150">
        <f>M69+$C$13-M71</f>
        <v>257.77363769065505</v>
      </c>
      <c r="N73" s="150">
        <f t="shared" ref="N73:O73" si="8">N69+$C$13-N71</f>
        <v>0.62364488379129668</v>
      </c>
      <c r="O73" s="150">
        <f t="shared" si="8"/>
        <v>103.47662075350428</v>
      </c>
      <c r="Q73" s="149" t="s">
        <v>129</v>
      </c>
      <c r="R73" s="150">
        <f>R69+$C$13-R71</f>
        <v>246.18199503043485</v>
      </c>
      <c r="S73" s="150">
        <f t="shared" ref="S73:T73" si="9">S69+$C$13-S71</f>
        <v>-8.3173406592570132</v>
      </c>
      <c r="T73" s="150">
        <f t="shared" si="9"/>
        <v>97.124726861893066</v>
      </c>
      <c r="V73" s="149" t="s">
        <v>129</v>
      </c>
      <c r="W73" s="150">
        <f>W69+$C$13-W71</f>
        <v>238.90676807007054</v>
      </c>
      <c r="X73" s="150">
        <f t="shared" ref="X73:Y73" si="10">X69+$C$13-X71</f>
        <v>0.73525478079037043</v>
      </c>
      <c r="Y73" s="150">
        <f t="shared" si="10"/>
        <v>121.6827482330818</v>
      </c>
      <c r="AA73" s="149" t="s">
        <v>129</v>
      </c>
      <c r="AB73" s="150">
        <f>AB69+$C$13-AB71</f>
        <v>244.337947572037</v>
      </c>
      <c r="AC73" s="150">
        <f t="shared" ref="AC73:AD73" si="11">AC69+$C$13-AC71</f>
        <v>0.64768659428115427</v>
      </c>
      <c r="AD73" s="150">
        <f t="shared" si="11"/>
        <v>116.0665168549905</v>
      </c>
      <c r="AF73" s="149" t="s">
        <v>129</v>
      </c>
      <c r="AG73" s="150">
        <f>AG69+$C$13-AG71</f>
        <v>-84.988577340247787</v>
      </c>
      <c r="AH73" s="150">
        <f t="shared" ref="AH73:AI73" si="12">AH69+$C$13-AH71</f>
        <v>0.44361271586194562</v>
      </c>
      <c r="AI73" s="150">
        <f t="shared" si="12"/>
        <v>-274.12420571346337</v>
      </c>
      <c r="AK73" s="149" t="s">
        <v>129</v>
      </c>
      <c r="AL73" s="150">
        <f>AL69+$C$13-AL71</f>
        <v>248.8283194219851</v>
      </c>
      <c r="AM73" s="150">
        <f t="shared" ref="AM73:AN73" si="13">AM69+$C$13-AM71</f>
        <v>0.64342135633654607</v>
      </c>
      <c r="AN73" s="150">
        <f t="shared" si="13"/>
        <v>112.4584472956097</v>
      </c>
      <c r="AP73" s="149" t="s">
        <v>129</v>
      </c>
      <c r="AQ73" s="150">
        <f>AQ69+$C$13-AQ71</f>
        <v>-88.920732510355776</v>
      </c>
      <c r="AR73" s="150">
        <f t="shared" ref="AR73:AS73" si="14">AR69+$C$13-AR71</f>
        <v>0.50267910625518653</v>
      </c>
      <c r="AS73" s="150">
        <f t="shared" si="14"/>
        <v>-270.07391723041661</v>
      </c>
      <c r="AU73" s="149" t="s">
        <v>129</v>
      </c>
      <c r="AV73" s="150">
        <f>AV69+$C$13-AV71</f>
        <v>-64.580430976169851</v>
      </c>
      <c r="AW73" s="150">
        <f t="shared" ref="AW73:AX73" si="15">AW69+$C$13-AW71</f>
        <v>0.36512026675825382</v>
      </c>
      <c r="AX73" s="150">
        <f t="shared" si="15"/>
        <v>-294.68931838341166</v>
      </c>
    </row>
    <row r="74" spans="1:50" ht="16" customHeight="1">
      <c r="A74" s="118"/>
      <c r="B74" s="149" t="s">
        <v>133</v>
      </c>
      <c r="C74" s="150">
        <f>IF(C73&lt;-180,C73+360,IF(C73&gt;180,C73-360,C73))</f>
        <v>-84.409480019326168</v>
      </c>
      <c r="D74" s="150">
        <f>IF(D73&lt;-180,D73+360,IF(D73&gt;180,D73-360,D73))</f>
        <v>2.6057994014081487E-2</v>
      </c>
      <c r="E74" s="150">
        <f>IF(E73&lt;-180,E73+360,IF(E73&gt;180,E73-360,E73))</f>
        <v>84.461699268085397</v>
      </c>
      <c r="F74" s="29"/>
      <c r="G74" s="149" t="s">
        <v>133</v>
      </c>
      <c r="H74" s="150">
        <f>IF(H73&lt;-180,H73+360,IF(H73&gt;180,H73-360,H73))</f>
        <v>-56.201954686032536</v>
      </c>
      <c r="I74" s="150">
        <f>IF(I73&lt;-180,I73+360,IF(I73&gt;180,I73-360,I73))</f>
        <v>44.712684260972253</v>
      </c>
      <c r="J74" s="150">
        <f>IF(J73&lt;-180,J73+360,IF(J73&gt;180,J73-360,J73))</f>
        <v>122.08474980678244</v>
      </c>
      <c r="K74" s="23"/>
      <c r="L74" s="149" t="s">
        <v>133</v>
      </c>
      <c r="M74" s="150">
        <f>IF(M73&lt;-180,M73+360,IF(M73&gt;180,M73-360,M73))</f>
        <v>-102.22636230934495</v>
      </c>
      <c r="N74" s="150">
        <f>IF(N73&lt;-180,N73+360,IF(N73&gt;180,N73-360,N73))</f>
        <v>0.62364488379129668</v>
      </c>
      <c r="O74" s="150">
        <f>IF(O73&lt;-180,O73+360,IF(O73&gt;180,O73-360,O73))</f>
        <v>103.47662075350428</v>
      </c>
      <c r="Q74" s="149" t="s">
        <v>133</v>
      </c>
      <c r="R74" s="150">
        <f>IF(R73&lt;-180,R73+360,IF(R73&gt;180,R73-360,R73))</f>
        <v>-113.81800496956515</v>
      </c>
      <c r="S74" s="150">
        <f>IF(S73&lt;-180,S73+360,IF(S73&gt;180,S73-360,S73))</f>
        <v>-8.3173406592570132</v>
      </c>
      <c r="T74" s="150">
        <f>IF(T73&lt;-180,T73+360,IF(T73&gt;180,T73-360,T73))</f>
        <v>97.124726861893066</v>
      </c>
      <c r="V74" s="149" t="s">
        <v>133</v>
      </c>
      <c r="W74" s="150">
        <f>IF(W73&lt;-180,W73+360,IF(W73&gt;180,W73-360,W73))</f>
        <v>-121.09323192992946</v>
      </c>
      <c r="X74" s="150">
        <f>IF(X73&lt;-180,X73+360,IF(X73&gt;180,X73-360,X73))</f>
        <v>0.73525478079037043</v>
      </c>
      <c r="Y74" s="150">
        <f>IF(Y73&lt;-180,Y73+360,IF(Y73&gt;180,Y73-360,Y73))</f>
        <v>121.6827482330818</v>
      </c>
      <c r="AA74" s="149" t="s">
        <v>133</v>
      </c>
      <c r="AB74" s="150">
        <f>IF(AB73&lt;-180,AB73+360,IF(AB73&gt;180,AB73-360,AB73))</f>
        <v>-115.662052427963</v>
      </c>
      <c r="AC74" s="150">
        <f>IF(AC73&lt;-180,AC73+360,IF(AC73&gt;180,AC73-360,AC73))</f>
        <v>0.64768659428115427</v>
      </c>
      <c r="AD74" s="150">
        <f>IF(AD73&lt;-180,AD73+360,IF(AD73&gt;180,AD73-360,AD73))</f>
        <v>116.0665168549905</v>
      </c>
      <c r="AF74" s="149" t="s">
        <v>133</v>
      </c>
      <c r="AG74" s="150">
        <f>IF(AG73&lt;-180,AG73+360,IF(AG73&gt;180,AG73-360,AG73))</f>
        <v>-84.988577340247787</v>
      </c>
      <c r="AH74" s="150">
        <f>IF(AH73&lt;-180,AH73+360,IF(AH73&gt;180,AH73-360,AH73))</f>
        <v>0.44361271586194562</v>
      </c>
      <c r="AI74" s="150">
        <f>IF(AI73&lt;-180,AI73+360,IF(AI73&gt;180,AI73-360,AI73))</f>
        <v>85.875794286536632</v>
      </c>
      <c r="AK74" s="149" t="s">
        <v>133</v>
      </c>
      <c r="AL74" s="150">
        <f>IF(AL73&lt;-180,AL73+360,IF(AL73&gt;180,AL73-360,AL73))</f>
        <v>-111.1716805780149</v>
      </c>
      <c r="AM74" s="150">
        <f>IF(AM73&lt;-180,AM73+360,IF(AM73&gt;180,AM73-360,AM73))</f>
        <v>0.64342135633654607</v>
      </c>
      <c r="AN74" s="150">
        <f>IF(AN73&lt;-180,AN73+360,IF(AN73&gt;180,AN73-360,AN73))</f>
        <v>112.4584472956097</v>
      </c>
      <c r="AP74" s="149" t="s">
        <v>133</v>
      </c>
      <c r="AQ74" s="150">
        <f>IF(AQ73&lt;-180,AQ73+360,IF(AQ73&gt;180,AQ73-360,AQ73))</f>
        <v>-88.920732510355776</v>
      </c>
      <c r="AR74" s="150">
        <f>IF(AR73&lt;-180,AR73+360,IF(AR73&gt;180,AR73-360,AR73))</f>
        <v>0.50267910625518653</v>
      </c>
      <c r="AS74" s="150">
        <f>IF(AS73&lt;-180,AS73+360,IF(AS73&gt;180,AS73-360,AS73))</f>
        <v>89.926082769583388</v>
      </c>
      <c r="AU74" s="149" t="s">
        <v>133</v>
      </c>
      <c r="AV74" s="150">
        <f>IF(AV73&lt;-180,AV73+360,IF(AV73&gt;180,AV73-360,AV73))</f>
        <v>-64.580430976169851</v>
      </c>
      <c r="AW74" s="150">
        <f>IF(AW73&lt;-180,AW73+360,IF(AW73&gt;180,AW73-360,AW73))</f>
        <v>0.36512026675825382</v>
      </c>
      <c r="AX74" s="150">
        <f>IF(AX73&lt;-180,AX73+360,IF(AX73&gt;180,AX73-360,AX73))</f>
        <v>65.31068161658834</v>
      </c>
    </row>
    <row r="75" spans="1:50" ht="16" customHeight="1">
      <c r="A75" s="118"/>
      <c r="B75" s="149" t="s">
        <v>130</v>
      </c>
      <c r="C75" s="150">
        <f>ASIN(SIN($C$100*$C$12)*SIN($C$100*C72)+COS($C$100*$C$12)*COS($C$100*C72)*COS($C$100*C74))/$C$100</f>
        <v>-0.75320696245875252</v>
      </c>
      <c r="D75" s="150">
        <f>ASIN(SIN($C$100*$C$12)*SIN($C$100*D72)+COS($C$100*$C$12)*COS($C$100*D72)*COS($C$100*D74))/$C$100</f>
        <v>37.308861227041895</v>
      </c>
      <c r="E75" s="150">
        <f>ASIN(SIN($C$100*$C$12)*SIN($C$100*E72)+COS($C$100*$C$12)*COS($C$100*E72)*COS($C$100*E74))/$C$100</f>
        <v>-0.65711813965084331</v>
      </c>
      <c r="F75" s="29"/>
      <c r="G75" s="149" t="s">
        <v>130</v>
      </c>
      <c r="H75" s="150">
        <f>ASIN(SIN($C$100*$C$12)*SIN($C$100*H72)+COS($C$100*$C$12)*COS($C$100*H72)*COS($C$100*H74))/$C$100</f>
        <v>23.627864464422167</v>
      </c>
      <c r="I75" s="150">
        <f>ASIN(SIN($C$100*$C$12)*SIN($C$100*I72)+COS($C$100*$C$12)*COS($C$100*I72)*COS($C$100*I74))/$C$100</f>
        <v>30.633140791434215</v>
      </c>
      <c r="J75" s="150">
        <f>ASIN(SIN($C$100*$C$12)*SIN($C$100*J72)+COS($C$100*$C$12)*COS($C$100*J72)*COS($C$100*J74))/$C$100</f>
        <v>-20.067778252116518</v>
      </c>
      <c r="K75" s="23"/>
      <c r="L75" s="149" t="s">
        <v>130</v>
      </c>
      <c r="M75" s="150">
        <f>ASIN(SIN($C$100*$C$12)*SIN($C$100*M72)+COS($C$100*$C$12)*COS($C$100*M72)*COS($C$100*M74))/$C$100</f>
        <v>-0.34783272048463515</v>
      </c>
      <c r="N75" s="150">
        <f>ASIN(SIN($C$100*$C$12)*SIN($C$100*N72)+COS($C$100*$C$12)*COS($C$100*N72)*COS($C$100*N74))/$C$100</f>
        <v>54.477760080322788</v>
      </c>
      <c r="O75" s="150">
        <f>ASIN(SIN($C$100*$C$12)*SIN($C$100*O72)+COS($C$100*$C$12)*COS($C$100*O72)*COS($C$100*O74))/$C$100</f>
        <v>-1.1297638288823493</v>
      </c>
      <c r="Q75" s="149" t="s">
        <v>130</v>
      </c>
      <c r="R75" s="150">
        <f>ASIN(SIN($C$100*$C$12)*SIN($C$100*R72)+COS($C$100*$C$12)*COS($C$100*R72)*COS($C$100*R74))/$C$100</f>
        <v>-1.343541138670852</v>
      </c>
      <c r="S75" s="150">
        <f>ASIN(SIN($C$100*$C$12)*SIN($C$100*S72)+COS($C$100*$C$12)*COS($C$100*S72)*COS($C$100*S74))/$C$100</f>
        <v>63.495352510726129</v>
      </c>
      <c r="T75" s="150">
        <f>ASIN(SIN($C$100*$C$12)*SIN($C$100*T72)+COS($C$100*$C$12)*COS($C$100*T72)*COS($C$100*T74))/$C$100</f>
        <v>11.306589886594393</v>
      </c>
      <c r="V75" s="149" t="s">
        <v>130</v>
      </c>
      <c r="W75" s="150">
        <f>ASIN(SIN($C$100*$C$12)*SIN($C$100*W72)+COS($C$100*$C$12)*COS($C$100*W72)*COS($C$100*W74))/$C$100</f>
        <v>-0.3514060055866029</v>
      </c>
      <c r="X75" s="150">
        <f>ASIN(SIN($C$100*$C$12)*SIN($C$100*X72)+COS($C$100*$C$12)*COS($C$100*X72)*COS($C$100*X74))/$C$100</f>
        <v>69.226976543328917</v>
      </c>
      <c r="Y75" s="150">
        <f>ASIN(SIN($C$100*$C$12)*SIN($C$100*Y72)+COS($C$100*$C$12)*COS($C$100*Y72)*COS($C$100*Y74))/$C$100</f>
        <v>-0.65252790119051751</v>
      </c>
      <c r="AA75" s="149" t="s">
        <v>130</v>
      </c>
      <c r="AB75" s="150">
        <f>ASIN(SIN($C$100*$C$12)*SIN($C$100*AB72)+COS($C$100*$C$12)*COS($C$100*AB72)*COS($C$100*AB74))/$C$100</f>
        <v>-0.35463768469035445</v>
      </c>
      <c r="AC75" s="150">
        <f>ASIN(SIN($C$100*$C$12)*SIN($C$100*AC72)+COS($C$100*$C$12)*COS($C$100*AC72)*COS($C$100*AC74))/$C$100</f>
        <v>65.46031336352776</v>
      </c>
      <c r="AD75" s="150">
        <f>ASIN(SIN($C$100*$C$12)*SIN($C$100*AD72)+COS($C$100*$C$12)*COS($C$100*AD72)*COS($C$100*AD74))/$C$100</f>
        <v>-0.59128116604000303</v>
      </c>
      <c r="AF75" s="149" t="s">
        <v>130</v>
      </c>
      <c r="AG75" s="150">
        <f>ASIN(SIN($C$100*$C$12)*SIN($C$100*AG72)+COS($C$100*$C$12)*COS($C$100*AG72)*COS($C$100*AG74))/$C$100</f>
        <v>-0.39512018412981009</v>
      </c>
      <c r="AH75" s="150">
        <f>ASIN(SIN($C$100*$C$12)*SIN($C$100*AH72)+COS($C$100*$C$12)*COS($C$100*AH72)*COS($C$100*AH74))/$C$100</f>
        <v>38.263634604957794</v>
      </c>
      <c r="AI75" s="150">
        <f>ASIN(SIN($C$100*$C$12)*SIN($C$100*AI72)+COS($C$100*$C$12)*COS($C$100*AI72)*COS($C$100*AI74))/$C$100</f>
        <v>-0.98526676633317911</v>
      </c>
      <c r="AK75" s="149" t="s">
        <v>130</v>
      </c>
      <c r="AL75" s="150">
        <f>ASIN(SIN($C$100*$C$12)*SIN($C$100*AL72)+COS($C$100*$C$12)*COS($C$100*AL72)*COS($C$100*AL74))/$C$100</f>
        <v>-0.3535810329726452</v>
      </c>
      <c r="AM75" s="150">
        <f>ASIN(SIN($C$100*$C$12)*SIN($C$100*AM72)+COS($C$100*$C$12)*COS($C$100*AM72)*COS($C$100*AM74))/$C$100</f>
        <v>62.023152115056277</v>
      </c>
      <c r="AN75" s="150">
        <f>ASIN(SIN($C$100*$C$12)*SIN($C$100*AN72)+COS($C$100*$C$12)*COS($C$100*AN72)*COS($C$100*AN74))/$C$100</f>
        <v>-1.1306763543356129</v>
      </c>
      <c r="AP75" s="149" t="s">
        <v>130</v>
      </c>
      <c r="AQ75" s="150">
        <f>ASIN(SIN($C$100*$C$12)*SIN($C$100*AQ72)+COS($C$100*$C$12)*COS($C$100*AQ72)*COS($C$100*AQ74))/$C$100</f>
        <v>-0.37992971945833864</v>
      </c>
      <c r="AR75" s="150">
        <f>ASIN(SIN($C$100*$C$12)*SIN($C$100*AR72)+COS($C$100*$C$12)*COS($C$100*AR72)*COS($C$100*AR74))/$C$100</f>
        <v>41.994800205000672</v>
      </c>
      <c r="AS75" s="150">
        <f>ASIN(SIN($C$100*$C$12)*SIN($C$100*AS72)+COS($C$100*$C$12)*COS($C$100*AS72)*COS($C$100*AS74))/$C$100</f>
        <v>-1.0669745793753542</v>
      </c>
      <c r="AU75" s="149" t="s">
        <v>130</v>
      </c>
      <c r="AV75" s="150">
        <f>ASIN(SIN($C$100*$C$12)*SIN($C$100*AV72)+COS($C$100*$C$12)*COS($C$100*AV72)*COS($C$100*AV74))/$C$100</f>
        <v>-0.45600952472714451</v>
      </c>
      <c r="AW75" s="150">
        <f>ASIN(SIN($C$100*$C$12)*SIN($C$100*AW72)+COS($C$100*$C$12)*COS($C$100*AW72)*COS($C$100*AW74))/$C$100</f>
        <v>20.767160032297468</v>
      </c>
      <c r="AX75" s="150">
        <f>ASIN(SIN($C$100*$C$12)*SIN($C$100*AX72)+COS($C$100*$C$12)*COS($C$100*AX72)*COS($C$100*AX74))/$C$100</f>
        <v>-0.87546071358708566</v>
      </c>
    </row>
    <row r="76" spans="1:50" ht="16" customHeight="1">
      <c r="A76" s="118"/>
      <c r="B76" s="145" t="s">
        <v>131</v>
      </c>
      <c r="C76" s="150">
        <f>(C75-$I$50)/(360*COS($C$100*C72)*COS($C$100*$C$12)*SIN($C$100*C73))</f>
        <v>-3.2648270308187257E-4</v>
      </c>
      <c r="D76" s="150">
        <f>-D74/360</f>
        <v>-7.2383316705781908E-5</v>
      </c>
      <c r="E76" s="150">
        <f>(E75-$I$50)/(360*COS($C$100*E72)*COS($C$100*$C$12)*SIN($C$100*E73))</f>
        <v>7.1785751376810328E-4</v>
      </c>
      <c r="F76" s="29"/>
      <c r="G76" s="145" t="s">
        <v>131</v>
      </c>
      <c r="H76" s="150">
        <f>(H75-$I$51)/(360*COS($C$100*H72)*COS($C$100*$C$12)*SIN($C$100*H73))</f>
        <v>-0.11743246084402659</v>
      </c>
      <c r="I76" s="150">
        <f>-I74/360</f>
        <v>-0.12420190072492293</v>
      </c>
      <c r="J76" s="150">
        <f>(J75-$I$51)/(360*COS($C$100*J72)*COS($C$100*$C$12)*SIN($C$100*J73))</f>
        <v>-9.2852872256176416E-2</v>
      </c>
      <c r="K76" s="23"/>
      <c r="L76" s="145" t="s">
        <v>131</v>
      </c>
      <c r="M76" s="150">
        <f>(M75-$I$52)/(360*COS($C$100*M72)*COS($C$100*$C$12)*SIN($C$100*M73))</f>
        <v>-9.1962070632682462E-4</v>
      </c>
      <c r="N76" s="150">
        <f>-N74/360</f>
        <v>-1.7323468994202686E-3</v>
      </c>
      <c r="O76" s="150">
        <f>(O75-$I$52)/(360*COS($C$100*O72)*COS($C$100*$C$12)*SIN($C$100*O73))</f>
        <v>-2.3781096678451999E-3</v>
      </c>
      <c r="Q76" s="145" t="s">
        <v>131</v>
      </c>
      <c r="R76" s="150">
        <f>(R75-$I$53)/(360*COS($C$100*R72)*COS($C$100*$C$12)*SIN($C$100*R73))</f>
        <v>5.6894699288160136E-3</v>
      </c>
      <c r="S76" s="150">
        <f>-S74/360</f>
        <v>2.3103724053491703E-2</v>
      </c>
      <c r="T76" s="150">
        <f>(T75-$I$53)/(360*COS($C$100*T72)*COS($C$100*$C$12)*SIN($C$100*T73))</f>
        <v>5.0210165737848374E-2</v>
      </c>
      <c r="V76" s="145" t="s">
        <v>131</v>
      </c>
      <c r="W76" s="150">
        <f>(W75-$I$54)/(360*COS($C$100*W72)*COS($C$100*$C$12)*SIN($C$100*W73))</f>
        <v>-1.1251209090856478E-3</v>
      </c>
      <c r="X76" s="150">
        <f>-X74/360</f>
        <v>-2.0423743910843624E-3</v>
      </c>
      <c r="Y76" s="150">
        <f>(Y75-$I$54)/(360*COS($C$100*Y72)*COS($C$100*$C$12)*SIN($C$100*Y73))</f>
        <v>-4.5141170365922093E-4</v>
      </c>
      <c r="AA76" s="145" t="s">
        <v>131</v>
      </c>
      <c r="AB76" s="150">
        <f>(AB75-$I$55)/(360*COS($C$100*AB72)*COS($C$100*$C$12)*SIN($C$100*AB73))</f>
        <v>-1.0225672554745207E-3</v>
      </c>
      <c r="AC76" s="150">
        <f>-AC74/360</f>
        <v>-1.7991294285587618E-3</v>
      </c>
      <c r="AD76" s="150">
        <f>(AD75-$I$55)/(360*COS($C$100*AD72)*COS($C$100*$C$12)*SIN($C$100*AD73))</f>
        <v>-1.1893276276743372E-4</v>
      </c>
      <c r="AF76" s="145" t="s">
        <v>131</v>
      </c>
      <c r="AG76" s="150">
        <f>(AG75-$I$56)/(360*COS($C$100*AG72)*COS($C$100*$C$12)*SIN($C$100*AG73))</f>
        <v>-6.9747119753595674E-4</v>
      </c>
      <c r="AH76" s="150">
        <f>-AH74/360</f>
        <v>-1.23225754406096E-3</v>
      </c>
      <c r="AI76" s="150">
        <f>(AI75-$I$56)/(360*COS($C$100*AI72)*COS($C$100*$C$12)*SIN($C$100*AI73))</f>
        <v>-1.6993059320193067E-3</v>
      </c>
      <c r="AK76" s="145" t="s">
        <v>131</v>
      </c>
      <c r="AL76" s="150">
        <f>(AL75-$I$57)/(360*COS($C$100*AL72)*COS($C$100*$C$12)*SIN($C$100*AL73))</f>
        <v>-9.7166484321383568E-4</v>
      </c>
      <c r="AM76" s="150">
        <f>-AM74/360</f>
        <v>-1.7872815453792946E-3</v>
      </c>
      <c r="AN76" s="150">
        <f>(AN75-$I$57)/(360*COS($C$100*AN72)*COS($C$100*$C$12)*SIN($C$100*AN73))</f>
        <v>-2.5946035455663074E-3</v>
      </c>
      <c r="AP76" s="145" t="s">
        <v>131</v>
      </c>
      <c r="AQ76" s="150">
        <f>(AQ75-$I$58)/(360*COS($C$100*AQ72)*COS($C$100*$C$12)*SIN($C$100*AQ73))</f>
        <v>-7.5350713276351475E-4</v>
      </c>
      <c r="AR76" s="150">
        <f>-AR74/360</f>
        <v>-1.3963308507088516E-3</v>
      </c>
      <c r="AS76" s="150">
        <f>(AS75-$I$58)/(360*COS($C$100*AS72)*COS($C$100*$C$12)*SIN($C$100*AS73))</f>
        <v>-2.0179474106968341E-3</v>
      </c>
      <c r="AU76" s="145" t="s">
        <v>131</v>
      </c>
      <c r="AV76" s="150">
        <f>(AV75-$I$59)/(360*COS($C$100*AV72)*COS($C$100*$C$12)*SIN($C$100*AV73))</f>
        <v>-5.3595763547887383E-4</v>
      </c>
      <c r="AW76" s="150">
        <f>-AW74/360</f>
        <v>-1.0142229632173717E-3</v>
      </c>
      <c r="AX76" s="150">
        <f>(AX75-$I$59)/(360*COS($C$100*AX72)*COS($C$100*$C$12)*SIN($C$100*AX73))</f>
        <v>-1.4861119776567123E-3</v>
      </c>
    </row>
    <row r="77" spans="1:50" ht="16" customHeight="1">
      <c r="A77" s="118"/>
      <c r="B77" s="153" t="s">
        <v>132</v>
      </c>
      <c r="C77" s="154">
        <f>C68+C76</f>
        <v>0.25265965224739551</v>
      </c>
      <c r="D77" s="154">
        <f t="shared" ref="D77" si="16">D68+D76</f>
        <v>0.48742113159127065</v>
      </c>
      <c r="E77" s="154">
        <f t="shared" ref="E77" si="17">E68+E76</f>
        <v>0.72271875237924355</v>
      </c>
      <c r="F77" s="29"/>
      <c r="G77" s="153" t="s">
        <v>132</v>
      </c>
      <c r="H77" s="154">
        <f>H68+H76</f>
        <v>0.15745097702522182</v>
      </c>
      <c r="I77" s="154">
        <f t="shared" ref="I77" si="18">I68+I76</f>
        <v>0.40643631063319891</v>
      </c>
      <c r="J77" s="154">
        <f t="shared" ref="J77" si="19">J68+J76</f>
        <v>0.69354011259081882</v>
      </c>
      <c r="K77" s="23"/>
      <c r="L77" s="153" t="s">
        <v>132</v>
      </c>
      <c r="M77" s="154">
        <f>M68+M76</f>
        <v>0.26311793900962016</v>
      </c>
      <c r="N77" s="154">
        <f t="shared" ref="N77:O77" si="20">N68+N76</f>
        <v>0.54709705749721493</v>
      </c>
      <c r="O77" s="154">
        <f t="shared" si="20"/>
        <v>0.83124313940947836</v>
      </c>
      <c r="Q77" s="153" t="s">
        <v>132</v>
      </c>
      <c r="R77" s="154">
        <f>R68+R76</f>
        <v>0.32682121336920089</v>
      </c>
      <c r="S77" s="154">
        <f t="shared" ref="S77" si="21">S68+S76</f>
        <v>0.64860877339394307</v>
      </c>
      <c r="T77" s="154">
        <f t="shared" ref="T77" si="22">T68+T76</f>
        <v>0.98008852097836607</v>
      </c>
      <c r="V77" s="153" t="s">
        <v>132</v>
      </c>
      <c r="W77" s="154">
        <f>W68+W76</f>
        <v>0.49434338085060348</v>
      </c>
      <c r="X77" s="154">
        <f t="shared" ref="X77" si="23">X68+X76</f>
        <v>0.83101365613618661</v>
      </c>
      <c r="Y77" s="154">
        <f t="shared" ref="Y77" si="24">Y68+Y76</f>
        <v>0.17019214759119353</v>
      </c>
      <c r="AA77" s="153" t="s">
        <v>132</v>
      </c>
      <c r="AB77" s="154">
        <f>AB68+AB76</f>
        <v>0.40355116355675519</v>
      </c>
      <c r="AC77" s="154">
        <f t="shared" ref="AC77" si="25">AC68+AC76</f>
        <v>0.7250599650043269</v>
      </c>
      <c r="AD77" s="154">
        <f t="shared" ref="AD77" si="26">AD68+AD76</f>
        <v>4.9025525290774405E-2</v>
      </c>
      <c r="AF77" s="153" t="s">
        <v>132</v>
      </c>
      <c r="AG77" s="154">
        <f>AG68+AG76</f>
        <v>0.27113662684398465</v>
      </c>
      <c r="AH77" s="154">
        <f t="shared" ref="AH77" si="27">AH68+AH76</f>
        <v>0.50733978799177082</v>
      </c>
      <c r="AI77" s="154">
        <f t="shared" ref="AI77" si="28">AI68+AI76</f>
        <v>0.74361068709812372</v>
      </c>
      <c r="AK77" s="153" t="s">
        <v>132</v>
      </c>
      <c r="AL77" s="154">
        <f>AL68+AL76</f>
        <v>0.36137212930043644</v>
      </c>
      <c r="AM77" s="154">
        <f t="shared" ref="AM77" si="29">AM68+AM76</f>
        <v>0.67033037383079142</v>
      </c>
      <c r="AN77" s="154">
        <f t="shared" ref="AN77" si="30">AN68+AN76</f>
        <v>0.97929691306312494</v>
      </c>
      <c r="AP77" s="153" t="s">
        <v>132</v>
      </c>
      <c r="AQ77" s="154">
        <f>AQ68+AQ76</f>
        <v>0.2796594413471834</v>
      </c>
      <c r="AR77" s="154">
        <f t="shared" ref="AR77" si="31">AR68+AR76</f>
        <v>0.52675998739897201</v>
      </c>
      <c r="AS77" s="154">
        <f t="shared" ref="AS77" si="32">AS68+AS76</f>
        <v>0.77388174060871806</v>
      </c>
      <c r="AU77" s="153" t="s">
        <v>132</v>
      </c>
      <c r="AV77" s="154">
        <f>AV68+AV76</f>
        <v>0.1990934195167906</v>
      </c>
      <c r="AW77" s="154">
        <f t="shared" ref="AW77" si="33">AW68+AW76</f>
        <v>0.3785386444838636</v>
      </c>
      <c r="AX77" s="154">
        <f t="shared" ref="AX77" si="34">AX68+AX76</f>
        <v>0.55799024576423573</v>
      </c>
    </row>
    <row r="78" spans="1:50" ht="16" customHeight="1">
      <c r="A78" s="118"/>
      <c r="B78" s="39"/>
      <c r="C78" s="32"/>
      <c r="D78" s="29"/>
      <c r="E78" s="29"/>
      <c r="F78" s="29"/>
      <c r="G78" s="28"/>
      <c r="H78" s="28"/>
      <c r="I78" s="23"/>
      <c r="J78" s="23"/>
      <c r="K78" s="23"/>
      <c r="L78" s="23"/>
      <c r="M78" s="23"/>
      <c r="N78" s="23"/>
    </row>
    <row r="79" spans="1:50" ht="16" customHeight="1">
      <c r="A79" s="118"/>
      <c r="B79" s="155" t="s">
        <v>137</v>
      </c>
      <c r="C79" s="32"/>
      <c r="D79" s="29"/>
      <c r="E79" s="29"/>
      <c r="F79" s="29"/>
      <c r="G79" s="28"/>
      <c r="H79" s="28"/>
      <c r="I79" s="23"/>
      <c r="J79" s="23"/>
      <c r="K79" s="23"/>
      <c r="L79" s="23"/>
      <c r="M79" s="23"/>
      <c r="N79" s="23"/>
    </row>
    <row r="80" spans="1:50" ht="16" customHeight="1">
      <c r="A80" s="118"/>
      <c r="B80" s="39"/>
      <c r="C80" s="32"/>
      <c r="D80" s="29"/>
      <c r="E80" s="29"/>
      <c r="F80" s="29"/>
      <c r="G80" s="28"/>
      <c r="H80" s="28"/>
      <c r="I80" s="23"/>
      <c r="J80" s="23"/>
      <c r="K80" s="23"/>
      <c r="L80" s="23"/>
      <c r="M80" s="23"/>
      <c r="N80" s="23"/>
    </row>
    <row r="81" spans="1:17" ht="16" customHeight="1">
      <c r="A81" s="118"/>
      <c r="C81" s="177" t="s">
        <v>115</v>
      </c>
      <c r="D81" s="178"/>
      <c r="E81" s="178"/>
      <c r="F81" s="179"/>
      <c r="G81" s="177" t="s">
        <v>116</v>
      </c>
      <c r="H81" s="178"/>
      <c r="I81" s="178"/>
      <c r="J81" s="179"/>
      <c r="K81" s="177" t="s">
        <v>117</v>
      </c>
      <c r="L81" s="178"/>
      <c r="M81" s="178"/>
      <c r="N81" s="179"/>
    </row>
    <row r="82" spans="1:17" ht="16" customHeight="1">
      <c r="A82" s="118"/>
      <c r="B82" s="128" t="s">
        <v>100</v>
      </c>
      <c r="C82" s="140" t="s">
        <v>98</v>
      </c>
      <c r="D82" s="140" t="s">
        <v>99</v>
      </c>
      <c r="E82" s="136" t="s">
        <v>97</v>
      </c>
      <c r="F82" s="134" t="s">
        <v>114</v>
      </c>
      <c r="G82" s="140" t="s">
        <v>98</v>
      </c>
      <c r="H82" s="140" t="s">
        <v>99</v>
      </c>
      <c r="I82" s="136" t="s">
        <v>97</v>
      </c>
      <c r="J82" s="134" t="s">
        <v>114</v>
      </c>
      <c r="K82" s="140" t="s">
        <v>98</v>
      </c>
      <c r="L82" s="140" t="s">
        <v>99</v>
      </c>
      <c r="M82" s="136" t="s">
        <v>97</v>
      </c>
      <c r="N82" s="134" t="s">
        <v>114</v>
      </c>
    </row>
    <row r="83" spans="1:17" ht="16" customHeight="1">
      <c r="A83" s="118"/>
      <c r="B83" s="128" t="s">
        <v>0</v>
      </c>
      <c r="C83" s="139">
        <f>IF($K$50&lt;&gt;"-",MOD(24*C77,24),"-")</f>
        <v>6.0638316539374921</v>
      </c>
      <c r="D83" s="139">
        <f>IF($K$50&lt;&gt;"-",MOD(100.46+0.985647*($C$9+($C$14/24))+$C$13+15*C83, 360),"-")</f>
        <v>260.44713793406117</v>
      </c>
      <c r="E83" s="137">
        <f>IF($K$50&lt;&gt;"-",D83-C71,"-")</f>
        <v>-84.7393106268255</v>
      </c>
      <c r="F83" s="121">
        <f>IF($K$50&lt;&gt;"-",ASIN(SIN($C$100*C72)*SIN($C$100*$C$12)+COS($C$100*C72)*COS($C$100*$C$12)*COS($C$100*E83))/$C$100,"-")</f>
        <v>-0.97805693013917272</v>
      </c>
      <c r="G83" s="139">
        <f>IF($K$50&lt;&gt;"-",MOD(24*D77,24),"-")</f>
        <v>11.698107158190496</v>
      </c>
      <c r="H83" s="139">
        <f>IF($K$50&lt;&gt;"-",MOD(100.46+0.985647*($C$9+C77+($C$14/24))+$C$13+15*G83, 360),"-")</f>
        <v>345.21030372611494</v>
      </c>
      <c r="I83" s="137">
        <f>IF($K$50&lt;&gt;"-",H83-D71,"-")</f>
        <v>-0.19440510166407421</v>
      </c>
      <c r="J83" s="121">
        <f>IF($K$50&lt;&gt;"-",ASIN(SIN($C$100*D72)*SIN($C$100*$C$12)+COS($C$100*D72)*COS($C$100*$C$12)*COS($C$100*I83))/$C$100,"-")</f>
        <v>37.308582363778669</v>
      </c>
      <c r="K83" s="139">
        <f>IF($K$50&lt;&gt;"-",MOD(24*E77,24),"-")</f>
        <v>17.345250057101843</v>
      </c>
      <c r="L83" s="139">
        <f>IF($K$50&lt;&gt;"-",MOD(100.46+0.985647*($C$9+($C$14/24))+$C$13+15*K83, 360),"-")</f>
        <v>69.66841398152792</v>
      </c>
      <c r="M83" s="137">
        <f>IF($K$50&lt;&gt;"-",L83-E71,"-")</f>
        <v>-275.95445185241243</v>
      </c>
      <c r="N83" s="121">
        <f>IF($K$50&lt;&gt;"-",ASIN(SIN($C$100*E72)*SIN($C$100*$C$12)+COS($C$100*E72)*COS($C$100*$C$12)*COS($C$100*M83))/$C$100,"-")</f>
        <v>-0.37350082469612123</v>
      </c>
    </row>
    <row r="84" spans="1:17" ht="16" customHeight="1">
      <c r="A84" s="118"/>
      <c r="B84" s="128" t="s">
        <v>3</v>
      </c>
      <c r="C84" s="139">
        <f>IF($K$50&lt;&gt;"-",MOD(24*H77,24),"-")</f>
        <v>3.7788234486053236</v>
      </c>
      <c r="D84" s="139">
        <f>IF($K$50&lt;&gt;"-",MOD(100.46+0.985647*($C$9+($C$14/24))+$C$13+15*C84, 360),"-")</f>
        <v>226.17201485407895</v>
      </c>
      <c r="E84" s="137">
        <f>IF($K$50&lt;&gt;"-",D84-H71,"-")</f>
        <v>261.28847956479837</v>
      </c>
      <c r="F84" s="121">
        <f>IF($K$50&lt;&gt;"-",ASIN(SIN($C$100*H72)*SIN($C$100*$C$12)+COS($C$100*H72)*COS($C$100*$C$12)*COS($C$100*E84))/$C$100,"-")</f>
        <v>-4.9686338340141649</v>
      </c>
      <c r="G84" s="139">
        <f>IF($K$50&lt;&gt;"-",MOD(24*I77,24),"-")</f>
        <v>9.7544714551967733</v>
      </c>
      <c r="H84" s="139">
        <f>IF($K$50&lt;&gt;"-",MOD(100.46+0.985647*($C$9+I77+($C$14/24))+$C$13+15*G84, 360),"-")</f>
        <v>316.20733768321588</v>
      </c>
      <c r="I84" s="137">
        <f>IF($K$50&lt;&gt;"-",H84-I71,"-")</f>
        <v>359.91463895972066</v>
      </c>
      <c r="J84" s="121">
        <f>IF($K$50&lt;&gt;"-",ASIN(SIN($C$100*I72)*SIN($C$100*$C$12)+COS($C$100*I72)*COS($C$100*$C$12)*COS($C$100*I84))/$C$100,"-")</f>
        <v>45.137176518905022</v>
      </c>
      <c r="K84" s="139">
        <f>IF($K$50&lt;&gt;"-",MOD(24*J77,24),"-")</f>
        <v>16.644962702179651</v>
      </c>
      <c r="L84" s="139">
        <f>IF($K$50&lt;&gt;"-",MOD(100.46+0.985647*($C$9+($C$14/24))+$C$13+15*K84, 360),"-")</f>
        <v>59.164103657694795</v>
      </c>
      <c r="M84" s="137">
        <f>IF($K$50&lt;&gt;"-",L84-J71,"-")</f>
        <v>87.919668098790353</v>
      </c>
      <c r="N84" s="121">
        <f>IF($K$50&lt;&gt;"-",ASIN(SIN($C$100*J72)*SIN($C$100*$C$12)+COS($C$100*J72)*COS($C$100*$C$12)*COS($C$100*M84))/$C$100,"-")</f>
        <v>2.7288108566499827</v>
      </c>
    </row>
    <row r="85" spans="1:17" ht="16" customHeight="1">
      <c r="A85" s="118"/>
      <c r="B85" s="128" t="s">
        <v>6</v>
      </c>
      <c r="C85" s="139">
        <f>IF($K$50&lt;&gt;"-",MOD(24*M77,24),"-")</f>
        <v>6.3148305362308843</v>
      </c>
      <c r="D85" s="139">
        <f>IF($K$50&lt;&gt;"-",MOD(100.46+0.985647*($C$9+($C$14/24))+$C$13+15*C85, 360),"-")</f>
        <v>264.21212116846255</v>
      </c>
      <c r="E85" s="137">
        <f>IF($K$50&lt;&gt;"-",D85-M71,"-")</f>
        <v>257.21938459832222</v>
      </c>
      <c r="F85" s="121">
        <f>IF($K$50&lt;&gt;"-",ASIN(SIN($C$100*M72)*SIN($C$100*$C$12)+COS($C$100*M72)*COS($C$100*$C$12)*COS($C$100*E85))/$C$100,"-")</f>
        <v>-0.71387808587928858</v>
      </c>
      <c r="G85" s="139">
        <f>IF($K$50&lt;&gt;"-",MOD(24*N77,24),"-")</f>
        <v>13.130329379933158</v>
      </c>
      <c r="H85" s="139">
        <f>IF($K$50&lt;&gt;"-",MOD(100.46+0.985647*($C$9+N77+($C$14/24))+$C$13+15*G85, 360),"-")</f>
        <v>6.9838483974272094</v>
      </c>
      <c r="I85" s="137">
        <f>IF($K$50&lt;&gt;"-",H85-N71,"-")</f>
        <v>3.5350708041439916E-2</v>
      </c>
      <c r="J85" s="121">
        <f>IF($K$50&lt;&gt;"-",ASIN(SIN($C$100*N72)*SIN($C$100*$C$12)+COS($C$100*N72)*COS($C$100*$C$12)*COS($C$100*I85))/$C$100,"-")</f>
        <v>54.481698671519965</v>
      </c>
      <c r="K85" s="139">
        <f>IF($K$50&lt;&gt;"-",MOD(24*O77,24),"-")</f>
        <v>19.949835345827481</v>
      </c>
      <c r="L85" s="139">
        <f>IF($K$50&lt;&gt;"-",MOD(100.46+0.985647*($C$9+($C$14/24))+$C$13+15*K85, 360),"-")</f>
        <v>108.73719331241227</v>
      </c>
      <c r="M85" s="137">
        <f>IF($K$50&lt;&gt;"-",L85-O71,"-")</f>
        <v>101.83590318035768</v>
      </c>
      <c r="N85" s="121">
        <f>IF($K$50&lt;&gt;"-",ASIN(SIN($C$100*O72)*SIN($C$100*$C$12)+COS($C$100*O72)*COS($C$100*$C$12)*COS($C$100*M85))/$C$100,"-")</f>
        <v>-4.7047179773681939E-2</v>
      </c>
      <c r="Q85" s="39"/>
    </row>
    <row r="86" spans="1:17" ht="16" customHeight="1">
      <c r="A86" s="118"/>
      <c r="B86" s="128" t="s">
        <v>1</v>
      </c>
      <c r="C86" s="139">
        <f>IF($K$50&lt;&gt;"-",MOD(24*R77,24),"-")</f>
        <v>7.8437091208608214</v>
      </c>
      <c r="D86" s="139">
        <f>IF($K$50&lt;&gt;"-",MOD(100.46+0.985647*($C$9+($C$14/24))+$C$13+15*C86, 360),"-")</f>
        <v>287.14529993791257</v>
      </c>
      <c r="E86" s="137">
        <f>IF($K$50&lt;&gt;"-",D86-R71,"-")</f>
        <v>247.95073985584901</v>
      </c>
      <c r="F86" s="121">
        <f>IF($K$50&lt;&gt;"-",ASIN(SIN($C$100*R72)*SIN($C$100*$C$12)+COS($C$100*R72)*COS($C$100*$C$12)*COS($C$100*E86))/$C$100,"-")</f>
        <v>-0.28413772692005534</v>
      </c>
      <c r="G86" s="139">
        <f>IF($K$50&lt;&gt;"-",MOD(24*S77,24),"-")</f>
        <v>15.566610561454635</v>
      </c>
      <c r="H86" s="139">
        <f>IF($K$50&lt;&gt;"-",MOD(100.46+0.985647*($C$9+S77+($C$14/24))+$C$13+15*G86, 360),"-")</f>
        <v>43.628120838486211</v>
      </c>
      <c r="I86" s="137">
        <f>IF($K$50&lt;&gt;"-",H86-S71,"-")</f>
        <v>5.983030686633839E-2</v>
      </c>
      <c r="J86" s="121">
        <f>IF($K$50&lt;&gt;"-",ASIN(SIN($C$100*S72)*SIN($C$100*$C$12)+COS($C$100*S72)*COS($C$100*$C$12)*COS($C$100*I86))/$C$100,"-")</f>
        <v>64.378423415142052</v>
      </c>
      <c r="K86" s="139">
        <f>IF($K$50&lt;&gt;"-",MOD(24*T77,24),"-")</f>
        <v>23.522124503480786</v>
      </c>
      <c r="L86" s="139">
        <f>IF($K$50&lt;&gt;"-",MOD(100.46+0.985647*($C$9+($C$14/24))+$C$13+15*K86, 360),"-")</f>
        <v>162.32153067721083</v>
      </c>
      <c r="M86" s="137">
        <f>IF($K$50&lt;&gt;"-",L86-T71,"-")</f>
        <v>114.32091290687669</v>
      </c>
      <c r="N86" s="121">
        <f>IF($K$50&lt;&gt;"-",ASIN(SIN($C$100*T72)*SIN($C$100*$C$12)+COS($C$100*T72)*COS($C$100*$C$12)*COS($C$100*M86))/$C$100,"-")</f>
        <v>0.72298922685096434</v>
      </c>
      <c r="Q86" s="39"/>
    </row>
    <row r="87" spans="1:17" ht="16" customHeight="1">
      <c r="A87" s="118"/>
      <c r="B87" s="128" t="s">
        <v>4</v>
      </c>
      <c r="C87" s="139">
        <f>IF($K$50&lt;&gt;"-",MOD(24*W77,24),"-")</f>
        <v>11.864241140414483</v>
      </c>
      <c r="D87" s="139">
        <f>IF($K$50&lt;&gt;"-",MOD(100.46+0.985647*($C$9+($C$14/24))+$C$13+15*C87, 360),"-")</f>
        <v>347.45328023121692</v>
      </c>
      <c r="E87" s="137">
        <f>IF($K$50&lt;&gt;"-",D87-W71,"-")</f>
        <v>238.05042569101232</v>
      </c>
      <c r="F87" s="121">
        <f>IF($K$50&lt;&gt;"-",ASIN(SIN($C$100*W72)*SIN($C$100*$C$12)+COS($C$100*W72)*COS($C$100*$C$12)*COS($C$100*E87))/$C$100,"-")</f>
        <v>-0.80453617503977359</v>
      </c>
      <c r="G87" s="139">
        <f>IF($K$50&lt;&gt;"-",MOD(24*X77,24),"-")</f>
        <v>19.944327747268478</v>
      </c>
      <c r="H87" s="139">
        <f>IF($K$50&lt;&gt;"-",MOD(100.46+0.985647*($C$9+X77+($C$14/24))+$C$13+15*G87, 360),"-")</f>
        <v>109.47366545115619</v>
      </c>
      <c r="I87" s="137">
        <f>IF($K$50&lt;&gt;"-",H87-X71,"-")</f>
        <v>3.5045130374825817E-2</v>
      </c>
      <c r="J87" s="121">
        <f>IF($K$50&lt;&gt;"-",ASIN(SIN($C$100*X72)*SIN($C$100*$C$12)+COS($C$100*X72)*COS($C$100*$C$12)*COS($C$100*I87))/$C$100,"-")</f>
        <v>69.235216681313148</v>
      </c>
      <c r="K87" s="139">
        <f>IF($K$50&lt;&gt;"-",MOD(24*Y77,24),"-")</f>
        <v>4.0846115421886449</v>
      </c>
      <c r="L87" s="139">
        <f>IF($K$50&lt;&gt;"-",MOD(100.46+0.985647*($C$9+($C$14/24))+$C$13+15*K87, 360),"-")</f>
        <v>230.7588362578299</v>
      </c>
      <c r="M87" s="137">
        <f>IF($K$50&lt;&gt;"-",L87-Y71,"-")</f>
        <v>121.3891038980433</v>
      </c>
      <c r="N87" s="121">
        <f>IF($K$50&lt;&gt;"-",ASIN(SIN($C$100*Y72)*SIN($C$100*$C$12)+COS($C$100*Y72)*COS($C$100*$C$12)*COS($C$100*M87))/$C$100,"-")</f>
        <v>-0.49718864269624896</v>
      </c>
      <c r="Q87" s="39"/>
    </row>
    <row r="88" spans="1:17" ht="16" customHeight="1">
      <c r="A88" s="118"/>
      <c r="B88" s="128" t="s">
        <v>5</v>
      </c>
      <c r="C88" s="139">
        <f>IF($K$50&lt;&gt;"-",MOD(24*AB77,24),"-")</f>
        <v>9.6852279253621241</v>
      </c>
      <c r="D88" s="139">
        <f>IF($K$50&lt;&gt;"-",MOD(100.46+0.985647*($C$9+($C$14/24))+$C$13+15*C88, 360),"-")</f>
        <v>314.76808200543201</v>
      </c>
      <c r="E88" s="137">
        <f>IF($K$50&lt;&gt;"-",D88-AB71,"-")</f>
        <v>243.60811466657933</v>
      </c>
      <c r="F88" s="121">
        <f>IF($K$50&lt;&gt;"-",ASIN(SIN($C$100*AB72)*SIN($C$100*$C$12)+COS($C$100*AB72)*COS($C$100*$C$12)*COS($C$100*E88))/$C$100,"-")</f>
        <v>-0.77378997434346197</v>
      </c>
      <c r="G88" s="139">
        <f>IF($K$50&lt;&gt;"-",MOD(24*AC77,24),"-")</f>
        <v>17.401439160103845</v>
      </c>
      <c r="H88" s="139">
        <f>IF($K$50&lt;&gt;"-",MOD(100.46+0.985647*($C$9+AC77+($C$14/24))+$C$13+15*G88, 360),"-")</f>
        <v>71.225903705884775</v>
      </c>
      <c r="I88" s="137">
        <f>IF($K$50&lt;&gt;"-",H88-AC71,"-")</f>
        <v>3.5284884043534248E-2</v>
      </c>
      <c r="J88" s="121">
        <f>IF($K$50&lt;&gt;"-",ASIN(SIN($C$100*AC72)*SIN($C$100*$C$12)+COS($C$100*AC72)*COS($C$100*$C$12)*COS($C$100*I88))/$C$100,"-")</f>
        <v>65.465930260563908</v>
      </c>
      <c r="K88" s="139">
        <f>IF($K$50&lt;&gt;"-",MOD(24*AD77,24),"-")</f>
        <v>1.1766126069785856</v>
      </c>
      <c r="L88" s="139">
        <f>IF($K$50&lt;&gt;"-",MOD(100.46+0.985647*($C$9+($C$14/24))+$C$13+15*K88, 360),"-")</f>
        <v>187.13885222967838</v>
      </c>
      <c r="M88" s="137">
        <f>IF($K$50&lt;&gt;"-",L88-AD71,"-")</f>
        <v>116.01232016331359</v>
      </c>
      <c r="N88" s="121">
        <f>IF($K$50&lt;&gt;"-",ASIN(SIN($C$100*AD72)*SIN($C$100*$C$12)+COS($C$100*AD72)*COS($C$100*$C$12)*COS($C$100*M88))/$C$100,"-")</f>
        <v>-0.56015729699967698</v>
      </c>
      <c r="Q88" s="28"/>
    </row>
    <row r="89" spans="1:17" ht="16" customHeight="1">
      <c r="A89" s="118"/>
      <c r="B89" s="128" t="s">
        <v>7</v>
      </c>
      <c r="C89" s="139">
        <f>IF($K$50&lt;&gt;"-",MOD(24*AG77,24),"-")</f>
        <v>6.5072790442556316</v>
      </c>
      <c r="D89" s="139">
        <f>IF($K$50&lt;&gt;"-",MOD(100.46+0.985647*($C$9+($C$14/24))+$C$13+15*C89, 360),"-")</f>
        <v>267.09884878883349</v>
      </c>
      <c r="E89" s="137">
        <f>IF($K$50&lt;&gt;"-",D89-AG71,"-")</f>
        <v>-85.470541244027174</v>
      </c>
      <c r="F89" s="121">
        <f>IF($K$50&lt;&gt;"-",ASIN(SIN($C$100*AG72)*SIN($C$100*$C$12)+COS($C$100*AG72)*COS($C$100*$C$12)*COS($C$100*E89))/$C$100,"-")</f>
        <v>-0.72459960093191911</v>
      </c>
      <c r="G89" s="139">
        <f>IF($K$50&lt;&gt;"-",MOD(24*AH77,24),"-")</f>
        <v>12.176154911802499</v>
      </c>
      <c r="H89" s="139">
        <f>IF($K$50&lt;&gt;"-",MOD(100.46+0.985647*($C$9+AH77+($C$14/24))+$C$13+15*G89, 360),"-")</f>
        <v>352.63204474205122</v>
      </c>
      <c r="I89" s="137">
        <f>IF($K$50&lt;&gt;"-",H89-AH71,"-")</f>
        <v>3.5843619614354338E-2</v>
      </c>
      <c r="J89" s="121">
        <f>IF($K$50&lt;&gt;"-",ASIN(SIN($C$100*AH72)*SIN($C$100*$C$12)+COS($C$100*AH72)*COS($C$100*$C$12)*COS($C$100*I89))/$C$100,"-")</f>
        <v>38.265125195331478</v>
      </c>
      <c r="K89" s="139">
        <f>IF($K$50&lt;&gt;"-",MOD(24*AI77,24),"-")</f>
        <v>17.84665649035497</v>
      </c>
      <c r="L89" s="139">
        <f>IF($K$50&lt;&gt;"-",MOD(100.46+0.985647*($C$9+($C$14/24))+$C$13+15*K89, 360),"-")</f>
        <v>77.189510480324316</v>
      </c>
      <c r="M89" s="137">
        <f>IF($K$50&lt;&gt;"-",L89-AI71,"-")</f>
        <v>-275.4335102171238</v>
      </c>
      <c r="N89" s="121">
        <f>IF($K$50&lt;&gt;"-",ASIN(SIN($C$100*AI72)*SIN($C$100*$C$12)+COS($C$100*AI72)*COS($C$100*$C$12)*COS($C$100*M89))/$C$100,"-")</f>
        <v>-9.0192417610754999E-2</v>
      </c>
      <c r="Q89" s="28"/>
    </row>
    <row r="90" spans="1:17" ht="16" customHeight="1">
      <c r="A90" s="118"/>
      <c r="B90" s="128" t="s">
        <v>27</v>
      </c>
      <c r="C90" s="139">
        <f>IF($K$50&lt;&gt;"-",MOD(24*AL77,24),"-")</f>
        <v>8.672931103210475</v>
      </c>
      <c r="D90" s="139">
        <f>IF($K$50&lt;&gt;"-",MOD(100.46+0.985647*($C$9+($C$14/24))+$C$13+15*C90, 360),"-")</f>
        <v>299.58362967315588</v>
      </c>
      <c r="E90" s="137">
        <f>IF($K$50&lt;&gt;"-",D90-AL71,"-")</f>
        <v>248.15843519532751</v>
      </c>
      <c r="F90" s="121">
        <f>IF($K$50&lt;&gt;"-",ASIN(SIN($C$100*AL72)*SIN($C$100*$C$12)+COS($C$100*AL72)*COS($C$100*$C$12)*COS($C$100*E90))/$C$100,"-")</f>
        <v>-0.76080187288619683</v>
      </c>
      <c r="G90" s="139">
        <f>IF($K$50&lt;&gt;"-",MOD(24*AM77,24),"-")</f>
        <v>16.087928971938993</v>
      </c>
      <c r="H90" s="139">
        <f>IF($K$50&lt;&gt;"-",MOD(100.46+0.985647*($C$9+AM77+($C$14/24))+$C$13+15*G90, 360),"-")</f>
        <v>51.469306826058528</v>
      </c>
      <c r="I90" s="137">
        <f>IF($K$50&lt;&gt;"-",H90-AM71,"-")</f>
        <v>3.5296561871923871E-2</v>
      </c>
      <c r="J90" s="121">
        <f>IF($K$50&lt;&gt;"-",ASIN(SIN($C$100*AM72)*SIN($C$100*$C$12)+COS($C$100*AM72)*COS($C$100*$C$12)*COS($C$100*I90))/$C$100,"-")</f>
        <v>62.028168940437006</v>
      </c>
      <c r="K90" s="139">
        <f>IF($K$50&lt;&gt;"-",MOD(24*AN77,24),"-")</f>
        <v>23.503125913514999</v>
      </c>
      <c r="L90" s="139">
        <f>IF($K$50&lt;&gt;"-",MOD(100.46+0.985647*($C$9+($C$14/24))+$C$13+15*K90, 360),"-")</f>
        <v>162.03655182772491</v>
      </c>
      <c r="M90" s="137">
        <f>IF($K$50&lt;&gt;"-",L90-AN71,"-")</f>
        <v>110.59364978210188</v>
      </c>
      <c r="N90" s="121">
        <f>IF($K$50&lt;&gt;"-",ASIN(SIN($C$100*AN72)*SIN($C$100*$C$12)+COS($C$100*AN72)*COS($C$100*$C$12)*COS($C$100*M90))/$C$100,"-")</f>
        <v>2.721592036040334E-3</v>
      </c>
    </row>
    <row r="91" spans="1:17" ht="16" customHeight="1">
      <c r="A91" s="118"/>
      <c r="B91" s="128" t="s">
        <v>26</v>
      </c>
      <c r="C91" s="139">
        <f>IF($K$50&lt;&gt;"-",MOD(24*AQ77,24),"-")</f>
        <v>6.7118265923324021</v>
      </c>
      <c r="D91" s="139">
        <f>IF($K$50&lt;&gt;"-",MOD(100.46+0.985647*($C$9+($C$14/24))+$C$13+15*C91, 360),"-")</f>
        <v>270.16706200998487</v>
      </c>
      <c r="E91" s="137">
        <f>IF($K$50&lt;&gt;"-",D91-AQ71,"-")</f>
        <v>-89.431325069015315</v>
      </c>
      <c r="F91" s="121">
        <f>IF($K$50&lt;&gt;"-",ASIN(SIN($C$100*AQ72)*SIN($C$100*$C$12)+COS($C$100*AQ72)*COS($C$100*$C$12)*COS($C$100*E91))/$C$100,"-")</f>
        <v>-0.73152594149886441</v>
      </c>
      <c r="G91" s="139">
        <f>IF($K$50&lt;&gt;"-",MOD(24*AR77,24),"-")</f>
        <v>12.642239697575327</v>
      </c>
      <c r="H91" s="139">
        <f>IF($K$50&lt;&gt;"-",MOD(100.46+0.985647*($C$9+AR77+($C$14/24))+$C$13+15*G91, 360),"-")</f>
        <v>359.64245798992852</v>
      </c>
      <c r="I91" s="137">
        <f>IF($K$50&lt;&gt;"-",H91-AR71,"-")</f>
        <v>3.5681901251678028E-2</v>
      </c>
      <c r="J91" s="121">
        <f>IF($K$50&lt;&gt;"-",ASIN(SIN($C$100*AR72)*SIN($C$100*$C$12)+COS($C$100*AR72)*COS($C$100*$C$12)*COS($C$100*I91))/$C$100,"-")</f>
        <v>41.996833152431321</v>
      </c>
      <c r="K91" s="139">
        <f>IF($K$50&lt;&gt;"-",MOD(24*AS77,24),"-")</f>
        <v>18.573161774609233</v>
      </c>
      <c r="L91" s="139">
        <f>IF($K$50&lt;&gt;"-",MOD(100.46+0.985647*($C$9+($C$14/24))+$C$13+15*K91, 360),"-")</f>
        <v>88.087089744138211</v>
      </c>
      <c r="M91" s="137">
        <f>IF($K$50&lt;&gt;"-",L91-AS71,"-")</f>
        <v>-271.52808330749815</v>
      </c>
      <c r="N91" s="121">
        <f>IF($K$50&lt;&gt;"-",ASIN(SIN($C$100*AS72)*SIN($C$100*$C$12)+COS($C$100*AS72)*COS($C$100*$C$12)*COS($C$100*M91))/$C$100,"-")</f>
        <v>-6.5631030072972371E-2</v>
      </c>
    </row>
    <row r="92" spans="1:17" ht="16" customHeight="1">
      <c r="A92" s="118"/>
      <c r="B92" s="128" t="s">
        <v>25</v>
      </c>
      <c r="C92" s="139">
        <f>IF($K$50&lt;&gt;"-",MOD(24*AV77,24),"-")</f>
        <v>4.7782420684029745</v>
      </c>
      <c r="D92" s="139">
        <f>IF($K$50&lt;&gt;"-",MOD(100.46+0.985647*($C$9+($C$14/24))+$C$13+15*C92, 360),"-")</f>
        <v>241.16329415104337</v>
      </c>
      <c r="E92" s="137">
        <f>IF($K$50&lt;&gt;"-",D92-AV71,"-")</f>
        <v>-64.933081631078608</v>
      </c>
      <c r="F92" s="121">
        <f>IF($K$50&lt;&gt;"-",ASIN(SIN($C$100*AV72)*SIN($C$100*$C$12)+COS($C$100*AV72)*COS($C$100*$C$12)*COS($C$100*E92))/$C$100,"-")</f>
        <v>-0.65862599193512961</v>
      </c>
      <c r="G92" s="139">
        <f>IF($K$50&lt;&gt;"-",MOD(24*AW77,24),"-")</f>
        <v>9.0849274676127258</v>
      </c>
      <c r="H92" s="139">
        <f>IF($K$50&lt;&gt;"-",MOD(100.46+0.985647*($C$9+MAW77+($C$14/24))+$C$13+15*G92, 360),"-")</f>
        <v>305.76357513918992</v>
      </c>
      <c r="I92" s="137">
        <f>IF($K$50&lt;&gt;"-",H92-AW71,"-")</f>
        <v>-0.3370469545747028</v>
      </c>
      <c r="J92" s="121">
        <f>IF($K$50&lt;&gt;"-",ASIN(SIN($C$100*AW72)*SIN($C$100*$C$12)+COS($C$100*AW72)*COS($C$100*$C$12)*COS($C$100*I92))/$C$100,"-")</f>
        <v>20.767276889173903</v>
      </c>
      <c r="K92" s="139">
        <f>IF($K$50&lt;&gt;"-",MOD(24*AX77,24),"-")</f>
        <v>13.391765898341657</v>
      </c>
      <c r="L92" s="139">
        <f>IF($K$50&lt;&gt;"-",MOD(100.46+0.985647*($C$9+($C$14/24))+$C$13+15*K92, 360),"-")</f>
        <v>10.366151600124795</v>
      </c>
      <c r="M92" s="137">
        <f>IF($K$50&lt;&gt;"-",L92-AX71,"-")</f>
        <v>-295.73870669838044</v>
      </c>
      <c r="N92" s="121">
        <f>IF($K$50&lt;&gt;"-",ASIN(SIN($C$100*HAX72)*SIN($C$100*$C$12)+COS($C$100*AX72)*COS($C$100*$C$12)*COS($C$100*M92))/$C$100,"-")</f>
        <v>16.012163361423735</v>
      </c>
    </row>
    <row r="93" spans="1:17" ht="16" customHeight="1">
      <c r="A93" s="118"/>
      <c r="B93" s="39"/>
      <c r="C93" s="32"/>
      <c r="D93" s="29"/>
      <c r="E93" s="29"/>
      <c r="F93" s="29"/>
      <c r="G93" s="28"/>
      <c r="H93" s="28"/>
      <c r="I93" s="23"/>
      <c r="J93" s="23"/>
      <c r="K93" s="23"/>
      <c r="L93" s="23"/>
      <c r="M93" s="23"/>
      <c r="N93" s="23"/>
    </row>
    <row r="94" spans="1:17" s="3" customFormat="1" ht="16" customHeight="1"/>
    <row r="95" spans="1:17" ht="16" customHeight="1"/>
    <row r="96" spans="1:17" ht="16" customHeight="1">
      <c r="B96" s="155" t="s">
        <v>138</v>
      </c>
    </row>
    <row r="97" spans="2:39" ht="16" customHeight="1"/>
    <row r="98" spans="2:39" ht="16" customHeight="1">
      <c r="B98" s="143" t="s">
        <v>24</v>
      </c>
    </row>
    <row r="99" spans="2:39" ht="16" customHeight="1">
      <c r="B99" s="4"/>
    </row>
    <row r="100" spans="2:39" ht="16" customHeight="1">
      <c r="B100" s="67" t="s">
        <v>101</v>
      </c>
      <c r="C100" s="68">
        <f>PI()/180</f>
        <v>1.7453292519943295E-2</v>
      </c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</row>
    <row r="101" spans="2:39" ht="16" customHeight="1">
      <c r="B101" s="70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</row>
    <row r="102" spans="2:39" ht="16" customHeight="1">
      <c r="B102" s="173" t="s">
        <v>112</v>
      </c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69"/>
      <c r="O102" s="173" t="s">
        <v>11</v>
      </c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B102" s="173" t="s">
        <v>113</v>
      </c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</row>
    <row r="103" spans="2:39" ht="16" customHeight="1">
      <c r="B103" s="70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</row>
    <row r="104" spans="2:39" ht="16" customHeight="1">
      <c r="B104" s="71" t="s">
        <v>79</v>
      </c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71" t="s">
        <v>79</v>
      </c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B104" s="71" t="s">
        <v>79</v>
      </c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</row>
    <row r="105" spans="2:39" ht="16" customHeight="1">
      <c r="B105" s="69" t="s">
        <v>23</v>
      </c>
      <c r="C105" s="72">
        <f>C7-1</f>
        <v>2460737.5</v>
      </c>
      <c r="D105" s="72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 t="s">
        <v>23</v>
      </c>
      <c r="P105" s="72">
        <f>C7</f>
        <v>2460738.5</v>
      </c>
      <c r="Q105" s="72"/>
      <c r="R105" s="69"/>
      <c r="S105" s="69"/>
      <c r="T105" s="69"/>
      <c r="U105" s="69"/>
      <c r="V105" s="69"/>
      <c r="W105" s="69"/>
      <c r="X105" s="69"/>
      <c r="Y105" s="69"/>
      <c r="Z105" s="69"/>
      <c r="AB105" s="69" t="s">
        <v>23</v>
      </c>
      <c r="AC105" s="72">
        <f>C7+1</f>
        <v>2460739.5</v>
      </c>
      <c r="AD105" s="72"/>
      <c r="AE105" s="69"/>
      <c r="AF105" s="69"/>
      <c r="AG105" s="69"/>
      <c r="AH105" s="69"/>
      <c r="AI105" s="69"/>
      <c r="AJ105" s="69"/>
      <c r="AK105" s="69"/>
      <c r="AL105" s="69"/>
      <c r="AM105" s="69"/>
    </row>
    <row r="106" spans="2:39" ht="16" customHeight="1">
      <c r="B106" s="73" t="s">
        <v>21</v>
      </c>
      <c r="C106" s="74">
        <f>C105-2451543.5</f>
        <v>9194</v>
      </c>
      <c r="D106" s="75">
        <f>INT(C106)+0.5</f>
        <v>9194.5</v>
      </c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73" t="s">
        <v>21</v>
      </c>
      <c r="P106" s="74">
        <f>P105-2451543.5</f>
        <v>9195</v>
      </c>
      <c r="Q106" s="75">
        <f>INT(P106)+0.5</f>
        <v>9195.5</v>
      </c>
      <c r="R106" s="69"/>
      <c r="S106" s="69"/>
      <c r="T106" s="69"/>
      <c r="U106" s="69"/>
      <c r="V106" s="69"/>
      <c r="W106" s="69"/>
      <c r="X106" s="69"/>
      <c r="Y106" s="69"/>
      <c r="Z106" s="69"/>
      <c r="AB106" s="73" t="s">
        <v>21</v>
      </c>
      <c r="AC106" s="74">
        <f>AC105-2451543.5</f>
        <v>9196</v>
      </c>
      <c r="AD106" s="75">
        <f>INT(AC106)+0.5</f>
        <v>9196.5</v>
      </c>
      <c r="AE106" s="69"/>
      <c r="AF106" s="69"/>
      <c r="AG106" s="69"/>
      <c r="AH106" s="69"/>
      <c r="AI106" s="69"/>
      <c r="AJ106" s="69"/>
      <c r="AK106" s="69"/>
      <c r="AL106" s="69"/>
      <c r="AM106" s="69"/>
    </row>
    <row r="107" spans="2:39" ht="16" customHeight="1">
      <c r="B107" s="69"/>
      <c r="C107" s="75"/>
      <c r="D107" s="75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75"/>
      <c r="Q107" s="75"/>
      <c r="R107" s="69"/>
      <c r="S107" s="69"/>
      <c r="T107" s="69"/>
      <c r="U107" s="69"/>
      <c r="V107" s="69"/>
      <c r="W107" s="69"/>
      <c r="X107" s="69"/>
      <c r="Y107" s="69"/>
      <c r="Z107" s="69"/>
      <c r="AB107" s="69"/>
      <c r="AC107" s="75"/>
      <c r="AD107" s="75"/>
      <c r="AE107" s="69"/>
      <c r="AF107" s="69"/>
      <c r="AG107" s="69"/>
      <c r="AH107" s="69"/>
      <c r="AI107" s="69"/>
      <c r="AJ107" s="69"/>
      <c r="AK107" s="69"/>
      <c r="AL107" s="69"/>
      <c r="AM107" s="69"/>
    </row>
    <row r="108" spans="2:39" ht="16" customHeight="1">
      <c r="B108" s="69"/>
      <c r="C108" s="76" t="s">
        <v>28</v>
      </c>
      <c r="D108" s="77" t="s">
        <v>29</v>
      </c>
      <c r="E108" s="77" t="s">
        <v>3</v>
      </c>
      <c r="F108" s="77" t="s">
        <v>6</v>
      </c>
      <c r="G108" s="77" t="s">
        <v>1</v>
      </c>
      <c r="H108" s="77" t="s">
        <v>4</v>
      </c>
      <c r="I108" s="77" t="s">
        <v>5</v>
      </c>
      <c r="J108" s="77" t="s">
        <v>7</v>
      </c>
      <c r="K108" s="77" t="s">
        <v>27</v>
      </c>
      <c r="L108" s="77" t="s">
        <v>26</v>
      </c>
      <c r="M108" s="78" t="s">
        <v>25</v>
      </c>
      <c r="N108" s="69"/>
      <c r="O108" s="69"/>
      <c r="P108" s="76" t="s">
        <v>28</v>
      </c>
      <c r="Q108" s="77" t="s">
        <v>29</v>
      </c>
      <c r="R108" s="77" t="s">
        <v>3</v>
      </c>
      <c r="S108" s="77" t="s">
        <v>6</v>
      </c>
      <c r="T108" s="77" t="s">
        <v>1</v>
      </c>
      <c r="U108" s="77" t="s">
        <v>4</v>
      </c>
      <c r="V108" s="77" t="s">
        <v>5</v>
      </c>
      <c r="W108" s="77" t="s">
        <v>7</v>
      </c>
      <c r="X108" s="77" t="s">
        <v>27</v>
      </c>
      <c r="Y108" s="77" t="s">
        <v>26</v>
      </c>
      <c r="Z108" s="78" t="s">
        <v>25</v>
      </c>
      <c r="AB108" s="69"/>
      <c r="AC108" s="76" t="s">
        <v>28</v>
      </c>
      <c r="AD108" s="77" t="s">
        <v>29</v>
      </c>
      <c r="AE108" s="77" t="s">
        <v>3</v>
      </c>
      <c r="AF108" s="77" t="s">
        <v>6</v>
      </c>
      <c r="AG108" s="77" t="s">
        <v>1</v>
      </c>
      <c r="AH108" s="77" t="s">
        <v>4</v>
      </c>
      <c r="AI108" s="77" t="s">
        <v>5</v>
      </c>
      <c r="AJ108" s="77" t="s">
        <v>7</v>
      </c>
      <c r="AK108" s="77" t="s">
        <v>27</v>
      </c>
      <c r="AL108" s="77" t="s">
        <v>26</v>
      </c>
      <c r="AM108" s="78" t="s">
        <v>25</v>
      </c>
    </row>
    <row r="109" spans="2:39" ht="16" customHeight="1">
      <c r="B109" s="79" t="s">
        <v>16</v>
      </c>
      <c r="C109" s="80">
        <v>0</v>
      </c>
      <c r="D109" s="81">
        <v>0</v>
      </c>
      <c r="E109" s="82">
        <f>MOD(48.3313 + 0.0000324587*C$106,360)</f>
        <v>48.629725287799999</v>
      </c>
      <c r="F109" s="82">
        <f>MOD(76.6799+0.000024659*C$106,360)</f>
        <v>76.906614845999997</v>
      </c>
      <c r="G109" s="82">
        <f>125.1228-0.0529538083*C$106</f>
        <v>-361.73451351020003</v>
      </c>
      <c r="H109" s="82">
        <f>MOD(49.5574+0.0000211081*C$106,360)</f>
        <v>49.751467871400003</v>
      </c>
      <c r="I109" s="82">
        <f>MOD(100.4542+0.0000276854*C$106,360)</f>
        <v>100.70873956760001</v>
      </c>
      <c r="J109" s="82">
        <f>MOD(113.6634+0.000023898*C$106,360)</f>
        <v>113.883118212</v>
      </c>
      <c r="K109" s="82">
        <f>MOD(74.0005+0.000013978*C$106,360)</f>
        <v>74.129013732000004</v>
      </c>
      <c r="L109" s="82">
        <f>MOD(131.7806+0.000030173*C$106,360)</f>
        <v>132.05801056199999</v>
      </c>
      <c r="M109" s="83"/>
      <c r="N109" s="69"/>
      <c r="O109" s="79" t="s">
        <v>16</v>
      </c>
      <c r="P109" s="80">
        <v>0</v>
      </c>
      <c r="Q109" s="81">
        <v>0</v>
      </c>
      <c r="R109" s="82">
        <f>MOD(48.3313 + 0.0000324587*P$106,360)</f>
        <v>48.629757746499997</v>
      </c>
      <c r="S109" s="82">
        <f>MOD(76.6799+0.000024659*P$106,360)</f>
        <v>76.906639505000001</v>
      </c>
      <c r="T109" s="82">
        <f>125.1228-0.0529538083*P$106</f>
        <v>-361.78746731850003</v>
      </c>
      <c r="U109" s="82">
        <f>MOD(49.5574+0.0000211081*P$106,360)</f>
        <v>49.751488979500003</v>
      </c>
      <c r="V109" s="82">
        <f>MOD(100.4542+0.0000276854*P$106,360)</f>
        <v>100.708767253</v>
      </c>
      <c r="W109" s="82">
        <f>MOD(113.6634+0.000023898*P$106,360)</f>
        <v>113.88314210999999</v>
      </c>
      <c r="X109" s="82">
        <f>MOD(74.0005+0.000013978*P$106,360)</f>
        <v>74.129027710000003</v>
      </c>
      <c r="Y109" s="82">
        <f>MOD(131.7806+0.000030173*P$106,360)</f>
        <v>132.05804073499999</v>
      </c>
      <c r="Z109" s="83"/>
      <c r="AB109" s="79" t="s">
        <v>16</v>
      </c>
      <c r="AC109" s="80">
        <v>0</v>
      </c>
      <c r="AD109" s="81">
        <v>0</v>
      </c>
      <c r="AE109" s="82">
        <f>MOD(48.3313 + 0.0000324587*AC$106,360)</f>
        <v>48.629790205199996</v>
      </c>
      <c r="AF109" s="82">
        <f>MOD(76.6799+0.000024659*AC$106,360)</f>
        <v>76.906664164000006</v>
      </c>
      <c r="AG109" s="82">
        <f>125.1228-0.0529538083*AC$106</f>
        <v>-361.84042112680004</v>
      </c>
      <c r="AH109" s="82">
        <f>MOD(49.5574+0.0000211081*AC$106,360)</f>
        <v>49.751510087600003</v>
      </c>
      <c r="AI109" s="82">
        <f>MOD(100.4542+0.0000276854*AC$106,360)</f>
        <v>100.7087949384</v>
      </c>
      <c r="AJ109" s="82">
        <f>MOD(113.6634+0.000023898*AC$106,360)</f>
        <v>113.88316600799999</v>
      </c>
      <c r="AK109" s="82">
        <f>MOD(74.0005+0.000013978*AC$106,360)</f>
        <v>74.129041688000001</v>
      </c>
      <c r="AL109" s="82">
        <f>MOD(131.7806+0.000030173*AC$106,360)</f>
        <v>132.05807090799999</v>
      </c>
      <c r="AM109" s="83"/>
    </row>
    <row r="110" spans="2:39" ht="16" customHeight="1">
      <c r="B110" s="84" t="s">
        <v>15</v>
      </c>
      <c r="C110" s="80">
        <v>0</v>
      </c>
      <c r="D110" s="81">
        <v>0</v>
      </c>
      <c r="E110" s="82">
        <f>MOD(7.0047+0.00000005*C$106,360)</f>
        <v>7.0051597000000001</v>
      </c>
      <c r="F110" s="82">
        <f>MOD(3.3946+0.0000000275*C$106,360)</f>
        <v>3.394852835</v>
      </c>
      <c r="G110" s="82">
        <v>5.1454000000000004</v>
      </c>
      <c r="H110" s="82">
        <f>MOD(1.8497-0.0000000178*C$106,360)</f>
        <v>1.8495363467999999</v>
      </c>
      <c r="I110" s="82">
        <f>MOD(1.303-0.0000001557*C$106,360)</f>
        <v>1.3015684941999999</v>
      </c>
      <c r="J110" s="82">
        <f>MOD(2.4886-0.0000001081*C$106,360)</f>
        <v>2.4876061286</v>
      </c>
      <c r="K110" s="82">
        <f>MOD(0.7733+0.000000019*C$106,360)</f>
        <v>0.77347468600000002</v>
      </c>
      <c r="L110" s="82">
        <f>MOD(1.77-0.000000255*C$106,360)</f>
        <v>1.7676555300000001</v>
      </c>
      <c r="M110" s="83"/>
      <c r="N110" s="69"/>
      <c r="O110" s="84" t="s">
        <v>15</v>
      </c>
      <c r="P110" s="80">
        <v>0</v>
      </c>
      <c r="Q110" s="81">
        <v>0</v>
      </c>
      <c r="R110" s="82">
        <f>MOD(7.0047+0.00000005*P$106,360)</f>
        <v>7.0051597499999998</v>
      </c>
      <c r="S110" s="82">
        <f>MOD(3.3946+0.0000000275*P$106,360)</f>
        <v>3.3948528625000001</v>
      </c>
      <c r="T110" s="82">
        <v>5.1454000000000004</v>
      </c>
      <c r="U110" s="82">
        <f>MOD(1.8497-0.0000000178*P$106,360)</f>
        <v>1.849536329</v>
      </c>
      <c r="V110" s="82">
        <f>MOD(1.303-0.0000001557*P$106,360)</f>
        <v>1.3015683384999999</v>
      </c>
      <c r="W110" s="82">
        <f>MOD(2.4886-0.0000001081*P$106,360)</f>
        <v>2.4876060204999999</v>
      </c>
      <c r="X110" s="82">
        <f>MOD(0.7733+0.000000019*P$106,360)</f>
        <v>0.77347470500000004</v>
      </c>
      <c r="Y110" s="82">
        <f>MOD(1.77-0.000000255*P$106,360)</f>
        <v>1.7676552750000001</v>
      </c>
      <c r="Z110" s="83"/>
      <c r="AB110" s="84" t="s">
        <v>15</v>
      </c>
      <c r="AC110" s="80">
        <v>0</v>
      </c>
      <c r="AD110" s="81">
        <v>0</v>
      </c>
      <c r="AE110" s="82">
        <f>MOD(7.0047+0.00000005*AC$106,360)</f>
        <v>7.0051597999999995</v>
      </c>
      <c r="AF110" s="82">
        <f>MOD(3.3946+0.0000000275*AC$106,360)</f>
        <v>3.3948528900000001</v>
      </c>
      <c r="AG110" s="82">
        <v>5.1454000000000004</v>
      </c>
      <c r="AH110" s="82">
        <f>MOD(1.8497-0.0000000178*AC$106,360)</f>
        <v>1.8495363111999998</v>
      </c>
      <c r="AI110" s="82">
        <f>MOD(1.303-0.0000001557*AC$106,360)</f>
        <v>1.3015681827999999</v>
      </c>
      <c r="AJ110" s="82">
        <f>MOD(2.4886-0.0000001081*AC$106,360)</f>
        <v>2.4876059123999998</v>
      </c>
      <c r="AK110" s="82">
        <f>MOD(0.7733+0.000000019*AC$106,360)</f>
        <v>0.77347472399999995</v>
      </c>
      <c r="AL110" s="82">
        <f>MOD(1.77-0.000000255*AC$106,360)</f>
        <v>1.7676550200000001</v>
      </c>
      <c r="AM110" s="83"/>
    </row>
    <row r="111" spans="2:39" ht="16" customHeight="1">
      <c r="B111" s="84" t="s">
        <v>78</v>
      </c>
      <c r="C111" s="80">
        <f>MOD(282.9404 + 0.0000470935*C$106,360)</f>
        <v>283.37337763900001</v>
      </c>
      <c r="D111" s="81">
        <f>MOD(282.9404 + 0.0000470935*D$106,360)</f>
        <v>283.37340118575003</v>
      </c>
      <c r="E111" s="82">
        <f>MOD(29.1241 + 0.0000101444*C$106,360)</f>
        <v>29.217367613599997</v>
      </c>
      <c r="F111" s="82">
        <f>MOD(54.891+0.0000138374*C$106,360)</f>
        <v>55.018221055600002</v>
      </c>
      <c r="G111" s="82">
        <f>MOD(318.0634 + 0.1643573223*C$106,360)</f>
        <v>29.16462122619987</v>
      </c>
      <c r="H111" s="82">
        <f>MOD(286.5016+0.0000292961*C$106,360)</f>
        <v>286.77094834339999</v>
      </c>
      <c r="I111" s="82">
        <f>MOD(273.8777+0.0000164505*C$106,360)</f>
        <v>274.02894589700003</v>
      </c>
      <c r="J111" s="82">
        <f>MOD(339.3939+0.0000297661*C$106,360)</f>
        <v>339.66756952339995</v>
      </c>
      <c r="K111" s="82">
        <f>MOD(96.6612+0.000030565*C$106,360)</f>
        <v>96.942214609999994</v>
      </c>
      <c r="L111" s="82">
        <f>MOD(272.8461-0.000006027*C$106,360)</f>
        <v>272.790687762</v>
      </c>
      <c r="M111" s="83"/>
      <c r="N111" s="69"/>
      <c r="O111" s="84" t="s">
        <v>78</v>
      </c>
      <c r="P111" s="80">
        <f>MOD(282.9404 + 0.0000470935*P$106,360)</f>
        <v>283.37342473249998</v>
      </c>
      <c r="Q111" s="81">
        <f>MOD(282.9404 + 0.0000470935*Q$106,360)</f>
        <v>283.37344827925</v>
      </c>
      <c r="R111" s="82">
        <f>MOD(29.1241 + 0.0000101444*P$106,360)</f>
        <v>29.217377757999998</v>
      </c>
      <c r="S111" s="82">
        <f>MOD(54.891+0.0000138374*P$106,360)</f>
        <v>55.018234892999999</v>
      </c>
      <c r="T111" s="82">
        <f>MOD(318.0634 + 0.1643573223*P$106,360)</f>
        <v>29.32897854849989</v>
      </c>
      <c r="U111" s="82">
        <f>MOD(286.5016+0.0000292961*P$106,360)</f>
        <v>286.77097763950002</v>
      </c>
      <c r="V111" s="82">
        <f>MOD(273.8777+0.0000164505*P$106,360)</f>
        <v>274.0289623475</v>
      </c>
      <c r="W111" s="82">
        <f>MOD(339.3939+0.0000297661*P$106,360)</f>
        <v>339.66759928949995</v>
      </c>
      <c r="X111" s="82">
        <f>MOD(96.6612+0.000030565*P$106,360)</f>
        <v>96.942245174999996</v>
      </c>
      <c r="Y111" s="82">
        <f>MOD(272.8461-0.000006027*P$106,360)</f>
        <v>272.79068173499996</v>
      </c>
      <c r="Z111" s="83"/>
      <c r="AB111" s="84" t="s">
        <v>78</v>
      </c>
      <c r="AC111" s="80">
        <f>MOD(282.9404 + 0.0000470935*AC$106,360)</f>
        <v>283.37347182600001</v>
      </c>
      <c r="AD111" s="81">
        <f>MOD(282.9404 + 0.0000470935*AD$106,360)</f>
        <v>283.37349537275003</v>
      </c>
      <c r="AE111" s="82">
        <f>MOD(29.1241 + 0.0000101444*AC$106,360)</f>
        <v>29.217387902399999</v>
      </c>
      <c r="AF111" s="82">
        <f>MOD(54.891+0.0000138374*AC$106,360)</f>
        <v>55.018248730399996</v>
      </c>
      <c r="AG111" s="82">
        <f>MOD(318.0634 + 0.1643573223*AC$106,360)</f>
        <v>29.49333587079991</v>
      </c>
      <c r="AH111" s="82">
        <f>MOD(286.5016+0.0000292961*AC$106,360)</f>
        <v>286.77100693559998</v>
      </c>
      <c r="AI111" s="82">
        <f>MOD(273.8777+0.0000164505*AC$106,360)</f>
        <v>274.02897879800003</v>
      </c>
      <c r="AJ111" s="82">
        <f>MOD(339.3939+0.0000297661*AC$106,360)</f>
        <v>339.66762905559995</v>
      </c>
      <c r="AK111" s="82">
        <f>MOD(96.6612+0.000030565*AC$106,360)</f>
        <v>96.942275739999999</v>
      </c>
      <c r="AL111" s="82">
        <f>MOD(272.8461-0.000006027*AC$106,360)</f>
        <v>272.79067570799998</v>
      </c>
      <c r="AM111" s="83"/>
    </row>
    <row r="112" spans="2:39" ht="16" customHeight="1">
      <c r="B112" s="84" t="s">
        <v>8</v>
      </c>
      <c r="C112" s="80">
        <v>1</v>
      </c>
      <c r="D112" s="81">
        <v>1</v>
      </c>
      <c r="E112" s="82">
        <v>0.387098</v>
      </c>
      <c r="F112" s="82">
        <v>0.72333000000000003</v>
      </c>
      <c r="G112" s="82">
        <v>60.266599999999997</v>
      </c>
      <c r="H112" s="82">
        <v>1.5236879999999999</v>
      </c>
      <c r="I112" s="82">
        <v>5.2025600000000001</v>
      </c>
      <c r="J112" s="82">
        <v>9.5547500000000003</v>
      </c>
      <c r="K112" s="82">
        <f>19.18171 - 0.0000000155*C$106</f>
        <v>19.181567492999999</v>
      </c>
      <c r="L112" s="82">
        <f>30.05826+0.00000003313*C$106</f>
        <v>30.058564597220002</v>
      </c>
      <c r="M112" s="83"/>
      <c r="N112" s="69"/>
      <c r="O112" s="84" t="s">
        <v>8</v>
      </c>
      <c r="P112" s="80">
        <v>1</v>
      </c>
      <c r="Q112" s="81">
        <v>1</v>
      </c>
      <c r="R112" s="82">
        <v>0.387098</v>
      </c>
      <c r="S112" s="82">
        <v>0.72333000000000003</v>
      </c>
      <c r="T112" s="82">
        <v>60.266599999999997</v>
      </c>
      <c r="U112" s="82">
        <v>1.5236879999999999</v>
      </c>
      <c r="V112" s="82">
        <v>5.2025600000000001</v>
      </c>
      <c r="W112" s="82">
        <v>9.5547500000000003</v>
      </c>
      <c r="X112" s="82">
        <f>19.18171 - 0.0000000155*P$106</f>
        <v>19.1815674775</v>
      </c>
      <c r="Y112" s="82">
        <f>30.05826+0.00000003313*P$106</f>
        <v>30.058564630350002</v>
      </c>
      <c r="Z112" s="83"/>
      <c r="AB112" s="84" t="s">
        <v>8</v>
      </c>
      <c r="AC112" s="80">
        <v>1</v>
      </c>
      <c r="AD112" s="81">
        <v>1</v>
      </c>
      <c r="AE112" s="82">
        <v>0.387098</v>
      </c>
      <c r="AF112" s="82">
        <v>0.72333000000000003</v>
      </c>
      <c r="AG112" s="82">
        <v>60.266599999999997</v>
      </c>
      <c r="AH112" s="82">
        <v>1.5236879999999999</v>
      </c>
      <c r="AI112" s="82">
        <v>5.2025600000000001</v>
      </c>
      <c r="AJ112" s="82">
        <v>9.5547500000000003</v>
      </c>
      <c r="AK112" s="82">
        <f>19.18171 - 0.0000000155*AC$106</f>
        <v>19.181567462</v>
      </c>
      <c r="AL112" s="82">
        <f>30.05826+0.00000003313*AC$106</f>
        <v>30.058564663480002</v>
      </c>
      <c r="AM112" s="83"/>
    </row>
    <row r="113" spans="2:39" ht="16" customHeight="1">
      <c r="B113" s="84" t="s">
        <v>10</v>
      </c>
      <c r="C113" s="80">
        <f>0.016709-0.000000001151*C$106</f>
        <v>1.6698417706000002E-2</v>
      </c>
      <c r="D113" s="81">
        <f>0.016709-0.000000001151*D$106</f>
        <v>1.6698417130500003E-2</v>
      </c>
      <c r="E113" s="82">
        <f>0.205635 + 0.000000000559*C$106</f>
        <v>0.20564013944600001</v>
      </c>
      <c r="F113" s="82">
        <f>0.006773-0.000000001302*C$106</f>
        <v>6.7610294120000001E-3</v>
      </c>
      <c r="G113" s="82">
        <v>5.4899999999999997E-2</v>
      </c>
      <c r="H113" s="82">
        <f>0.093405+0.000000002516*C$106</f>
        <v>9.3428132104E-2</v>
      </c>
      <c r="I113" s="82">
        <f>0.048498+0.000000004469*C$106</f>
        <v>4.8539087985999999E-2</v>
      </c>
      <c r="J113" s="82">
        <f>0.055546-0.000000009499*C$106</f>
        <v>5.5458666194E-2</v>
      </c>
      <c r="K113" s="82">
        <f>0.047318+0.00000000745*C$106</f>
        <v>4.7386495299999998E-2</v>
      </c>
      <c r="L113" s="82">
        <f>0.008606+0.00000000215*C$106</f>
        <v>8.6257671000000008E-3</v>
      </c>
      <c r="M113" s="83"/>
      <c r="N113" s="69"/>
      <c r="O113" s="84" t="s">
        <v>10</v>
      </c>
      <c r="P113" s="80">
        <f>0.016709-0.000000001151*P$106</f>
        <v>1.6698416555000001E-2</v>
      </c>
      <c r="Q113" s="81">
        <f>0.016709-0.000000001151*Q$106</f>
        <v>1.6698415979500003E-2</v>
      </c>
      <c r="R113" s="82">
        <f>0.205635 + 0.000000000559*P$106</f>
        <v>0.205640140005</v>
      </c>
      <c r="S113" s="82">
        <f>0.006773-0.000000001302*P$106</f>
        <v>6.7610281100000001E-3</v>
      </c>
      <c r="T113" s="82">
        <v>5.4899999999999997E-2</v>
      </c>
      <c r="U113" s="82">
        <f>0.093405+0.000000002516*P$106</f>
        <v>9.3428134620000006E-2</v>
      </c>
      <c r="V113" s="82">
        <f>0.048498+0.000000004469*P$106</f>
        <v>4.8539092455000002E-2</v>
      </c>
      <c r="W113" s="82">
        <f>0.055546-0.000000009499*P$106</f>
        <v>5.5458656694999997E-2</v>
      </c>
      <c r="X113" s="82">
        <f>0.047318+0.00000000745*P$106</f>
        <v>4.7386502749999997E-2</v>
      </c>
      <c r="Y113" s="82">
        <f>0.008606+0.00000000215*P$106</f>
        <v>8.62576925E-3</v>
      </c>
      <c r="Z113" s="83"/>
      <c r="AB113" s="84" t="s">
        <v>10</v>
      </c>
      <c r="AC113" s="80">
        <f>0.016709-0.000000001151*AC$106</f>
        <v>1.6698415404000001E-2</v>
      </c>
      <c r="AD113" s="81">
        <f>0.016709-0.000000001151*AD$106</f>
        <v>1.6698414828500003E-2</v>
      </c>
      <c r="AE113" s="82">
        <f>0.205635 + 0.000000000559*AC$106</f>
        <v>0.20564014056400001</v>
      </c>
      <c r="AF113" s="82">
        <f>0.006773-0.000000001302*AC$106</f>
        <v>6.7610268080000001E-3</v>
      </c>
      <c r="AG113" s="82">
        <v>5.4899999999999997E-2</v>
      </c>
      <c r="AH113" s="82">
        <f>0.093405+0.000000002516*AC$106</f>
        <v>9.3428137135999997E-2</v>
      </c>
      <c r="AI113" s="82">
        <f>0.048498+0.000000004469*AC$106</f>
        <v>4.8539096923999998E-2</v>
      </c>
      <c r="AJ113" s="82">
        <f>0.055546-0.000000009499*AC$106</f>
        <v>5.5458647196000001E-2</v>
      </c>
      <c r="AK113" s="82">
        <f>0.047318+0.00000000745*AC$106</f>
        <v>4.7386510199999995E-2</v>
      </c>
      <c r="AL113" s="82">
        <f>0.008606+0.00000000215*AC$106</f>
        <v>8.625771400000001E-3</v>
      </c>
      <c r="AM113" s="83"/>
    </row>
    <row r="114" spans="2:39" ht="16" customHeight="1">
      <c r="B114" s="84" t="s">
        <v>77</v>
      </c>
      <c r="C114" s="80">
        <f>MOD(356.047 + 0.9856002585*C$106+3600,360)</f>
        <v>57.655776649000472</v>
      </c>
      <c r="D114" s="81">
        <f>MOD(356.047 + 0.9856002585*D$106+3600,360)</f>
        <v>58.148576778250572</v>
      </c>
      <c r="E114" s="82">
        <f>MOD(168.6562+4.0923344368*C$106+360,360)</f>
        <v>353.57901193919679</v>
      </c>
      <c r="F114" s="82">
        <f>MOD(48.0052+1.6021302244*C$106+360,360)</f>
        <v>17.9904831335989</v>
      </c>
      <c r="G114" s="82">
        <f>MOD(115.3654 + 13.0649929509*C$106+360,360)</f>
        <v>354.91059057459643</v>
      </c>
      <c r="H114" s="82">
        <f>MOD(18.6021+0.5240207766*C$106+360,360)</f>
        <v>156.44912006039976</v>
      </c>
      <c r="I114" s="82">
        <f>MOD(19.895+0.0830853001*C$106+360,360)</f>
        <v>63.781249119399945</v>
      </c>
      <c r="J114" s="82">
        <f>MOD(316.967+0.0334442282*C$106+360,360)</f>
        <v>264.45323407080002</v>
      </c>
      <c r="K114" s="82">
        <f>MOD(142.5905+0.011725806*C$106+360,360)</f>
        <v>250.39756036400001</v>
      </c>
      <c r="L114" s="82">
        <f>MOD(260.2471+0.005995147*C$106+360,360)</f>
        <v>315.366481518</v>
      </c>
      <c r="M114" s="83"/>
      <c r="N114" s="69"/>
      <c r="O114" s="84" t="s">
        <v>77</v>
      </c>
      <c r="P114" s="80">
        <f>MOD(356.047 + 0.9856002585*P$106+3600,360)</f>
        <v>58.641376907500671</v>
      </c>
      <c r="Q114" s="81">
        <f>MOD(356.047 + 0.9856002585*Q$106+3600,360)</f>
        <v>59.134177036750771</v>
      </c>
      <c r="R114" s="82">
        <f>MOD(168.6562+4.0923344368*P$106+360,360)</f>
        <v>357.6713463759952</v>
      </c>
      <c r="S114" s="82">
        <f>MOD(48.0052+1.6021302244*P$106+360,360)</f>
        <v>19.592613357999653</v>
      </c>
      <c r="T114" s="82">
        <f>MOD(115.3654 + 13.0649929509*P$106+360,360)</f>
        <v>7.975583525505499</v>
      </c>
      <c r="U114" s="82">
        <f>MOD(18.6021+0.5240207766*P$106+360,360)</f>
        <v>156.97314083699985</v>
      </c>
      <c r="V114" s="82">
        <f>MOD(19.895+0.0830853001*P$106+360,360)</f>
        <v>63.864334419499983</v>
      </c>
      <c r="W114" s="82">
        <f>MOD(316.967+0.0334442282*P$106+360,360)</f>
        <v>264.486678299</v>
      </c>
      <c r="X114" s="82">
        <f>MOD(142.5905+0.011725806*P$106+360,360)</f>
        <v>250.40928616999997</v>
      </c>
      <c r="Y114" s="82">
        <f>MOD(260.2471+0.005995147*P$106+360,360)</f>
        <v>315.37247666500002</v>
      </c>
      <c r="Z114" s="83"/>
      <c r="AB114" s="84" t="s">
        <v>77</v>
      </c>
      <c r="AC114" s="80">
        <f>MOD(356.047 + 0.9856002585*AC$106+3600,360)</f>
        <v>59.62697716600087</v>
      </c>
      <c r="AD114" s="81">
        <f>MOD(356.047 + 0.9856002585*AD$106+3600,360)</f>
        <v>60.119777295250969</v>
      </c>
      <c r="AE114" s="82">
        <f>MOD(168.6562+4.0923344368*AC$106+360,360)</f>
        <v>1.7636808127936092</v>
      </c>
      <c r="AF114" s="82">
        <f>MOD(48.0052+1.6021302244*AC$106+360,360)</f>
        <v>21.194743582398587</v>
      </c>
      <c r="AG114" s="82">
        <f>MOD(115.3654 + 13.0649929509*AC$106+360,360)</f>
        <v>21.04057647640002</v>
      </c>
      <c r="AH114" s="82">
        <f>MOD(18.6021+0.5240207766*AC$106+360,360)</f>
        <v>157.49716161359993</v>
      </c>
      <c r="AI114" s="82">
        <f>MOD(19.895+0.0830853001*AC$106+360,360)</f>
        <v>63.94741971960002</v>
      </c>
      <c r="AJ114" s="82">
        <f>MOD(316.967+0.0334442282*AC$106+360,360)</f>
        <v>264.52012252719999</v>
      </c>
      <c r="AK114" s="82">
        <f>MOD(142.5905+0.011725806*AC$106+360,360)</f>
        <v>250.42101197600005</v>
      </c>
      <c r="AL114" s="82">
        <f>MOD(260.2471+0.005995147*AC$106+360,360)</f>
        <v>315.37847181200004</v>
      </c>
      <c r="AM114" s="83"/>
    </row>
    <row r="115" spans="2:39" ht="16" customHeight="1">
      <c r="B115" s="84" t="s">
        <v>76</v>
      </c>
      <c r="C115" s="80">
        <f t="shared" ref="C115:L115" si="35">MOD(C111+C114,360)</f>
        <v>341.02915428800048</v>
      </c>
      <c r="D115" s="81">
        <f t="shared" si="35"/>
        <v>341.5219779640006</v>
      </c>
      <c r="E115" s="82">
        <f t="shared" si="35"/>
        <v>22.796379552796793</v>
      </c>
      <c r="F115" s="82">
        <f t="shared" si="35"/>
        <v>73.008704189198909</v>
      </c>
      <c r="G115" s="82">
        <f t="shared" si="35"/>
        <v>24.075211800796296</v>
      </c>
      <c r="H115" s="82">
        <f t="shared" si="35"/>
        <v>83.220068403799758</v>
      </c>
      <c r="I115" s="82">
        <f t="shared" si="35"/>
        <v>337.81019501639997</v>
      </c>
      <c r="J115" s="82">
        <f t="shared" si="35"/>
        <v>244.12080359419997</v>
      </c>
      <c r="K115" s="82">
        <f t="shared" si="35"/>
        <v>347.33977497400002</v>
      </c>
      <c r="L115" s="82">
        <f t="shared" si="35"/>
        <v>228.15716928000006</v>
      </c>
      <c r="M115" s="83"/>
      <c r="N115" s="69"/>
      <c r="O115" s="84" t="s">
        <v>76</v>
      </c>
      <c r="P115" s="80">
        <f t="shared" ref="P115" si="36">MOD(P111+P114,360)</f>
        <v>342.01480164000066</v>
      </c>
      <c r="Q115" s="81">
        <f t="shared" ref="Q115:Y115" si="37">MOD(Q111+Q114,360)</f>
        <v>342.50762531600077</v>
      </c>
      <c r="R115" s="82">
        <f t="shared" si="37"/>
        <v>26.888724133995197</v>
      </c>
      <c r="S115" s="82">
        <f t="shared" si="37"/>
        <v>74.610848250999652</v>
      </c>
      <c r="T115" s="82">
        <f t="shared" si="37"/>
        <v>37.304562074005389</v>
      </c>
      <c r="U115" s="82">
        <f t="shared" si="37"/>
        <v>83.744118476499864</v>
      </c>
      <c r="V115" s="82">
        <f t="shared" si="37"/>
        <v>337.89329676699998</v>
      </c>
      <c r="W115" s="82">
        <f t="shared" si="37"/>
        <v>244.15427758850001</v>
      </c>
      <c r="X115" s="82">
        <f t="shared" si="37"/>
        <v>347.35153134499996</v>
      </c>
      <c r="Y115" s="82">
        <f t="shared" si="37"/>
        <v>228.16315839999993</v>
      </c>
      <c r="Z115" s="83"/>
      <c r="AB115" s="84" t="s">
        <v>76</v>
      </c>
      <c r="AC115" s="80">
        <f t="shared" ref="AC115:AL115" si="38">MOD(AC111+AC114,360)</f>
        <v>343.00044899200088</v>
      </c>
      <c r="AD115" s="81">
        <f t="shared" si="38"/>
        <v>343.493272668001</v>
      </c>
      <c r="AE115" s="82">
        <f t="shared" si="38"/>
        <v>30.981068715193608</v>
      </c>
      <c r="AF115" s="82">
        <f t="shared" si="38"/>
        <v>76.212992312798576</v>
      </c>
      <c r="AG115" s="82">
        <f t="shared" si="38"/>
        <v>50.53391234719993</v>
      </c>
      <c r="AH115" s="82">
        <f t="shared" si="38"/>
        <v>84.268168549199913</v>
      </c>
      <c r="AI115" s="82">
        <f t="shared" si="38"/>
        <v>337.97639851760005</v>
      </c>
      <c r="AJ115" s="82">
        <f t="shared" si="38"/>
        <v>244.18775158279993</v>
      </c>
      <c r="AK115" s="82">
        <f t="shared" si="38"/>
        <v>347.36328771600006</v>
      </c>
      <c r="AL115" s="82">
        <f t="shared" si="38"/>
        <v>228.16914752000002</v>
      </c>
      <c r="AM115" s="83"/>
    </row>
    <row r="116" spans="2:39" ht="16" customHeight="1">
      <c r="B116" s="84" t="s">
        <v>75</v>
      </c>
      <c r="C116" s="80"/>
      <c r="D116" s="81"/>
      <c r="E116" s="82"/>
      <c r="F116" s="82"/>
      <c r="G116" s="82"/>
      <c r="H116" s="82"/>
      <c r="I116" s="82"/>
      <c r="J116" s="82"/>
      <c r="K116" s="82"/>
      <c r="L116" s="82"/>
      <c r="M116" s="83">
        <f>MOD(50.03 + 0.033459652*C$106,360)</f>
        <v>357.65804048799998</v>
      </c>
      <c r="N116" s="69"/>
      <c r="O116" s="84" t="s">
        <v>75</v>
      </c>
      <c r="P116" s="80"/>
      <c r="Q116" s="81"/>
      <c r="R116" s="82"/>
      <c r="S116" s="82"/>
      <c r="T116" s="82"/>
      <c r="U116" s="82"/>
      <c r="V116" s="82"/>
      <c r="W116" s="82"/>
      <c r="X116" s="82"/>
      <c r="Y116" s="82"/>
      <c r="Z116" s="83">
        <f>MOD(50.03 + 0.033459652*P$106,360)</f>
        <v>357.69150014000002</v>
      </c>
      <c r="AB116" s="84" t="s">
        <v>75</v>
      </c>
      <c r="AC116" s="80"/>
      <c r="AD116" s="81"/>
      <c r="AE116" s="82"/>
      <c r="AF116" s="82"/>
      <c r="AG116" s="82"/>
      <c r="AH116" s="82"/>
      <c r="AI116" s="82"/>
      <c r="AJ116" s="82"/>
      <c r="AK116" s="82"/>
      <c r="AL116" s="82"/>
      <c r="AM116" s="83">
        <f>MOD(50.03 + 0.033459652*AC$106,360)</f>
        <v>357.72495979200005</v>
      </c>
    </row>
    <row r="117" spans="2:39" ht="16" customHeight="1">
      <c r="B117" s="85" t="s">
        <v>74</v>
      </c>
      <c r="C117" s="86"/>
      <c r="D117" s="87"/>
      <c r="E117" s="88"/>
      <c r="F117" s="88"/>
      <c r="G117" s="88"/>
      <c r="H117" s="88"/>
      <c r="I117" s="88"/>
      <c r="J117" s="88"/>
      <c r="K117" s="88"/>
      <c r="L117" s="88"/>
      <c r="M117" s="89">
        <f>MOD(238.95+0.003968789*C$106,360)</f>
        <v>275.439046066</v>
      </c>
      <c r="N117" s="69"/>
      <c r="O117" s="85" t="s">
        <v>74</v>
      </c>
      <c r="P117" s="86"/>
      <c r="Q117" s="87"/>
      <c r="R117" s="88"/>
      <c r="S117" s="88"/>
      <c r="T117" s="88"/>
      <c r="U117" s="88"/>
      <c r="V117" s="88"/>
      <c r="W117" s="88"/>
      <c r="X117" s="88"/>
      <c r="Y117" s="88"/>
      <c r="Z117" s="89">
        <f>MOD(238.95+0.003968789*P$106,360)</f>
        <v>275.443014855</v>
      </c>
      <c r="AB117" s="85" t="s">
        <v>74</v>
      </c>
      <c r="AC117" s="86"/>
      <c r="AD117" s="87"/>
      <c r="AE117" s="88"/>
      <c r="AF117" s="88"/>
      <c r="AG117" s="88"/>
      <c r="AH117" s="88"/>
      <c r="AI117" s="88"/>
      <c r="AJ117" s="88"/>
      <c r="AK117" s="88"/>
      <c r="AL117" s="88"/>
      <c r="AM117" s="89">
        <f>MOD(238.95+0.003968789*AC$106,360)</f>
        <v>275.446983644</v>
      </c>
    </row>
    <row r="118" spans="2:39" ht="16" customHeight="1"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</row>
    <row r="119" spans="2:39" ht="16" customHeight="1">
      <c r="B119" s="71" t="s">
        <v>73</v>
      </c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71" t="s">
        <v>73</v>
      </c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B119" s="71" t="s">
        <v>73</v>
      </c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</row>
    <row r="120" spans="2:39" ht="16" customHeight="1">
      <c r="B120" s="71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71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B120" s="71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</row>
    <row r="121" spans="2:39" ht="16" customHeight="1">
      <c r="B121" s="69"/>
      <c r="C121" s="90" t="s">
        <v>28</v>
      </c>
      <c r="D121" s="90" t="s">
        <v>29</v>
      </c>
      <c r="E121" s="90" t="s">
        <v>3</v>
      </c>
      <c r="F121" s="90" t="s">
        <v>6</v>
      </c>
      <c r="G121" s="90" t="s">
        <v>1</v>
      </c>
      <c r="H121" s="90" t="s">
        <v>4</v>
      </c>
      <c r="I121" s="90" t="s">
        <v>5</v>
      </c>
      <c r="J121" s="90" t="s">
        <v>7</v>
      </c>
      <c r="K121" s="90" t="s">
        <v>27</v>
      </c>
      <c r="L121" s="90" t="s">
        <v>26</v>
      </c>
      <c r="M121" s="90" t="s">
        <v>25</v>
      </c>
      <c r="N121" s="69"/>
      <c r="O121" s="69"/>
      <c r="P121" s="90" t="s">
        <v>28</v>
      </c>
      <c r="Q121" s="90" t="s">
        <v>29</v>
      </c>
      <c r="R121" s="90" t="s">
        <v>3</v>
      </c>
      <c r="S121" s="90" t="s">
        <v>6</v>
      </c>
      <c r="T121" s="90" t="s">
        <v>1</v>
      </c>
      <c r="U121" s="90" t="s">
        <v>4</v>
      </c>
      <c r="V121" s="90" t="s">
        <v>5</v>
      </c>
      <c r="W121" s="90" t="s">
        <v>7</v>
      </c>
      <c r="X121" s="90" t="s">
        <v>27</v>
      </c>
      <c r="Y121" s="90" t="s">
        <v>26</v>
      </c>
      <c r="Z121" s="90" t="s">
        <v>25</v>
      </c>
      <c r="AB121" s="69"/>
      <c r="AC121" s="90" t="s">
        <v>28</v>
      </c>
      <c r="AD121" s="90" t="s">
        <v>29</v>
      </c>
      <c r="AE121" s="90" t="s">
        <v>3</v>
      </c>
      <c r="AF121" s="90" t="s">
        <v>6</v>
      </c>
      <c r="AG121" s="90" t="s">
        <v>1</v>
      </c>
      <c r="AH121" s="90" t="s">
        <v>4</v>
      </c>
      <c r="AI121" s="90" t="s">
        <v>5</v>
      </c>
      <c r="AJ121" s="90" t="s">
        <v>7</v>
      </c>
      <c r="AK121" s="90" t="s">
        <v>27</v>
      </c>
      <c r="AL121" s="90" t="s">
        <v>26</v>
      </c>
      <c r="AM121" s="90" t="s">
        <v>25</v>
      </c>
    </row>
    <row r="122" spans="2:39" ht="16" customHeight="1">
      <c r="B122" s="79" t="s">
        <v>72</v>
      </c>
      <c r="C122" s="115">
        <f>C114+(1/$C$100)*C$113*SIN($C$100*C114)*(1+C$113*COS($C$100*C114))</f>
        <v>58.47130631462516</v>
      </c>
      <c r="D122" s="93">
        <f t="shared" ref="D122:L122" si="39">D114+(1/$C$100)*D$113*SIN($C$100*D114)*(1+D$113*COS($C$100*D114))</f>
        <v>58.968419192423482</v>
      </c>
      <c r="E122" s="93">
        <f t="shared" si="39"/>
        <v>351.99209904435935</v>
      </c>
      <c r="F122" s="93">
        <f t="shared" si="39"/>
        <v>18.110897837251624</v>
      </c>
      <c r="G122" s="93">
        <f>G114+(1/$C$100)*G$113*SIN($C$100*G114)*(1+G$113*COS($C$100*G114))</f>
        <v>354.61629031519777</v>
      </c>
      <c r="H122" s="93">
        <f t="shared" si="39"/>
        <v>158.40481086891234</v>
      </c>
      <c r="I122" s="93">
        <f t="shared" si="39"/>
        <v>66.329701894371979</v>
      </c>
      <c r="J122" s="93">
        <f t="shared" si="39"/>
        <v>261.30751859036309</v>
      </c>
      <c r="K122" s="93">
        <f t="shared" si="39"/>
        <v>247.88053124320038</v>
      </c>
      <c r="L122" s="93">
        <f t="shared" si="39"/>
        <v>315.01712625856004</v>
      </c>
      <c r="M122" s="94"/>
      <c r="N122" s="69"/>
      <c r="O122" s="79" t="s">
        <v>72</v>
      </c>
      <c r="P122" s="115">
        <f>P114+(1/$C$100)*P$113*SIN($C$100*P114)*(1+P$113*COS($C$100*P114))</f>
        <v>59.465469831586653</v>
      </c>
      <c r="Q122" s="93">
        <f t="shared" ref="Q122:S122" si="40">Q114+(1/$C$100)*Q$113*SIN($C$100*Q114)*(1+Q$113*COS($C$100*Q114))</f>
        <v>59.962457931425917</v>
      </c>
      <c r="R122" s="93">
        <f t="shared" si="40"/>
        <v>357.09424815155137</v>
      </c>
      <c r="S122" s="93">
        <f t="shared" si="40"/>
        <v>19.723340398351063</v>
      </c>
      <c r="T122" s="93">
        <f>T114+(1/$C$100)*T$113*SIN($C$100*T114)*(1+T$113*COS($C$100*T114))</f>
        <v>8.4357595507815883</v>
      </c>
      <c r="U122" s="93">
        <f t="shared" ref="U122:Y122" si="41">U114+(1/$C$100)*U$113*SIN($C$100*U114)*(1+U$113*COS($C$100*U114))</f>
        <v>158.88700657158518</v>
      </c>
      <c r="V122" s="93">
        <f t="shared" si="41"/>
        <v>66.414446975872636</v>
      </c>
      <c r="W122" s="93">
        <f t="shared" si="41"/>
        <v>261.34068366174318</v>
      </c>
      <c r="X122" s="93">
        <f t="shared" si="41"/>
        <v>247.89204989284869</v>
      </c>
      <c r="Y122" s="93">
        <f t="shared" si="41"/>
        <v>315.02315812518452</v>
      </c>
      <c r="Z122" s="94"/>
      <c r="AB122" s="79" t="s">
        <v>72</v>
      </c>
      <c r="AC122" s="115">
        <f>AC114+(1/$C$100)*AC$113*SIN($C$100*AC114)*(1+AC$113*COS($C$100*AC114))</f>
        <v>60.459383196345186</v>
      </c>
      <c r="AD122" s="93">
        <f t="shared" ref="AD122:AF122" si="42">AD114+(1/$C$100)*AD$113*SIN($C$100*AD114)*(1+AD$113*COS($C$100*AD114))</f>
        <v>60.956245335858689</v>
      </c>
      <c r="AE122" s="93">
        <f t="shared" si="42"/>
        <v>2.2008423063960727</v>
      </c>
      <c r="AF122" s="93">
        <f t="shared" si="42"/>
        <v>21.335678806655267</v>
      </c>
      <c r="AG122" s="93">
        <f>AG114+(1/$C$100)*AG$113*SIN($C$100*AG114)*(1+AG$113*COS($C$100*AG114))</f>
        <v>22.227782918535848</v>
      </c>
      <c r="AH122" s="93">
        <f t="shared" ref="AH122:AL122" si="43">AH114+(1/$C$100)*AH$113*SIN($C$100*AH114)*(1+AH$113*COS($C$100*AH114))</f>
        <v>159.36908736225581</v>
      </c>
      <c r="AI122" s="93">
        <f t="shared" si="43"/>
        <v>66.499186358448725</v>
      </c>
      <c r="AJ122" s="93">
        <f t="shared" si="43"/>
        <v>261.37384978792937</v>
      </c>
      <c r="AK122" s="93">
        <f t="shared" si="43"/>
        <v>247.90356864274912</v>
      </c>
      <c r="AL122" s="93">
        <f t="shared" si="43"/>
        <v>315.02918999572194</v>
      </c>
      <c r="AM122" s="94"/>
    </row>
    <row r="123" spans="2:39" ht="16" customHeight="1">
      <c r="B123" s="84" t="s">
        <v>71</v>
      </c>
      <c r="C123" s="116">
        <f t="shared" ref="C123:L127" si="44">(C122-(C122-(1/$C$100)*C$113*SIN($C$100*C122)-C$114)/(1-C$113*COS($C$100*C122)))</f>
        <v>58.471288546516618</v>
      </c>
      <c r="D123" s="82">
        <f t="shared" si="44"/>
        <v>58.968398680790287</v>
      </c>
      <c r="E123" s="82">
        <f t="shared" si="44"/>
        <v>351.92369205100056</v>
      </c>
      <c r="F123" s="82">
        <f t="shared" si="44"/>
        <v>18.110902550183166</v>
      </c>
      <c r="G123" s="82">
        <f t="shared" si="44"/>
        <v>354.61541162501339</v>
      </c>
      <c r="H123" s="82">
        <f t="shared" si="44"/>
        <v>158.41812972795066</v>
      </c>
      <c r="I123" s="82">
        <f t="shared" si="44"/>
        <v>66.32833706614781</v>
      </c>
      <c r="J123" s="82">
        <f t="shared" si="44"/>
        <v>261.31214595307603</v>
      </c>
      <c r="K123" s="82">
        <f t="shared" si="44"/>
        <v>247.88230787106093</v>
      </c>
      <c r="L123" s="82">
        <f t="shared" si="44"/>
        <v>315.01711960317385</v>
      </c>
      <c r="M123" s="83"/>
      <c r="N123" s="69"/>
      <c r="O123" s="84" t="s">
        <v>71</v>
      </c>
      <c r="P123" s="116">
        <f>(P122-(P122-(1/$C$100)*P$113*SIN($C$100*P122)-P$114)/(1-P$113*COS($C$100*P122)))</f>
        <v>59.46544657371409</v>
      </c>
      <c r="Q123" s="82">
        <f t="shared" ref="Q123:S123" si="45">(Q122-(Q122-(1/$C$100)*Q$113*SIN($C$100*Q122)-Q$114)/(1-Q$113*COS($C$100*Q122)))</f>
        <v>59.962431926355968</v>
      </c>
      <c r="R123" s="82">
        <f t="shared" si="45"/>
        <v>357.06884635991872</v>
      </c>
      <c r="S123" s="82">
        <f t="shared" si="45"/>
        <v>19.723345361312344</v>
      </c>
      <c r="T123" s="82">
        <f>(T122-(T122-(1/$C$100)*T$113*SIN($C$100*T122)-T$114)/(1-T$113*COS($C$100*T122)))</f>
        <v>8.4371085966358059</v>
      </c>
      <c r="U123" s="82">
        <f t="shared" ref="U123:Y123" si="46">(U122-(U122-(1/$C$100)*U$113*SIN($C$100*U122)-U$114)/(1-U$113*COS($C$100*U122)))</f>
        <v>158.90019997936344</v>
      </c>
      <c r="V123" s="82">
        <f t="shared" si="46"/>
        <v>66.413071128834517</v>
      </c>
      <c r="W123" s="82">
        <f t="shared" si="46"/>
        <v>261.34531339855897</v>
      </c>
      <c r="X123" s="82">
        <f t="shared" si="46"/>
        <v>247.89382779955633</v>
      </c>
      <c r="Y123" s="82">
        <f t="shared" si="46"/>
        <v>315.02315146640552</v>
      </c>
      <c r="Z123" s="83"/>
      <c r="AB123" s="84" t="s">
        <v>71</v>
      </c>
      <c r="AC123" s="116">
        <f>(AC122-(AC122-(1/$C$100)*AC$113*SIN($C$100*AC122)-AC$114)/(1-AC$113*COS($C$100*AC122)))</f>
        <v>60.459354444877711</v>
      </c>
      <c r="AD123" s="82">
        <f t="shared" ref="AD123:AF123" si="47">(AD122-(AD122-(1/$C$100)*AD$113*SIN($C$100*AD122)-AD$114)/(1-AD$113*COS($C$100*AD122)))</f>
        <v>60.956213840551392</v>
      </c>
      <c r="AE123" s="82">
        <f t="shared" si="47"/>
        <v>2.2201104217854883</v>
      </c>
      <c r="AF123" s="82">
        <f t="shared" si="47"/>
        <v>21.335683979835778</v>
      </c>
      <c r="AG123" s="82">
        <f>(AG122-(AG122-(1/$C$100)*AG$113*SIN($C$100*AG122)-AG$114)/(1-AG$113*COS($C$100*AG122)))</f>
        <v>22.23064675589092</v>
      </c>
      <c r="AH123" s="82">
        <f t="shared" ref="AH123:AL123" si="48">(AH122-(AH122-(1/$C$100)*AH$113*SIN($C$100*AH122)-AH$114)/(1-AH$113*COS($C$100*AH122)))</f>
        <v>159.38214478147799</v>
      </c>
      <c r="AI123" s="82">
        <f t="shared" si="48"/>
        <v>66.497799507430855</v>
      </c>
      <c r="AJ123" s="82">
        <f t="shared" si="48"/>
        <v>261.37848188813854</v>
      </c>
      <c r="AK123" s="82">
        <f t="shared" si="48"/>
        <v>247.90534782789604</v>
      </c>
      <c r="AL123" s="82">
        <f t="shared" si="48"/>
        <v>315.02918333355109</v>
      </c>
      <c r="AM123" s="83"/>
    </row>
    <row r="124" spans="2:39" ht="16" customHeight="1">
      <c r="B124" s="84" t="s">
        <v>70</v>
      </c>
      <c r="C124" s="116">
        <f t="shared" si="44"/>
        <v>58.471288546516583</v>
      </c>
      <c r="D124" s="82">
        <f t="shared" si="44"/>
        <v>58.968398680790237</v>
      </c>
      <c r="E124" s="82">
        <f t="shared" si="44"/>
        <v>351.92369352410435</v>
      </c>
      <c r="F124" s="82">
        <f t="shared" si="44"/>
        <v>18.110902550183166</v>
      </c>
      <c r="G124" s="82">
        <f t="shared" si="44"/>
        <v>354.61541162505006</v>
      </c>
      <c r="H124" s="82">
        <f t="shared" si="44"/>
        <v>158.41812967898451</v>
      </c>
      <c r="I124" s="82">
        <f t="shared" si="44"/>
        <v>66.328337065410793</v>
      </c>
      <c r="J124" s="82">
        <f t="shared" si="44"/>
        <v>261.31214596323485</v>
      </c>
      <c r="K124" s="82">
        <f t="shared" si="44"/>
        <v>247.8823078722489</v>
      </c>
      <c r="L124" s="82">
        <f t="shared" si="44"/>
        <v>315.01711960317385</v>
      </c>
      <c r="M124" s="83"/>
      <c r="N124" s="69"/>
      <c r="O124" s="84" t="s">
        <v>70</v>
      </c>
      <c r="P124" s="116">
        <f>(P123-(P123-(1/$C$100)*P$113*SIN($C$100*P123)-P$114)/(1-P$113*COS($C$100*P123)))</f>
        <v>59.465446573714019</v>
      </c>
      <c r="Q124" s="82">
        <f t="shared" ref="Q124:S124" si="49">(Q123-(Q123-(1/$C$100)*Q$113*SIN($C$100*Q123)-Q$114)/(1-Q$113*COS($C$100*Q123)))</f>
        <v>59.962431926355883</v>
      </c>
      <c r="R124" s="82">
        <f t="shared" si="49"/>
        <v>357.068846434004</v>
      </c>
      <c r="S124" s="82">
        <f t="shared" si="49"/>
        <v>19.72334536131234</v>
      </c>
      <c r="T124" s="82">
        <f>(T123-(T123-(1/$C$100)*T$113*SIN($C$100*T123)-T$114)/(1-T$113*COS($C$100*T123)))</f>
        <v>8.4371085965005435</v>
      </c>
      <c r="U124" s="82">
        <f t="shared" ref="U124:Y124" si="50">(U123-(U123-(1/$C$100)*U$113*SIN($C$100*U123)-U$114)/(1-U$113*COS($C$100*U123)))</f>
        <v>158.90019993235114</v>
      </c>
      <c r="V124" s="82">
        <f t="shared" si="50"/>
        <v>66.413071128085122</v>
      </c>
      <c r="W124" s="82">
        <f t="shared" si="50"/>
        <v>261.34531340872951</v>
      </c>
      <c r="X124" s="82">
        <f t="shared" si="50"/>
        <v>247.89382780074612</v>
      </c>
      <c r="Y124" s="82">
        <f t="shared" si="50"/>
        <v>315.02315146640552</v>
      </c>
      <c r="Z124" s="83"/>
      <c r="AB124" s="84" t="s">
        <v>70</v>
      </c>
      <c r="AC124" s="116">
        <f>(AC123-(AC123-(1/$C$100)*AC$113*SIN($C$100*AC123)-AC$114)/(1-AC$113*COS($C$100*AC123)))</f>
        <v>60.459354444877604</v>
      </c>
      <c r="AD124" s="82">
        <f t="shared" ref="AD124:AF124" si="51">(AD123-(AD123-(1/$C$100)*AD$113*SIN($C$100*AD123)-AD$114)/(1-AD$113*COS($C$100*AD123)))</f>
        <v>60.956213840551264</v>
      </c>
      <c r="AE124" s="82">
        <f t="shared" si="51"/>
        <v>2.2201103894889123</v>
      </c>
      <c r="AF124" s="82">
        <f t="shared" si="51"/>
        <v>21.335683979835778</v>
      </c>
      <c r="AG124" s="82">
        <f>(AG123-(AG123-(1/$C$100)*AG$113*SIN($C$100*AG123)-AG$114)/(1-AG$113*COS($C$100*AG123)))</f>
        <v>22.230646754324852</v>
      </c>
      <c r="AH124" s="82">
        <f t="shared" ref="AH124:AL124" si="52">(AH123-(AH123-(1/$C$100)*AH$113*SIN($C$100*AH123)-AH$114)/(1-AH$113*COS($C$100*AH123)))</f>
        <v>159.38214473644661</v>
      </c>
      <c r="AI124" s="82">
        <f t="shared" si="52"/>
        <v>66.497799506668983</v>
      </c>
      <c r="AJ124" s="82">
        <f t="shared" si="52"/>
        <v>261.37848189832062</v>
      </c>
      <c r="AK124" s="82">
        <f t="shared" si="52"/>
        <v>247.9053478290877</v>
      </c>
      <c r="AL124" s="82">
        <f t="shared" si="52"/>
        <v>315.02918333355109</v>
      </c>
      <c r="AM124" s="83"/>
    </row>
    <row r="125" spans="2:39" ht="16" customHeight="1">
      <c r="B125" s="84" t="s">
        <v>69</v>
      </c>
      <c r="C125" s="116">
        <f t="shared" si="44"/>
        <v>58.471288546516583</v>
      </c>
      <c r="D125" s="82">
        <f t="shared" si="44"/>
        <v>58.968398680790237</v>
      </c>
      <c r="E125" s="82">
        <f t="shared" si="44"/>
        <v>351.92369352410435</v>
      </c>
      <c r="F125" s="82">
        <f t="shared" si="44"/>
        <v>18.110902550183166</v>
      </c>
      <c r="G125" s="82">
        <f t="shared" si="44"/>
        <v>354.61541162505011</v>
      </c>
      <c r="H125" s="82">
        <f t="shared" si="44"/>
        <v>158.41812967898454</v>
      </c>
      <c r="I125" s="82">
        <f t="shared" si="44"/>
        <v>66.328337065410807</v>
      </c>
      <c r="J125" s="82">
        <f t="shared" si="44"/>
        <v>261.31214596323485</v>
      </c>
      <c r="K125" s="82">
        <f t="shared" si="44"/>
        <v>247.8823078722489</v>
      </c>
      <c r="L125" s="82">
        <f t="shared" si="44"/>
        <v>315.01711960317385</v>
      </c>
      <c r="M125" s="83"/>
      <c r="N125" s="69"/>
      <c r="O125" s="84" t="s">
        <v>69</v>
      </c>
      <c r="P125" s="116">
        <f>(P124-(P124-(1/$C$100)*P$113*SIN($C$100*P124)-P$114)/(1-P$113*COS($C$100*P124)))</f>
        <v>59.465446573714019</v>
      </c>
      <c r="Q125" s="82">
        <f t="shared" ref="Q125:S125" si="53">(Q124-(Q124-(1/$C$100)*Q$113*SIN($C$100*Q124)-Q$114)/(1-Q$113*COS($C$100*Q124)))</f>
        <v>59.962431926355883</v>
      </c>
      <c r="R125" s="82">
        <f t="shared" si="53"/>
        <v>357.068846434004</v>
      </c>
      <c r="S125" s="82">
        <f t="shared" si="53"/>
        <v>19.72334536131234</v>
      </c>
      <c r="T125" s="82">
        <f>(T124-(T124-(1/$C$100)*T$113*SIN($C$100*T124)-T$114)/(1-T$113*COS($C$100*T124)))</f>
        <v>8.4371085965005435</v>
      </c>
      <c r="U125" s="82">
        <f t="shared" ref="U125:Y125" si="54">(U124-(U124-(1/$C$100)*U$113*SIN($C$100*U124)-U$114)/(1-U$113*COS($C$100*U124)))</f>
        <v>158.90019993235114</v>
      </c>
      <c r="V125" s="82">
        <f t="shared" si="54"/>
        <v>66.413071128085122</v>
      </c>
      <c r="W125" s="82">
        <f t="shared" si="54"/>
        <v>261.34531340872951</v>
      </c>
      <c r="X125" s="82">
        <f t="shared" si="54"/>
        <v>247.89382780074615</v>
      </c>
      <c r="Y125" s="82">
        <f t="shared" si="54"/>
        <v>315.02315146640552</v>
      </c>
      <c r="Z125" s="83"/>
      <c r="AB125" s="84" t="s">
        <v>69</v>
      </c>
      <c r="AC125" s="116">
        <f>(AC124-(AC124-(1/$C$100)*AC$113*SIN($C$100*AC124)-AC$114)/(1-AC$113*COS($C$100*AC124)))</f>
        <v>60.459354444877604</v>
      </c>
      <c r="AD125" s="82">
        <f t="shared" ref="AD125:AF125" si="55">(AD124-(AD124-(1/$C$100)*AD$113*SIN($C$100*AD124)-AD$114)/(1-AD$113*COS($C$100*AD124)))</f>
        <v>60.956213840551264</v>
      </c>
      <c r="AE125" s="82">
        <f t="shared" si="55"/>
        <v>2.2201103894889127</v>
      </c>
      <c r="AF125" s="82">
        <f t="shared" si="55"/>
        <v>21.335683979835778</v>
      </c>
      <c r="AG125" s="82">
        <f>(AG124-(AG124-(1/$C$100)*AG$113*SIN($C$100*AG124)-AG$114)/(1-AG$113*COS($C$100*AG124)))</f>
        <v>22.230646754324855</v>
      </c>
      <c r="AH125" s="82">
        <f t="shared" ref="AH125:AL125" si="56">(AH124-(AH124-(1/$C$100)*AH$113*SIN($C$100*AH124)-AH$114)/(1-AH$113*COS($C$100*AH124)))</f>
        <v>159.38214473644661</v>
      </c>
      <c r="AI125" s="82">
        <f t="shared" si="56"/>
        <v>66.497799506668969</v>
      </c>
      <c r="AJ125" s="82">
        <f t="shared" si="56"/>
        <v>261.37848189832062</v>
      </c>
      <c r="AK125" s="82">
        <f t="shared" si="56"/>
        <v>247.90534782908767</v>
      </c>
      <c r="AL125" s="82">
        <f t="shared" si="56"/>
        <v>315.02918333355109</v>
      </c>
      <c r="AM125" s="83"/>
    </row>
    <row r="126" spans="2:39" ht="16" customHeight="1">
      <c r="B126" s="84" t="s">
        <v>68</v>
      </c>
      <c r="C126" s="116">
        <f t="shared" si="44"/>
        <v>58.471288546516583</v>
      </c>
      <c r="D126" s="82">
        <f t="shared" si="44"/>
        <v>58.968398680790237</v>
      </c>
      <c r="E126" s="82">
        <f t="shared" si="44"/>
        <v>351.92369352410435</v>
      </c>
      <c r="F126" s="82">
        <f t="shared" si="44"/>
        <v>18.110902550183166</v>
      </c>
      <c r="G126" s="82">
        <f t="shared" si="44"/>
        <v>354.61541162505011</v>
      </c>
      <c r="H126" s="82">
        <f t="shared" si="44"/>
        <v>158.41812967898451</v>
      </c>
      <c r="I126" s="82">
        <f t="shared" si="44"/>
        <v>66.328337065410793</v>
      </c>
      <c r="J126" s="82">
        <f t="shared" si="44"/>
        <v>261.31214596323485</v>
      </c>
      <c r="K126" s="82">
        <f t="shared" si="44"/>
        <v>247.8823078722489</v>
      </c>
      <c r="L126" s="82">
        <f t="shared" si="44"/>
        <v>315.01711960317385</v>
      </c>
      <c r="M126" s="83"/>
      <c r="N126" s="69"/>
      <c r="O126" s="84" t="s">
        <v>68</v>
      </c>
      <c r="P126" s="116">
        <f>(P125-(P125-(1/$C$100)*P$113*SIN($C$100*P125)-P$114)/(1-P$113*COS($C$100*P125)))</f>
        <v>59.465446573714019</v>
      </c>
      <c r="Q126" s="82">
        <f t="shared" ref="Q126:S126" si="57">(Q125-(Q125-(1/$C$100)*Q$113*SIN($C$100*Q125)-Q$114)/(1-Q$113*COS($C$100*Q125)))</f>
        <v>59.962431926355883</v>
      </c>
      <c r="R126" s="82">
        <f t="shared" si="57"/>
        <v>357.068846434004</v>
      </c>
      <c r="S126" s="82">
        <f t="shared" si="57"/>
        <v>19.72334536131234</v>
      </c>
      <c r="T126" s="82">
        <f>(T125-(T125-(1/$C$100)*T$113*SIN($C$100*T125)-T$114)/(1-T$113*COS($C$100*T125)))</f>
        <v>8.4371085965005435</v>
      </c>
      <c r="U126" s="82">
        <f t="shared" ref="U126:Y126" si="58">(U125-(U125-(1/$C$100)*U$113*SIN($C$100*U125)-U$114)/(1-U$113*COS($C$100*U125)))</f>
        <v>158.90019993235114</v>
      </c>
      <c r="V126" s="82">
        <f t="shared" si="58"/>
        <v>66.413071128085122</v>
      </c>
      <c r="W126" s="82">
        <f t="shared" si="58"/>
        <v>261.34531340872951</v>
      </c>
      <c r="X126" s="82">
        <f t="shared" si="58"/>
        <v>247.89382780074615</v>
      </c>
      <c r="Y126" s="82">
        <f t="shared" si="58"/>
        <v>315.02315146640552</v>
      </c>
      <c r="Z126" s="83"/>
      <c r="AB126" s="84" t="s">
        <v>68</v>
      </c>
      <c r="AC126" s="116">
        <f>(AC125-(AC125-(1/$C$100)*AC$113*SIN($C$100*AC125)-AC$114)/(1-AC$113*COS($C$100*AC125)))</f>
        <v>60.459354444877604</v>
      </c>
      <c r="AD126" s="82">
        <f t="shared" ref="AD126:AF126" si="59">(AD125-(AD125-(1/$C$100)*AD$113*SIN($C$100*AD125)-AD$114)/(1-AD$113*COS($C$100*AD125)))</f>
        <v>60.956213840551264</v>
      </c>
      <c r="AE126" s="82">
        <f t="shared" si="59"/>
        <v>2.2201103894889127</v>
      </c>
      <c r="AF126" s="82">
        <f t="shared" si="59"/>
        <v>21.335683979835778</v>
      </c>
      <c r="AG126" s="82">
        <f>(AG125-(AG125-(1/$C$100)*AG$113*SIN($C$100*AG125)-AG$114)/(1-AG$113*COS($C$100*AG125)))</f>
        <v>22.230646754324855</v>
      </c>
      <c r="AH126" s="82">
        <f t="shared" ref="AH126:AL126" si="60">(AH125-(AH125-(1/$C$100)*AH$113*SIN($C$100*AH125)-AH$114)/(1-AH$113*COS($C$100*AH125)))</f>
        <v>159.38214473644661</v>
      </c>
      <c r="AI126" s="82">
        <f t="shared" si="60"/>
        <v>66.497799506668983</v>
      </c>
      <c r="AJ126" s="82">
        <f t="shared" si="60"/>
        <v>261.37848189832062</v>
      </c>
      <c r="AK126" s="82">
        <f t="shared" si="60"/>
        <v>247.90534782908767</v>
      </c>
      <c r="AL126" s="82">
        <f t="shared" si="60"/>
        <v>315.02918333355109</v>
      </c>
      <c r="AM126" s="83"/>
    </row>
    <row r="127" spans="2:39" ht="16" customHeight="1">
      <c r="B127" s="85" t="s">
        <v>67</v>
      </c>
      <c r="C127" s="117">
        <f t="shared" si="44"/>
        <v>58.471288546516583</v>
      </c>
      <c r="D127" s="88">
        <f t="shared" si="44"/>
        <v>58.968398680790237</v>
      </c>
      <c r="E127" s="88">
        <f t="shared" si="44"/>
        <v>351.92369352410435</v>
      </c>
      <c r="F127" s="88">
        <f t="shared" si="44"/>
        <v>18.110902550183166</v>
      </c>
      <c r="G127" s="88">
        <f t="shared" si="44"/>
        <v>354.61541162505011</v>
      </c>
      <c r="H127" s="88">
        <f t="shared" si="44"/>
        <v>158.41812967898454</v>
      </c>
      <c r="I127" s="88">
        <f t="shared" si="44"/>
        <v>66.328337065410807</v>
      </c>
      <c r="J127" s="88">
        <f t="shared" si="44"/>
        <v>261.31214596323485</v>
      </c>
      <c r="K127" s="88">
        <f t="shared" si="44"/>
        <v>247.8823078722489</v>
      </c>
      <c r="L127" s="88">
        <f t="shared" si="44"/>
        <v>315.01711960317385</v>
      </c>
      <c r="M127" s="89"/>
      <c r="N127" s="69"/>
      <c r="O127" s="85" t="s">
        <v>67</v>
      </c>
      <c r="P127" s="117">
        <f>(P126-(P126-(1/$C$100)*P$113*SIN($C$100*P126)-P$114)/(1-P$113*COS($C$100*P126)))</f>
        <v>59.465446573714019</v>
      </c>
      <c r="Q127" s="88">
        <f t="shared" ref="Q127:S127" si="61">(Q126-(Q126-(1/$C$100)*Q$113*SIN($C$100*Q126)-Q$114)/(1-Q$113*COS($C$100*Q126)))</f>
        <v>59.962431926355883</v>
      </c>
      <c r="R127" s="88">
        <f t="shared" si="61"/>
        <v>357.068846434004</v>
      </c>
      <c r="S127" s="88">
        <f t="shared" si="61"/>
        <v>19.72334536131234</v>
      </c>
      <c r="T127" s="88">
        <f>(T126-(T126-(1/$C$100)*T$113*SIN($C$100*T126)-T$114)/(1-T$113*COS($C$100*T126)))</f>
        <v>8.4371085965005435</v>
      </c>
      <c r="U127" s="88">
        <f t="shared" ref="U127:Y127" si="62">(U126-(U126-(1/$C$100)*U$113*SIN($C$100*U126)-U$114)/(1-U$113*COS($C$100*U126)))</f>
        <v>158.90019993235114</v>
      </c>
      <c r="V127" s="88">
        <f t="shared" si="62"/>
        <v>66.413071128085122</v>
      </c>
      <c r="W127" s="88">
        <f t="shared" si="62"/>
        <v>261.34531340872951</v>
      </c>
      <c r="X127" s="88">
        <f t="shared" si="62"/>
        <v>247.89382780074615</v>
      </c>
      <c r="Y127" s="88">
        <f t="shared" si="62"/>
        <v>315.02315146640552</v>
      </c>
      <c r="Z127" s="89"/>
      <c r="AB127" s="85" t="s">
        <v>67</v>
      </c>
      <c r="AC127" s="117">
        <f>(AC126-(AC126-(1/$C$100)*AC$113*SIN($C$100*AC126)-AC$114)/(1-AC$113*COS($C$100*AC126)))</f>
        <v>60.459354444877604</v>
      </c>
      <c r="AD127" s="88">
        <f t="shared" ref="AD127:AF127" si="63">(AD126-(AD126-(1/$C$100)*AD$113*SIN($C$100*AD126)-AD$114)/(1-AD$113*COS($C$100*AD126)))</f>
        <v>60.956213840551264</v>
      </c>
      <c r="AE127" s="88">
        <f t="shared" si="63"/>
        <v>2.2201103894889127</v>
      </c>
      <c r="AF127" s="88">
        <f t="shared" si="63"/>
        <v>21.335683979835778</v>
      </c>
      <c r="AG127" s="88">
        <f>(AG126-(AG126-(1/$C$100)*AG$113*SIN($C$100*AG126)-AG$114)/(1-AG$113*COS($C$100*AG126)))</f>
        <v>22.230646754324855</v>
      </c>
      <c r="AH127" s="88">
        <f t="shared" ref="AH127:AL127" si="64">(AH126-(AH126-(1/$C$100)*AH$113*SIN($C$100*AH126)-AH$114)/(1-AH$113*COS($C$100*AH126)))</f>
        <v>159.38214473644661</v>
      </c>
      <c r="AI127" s="88">
        <f t="shared" si="64"/>
        <v>66.497799506668969</v>
      </c>
      <c r="AJ127" s="88">
        <f t="shared" si="64"/>
        <v>261.37848189832062</v>
      </c>
      <c r="AK127" s="88">
        <f t="shared" si="64"/>
        <v>247.90534782908767</v>
      </c>
      <c r="AL127" s="88">
        <f t="shared" si="64"/>
        <v>315.02918333355109</v>
      </c>
      <c r="AM127" s="89"/>
    </row>
    <row r="128" spans="2:39" ht="16" customHeight="1">
      <c r="B128" s="69"/>
      <c r="C128" s="95"/>
      <c r="D128" s="95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95"/>
      <c r="Q128" s="95"/>
      <c r="R128" s="69"/>
      <c r="S128" s="69"/>
      <c r="T128" s="69"/>
      <c r="U128" s="69"/>
      <c r="V128" s="69"/>
      <c r="W128" s="69"/>
      <c r="X128" s="69"/>
      <c r="Y128" s="69"/>
      <c r="Z128" s="69"/>
      <c r="AB128" s="69"/>
      <c r="AC128" s="95"/>
      <c r="AD128" s="95"/>
      <c r="AE128" s="69"/>
      <c r="AF128" s="69"/>
      <c r="AG128" s="69"/>
      <c r="AH128" s="69"/>
      <c r="AI128" s="69"/>
      <c r="AJ128" s="69"/>
      <c r="AK128" s="69"/>
      <c r="AL128" s="69"/>
      <c r="AM128" s="69"/>
    </row>
    <row r="129" spans="2:39" ht="16" customHeight="1">
      <c r="B129" s="71" t="s">
        <v>66</v>
      </c>
      <c r="C129" s="95"/>
      <c r="D129" s="95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71" t="s">
        <v>66</v>
      </c>
      <c r="P129" s="95"/>
      <c r="Q129" s="95"/>
      <c r="R129" s="69"/>
      <c r="S129" s="69"/>
      <c r="T129" s="69"/>
      <c r="U129" s="69"/>
      <c r="V129" s="69"/>
      <c r="W129" s="69"/>
      <c r="X129" s="69"/>
      <c r="Y129" s="69"/>
      <c r="Z129" s="69"/>
      <c r="AB129" s="71" t="s">
        <v>66</v>
      </c>
      <c r="AC129" s="95"/>
      <c r="AD129" s="95"/>
      <c r="AE129" s="69"/>
      <c r="AF129" s="69"/>
      <c r="AG129" s="69"/>
      <c r="AH129" s="69"/>
      <c r="AI129" s="69"/>
      <c r="AJ129" s="69"/>
      <c r="AK129" s="69"/>
      <c r="AL129" s="69"/>
      <c r="AM129" s="69"/>
    </row>
    <row r="130" spans="2:39" ht="16" customHeight="1">
      <c r="B130" s="71"/>
      <c r="C130" s="95"/>
      <c r="D130" s="95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71"/>
      <c r="P130" s="95"/>
      <c r="Q130" s="95"/>
      <c r="R130" s="69"/>
      <c r="S130" s="69"/>
      <c r="T130" s="69"/>
      <c r="U130" s="69"/>
      <c r="V130" s="69"/>
      <c r="W130" s="69"/>
      <c r="X130" s="69"/>
      <c r="Y130" s="69"/>
      <c r="Z130" s="69"/>
      <c r="AB130" s="71"/>
      <c r="AC130" s="95"/>
      <c r="AD130" s="95"/>
      <c r="AE130" s="69"/>
      <c r="AF130" s="69"/>
      <c r="AG130" s="69"/>
      <c r="AH130" s="69"/>
      <c r="AI130" s="69"/>
      <c r="AJ130" s="69"/>
      <c r="AK130" s="69"/>
      <c r="AL130" s="69"/>
      <c r="AM130" s="69"/>
    </row>
    <row r="131" spans="2:39" ht="16" customHeight="1">
      <c r="B131" s="69"/>
      <c r="C131" s="90" t="s">
        <v>28</v>
      </c>
      <c r="D131" s="90"/>
      <c r="E131" s="90" t="s">
        <v>3</v>
      </c>
      <c r="F131" s="90" t="s">
        <v>6</v>
      </c>
      <c r="G131" s="90" t="s">
        <v>1</v>
      </c>
      <c r="H131" s="90" t="s">
        <v>4</v>
      </c>
      <c r="I131" s="90" t="s">
        <v>5</v>
      </c>
      <c r="J131" s="90" t="s">
        <v>7</v>
      </c>
      <c r="K131" s="90" t="s">
        <v>27</v>
      </c>
      <c r="L131" s="90" t="s">
        <v>26</v>
      </c>
      <c r="M131" s="90" t="s">
        <v>25</v>
      </c>
      <c r="N131" s="69"/>
      <c r="O131" s="69"/>
      <c r="P131" s="90" t="s">
        <v>28</v>
      </c>
      <c r="Q131" s="90"/>
      <c r="R131" s="90" t="s">
        <v>3</v>
      </c>
      <c r="S131" s="90" t="s">
        <v>6</v>
      </c>
      <c r="T131" s="90" t="s">
        <v>1</v>
      </c>
      <c r="U131" s="90" t="s">
        <v>4</v>
      </c>
      <c r="V131" s="90" t="s">
        <v>5</v>
      </c>
      <c r="W131" s="90" t="s">
        <v>7</v>
      </c>
      <c r="X131" s="90" t="s">
        <v>27</v>
      </c>
      <c r="Y131" s="90" t="s">
        <v>26</v>
      </c>
      <c r="Z131" s="90" t="s">
        <v>25</v>
      </c>
      <c r="AB131" s="69"/>
      <c r="AC131" s="90" t="s">
        <v>28</v>
      </c>
      <c r="AD131" s="90"/>
      <c r="AE131" s="90" t="s">
        <v>3</v>
      </c>
      <c r="AF131" s="90" t="s">
        <v>6</v>
      </c>
      <c r="AG131" s="90" t="s">
        <v>1</v>
      </c>
      <c r="AH131" s="90" t="s">
        <v>4</v>
      </c>
      <c r="AI131" s="90" t="s">
        <v>5</v>
      </c>
      <c r="AJ131" s="90" t="s">
        <v>7</v>
      </c>
      <c r="AK131" s="90" t="s">
        <v>27</v>
      </c>
      <c r="AL131" s="90" t="s">
        <v>26</v>
      </c>
      <c r="AM131" s="90" t="s">
        <v>25</v>
      </c>
    </row>
    <row r="132" spans="2:39" ht="16" customHeight="1">
      <c r="B132" s="79" t="s">
        <v>65</v>
      </c>
      <c r="C132" s="91">
        <f>COS($C$100*C127)-C113</f>
        <v>0.50622734738763386</v>
      </c>
      <c r="D132" s="92">
        <f>COS($C$100*D127)-D113</f>
        <v>0.49881234752886749</v>
      </c>
      <c r="E132" s="93">
        <f t="shared" ref="E132:L132" si="65">E112*(COS($C$100*E127)-E113)</f>
        <v>0.30365581338239789</v>
      </c>
      <c r="F132" s="93">
        <f t="shared" si="65"/>
        <v>0.6826033150711146</v>
      </c>
      <c r="G132" s="93">
        <f t="shared" si="65"/>
        <v>56.692021749575012</v>
      </c>
      <c r="H132" s="93">
        <f t="shared" si="65"/>
        <v>-1.5592220106891048</v>
      </c>
      <c r="I132" s="93">
        <f t="shared" si="65"/>
        <v>1.8362736000000608</v>
      </c>
      <c r="J132" s="93">
        <f t="shared" si="65"/>
        <v>-1.9731508027959308</v>
      </c>
      <c r="K132" s="93">
        <f t="shared" si="65"/>
        <v>-8.131005836134328</v>
      </c>
      <c r="L132" s="93">
        <f t="shared" si="65"/>
        <v>21.001686472510698</v>
      </c>
      <c r="M132" s="94"/>
      <c r="N132" s="69"/>
      <c r="O132" s="79" t="s">
        <v>65</v>
      </c>
      <c r="P132" s="91">
        <f>COS($C$100*P127)-P113</f>
        <v>0.49135947768783267</v>
      </c>
      <c r="Q132" s="92">
        <f>COS($C$100*Q127)-Q113</f>
        <v>0.48386931773268677</v>
      </c>
      <c r="R132" s="93">
        <f t="shared" ref="R132:Y132" si="66">R112*(COS($C$100*R127)-R113)</f>
        <v>0.30698867297872151</v>
      </c>
      <c r="S132" s="93">
        <f t="shared" si="66"/>
        <v>0.67600402836911599</v>
      </c>
      <c r="T132" s="93">
        <f t="shared" si="66"/>
        <v>56.305729122696135</v>
      </c>
      <c r="U132" s="93">
        <f t="shared" si="66"/>
        <v>-1.5638873472035997</v>
      </c>
      <c r="V132" s="93">
        <f t="shared" si="66"/>
        <v>1.8292246533758125</v>
      </c>
      <c r="W132" s="93">
        <f t="shared" si="66"/>
        <v>-1.9676828698805791</v>
      </c>
      <c r="X132" s="93">
        <f t="shared" si="66"/>
        <v>-8.1274329697056498</v>
      </c>
      <c r="Y132" s="93">
        <f t="shared" si="66"/>
        <v>21.003923242677111</v>
      </c>
      <c r="Z132" s="94"/>
      <c r="AB132" s="79" t="s">
        <v>65</v>
      </c>
      <c r="AC132" s="91">
        <f>COS($C$100*AC127)-AC113</f>
        <v>0.47634244999667563</v>
      </c>
      <c r="AD132" s="92">
        <f>COS($C$100*AD127)-AD113</f>
        <v>0.4687794592267126</v>
      </c>
      <c r="AE132" s="93">
        <f t="shared" ref="AE132:AL132" si="67">AE112*(COS($C$100*AE127)-AE113)</f>
        <v>0.30720454976395212</v>
      </c>
      <c r="AF132" s="93">
        <f t="shared" si="67"/>
        <v>0.66886598964648025</v>
      </c>
      <c r="AG132" s="93">
        <f t="shared" si="67"/>
        <v>52.478247862285841</v>
      </c>
      <c r="AH132" s="93">
        <f t="shared" si="67"/>
        <v>-1.5684508784959594</v>
      </c>
      <c r="AI132" s="93">
        <f t="shared" si="67"/>
        <v>1.8221716270399255</v>
      </c>
      <c r="AJ132" s="93">
        <f t="shared" si="67"/>
        <v>-1.9622142830092575</v>
      </c>
      <c r="AK132" s="93">
        <f t="shared" si="67"/>
        <v>-8.1238597805012773</v>
      </c>
      <c r="AL132" s="93">
        <f t="shared" si="67"/>
        <v>21.006159778639368</v>
      </c>
      <c r="AM132" s="94"/>
    </row>
    <row r="133" spans="2:39" ht="16" customHeight="1">
      <c r="B133" s="84" t="s">
        <v>64</v>
      </c>
      <c r="C133" s="80">
        <f>SQRT(1-C113*C113)*SIN($C$100*C127)</f>
        <v>0.85225938272636825</v>
      </c>
      <c r="D133" s="81">
        <f>SQRT(1-D113*D113)*SIN($C$100*D127)</f>
        <v>0.85676362885582003</v>
      </c>
      <c r="E133" s="82">
        <f t="shared" ref="E133:L133" si="68">E112*(SQRT(1-E113*E113)*SIN($C$100*E127))</f>
        <v>-5.3221786274052545E-2</v>
      </c>
      <c r="F133" s="82">
        <f t="shared" si="68"/>
        <v>0.22484726670901894</v>
      </c>
      <c r="G133" s="82">
        <f t="shared" si="68"/>
        <v>-5.6469198655090533</v>
      </c>
      <c r="H133" s="82">
        <f t="shared" si="68"/>
        <v>0.55800723138482167</v>
      </c>
      <c r="I133" s="82">
        <f t="shared" si="68"/>
        <v>4.7592068588983389</v>
      </c>
      <c r="J133" s="82">
        <f t="shared" si="68"/>
        <v>-9.4305819400315922</v>
      </c>
      <c r="K133" s="82">
        <f t="shared" si="68"/>
        <v>-17.75007989552546</v>
      </c>
      <c r="L133" s="82">
        <f t="shared" si="68"/>
        <v>-21.24747268012765</v>
      </c>
      <c r="M133" s="83"/>
      <c r="N133" s="69"/>
      <c r="O133" s="84" t="s">
        <v>64</v>
      </c>
      <c r="P133" s="80">
        <f>SQRT(1-P113*P113)*SIN($C$100*P127)</f>
        <v>0.86120282930662828</v>
      </c>
      <c r="Q133" s="81">
        <f>SQRT(1-Q113*Q113)*SIN($C$100*Q127)</f>
        <v>0.86557667166991747</v>
      </c>
      <c r="R133" s="82">
        <f t="shared" ref="R133:Y133" si="69">R112*(SQRT(1-R113*R113)*SIN($C$100*R127))</f>
        <v>-1.9371573927653277E-2</v>
      </c>
      <c r="S133" s="82">
        <f t="shared" si="69"/>
        <v>0.24410298696814156</v>
      </c>
      <c r="T133" s="82">
        <f t="shared" si="69"/>
        <v>8.8292037621176522</v>
      </c>
      <c r="U133" s="82">
        <f t="shared" si="69"/>
        <v>0.54611865333185172</v>
      </c>
      <c r="V133" s="82">
        <f t="shared" si="69"/>
        <v>4.7622871148116461</v>
      </c>
      <c r="W133" s="82">
        <f t="shared" si="69"/>
        <v>-9.4314145533560847</v>
      </c>
      <c r="X133" s="82">
        <f t="shared" si="69"/>
        <v>-17.751529956920059</v>
      </c>
      <c r="Y133" s="82">
        <f t="shared" si="69"/>
        <v>-21.245234402056941</v>
      </c>
      <c r="Z133" s="83"/>
      <c r="AB133" s="84" t="s">
        <v>64</v>
      </c>
      <c r="AC133" s="80">
        <f>SQRT(1-AC113*AC113)*SIN($C$100*AC127)</f>
        <v>0.86988484886012629</v>
      </c>
      <c r="AD133" s="81">
        <f>SQRT(1-AD113*AD113)*SIN($C$100*AD127)</f>
        <v>0.87412705913223276</v>
      </c>
      <c r="AE133" s="82">
        <f t="shared" ref="AE133:AL133" si="70">AE112*(SQRT(1-AE113*AE113)*SIN($C$100*AE127))</f>
        <v>1.4675120521013356E-2</v>
      </c>
      <c r="AF133" s="82">
        <f t="shared" si="70"/>
        <v>0.26316416602467918</v>
      </c>
      <c r="AG133" s="82">
        <f t="shared" si="70"/>
        <v>22.766635304089849</v>
      </c>
      <c r="AH133" s="82">
        <f t="shared" si="70"/>
        <v>0.5341945242464613</v>
      </c>
      <c r="AI133" s="82">
        <f t="shared" si="70"/>
        <v>4.7653567494955373</v>
      </c>
      <c r="AJ133" s="82">
        <f t="shared" si="70"/>
        <v>-9.4322440322437284</v>
      </c>
      <c r="AK133" s="82">
        <f t="shared" si="70"/>
        <v>-17.752979313257288</v>
      </c>
      <c r="AL133" s="82">
        <f t="shared" si="70"/>
        <v>-21.242995887067636</v>
      </c>
      <c r="AM133" s="83"/>
    </row>
    <row r="134" spans="2:39" ht="16" customHeight="1">
      <c r="B134" s="84" t="s">
        <v>63</v>
      </c>
      <c r="C134" s="80">
        <f>(1/$C$100)*ATAN2(C132,C133)</f>
        <v>59.290420000140053</v>
      </c>
      <c r="D134" s="81">
        <f>(1/$C$100)*ATAN2(D132,D133)</f>
        <v>59.791807918006363</v>
      </c>
      <c r="E134" s="82">
        <f>(1/$C$100)*ATAN2(E132,E133)</f>
        <v>-9.9412608249244734</v>
      </c>
      <c r="F134" s="82">
        <f>(1/$C$100)*ATAN2(F132,F133)</f>
        <v>18.23171146573176</v>
      </c>
      <c r="G134" s="82">
        <f t="shared" ref="G134:L134" si="71">(1/$C$100)*ATAN2(G132,G133)</f>
        <v>-5.6882956261434492</v>
      </c>
      <c r="H134" s="82">
        <f t="shared" si="71"/>
        <v>160.308959890746</v>
      </c>
      <c r="I134" s="82">
        <f t="shared" si="71"/>
        <v>68.901587429028993</v>
      </c>
      <c r="J134" s="82">
        <f t="shared" si="71"/>
        <v>-101.81746087758066</v>
      </c>
      <c r="K134" s="82">
        <f t="shared" si="71"/>
        <v>-114.61169988172617</v>
      </c>
      <c r="L134" s="82">
        <f t="shared" si="71"/>
        <v>-45.33331677543778</v>
      </c>
      <c r="M134" s="83"/>
      <c r="N134" s="69"/>
      <c r="O134" s="84" t="s">
        <v>63</v>
      </c>
      <c r="P134" s="80">
        <f>(1/$C$100)*ATAN2(P132,P133)</f>
        <v>60.293070289830595</v>
      </c>
      <c r="Q134" s="81">
        <f>(1/$C$100)*ATAN2(Q132,Q133)</f>
        <v>60.794206528475037</v>
      </c>
      <c r="R134" s="82">
        <f>(1/$C$100)*ATAN2(R132,R133)</f>
        <v>-3.6106862262237787</v>
      </c>
      <c r="S134" s="82">
        <f>(1/$C$100)*ATAN2(S132,S133)</f>
        <v>19.854496153050864</v>
      </c>
      <c r="T134" s="82">
        <f t="shared" ref="T134:Y134" si="72">(1/$C$100)*ATAN2(T132,T133)</f>
        <v>8.9118804827764588</v>
      </c>
      <c r="U134" s="82">
        <f t="shared" si="72"/>
        <v>160.75049821848683</v>
      </c>
      <c r="V134" s="82">
        <f t="shared" si="72"/>
        <v>68.987901109119534</v>
      </c>
      <c r="W134" s="82">
        <f t="shared" si="72"/>
        <v>-101.7846185408733</v>
      </c>
      <c r="X134" s="82">
        <f t="shared" si="72"/>
        <v>-114.60039493763436</v>
      </c>
      <c r="Y134" s="82">
        <f t="shared" si="72"/>
        <v>-45.327248196357758</v>
      </c>
      <c r="Z134" s="83"/>
      <c r="AB134" s="84" t="s">
        <v>63</v>
      </c>
      <c r="AC134" s="80">
        <f>(1/$C$100)*ATAN2(AC132,AC133)</f>
        <v>61.295216057300983</v>
      </c>
      <c r="AD134" s="81">
        <f>(1/$C$100)*ATAN2(AD132,AD133)</f>
        <v>61.796098310197898</v>
      </c>
      <c r="AE134" s="82">
        <f>(1/$C$100)*ATAN2(AE132,AE133)</f>
        <v>2.7349327024585035</v>
      </c>
      <c r="AF134" s="82">
        <f>(1/$C$100)*ATAN2(AF132,AF133)</f>
        <v>21.477071125510161</v>
      </c>
      <c r="AG134" s="82">
        <f t="shared" ref="AG134:AL134" si="73">(1/$C$100)*ATAN2(AG132,AG133)</f>
        <v>23.452643845887465</v>
      </c>
      <c r="AH134" s="82">
        <f t="shared" si="73"/>
        <v>161.19180677255838</v>
      </c>
      <c r="AI134" s="82">
        <f t="shared" si="73"/>
        <v>69.074203209485901</v>
      </c>
      <c r="AJ134" s="82">
        <f t="shared" si="73"/>
        <v>-101.75177413640797</v>
      </c>
      <c r="AK134" s="82">
        <f t="shared" si="73"/>
        <v>-114.5890897975811</v>
      </c>
      <c r="AL134" s="82">
        <f t="shared" si="73"/>
        <v>-45.321179609402478</v>
      </c>
      <c r="AM134" s="83"/>
    </row>
    <row r="135" spans="2:39" ht="16" customHeight="1">
      <c r="B135" s="84" t="s">
        <v>2</v>
      </c>
      <c r="C135" s="80">
        <f t="shared" ref="C135:L135" si="74">SQRT(C132*C132+C133*C133)</f>
        <v>0.99126796714523679</v>
      </c>
      <c r="D135" s="81">
        <f t="shared" si="74"/>
        <v>0.99139178621645496</v>
      </c>
      <c r="E135" s="82">
        <f t="shared" si="74"/>
        <v>0.30828462747131358</v>
      </c>
      <c r="F135" s="82">
        <f t="shared" si="74"/>
        <v>0.71868183439724709</v>
      </c>
      <c r="G135" s="82">
        <f t="shared" si="74"/>
        <v>56.972563870882333</v>
      </c>
      <c r="H135" s="82">
        <f t="shared" si="74"/>
        <v>1.6560632080011706</v>
      </c>
      <c r="I135" s="82">
        <f t="shared" si="74"/>
        <v>5.1011714987679229</v>
      </c>
      <c r="J135" s="82">
        <f t="shared" si="74"/>
        <v>9.6347911144053491</v>
      </c>
      <c r="K135" s="82">
        <f t="shared" si="74"/>
        <v>19.523795537876019</v>
      </c>
      <c r="L135" s="82">
        <f t="shared" si="74"/>
        <v>29.875172467827021</v>
      </c>
      <c r="M135" s="83">
        <f>40.72+6.68*SIN($C$100*M117)+6.9*COS($C$100*M117)-1.18*SIN($C$100*2*M117)-0.03*COS($C$100*2*M117)+0.15*SIN($C$100*3*M117)-0.14*COS($C$100*3*M117)</f>
        <v>35.159546810995991</v>
      </c>
      <c r="N135" s="69"/>
      <c r="O135" s="84" t="s">
        <v>2</v>
      </c>
      <c r="P135" s="80">
        <f t="shared" ref="P135:Y135" si="75">SQRT(P132*P132+P133*P133)</f>
        <v>0.991516237647877</v>
      </c>
      <c r="Q135" s="81">
        <f t="shared" si="75"/>
        <v>0.99164131175655845</v>
      </c>
      <c r="R135" s="82">
        <f t="shared" si="75"/>
        <v>0.30759925749856898</v>
      </c>
      <c r="S135" s="82">
        <f t="shared" si="75"/>
        <v>0.71872645326162954</v>
      </c>
      <c r="T135" s="82">
        <f t="shared" si="75"/>
        <v>56.993771336097986</v>
      </c>
      <c r="U135" s="82">
        <f t="shared" si="75"/>
        <v>1.6564990848957653</v>
      </c>
      <c r="V135" s="82">
        <f t="shared" si="75"/>
        <v>5.1015136377764287</v>
      </c>
      <c r="W135" s="82">
        <f t="shared" si="75"/>
        <v>9.6344878615149252</v>
      </c>
      <c r="X135" s="82">
        <f t="shared" si="75"/>
        <v>19.523626263798654</v>
      </c>
      <c r="Y135" s="82">
        <f t="shared" si="75"/>
        <v>29.875153160822716</v>
      </c>
      <c r="Z135" s="83">
        <f>40.72+6.68*SIN($C$100*Z117)+6.9*COS($C$100*Z117)-1.18*SIN($C$100*2*Z117)-0.03*COS($C$100*2*Z117)+0.15*SIN($C$100*3*Z117)-0.14*COS($C$100*3*Z117)</f>
        <v>35.160245393423871</v>
      </c>
      <c r="AB135" s="84" t="s">
        <v>2</v>
      </c>
      <c r="AC135" s="80">
        <f t="shared" ref="AC135:AL135" si="76">SQRT(AC132*AC132+AC133*AC133)</f>
        <v>0.99176699881839192</v>
      </c>
      <c r="AD135" s="81">
        <f t="shared" si="76"/>
        <v>0.9918932890689679</v>
      </c>
      <c r="AE135" s="82">
        <f t="shared" si="76"/>
        <v>0.30755486430550694</v>
      </c>
      <c r="AF135" s="82">
        <f t="shared" si="76"/>
        <v>0.71877471462568177</v>
      </c>
      <c r="AG135" s="82">
        <f t="shared" si="76"/>
        <v>57.203900057294511</v>
      </c>
      <c r="AH135" s="82">
        <f t="shared" si="76"/>
        <v>1.6569254503415807</v>
      </c>
      <c r="AI135" s="82">
        <f t="shared" si="76"/>
        <v>5.101855974873458</v>
      </c>
      <c r="AJ135" s="82">
        <f t="shared" si="76"/>
        <v>9.6341845724608657</v>
      </c>
      <c r="AK135" s="82">
        <f t="shared" si="76"/>
        <v>19.523456974372841</v>
      </c>
      <c r="AL135" s="82">
        <f t="shared" si="76"/>
        <v>29.875133855828977</v>
      </c>
      <c r="AM135" s="83">
        <f>40.72+6.68*SIN($C$100*AM117)+6.9*COS($C$100*AM117)-1.18*SIN($C$100*2*AM117)-0.03*COS($C$100*2*AM117)+0.15*SIN($C$100*3*AM117)-0.14*COS($C$100*3*AM117)</f>
        <v>35.160943991859881</v>
      </c>
    </row>
    <row r="136" spans="2:39" ht="16" customHeight="1">
      <c r="B136" s="84" t="s">
        <v>47</v>
      </c>
      <c r="C136" s="80">
        <f t="shared" ref="C136:L136" si="77">C135*(COS($C$100*C109)*COS($C$100*(C134+C111)) - SIN($C$100*C109)*SIN($C$100*(C134+C111))*COS($C$100*C110))</f>
        <v>0.94623735220924388</v>
      </c>
      <c r="D136" s="81">
        <f t="shared" si="77"/>
        <v>0.94890451782073026</v>
      </c>
      <c r="E136" s="82">
        <f t="shared" si="77"/>
        <v>0.11652520483059102</v>
      </c>
      <c r="F136" s="82">
        <f t="shared" si="77"/>
        <v>-0.62219994639593501</v>
      </c>
      <c r="G136" s="82">
        <f t="shared" si="77"/>
        <v>52.916909714772309</v>
      </c>
      <c r="H136" s="82">
        <f t="shared" si="77"/>
        <v>-1.207181104476633</v>
      </c>
      <c r="I136" s="82">
        <f t="shared" si="77"/>
        <v>0.5647676371900201</v>
      </c>
      <c r="J136" s="82">
        <f t="shared" si="77"/>
        <v>9.5276502428892975</v>
      </c>
      <c r="K136" s="82">
        <f t="shared" si="77"/>
        <v>10.786882777555061</v>
      </c>
      <c r="L136" s="82">
        <f t="shared" si="77"/>
        <v>29.866326904090194</v>
      </c>
      <c r="M136" s="83"/>
      <c r="N136" s="69"/>
      <c r="O136" s="84" t="s">
        <v>47</v>
      </c>
      <c r="P136" s="80">
        <f t="shared" ref="P136:Y136" si="78">P135*(COS($C$100*P109)*COS($C$100*(P134+P111)) - SIN($C$100*P109)*SIN($C$100*(P134+P111))*COS($C$100*P110))</f>
        <v>0.95149963559302519</v>
      </c>
      <c r="Q136" s="81">
        <f t="shared" si="78"/>
        <v>0.95402253568372741</v>
      </c>
      <c r="R136" s="82">
        <f t="shared" si="78"/>
        <v>8.4309636668530724E-2</v>
      </c>
      <c r="S136" s="82">
        <f t="shared" si="78"/>
        <v>-0.63210787925948353</v>
      </c>
      <c r="T136" s="82">
        <f t="shared" si="78"/>
        <v>45.837962309533012</v>
      </c>
      <c r="U136" s="82">
        <f t="shared" si="78"/>
        <v>-1.2161970958178656</v>
      </c>
      <c r="V136" s="82">
        <f t="shared" si="78"/>
        <v>0.55716492922275118</v>
      </c>
      <c r="W136" s="82">
        <f t="shared" si="78"/>
        <v>9.5281416025622114</v>
      </c>
      <c r="X136" s="82">
        <f t="shared" si="78"/>
        <v>10.783565940346618</v>
      </c>
      <c r="Y136" s="82">
        <f t="shared" si="78"/>
        <v>29.866333554936087</v>
      </c>
      <c r="Z136" s="83"/>
      <c r="AB136" s="84" t="s">
        <v>47</v>
      </c>
      <c r="AC136" s="80">
        <f t="shared" ref="AC136:AL136" si="79">AC135*(COS($C$100*AC109)*COS($C$100*(AC134+AC111)) - SIN($C$100*AC109)*SIN($C$100*(AC134+AC111))*COS($C$100*AC110))</f>
        <v>0.95647305400061167</v>
      </c>
      <c r="AD136" s="81">
        <f t="shared" si="79"/>
        <v>0.95885103220649781</v>
      </c>
      <c r="AE136" s="82">
        <f t="shared" si="79"/>
        <v>5.1238224755623937E-2</v>
      </c>
      <c r="AF136" s="82">
        <f t="shared" si="79"/>
        <v>-0.64151202014708419</v>
      </c>
      <c r="AG136" s="82">
        <f t="shared" si="79"/>
        <v>35.911708606223613</v>
      </c>
      <c r="AH136" s="82">
        <f t="shared" si="79"/>
        <v>-1.2251338997619494</v>
      </c>
      <c r="AI136" s="82">
        <f t="shared" si="79"/>
        <v>0.54956097677385896</v>
      </c>
      <c r="AJ136" s="82">
        <f t="shared" si="79"/>
        <v>9.5286297853281621</v>
      </c>
      <c r="AK136" s="82">
        <f t="shared" si="79"/>
        <v>10.780248671770151</v>
      </c>
      <c r="AL136" s="82">
        <f t="shared" si="79"/>
        <v>29.866339870069442</v>
      </c>
      <c r="AM136" s="83"/>
    </row>
    <row r="137" spans="2:39" ht="16" customHeight="1">
      <c r="B137" s="84" t="s">
        <v>46</v>
      </c>
      <c r="C137" s="80">
        <f t="shared" ref="C137:L137" si="80">C135*(SIN($C$100*C109)*COS($C$100*(C134+C111))+COS($C$100*C109)*SIN($C$100*(C134+C111))*COS($C$100*C110))</f>
        <v>-0.29537612627341719</v>
      </c>
      <c r="D137" s="81">
        <f t="shared" si="80"/>
        <v>-0.287119992053602</v>
      </c>
      <c r="E137" s="82">
        <f t="shared" si="80"/>
        <v>0.28514423258410987</v>
      </c>
      <c r="F137" s="82">
        <f t="shared" si="80"/>
        <v>0.35736544045812363</v>
      </c>
      <c r="G137" s="82">
        <f t="shared" si="80"/>
        <v>21.012628450120289</v>
      </c>
      <c r="H137" s="82">
        <f t="shared" si="80"/>
        <v>1.1324353051016569</v>
      </c>
      <c r="I137" s="82">
        <f t="shared" si="80"/>
        <v>5.0696973644142229</v>
      </c>
      <c r="J137" s="82">
        <f t="shared" si="80"/>
        <v>-1.3884250934728559</v>
      </c>
      <c r="K137" s="82">
        <f t="shared" si="80"/>
        <v>16.273148212294821</v>
      </c>
      <c r="L137" s="82">
        <f t="shared" si="80"/>
        <v>-0.25970344205120593</v>
      </c>
      <c r="M137" s="83"/>
      <c r="N137" s="69"/>
      <c r="O137" s="84" t="s">
        <v>46</v>
      </c>
      <c r="P137" s="80">
        <f t="shared" ref="P137:Y137" si="81">P135*(SIN($C$100*P109)*COS($C$100*(P134+P111))+COS($C$100*P109)*SIN($C$100*(P134+P111))*COS($C$100*P110))</f>
        <v>-0.27884205741914458</v>
      </c>
      <c r="Q137" s="81">
        <f t="shared" si="81"/>
        <v>-0.27054295886209823</v>
      </c>
      <c r="R137" s="82">
        <f t="shared" si="81"/>
        <v>0.29537487065517537</v>
      </c>
      <c r="S137" s="82">
        <f t="shared" si="81"/>
        <v>0.33958695358071272</v>
      </c>
      <c r="T137" s="82">
        <f t="shared" si="81"/>
        <v>33.721826298898456</v>
      </c>
      <c r="U137" s="82">
        <f t="shared" si="81"/>
        <v>1.1233881164306319</v>
      </c>
      <c r="V137" s="82">
        <f t="shared" si="81"/>
        <v>5.0708838483447209</v>
      </c>
      <c r="W137" s="82">
        <f t="shared" si="81"/>
        <v>-1.3829081874435374</v>
      </c>
      <c r="X137" s="82">
        <f t="shared" si="81"/>
        <v>16.275143524623349</v>
      </c>
      <c r="Y137" s="82">
        <f t="shared" si="81"/>
        <v>-0.2565272023871415</v>
      </c>
      <c r="Z137" s="83"/>
      <c r="AB137" s="84" t="s">
        <v>46</v>
      </c>
      <c r="AC137" s="80">
        <f t="shared" ref="AC137:AL137" si="82">AC135*(SIN($C$100*AC109)*COS($C$100*(AC134+AC111))+COS($C$100*AC109)*SIN($C$100*(AC134+AC111))*COS($C$100*AC110))</f>
        <v>-0.26222333404177289</v>
      </c>
      <c r="AD137" s="81">
        <f t="shared" si="82"/>
        <v>-0.25388382173070573</v>
      </c>
      <c r="AE137" s="82">
        <f t="shared" si="82"/>
        <v>0.30260635468919084</v>
      </c>
      <c r="AF137" s="82">
        <f t="shared" si="82"/>
        <v>0.32153781423752004</v>
      </c>
      <c r="AG137" s="82">
        <f t="shared" si="82"/>
        <v>44.338157408643099</v>
      </c>
      <c r="AH137" s="82">
        <f t="shared" si="82"/>
        <v>1.114267782119748</v>
      </c>
      <c r="AI137" s="82">
        <f t="shared" si="82"/>
        <v>5.0720590110692081</v>
      </c>
      <c r="AJ137" s="82">
        <f t="shared" si="82"/>
        <v>-1.3773908208815988</v>
      </c>
      <c r="AK137" s="82">
        <f t="shared" si="82"/>
        <v>16.277138185380995</v>
      </c>
      <c r="AL137" s="82">
        <f t="shared" si="82"/>
        <v>-0.25335095984033928</v>
      </c>
      <c r="AM137" s="83"/>
    </row>
    <row r="138" spans="2:39" ht="16" customHeight="1">
      <c r="B138" s="84" t="s">
        <v>45</v>
      </c>
      <c r="C138" s="80">
        <f t="shared" ref="C138:L138" si="83">C135*(SIN($C$100*(C134+C111))*SIN($C$100*C110))</f>
        <v>0</v>
      </c>
      <c r="D138" s="81">
        <f t="shared" si="83"/>
        <v>0</v>
      </c>
      <c r="E138" s="82">
        <f t="shared" si="83"/>
        <v>1.2411881337430595E-2</v>
      </c>
      <c r="F138" s="82">
        <f t="shared" si="83"/>
        <v>4.0752273110330355E-2</v>
      </c>
      <c r="G138" s="82">
        <f t="shared" si="83"/>
        <v>2.0354719053818005</v>
      </c>
      <c r="H138" s="82">
        <f t="shared" si="83"/>
        <v>5.3379861830303701E-2</v>
      </c>
      <c r="I138" s="82">
        <f t="shared" si="83"/>
        <v>-3.4011896102174796E-2</v>
      </c>
      <c r="J138" s="82">
        <f t="shared" si="83"/>
        <v>-0.35405709597558843</v>
      </c>
      <c r="K138" s="82">
        <f t="shared" si="83"/>
        <v>-7.9996304661146281E-2</v>
      </c>
      <c r="L138" s="82">
        <f t="shared" si="83"/>
        <v>-0.67897081131275183</v>
      </c>
      <c r="M138" s="83"/>
      <c r="N138" s="69"/>
      <c r="O138" s="84" t="s">
        <v>45</v>
      </c>
      <c r="P138" s="80">
        <f t="shared" ref="P138:Y138" si="84">P135*(SIN($C$100*(P134+P111))*SIN($C$100*P110))</f>
        <v>0</v>
      </c>
      <c r="Q138" s="81">
        <f t="shared" si="84"/>
        <v>0</v>
      </c>
      <c r="R138" s="82">
        <f t="shared" si="84"/>
        <v>1.6213394583791126E-2</v>
      </c>
      <c r="S138" s="82">
        <f t="shared" si="84"/>
        <v>4.1085819377132848E-2</v>
      </c>
      <c r="T138" s="82">
        <f t="shared" si="84"/>
        <v>3.1637973209697736</v>
      </c>
      <c r="U138" s="82">
        <f t="shared" si="84"/>
        <v>5.341331526065126E-2</v>
      </c>
      <c r="V138" s="82">
        <f t="shared" si="84"/>
        <v>-3.3847225288603351E-2</v>
      </c>
      <c r="W138" s="82">
        <f t="shared" si="84"/>
        <v>-0.35417354545938912</v>
      </c>
      <c r="X138" s="82">
        <f t="shared" si="84"/>
        <v>-7.9945929200262014E-2</v>
      </c>
      <c r="Y138" s="82">
        <f t="shared" si="84"/>
        <v>-0.67903620105974227</v>
      </c>
      <c r="Z138" s="83"/>
      <c r="AB138" s="84" t="s">
        <v>45</v>
      </c>
      <c r="AC138" s="80">
        <f t="shared" ref="AC138:AL138" si="85">AC135*(SIN($C$100*(AC134+AC111))*SIN($C$100*AC110))</f>
        <v>0</v>
      </c>
      <c r="AD138" s="81">
        <f t="shared" si="85"/>
        <v>0</v>
      </c>
      <c r="AE138" s="82">
        <f t="shared" si="85"/>
        <v>1.9850264068536048E-2</v>
      </c>
      <c r="AF138" s="82">
        <f t="shared" si="85"/>
        <v>4.1386621115952107E-2</v>
      </c>
      <c r="AG138" s="82">
        <f t="shared" si="85"/>
        <v>4.0942843517532834</v>
      </c>
      <c r="AH138" s="82">
        <f t="shared" si="85"/>
        <v>5.3443291194173091E-2</v>
      </c>
      <c r="AI138" s="82">
        <f t="shared" si="85"/>
        <v>-3.368247899143894E-2</v>
      </c>
      <c r="AJ138" s="82">
        <f t="shared" si="85"/>
        <v>-0.35428987700895359</v>
      </c>
      <c r="AK138" s="82">
        <f t="shared" si="85"/>
        <v>-7.9895550547482291E-2</v>
      </c>
      <c r="AL138" s="82">
        <f t="shared" si="85"/>
        <v>-0.67910158323142833</v>
      </c>
      <c r="AM138" s="83"/>
    </row>
    <row r="139" spans="2:39" ht="16" customHeight="1">
      <c r="B139" s="84" t="s">
        <v>62</v>
      </c>
      <c r="C139" s="80"/>
      <c r="D139" s="81"/>
      <c r="E139" s="82">
        <f>MOD((1/$C$100)*ATAN2(E136,E137)+360,360)</f>
        <v>67.772445626498723</v>
      </c>
      <c r="F139" s="82">
        <f>MOD((1/$C$100)*ATAN2(F136,F137)+360,360)</f>
        <v>150.12875518740509</v>
      </c>
      <c r="G139" s="82">
        <f t="shared" ref="G139:L139" si="86">MOD((1/$C$100)*ATAN2(G136,G137)+360,360)</f>
        <v>21.657394337650658</v>
      </c>
      <c r="H139" s="82">
        <f t="shared" si="86"/>
        <v>136.82985666856337</v>
      </c>
      <c r="I139" s="82">
        <f t="shared" si="86"/>
        <v>83.643421108713596</v>
      </c>
      <c r="J139" s="82">
        <f t="shared" si="86"/>
        <v>351.70888425805555</v>
      </c>
      <c r="K139" s="82">
        <f t="shared" si="86"/>
        <v>56.461038347043825</v>
      </c>
      <c r="L139" s="82">
        <f t="shared" si="86"/>
        <v>359.5017955778373</v>
      </c>
      <c r="M139" s="83"/>
      <c r="N139" s="69"/>
      <c r="O139" s="84" t="s">
        <v>62</v>
      </c>
      <c r="P139" s="80"/>
      <c r="Q139" s="81"/>
      <c r="R139" s="82">
        <f>MOD((1/$C$100)*ATAN2(R136,R137)+360,360)</f>
        <v>74.069523070569858</v>
      </c>
      <c r="S139" s="82">
        <f>MOD((1/$C$100)*ATAN2(S136,S137)+360,360)</f>
        <v>151.75399954407089</v>
      </c>
      <c r="T139" s="82">
        <f t="shared" ref="T139:Y139" si="87">MOD((1/$C$100)*ATAN2(T136,T137)+360,360)</f>
        <v>36.340974596235924</v>
      </c>
      <c r="U139" s="82">
        <f t="shared" si="87"/>
        <v>137.27167453993377</v>
      </c>
      <c r="V139" s="82">
        <f t="shared" si="87"/>
        <v>83.729760467691392</v>
      </c>
      <c r="W139" s="82">
        <f t="shared" si="87"/>
        <v>351.74179370802921</v>
      </c>
      <c r="X139" s="82">
        <f t="shared" si="87"/>
        <v>56.472386991499832</v>
      </c>
      <c r="Y139" s="82">
        <f t="shared" si="87"/>
        <v>359.50788855368876</v>
      </c>
      <c r="Z139" s="83"/>
      <c r="AB139" s="84" t="s">
        <v>62</v>
      </c>
      <c r="AC139" s="80"/>
      <c r="AD139" s="81"/>
      <c r="AE139" s="82">
        <f>MOD((1/$C$100)*ATAN2(AE136,AE137)+360,360)</f>
        <v>80.389656967400697</v>
      </c>
      <c r="AF139" s="82">
        <f>MOD((1/$C$100)*ATAN2(AF136,AF137)+360,360)</f>
        <v>153.37911543177381</v>
      </c>
      <c r="AG139" s="82">
        <f t="shared" ref="AG139:AL139" si="88">MOD((1/$C$100)*ATAN2(AG136,AG137)+360,360)</f>
        <v>50.994243274558869</v>
      </c>
      <c r="AH139" s="82">
        <f t="shared" si="88"/>
        <v>137.71326282494249</v>
      </c>
      <c r="AI139" s="82">
        <f t="shared" si="88"/>
        <v>83.816088211946237</v>
      </c>
      <c r="AJ139" s="82">
        <f t="shared" si="88"/>
        <v>351.77470525865999</v>
      </c>
      <c r="AK139" s="82">
        <f t="shared" si="88"/>
        <v>56.483735831666365</v>
      </c>
      <c r="AL139" s="82">
        <f t="shared" si="88"/>
        <v>359.51398153802415</v>
      </c>
      <c r="AM139" s="83"/>
    </row>
    <row r="140" spans="2:39" ht="16" customHeight="1">
      <c r="B140" s="84" t="s">
        <v>61</v>
      </c>
      <c r="C140" s="80"/>
      <c r="D140" s="81"/>
      <c r="E140" s="82">
        <f>(1/$C$100)*ATAN2(SQRT(E136*E136+E137*E137),E138)</f>
        <v>2.3074153455594217</v>
      </c>
      <c r="F140" s="82">
        <f>(1/$C$100)*ATAN2(SQRT(F136*F136+F137*F137),F138)</f>
        <v>3.2506545097192392</v>
      </c>
      <c r="G140" s="82">
        <f t="shared" ref="G140:L140" si="89">(1/$C$100)*ATAN2(SQRT(G136*G136+G137*G137),G138)</f>
        <v>2.0474552365851428</v>
      </c>
      <c r="H140" s="82">
        <f t="shared" si="89"/>
        <v>1.8471339917434721</v>
      </c>
      <c r="I140" s="82">
        <f t="shared" si="89"/>
        <v>-0.38202058864667809</v>
      </c>
      <c r="J140" s="82">
        <f t="shared" si="89"/>
        <v>-2.1059663395504131</v>
      </c>
      <c r="K140" s="82">
        <f t="shared" si="89"/>
        <v>-0.23476293069101886</v>
      </c>
      <c r="L140" s="82">
        <f t="shared" si="89"/>
        <v>-1.3022690206802996</v>
      </c>
      <c r="M140" s="83"/>
      <c r="N140" s="69"/>
      <c r="O140" s="84" t="s">
        <v>61</v>
      </c>
      <c r="P140" s="80"/>
      <c r="Q140" s="81"/>
      <c r="R140" s="82">
        <f>(1/$C$100)*ATAN2(SQRT(R136*R136+R137*R137),R138)</f>
        <v>3.0214304813016395</v>
      </c>
      <c r="S140" s="82">
        <f>(1/$C$100)*ATAN2(SQRT(S136*S136+S137*S137),S138)</f>
        <v>3.2770854903187017</v>
      </c>
      <c r="T140" s="82">
        <f t="shared" ref="T140:Y140" si="90">(1/$C$100)*ATAN2(SQRT(T136*T136+T137*T137),T138)</f>
        <v>3.1821979363930795</v>
      </c>
      <c r="U140" s="82">
        <f t="shared" si="90"/>
        <v>1.8478054892450539</v>
      </c>
      <c r="V140" s="82">
        <f t="shared" si="90"/>
        <v>-0.38014548684965271</v>
      </c>
      <c r="W140" s="82">
        <f t="shared" si="90"/>
        <v>-2.106725643367561</v>
      </c>
      <c r="X140" s="82">
        <f t="shared" si="90"/>
        <v>-0.23461712857546288</v>
      </c>
      <c r="Y140" s="82">
        <f t="shared" si="90"/>
        <v>-1.3023953019345613</v>
      </c>
      <c r="Z140" s="83"/>
      <c r="AB140" s="84" t="s">
        <v>61</v>
      </c>
      <c r="AC140" s="80"/>
      <c r="AD140" s="81"/>
      <c r="AE140" s="82">
        <f>(1/$C$100)*ATAN2(SQRT(AE136*AE136+AE137*AE137),AE138)</f>
        <v>3.7005672869859056</v>
      </c>
      <c r="AF140" s="82">
        <f>(1/$C$100)*ATAN2(SQRT(AF136*AF136+AF137*AF137),AF138)</f>
        <v>3.3008826180425666</v>
      </c>
      <c r="AG140" s="82">
        <f t="shared" ref="AG140:AL140" si="91">(1/$C$100)*ATAN2(SQRT(AG136*AG136+AG137*AG137),AG138)</f>
        <v>4.1043698767534238</v>
      </c>
      <c r="AH140" s="82">
        <f t="shared" si="91"/>
        <v>1.8483669354552619</v>
      </c>
      <c r="AI140" s="82">
        <f t="shared" si="91"/>
        <v>-0.37826977453952976</v>
      </c>
      <c r="AJ140" s="82">
        <f t="shared" si="91"/>
        <v>-2.1074843014247913</v>
      </c>
      <c r="AK140" s="82">
        <f t="shared" si="91"/>
        <v>-0.23447131475008265</v>
      </c>
      <c r="AL140" s="82">
        <f t="shared" si="91"/>
        <v>-1.3025215687387073</v>
      </c>
      <c r="AM140" s="83"/>
    </row>
    <row r="141" spans="2:39" ht="16" customHeight="1">
      <c r="B141" s="85" t="s">
        <v>60</v>
      </c>
      <c r="C141" s="96">
        <f>23.4393-0.0000003563*$C$106</f>
        <v>23.4360241778</v>
      </c>
      <c r="D141" s="97">
        <f>23.4393-0.0000003563*$D$106</f>
        <v>23.436023999650001</v>
      </c>
      <c r="E141" s="98"/>
      <c r="F141" s="98"/>
      <c r="G141" s="98"/>
      <c r="H141" s="98"/>
      <c r="I141" s="98"/>
      <c r="J141" s="98"/>
      <c r="K141" s="98"/>
      <c r="L141" s="98"/>
      <c r="M141" s="99"/>
      <c r="N141" s="69"/>
      <c r="O141" s="85" t="s">
        <v>60</v>
      </c>
      <c r="P141" s="96">
        <f>23.4393-0.0000003563*$C$106</f>
        <v>23.4360241778</v>
      </c>
      <c r="Q141" s="97">
        <f>23.4393-0.0000003563*$D$106</f>
        <v>23.436023999650001</v>
      </c>
      <c r="R141" s="98"/>
      <c r="S141" s="98"/>
      <c r="T141" s="98"/>
      <c r="U141" s="98"/>
      <c r="V141" s="98"/>
      <c r="W141" s="98"/>
      <c r="X141" s="98"/>
      <c r="Y141" s="98"/>
      <c r="Z141" s="99"/>
      <c r="AB141" s="85" t="s">
        <v>60</v>
      </c>
      <c r="AC141" s="96">
        <f>23.4393-0.0000003563*$C$106</f>
        <v>23.4360241778</v>
      </c>
      <c r="AD141" s="97">
        <f>23.4393-0.0000003563*$D$106</f>
        <v>23.436023999650001</v>
      </c>
      <c r="AE141" s="98"/>
      <c r="AF141" s="98"/>
      <c r="AG141" s="98"/>
      <c r="AH141" s="98"/>
      <c r="AI141" s="98"/>
      <c r="AJ141" s="98"/>
      <c r="AK141" s="98"/>
      <c r="AL141" s="98"/>
      <c r="AM141" s="99"/>
    </row>
    <row r="142" spans="2:39" ht="16" customHeight="1">
      <c r="B142" s="69"/>
      <c r="C142" s="69"/>
      <c r="D142" s="69"/>
      <c r="E142" s="69"/>
      <c r="F142" s="69"/>
      <c r="G142" s="69"/>
      <c r="H142" s="69"/>
      <c r="I142" s="69"/>
      <c r="J142" s="100"/>
      <c r="K142" s="100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100"/>
      <c r="X142" s="100"/>
      <c r="Y142" s="69"/>
      <c r="Z142" s="69"/>
      <c r="AB142" s="69"/>
      <c r="AC142" s="69"/>
      <c r="AD142" s="69"/>
      <c r="AE142" s="69"/>
      <c r="AF142" s="69"/>
      <c r="AG142" s="69"/>
      <c r="AH142" s="69"/>
      <c r="AI142" s="69"/>
      <c r="AJ142" s="100"/>
      <c r="AK142" s="100"/>
      <c r="AL142" s="69"/>
      <c r="AM142" s="69"/>
    </row>
    <row r="143" spans="2:39" ht="16" customHeight="1">
      <c r="B143" s="71" t="s">
        <v>59</v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69"/>
      <c r="O143" s="71" t="s">
        <v>59</v>
      </c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B143" s="71" t="s">
        <v>59</v>
      </c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</row>
    <row r="144" spans="2:39" ht="16" customHeight="1">
      <c r="B144" s="71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69"/>
      <c r="O144" s="71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B144" s="71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</row>
    <row r="145" spans="2:39" ht="16" customHeight="1">
      <c r="B145" s="69"/>
      <c r="C145" s="90" t="s">
        <v>28</v>
      </c>
      <c r="D145" s="90" t="s">
        <v>29</v>
      </c>
      <c r="E145" s="90" t="s">
        <v>3</v>
      </c>
      <c r="F145" s="90" t="s">
        <v>6</v>
      </c>
      <c r="G145" s="90" t="s">
        <v>1</v>
      </c>
      <c r="H145" s="90" t="s">
        <v>4</v>
      </c>
      <c r="I145" s="90" t="s">
        <v>5</v>
      </c>
      <c r="J145" s="90" t="s">
        <v>7</v>
      </c>
      <c r="K145" s="90" t="s">
        <v>27</v>
      </c>
      <c r="L145" s="90" t="s">
        <v>26</v>
      </c>
      <c r="M145" s="90" t="s">
        <v>25</v>
      </c>
      <c r="N145" s="69"/>
      <c r="O145" s="69"/>
      <c r="P145" s="90" t="s">
        <v>28</v>
      </c>
      <c r="Q145" s="90" t="s">
        <v>29</v>
      </c>
      <c r="R145" s="90" t="s">
        <v>3</v>
      </c>
      <c r="S145" s="90" t="s">
        <v>6</v>
      </c>
      <c r="T145" s="90" t="s">
        <v>1</v>
      </c>
      <c r="U145" s="90" t="s">
        <v>4</v>
      </c>
      <c r="V145" s="90" t="s">
        <v>5</v>
      </c>
      <c r="W145" s="90" t="s">
        <v>7</v>
      </c>
      <c r="X145" s="90" t="s">
        <v>27</v>
      </c>
      <c r="Y145" s="90" t="s">
        <v>26</v>
      </c>
      <c r="Z145" s="90" t="s">
        <v>25</v>
      </c>
      <c r="AB145" s="69"/>
      <c r="AC145" s="90" t="s">
        <v>28</v>
      </c>
      <c r="AD145" s="90" t="s">
        <v>29</v>
      </c>
      <c r="AE145" s="90" t="s">
        <v>3</v>
      </c>
      <c r="AF145" s="90" t="s">
        <v>6</v>
      </c>
      <c r="AG145" s="90" t="s">
        <v>1</v>
      </c>
      <c r="AH145" s="90" t="s">
        <v>4</v>
      </c>
      <c r="AI145" s="90" t="s">
        <v>5</v>
      </c>
      <c r="AJ145" s="90" t="s">
        <v>7</v>
      </c>
      <c r="AK145" s="90" t="s">
        <v>27</v>
      </c>
      <c r="AL145" s="90" t="s">
        <v>26</v>
      </c>
      <c r="AM145" s="90" t="s">
        <v>25</v>
      </c>
    </row>
    <row r="146" spans="2:39" ht="16" customHeight="1">
      <c r="B146" s="79" t="s">
        <v>58</v>
      </c>
      <c r="C146" s="91">
        <f>C114</f>
        <v>57.655776649000472</v>
      </c>
      <c r="D146" s="92">
        <f>D114</f>
        <v>58.148576778250572</v>
      </c>
      <c r="E146" s="93"/>
      <c r="F146" s="93"/>
      <c r="G146" s="93">
        <f>C114</f>
        <v>57.655776649000472</v>
      </c>
      <c r="H146" s="93"/>
      <c r="I146" s="93"/>
      <c r="J146" s="93"/>
      <c r="K146" s="93"/>
      <c r="L146" s="93"/>
      <c r="M146" s="94"/>
      <c r="N146" s="69"/>
      <c r="O146" s="79" t="s">
        <v>58</v>
      </c>
      <c r="P146" s="91">
        <f>P114</f>
        <v>58.641376907500671</v>
      </c>
      <c r="Q146" s="92">
        <f>Q114</f>
        <v>59.134177036750771</v>
      </c>
      <c r="R146" s="93"/>
      <c r="S146" s="93"/>
      <c r="T146" s="93">
        <f>P114</f>
        <v>58.641376907500671</v>
      </c>
      <c r="U146" s="93"/>
      <c r="V146" s="93"/>
      <c r="W146" s="93"/>
      <c r="X146" s="93"/>
      <c r="Y146" s="93"/>
      <c r="Z146" s="94"/>
      <c r="AB146" s="79" t="s">
        <v>58</v>
      </c>
      <c r="AC146" s="91">
        <f>AC114</f>
        <v>59.62697716600087</v>
      </c>
      <c r="AD146" s="92">
        <f>AD114</f>
        <v>60.119777295250969</v>
      </c>
      <c r="AE146" s="93"/>
      <c r="AF146" s="93"/>
      <c r="AG146" s="93">
        <f>AC114</f>
        <v>59.62697716600087</v>
      </c>
      <c r="AH146" s="93"/>
      <c r="AI146" s="93"/>
      <c r="AJ146" s="93"/>
      <c r="AK146" s="93"/>
      <c r="AL146" s="93"/>
      <c r="AM146" s="94"/>
    </row>
    <row r="147" spans="2:39" ht="16" customHeight="1">
      <c r="B147" s="84" t="s">
        <v>57</v>
      </c>
      <c r="C147" s="80"/>
      <c r="D147" s="81"/>
      <c r="E147" s="82"/>
      <c r="F147" s="82"/>
      <c r="G147" s="82">
        <f>G114</f>
        <v>354.91059057459643</v>
      </c>
      <c r="H147" s="82"/>
      <c r="I147" s="82">
        <f>I114</f>
        <v>63.781249119399945</v>
      </c>
      <c r="J147" s="82">
        <f>J114</f>
        <v>264.45323407080002</v>
      </c>
      <c r="K147" s="82">
        <f>K114</f>
        <v>250.39756036400001</v>
      </c>
      <c r="L147" s="82"/>
      <c r="M147" s="83"/>
      <c r="N147" s="69"/>
      <c r="O147" s="84" t="s">
        <v>57</v>
      </c>
      <c r="P147" s="80"/>
      <c r="Q147" s="81"/>
      <c r="R147" s="82"/>
      <c r="S147" s="82"/>
      <c r="T147" s="82">
        <f>T114</f>
        <v>7.975583525505499</v>
      </c>
      <c r="U147" s="82"/>
      <c r="V147" s="82">
        <f>V114</f>
        <v>63.864334419499983</v>
      </c>
      <c r="W147" s="82">
        <f>W114</f>
        <v>264.486678299</v>
      </c>
      <c r="X147" s="82">
        <f>X114</f>
        <v>250.40928616999997</v>
      </c>
      <c r="Y147" s="82"/>
      <c r="Z147" s="83"/>
      <c r="AB147" s="84" t="s">
        <v>57</v>
      </c>
      <c r="AC147" s="80"/>
      <c r="AD147" s="81"/>
      <c r="AE147" s="82"/>
      <c r="AF147" s="82"/>
      <c r="AG147" s="82">
        <f>AG114</f>
        <v>21.04057647640002</v>
      </c>
      <c r="AH147" s="82"/>
      <c r="AI147" s="82">
        <f>AI114</f>
        <v>63.94741971960002</v>
      </c>
      <c r="AJ147" s="82">
        <f>AJ114</f>
        <v>264.52012252719999</v>
      </c>
      <c r="AK147" s="82">
        <f>AK114</f>
        <v>250.42101197600005</v>
      </c>
      <c r="AL147" s="82"/>
      <c r="AM147" s="83"/>
    </row>
    <row r="148" spans="2:39" ht="16" customHeight="1">
      <c r="B148" s="84" t="s">
        <v>56</v>
      </c>
      <c r="C148" s="80">
        <f>MOD(C109+C111+C114,360)</f>
        <v>341.02915428800048</v>
      </c>
      <c r="D148" s="81">
        <f>MOD(D109+D111+D114,360)</f>
        <v>341.5219779640006</v>
      </c>
      <c r="E148" s="82"/>
      <c r="F148" s="82"/>
      <c r="G148" s="82">
        <f>C115</f>
        <v>341.02915428800048</v>
      </c>
      <c r="H148" s="82"/>
      <c r="I148" s="82"/>
      <c r="J148" s="82"/>
      <c r="K148" s="82"/>
      <c r="L148" s="82"/>
      <c r="M148" s="83"/>
      <c r="N148" s="69"/>
      <c r="O148" s="84" t="s">
        <v>56</v>
      </c>
      <c r="P148" s="80">
        <f>MOD(P109+P111+P114,360)</f>
        <v>342.01480164000066</v>
      </c>
      <c r="Q148" s="81">
        <f>MOD(Q109+Q111+Q114,360)</f>
        <v>342.50762531600077</v>
      </c>
      <c r="R148" s="82"/>
      <c r="S148" s="82"/>
      <c r="T148" s="82">
        <f>P115</f>
        <v>342.01480164000066</v>
      </c>
      <c r="U148" s="82"/>
      <c r="V148" s="82"/>
      <c r="W148" s="82"/>
      <c r="X148" s="82"/>
      <c r="Y148" s="82"/>
      <c r="Z148" s="83"/>
      <c r="AB148" s="84" t="s">
        <v>56</v>
      </c>
      <c r="AC148" s="80">
        <f>MOD(AC109+AC111+AC114,360)</f>
        <v>343.00044899200088</v>
      </c>
      <c r="AD148" s="81">
        <f>MOD(AD109+AD111+AD114,360)</f>
        <v>343.493272668001</v>
      </c>
      <c r="AE148" s="82"/>
      <c r="AF148" s="82"/>
      <c r="AG148" s="82">
        <f>AC115</f>
        <v>343.00044899200088</v>
      </c>
      <c r="AH148" s="82"/>
      <c r="AI148" s="82"/>
      <c r="AJ148" s="82"/>
      <c r="AK148" s="82"/>
      <c r="AL148" s="82"/>
      <c r="AM148" s="83"/>
    </row>
    <row r="149" spans="2:39" ht="16" customHeight="1">
      <c r="B149" s="84" t="s">
        <v>55</v>
      </c>
      <c r="C149" s="80"/>
      <c r="D149" s="81"/>
      <c r="E149" s="82"/>
      <c r="F149" s="82"/>
      <c r="G149" s="82">
        <f>G109+G111+G114</f>
        <v>22.340698290596265</v>
      </c>
      <c r="H149" s="82"/>
      <c r="I149" s="82"/>
      <c r="J149" s="82"/>
      <c r="K149" s="82"/>
      <c r="L149" s="82"/>
      <c r="M149" s="83"/>
      <c r="N149" s="69"/>
      <c r="O149" s="84" t="s">
        <v>55</v>
      </c>
      <c r="P149" s="80"/>
      <c r="Q149" s="81"/>
      <c r="R149" s="82"/>
      <c r="S149" s="82"/>
      <c r="T149" s="82">
        <f>T109+T111+T114</f>
        <v>-324.48290524449465</v>
      </c>
      <c r="U149" s="82"/>
      <c r="V149" s="82"/>
      <c r="W149" s="82"/>
      <c r="X149" s="82"/>
      <c r="Y149" s="82"/>
      <c r="Z149" s="83"/>
      <c r="AB149" s="84" t="s">
        <v>55</v>
      </c>
      <c r="AC149" s="80"/>
      <c r="AD149" s="81"/>
      <c r="AE149" s="82"/>
      <c r="AF149" s="82"/>
      <c r="AG149" s="82">
        <f>AG109+AG111+AG114</f>
        <v>-311.30650877960011</v>
      </c>
      <c r="AH149" s="82"/>
      <c r="AI149" s="82"/>
      <c r="AJ149" s="82"/>
      <c r="AK149" s="82"/>
      <c r="AL149" s="82"/>
      <c r="AM149" s="83"/>
    </row>
    <row r="150" spans="2:39" ht="16" customHeight="1">
      <c r="B150" s="84" t="s">
        <v>13</v>
      </c>
      <c r="C150" s="80"/>
      <c r="D150" s="81"/>
      <c r="E150" s="82"/>
      <c r="F150" s="82"/>
      <c r="G150" s="82">
        <f>G149-C148</f>
        <v>-318.68845599740422</v>
      </c>
      <c r="H150" s="82"/>
      <c r="I150" s="82"/>
      <c r="J150" s="82"/>
      <c r="K150" s="82"/>
      <c r="L150" s="82"/>
      <c r="M150" s="83"/>
      <c r="N150" s="69"/>
      <c r="O150" s="84" t="s">
        <v>13</v>
      </c>
      <c r="P150" s="80"/>
      <c r="Q150" s="81"/>
      <c r="R150" s="82"/>
      <c r="S150" s="82"/>
      <c r="T150" s="82">
        <f>T149-P148</f>
        <v>-666.4977068844953</v>
      </c>
      <c r="U150" s="82"/>
      <c r="V150" s="82"/>
      <c r="W150" s="82"/>
      <c r="X150" s="82"/>
      <c r="Y150" s="82"/>
      <c r="Z150" s="83"/>
      <c r="AB150" s="84" t="s">
        <v>13</v>
      </c>
      <c r="AC150" s="80"/>
      <c r="AD150" s="81"/>
      <c r="AE150" s="82"/>
      <c r="AF150" s="82"/>
      <c r="AG150" s="82">
        <f>AG149-AC148</f>
        <v>-654.30695777160099</v>
      </c>
      <c r="AH150" s="82"/>
      <c r="AI150" s="82"/>
      <c r="AJ150" s="82"/>
      <c r="AK150" s="82"/>
      <c r="AL150" s="82"/>
      <c r="AM150" s="83"/>
    </row>
    <row r="151" spans="2:39" ht="16" customHeight="1">
      <c r="B151" s="84" t="s">
        <v>12</v>
      </c>
      <c r="C151" s="80"/>
      <c r="D151" s="81"/>
      <c r="E151" s="82"/>
      <c r="F151" s="82"/>
      <c r="G151" s="82">
        <f>G149-G109</f>
        <v>384.0752118007963</v>
      </c>
      <c r="H151" s="82"/>
      <c r="I151" s="82"/>
      <c r="J151" s="82"/>
      <c r="K151" s="82"/>
      <c r="L151" s="82"/>
      <c r="M151" s="83"/>
      <c r="N151" s="69"/>
      <c r="O151" s="84" t="s">
        <v>12</v>
      </c>
      <c r="P151" s="80"/>
      <c r="Q151" s="81"/>
      <c r="R151" s="82"/>
      <c r="S151" s="82"/>
      <c r="T151" s="82">
        <f>T149-T109</f>
        <v>37.304562074005389</v>
      </c>
      <c r="U151" s="82"/>
      <c r="V151" s="82"/>
      <c r="W151" s="82"/>
      <c r="X151" s="82"/>
      <c r="Y151" s="82"/>
      <c r="Z151" s="83"/>
      <c r="AB151" s="84" t="s">
        <v>12</v>
      </c>
      <c r="AC151" s="80"/>
      <c r="AD151" s="81"/>
      <c r="AE151" s="82"/>
      <c r="AF151" s="82"/>
      <c r="AG151" s="82">
        <f>AG149-AG109</f>
        <v>50.53391234719993</v>
      </c>
      <c r="AH151" s="82"/>
      <c r="AI151" s="82"/>
      <c r="AJ151" s="82"/>
      <c r="AK151" s="82"/>
      <c r="AL151" s="82"/>
      <c r="AM151" s="83"/>
    </row>
    <row r="152" spans="2:39" ht="16" customHeight="1">
      <c r="B152" s="84"/>
      <c r="C152" s="80"/>
      <c r="D152" s="81"/>
      <c r="E152" s="82"/>
      <c r="F152" s="82"/>
      <c r="G152" s="82"/>
      <c r="H152" s="82"/>
      <c r="I152" s="82"/>
      <c r="J152" s="82"/>
      <c r="K152" s="82"/>
      <c r="L152" s="82"/>
      <c r="M152" s="83"/>
      <c r="N152" s="69"/>
      <c r="O152" s="84"/>
      <c r="P152" s="80"/>
      <c r="Q152" s="81"/>
      <c r="R152" s="82"/>
      <c r="S152" s="82"/>
      <c r="T152" s="82"/>
      <c r="U152" s="82"/>
      <c r="V152" s="82"/>
      <c r="W152" s="82"/>
      <c r="X152" s="82"/>
      <c r="Y152" s="82"/>
      <c r="Z152" s="83"/>
      <c r="AB152" s="84"/>
      <c r="AC152" s="80"/>
      <c r="AD152" s="81"/>
      <c r="AE152" s="82"/>
      <c r="AF152" s="82"/>
      <c r="AG152" s="82"/>
      <c r="AH152" s="82"/>
      <c r="AI152" s="82"/>
      <c r="AJ152" s="82"/>
      <c r="AK152" s="82"/>
      <c r="AL152" s="82"/>
      <c r="AM152" s="83"/>
    </row>
    <row r="153" spans="2:39" ht="16" customHeight="1">
      <c r="B153" s="84" t="s">
        <v>54</v>
      </c>
      <c r="C153" s="80"/>
      <c r="D153" s="81"/>
      <c r="E153" s="82"/>
      <c r="F153" s="82"/>
      <c r="G153" s="82">
        <f>-1.274*SIN($C$100*(G147-2*G150))+0.658*SIN($C$100*2*G150)-0.186*SIN($C$100*C146)-0.059*SIN($C$100*(2*G147-2*G150))-0.057*SIN($C$100*(G147-2*G150+C146))+0.053*SIN($C$100*(G147+2*G150))+0.046*SIN($C$100*(2*G150-C146))+0.041*SIN($C$100*(G147-C146))-0.035*SIN($C$100*G150)-0.031*SIN($C$100*(G147+C146))-0.015*SIN($C$100*(2*G151-2*G150))+0.011*SIN($C$100*(G147-4*G150))</f>
        <v>1.8495162247398196</v>
      </c>
      <c r="H153" s="82"/>
      <c r="I153" s="82">
        <f>-0.332*SIN($C$100*(2*I147-5*J147-67.6))-0.056*SIN($C$100*(2*I147-2*J147+21))+0.042*SIN($C$100*(3*I147-5*J147+21))-0.036*SIN($C$100*(I147-2*J147))+0.022*COS($C$100*(I147-J147))+0.023*SIN($C$100*(2*I147-3*J147+52))-0.016*SIN($C$100*(I147-5*J147-69))</f>
        <v>6.6482443799700669E-3</v>
      </c>
      <c r="J153" s="82">
        <f>0.812*SIN($C$100*(2*I147-5*J147-67.6))-0.229*COS($C$100*(2*I147-4*J147-2))+0.119*SIN($C$100*(I147-2*J147-3))+0.046*SIN($C$100*(2*I147-6*J147-69))+0.014*SIN($C$100*(I147-3*J147+32))</f>
        <v>7.2578314106650443E-2</v>
      </c>
      <c r="K153" s="82">
        <f>0.04*SIN($C$100*(J147-2*K147+6))+0.035*SIN($C$100*(J147-3*K147+33))-0.015*SIN($C$100*(I147-K147+20))</f>
        <v>-6.5876586440150519E-4</v>
      </c>
      <c r="L153" s="82"/>
      <c r="M153" s="83"/>
      <c r="N153" s="69"/>
      <c r="O153" s="84" t="s">
        <v>54</v>
      </c>
      <c r="P153" s="80"/>
      <c r="Q153" s="81"/>
      <c r="R153" s="82"/>
      <c r="S153" s="82"/>
      <c r="T153" s="82">
        <f>-1.274*SIN($C$100*(T147-2*T150))+0.658*SIN($C$100*2*T150)-0.186*SIN($C$100*P146)-0.059*SIN($C$100*(2*T147-2*T150))-0.057*SIN($C$100*(T147-2*T150+P146))+0.053*SIN($C$100*(T147+2*T150))+0.046*SIN($C$100*(2*T150-P146))+0.041*SIN($C$100*(T147-P146))-0.035*SIN($C$100*T150)-0.031*SIN($C$100*(T147+P146))-0.015*SIN($C$100*(2*T151-2*T150))+0.011*SIN($C$100*(T147-4*T150))</f>
        <v>1.8315237610221524</v>
      </c>
      <c r="U153" s="82"/>
      <c r="V153" s="82">
        <f>-0.332*SIN($C$100*(2*V147-5*W147-67.6))-0.056*SIN($C$100*(2*V147-2*W147+21))+0.042*SIN($C$100*(3*V147-5*W147+21))-0.036*SIN($C$100*(V147-2*W147))+0.022*COS($C$100*(V147-W147))+0.023*SIN($C$100*(2*V147-3*W147+52))-0.016*SIN($C$100*(V147-5*W147-69))</f>
        <v>6.5828517986122239E-3</v>
      </c>
      <c r="W153" s="82">
        <f>0.812*SIN($C$100*(2*V147-5*W147-67.6))-0.229*COS($C$100*(2*V147-4*W147-2))+0.119*SIN($C$100*(V147-2*W147-3))+0.046*SIN($C$100*(2*V147-6*W147-69))+0.014*SIN($C$100*(V147-3*W147+32))</f>
        <v>7.2647008970805574E-2</v>
      </c>
      <c r="X153" s="82">
        <f>0.04*SIN($C$100*(W147-2*X147+6))+0.035*SIN($C$100*(W147-3*X147+33))-0.015*SIN($C$100*(V147-X147+20))</f>
        <v>-6.4497768026146231E-4</v>
      </c>
      <c r="Y153" s="82"/>
      <c r="Z153" s="83"/>
      <c r="AB153" s="84" t="s">
        <v>54</v>
      </c>
      <c r="AC153" s="80"/>
      <c r="AD153" s="81"/>
      <c r="AE153" s="82"/>
      <c r="AF153" s="82"/>
      <c r="AG153" s="82">
        <f>-1.274*SIN($C$100*(AG147-2*AG150))+0.658*SIN($C$100*2*AG150)-0.186*SIN($C$100*AC146)-0.059*SIN($C$100*(2*AG147-2*AG150))-0.057*SIN($C$100*(AG147-2*AG150+AC146))+0.053*SIN($C$100*(AG147+2*AG150))+0.046*SIN($C$100*(2*AG150-AC146))+0.041*SIN($C$100*(AG147-AC146))-0.035*SIN($C$100*AG150)-0.031*SIN($C$100*(AG147+AC146))-0.015*SIN($C$100*(2*AG151-2*AG150))+0.011*SIN($C$100*(AG147-4*AG150))</f>
        <v>1.6282651399457824</v>
      </c>
      <c r="AH153" s="82"/>
      <c r="AI153" s="82">
        <f>-0.332*SIN($C$100*(2*AI147-5*AJ147-67.6))-0.056*SIN($C$100*(2*AI147-2*AJ147+21))+0.042*SIN($C$100*(3*AI147-5*AJ147+21))-0.036*SIN($C$100*(AI147-2*AJ147))+0.022*COS($C$100*(AI147-AJ147))+0.023*SIN($C$100*(2*AI147-3*AJ147+52))-0.016*SIN($C$100*(AI147-5*AJ147-69))</f>
        <v>6.5174592966000151E-3</v>
      </c>
      <c r="AJ153" s="82">
        <f>0.812*SIN($C$100*(2*AI147-5*AJ147-67.6))-0.229*COS($C$100*(2*AI147-4*AJ147-2))+0.119*SIN($C$100*(AI147-2*AJ147-3))+0.046*SIN($C$100*(2*AI147-6*AJ147-69))+0.014*SIN($C$100*(AI147-3*AJ147+32))</f>
        <v>7.2715667114887181E-2</v>
      </c>
      <c r="AK153" s="82">
        <f>0.04*SIN($C$100*(AJ147-2*AK147+6))+0.035*SIN($C$100*(AJ147-3*AK147+33))-0.015*SIN($C$100*(AI147-AK147+20))</f>
        <v>-6.3119581463603807E-4</v>
      </c>
      <c r="AL153" s="82"/>
      <c r="AM153" s="83"/>
    </row>
    <row r="154" spans="2:39" ht="16" customHeight="1">
      <c r="B154" s="84" t="s">
        <v>53</v>
      </c>
      <c r="C154" s="80"/>
      <c r="D154" s="81"/>
      <c r="E154" s="82"/>
      <c r="F154" s="82"/>
      <c r="G154" s="82">
        <f>-0.173*SIN($C$100*(G151-2*G150))-0.055*SIN($C$100*(G147-G151-2*G150))-0.046*SIN($C$100*(G147+G151-2*G150))+0.033*SIN($C$100*(G151+2*G150))+0.017*SIN($C$100*(2*G147+G151))</f>
        <v>0.2755606331208591</v>
      </c>
      <c r="H154" s="82"/>
      <c r="I154" s="82"/>
      <c r="J154" s="82">
        <f>-0.02*COS($C$100*(2*I147-4*J147-2))+0.018*SIN($C$100*(2*I147-6*J147-49))</f>
        <v>2.0676238034133057E-4</v>
      </c>
      <c r="K154" s="82"/>
      <c r="L154" s="82"/>
      <c r="M154" s="83"/>
      <c r="N154" s="69"/>
      <c r="O154" s="84" t="s">
        <v>53</v>
      </c>
      <c r="P154" s="80"/>
      <c r="Q154" s="81"/>
      <c r="R154" s="82"/>
      <c r="S154" s="82"/>
      <c r="T154" s="82">
        <f>-0.173*SIN($C$100*(T151-2*T150))-0.055*SIN($C$100*(T147-T151-2*T150))-0.046*SIN($C$100*(T147+T151-2*T150))+0.033*SIN($C$100*(T151+2*T150))+0.017*SIN($C$100*(2*T147+T151))</f>
        <v>0.27361621304409367</v>
      </c>
      <c r="U154" s="82"/>
      <c r="V154" s="82"/>
      <c r="W154" s="82">
        <f>-0.02*COS($C$100*(2*V147-4*W147-2))+0.018*SIN($C$100*(2*V147-6*W147-49))</f>
        <v>2.0876461544410904E-4</v>
      </c>
      <c r="X154" s="82"/>
      <c r="Y154" s="82"/>
      <c r="Z154" s="83"/>
      <c r="AB154" s="84" t="s">
        <v>53</v>
      </c>
      <c r="AC154" s="80"/>
      <c r="AD154" s="81"/>
      <c r="AE154" s="82"/>
      <c r="AF154" s="82"/>
      <c r="AG154" s="82">
        <f>-0.173*SIN($C$100*(AG151-2*AG150))-0.055*SIN($C$100*(AG147-AG151-2*AG150))-0.046*SIN($C$100*(AG147+AG151-2*AG150))+0.033*SIN($C$100*(AG151+2*AG150))+0.017*SIN($C$100*(2*AG147+AG151))</f>
        <v>0.24445332735330316</v>
      </c>
      <c r="AH154" s="82"/>
      <c r="AI154" s="82"/>
      <c r="AJ154" s="82">
        <f>-0.02*COS($C$100*(2*AI147-4*AJ147-2))+0.018*SIN($C$100*(2*AI147-6*AJ147-49))</f>
        <v>2.1076749925075591E-4</v>
      </c>
      <c r="AK154" s="82"/>
      <c r="AL154" s="82"/>
      <c r="AM154" s="83"/>
    </row>
    <row r="155" spans="2:39" ht="16" customHeight="1">
      <c r="B155" s="84" t="s">
        <v>52</v>
      </c>
      <c r="C155" s="80"/>
      <c r="D155" s="81"/>
      <c r="E155" s="82"/>
      <c r="F155" s="82"/>
      <c r="G155" s="82">
        <f>-0.58*COS($C$100*(G147-2*G150))-0.46*COS($C$100*2*G150)</f>
        <v>-8.2212181760542694E-2</v>
      </c>
      <c r="H155" s="82"/>
      <c r="I155" s="82"/>
      <c r="J155" s="82"/>
      <c r="K155" s="82"/>
      <c r="L155" s="82"/>
      <c r="M155" s="83"/>
      <c r="N155" s="69"/>
      <c r="O155" s="84" t="s">
        <v>52</v>
      </c>
      <c r="P155" s="80"/>
      <c r="Q155" s="81"/>
      <c r="R155" s="82"/>
      <c r="S155" s="82"/>
      <c r="T155" s="82">
        <f>-0.58*COS($C$100*(T147-2*T150))-0.46*COS($C$100*2*T150)</f>
        <v>0.22554815073059831</v>
      </c>
      <c r="U155" s="82"/>
      <c r="V155" s="82"/>
      <c r="W155" s="82"/>
      <c r="X155" s="82"/>
      <c r="Y155" s="82"/>
      <c r="Z155" s="83"/>
      <c r="AB155" s="84" t="s">
        <v>52</v>
      </c>
      <c r="AC155" s="80"/>
      <c r="AD155" s="81"/>
      <c r="AE155" s="82"/>
      <c r="AF155" s="82"/>
      <c r="AG155" s="82">
        <f>-0.58*COS($C$100*(AG147-2*AG150))-0.46*COS($C$100*2*AG150)</f>
        <v>0.50577432048162352</v>
      </c>
      <c r="AH155" s="82"/>
      <c r="AI155" s="82"/>
      <c r="AJ155" s="82"/>
      <c r="AK155" s="82"/>
      <c r="AL155" s="82"/>
      <c r="AM155" s="83"/>
    </row>
    <row r="156" spans="2:39" ht="16" customHeight="1">
      <c r="B156" s="84" t="s">
        <v>51</v>
      </c>
      <c r="C156" s="80"/>
      <c r="D156" s="81"/>
      <c r="E156" s="82">
        <f t="shared" ref="E156:L156" si="92">MOD(E139+E153+360,360)</f>
        <v>67.772445626498723</v>
      </c>
      <c r="F156" s="82">
        <f t="shared" si="92"/>
        <v>150.12875518740509</v>
      </c>
      <c r="G156" s="82">
        <f t="shared" si="92"/>
        <v>23.506910562390487</v>
      </c>
      <c r="H156" s="82">
        <f t="shared" si="92"/>
        <v>136.82985666856337</v>
      </c>
      <c r="I156" s="82">
        <f t="shared" si="92"/>
        <v>83.650069353093556</v>
      </c>
      <c r="J156" s="82">
        <f t="shared" si="92"/>
        <v>351.78146257216213</v>
      </c>
      <c r="K156" s="82">
        <f t="shared" si="92"/>
        <v>56.460379581179438</v>
      </c>
      <c r="L156" s="82">
        <f t="shared" si="92"/>
        <v>359.50179557783736</v>
      </c>
      <c r="M156" s="83">
        <f>238.9508+0.00400703*$C$106-19.799*SIN($C$100*M117)+19.848*COS($C$100*M117)+0.897*SIN($C$100*2*M117)-4.956*COS($C$100*2*M117)+0.61*SIN($C$100*3*M117)+1.211*COS($C$100*3*M117)-0.341*SIN($C$100*4*M117)-0.19*COS($C$100*4*M117)+0.128*SIN($C$100*5*M117)-0.034*COS($C$100*5*M117)-0.038*SIN($C$100*6*M117)+0.031*COS($C$100*6*M117)+0.02*SIN($C$100*(M116-M117))-0.01*COS($C$100*(M116-M117))</f>
        <v>301.9060756419064</v>
      </c>
      <c r="N156" s="69"/>
      <c r="O156" s="84" t="s">
        <v>51</v>
      </c>
      <c r="P156" s="80"/>
      <c r="Q156" s="81"/>
      <c r="R156" s="82">
        <f t="shared" ref="R156:Y156" si="93">MOD(R139+R153+360,360)</f>
        <v>74.069523070569858</v>
      </c>
      <c r="S156" s="82">
        <f t="shared" si="93"/>
        <v>151.75399954407089</v>
      </c>
      <c r="T156" s="82">
        <f t="shared" si="93"/>
        <v>38.172498357258064</v>
      </c>
      <c r="U156" s="82">
        <f t="shared" si="93"/>
        <v>137.27167453993377</v>
      </c>
      <c r="V156" s="82">
        <f t="shared" si="93"/>
        <v>83.736343319490004</v>
      </c>
      <c r="W156" s="82">
        <f t="shared" si="93"/>
        <v>351.81444071700002</v>
      </c>
      <c r="X156" s="82">
        <f t="shared" si="93"/>
        <v>56.471742013819551</v>
      </c>
      <c r="Y156" s="82">
        <f t="shared" si="93"/>
        <v>359.50788855368876</v>
      </c>
      <c r="Z156" s="83">
        <f>238.9508+0.00400703*$C$106-19.799*SIN($C$100*Z117)+19.848*COS($C$100*Z117)+0.897*SIN($C$100*2*Z117)-4.956*COS($C$100*2*Z117)+0.61*SIN($C$100*3*Z117)+1.211*COS($C$100*3*Z117)-0.341*SIN($C$100*4*Z117)-0.19*COS($C$100*4*Z117)+0.128*SIN($C$100*5*Z117)-0.034*COS($C$100*5*Z117)-0.038*SIN($C$100*6*Z117)+0.031*COS($C$100*6*Z117)+0.02*SIN($C$100*(Z116-Z117))-0.01*COS($C$100*(Z116-Z117))</f>
        <v>301.90675376336839</v>
      </c>
      <c r="AB156" s="84" t="s">
        <v>51</v>
      </c>
      <c r="AC156" s="80"/>
      <c r="AD156" s="81"/>
      <c r="AE156" s="82">
        <f t="shared" ref="AE156:AL156" si="94">MOD(AE139+AE153+360,360)</f>
        <v>80.389656967400697</v>
      </c>
      <c r="AF156" s="82">
        <f t="shared" si="94"/>
        <v>153.37911543177381</v>
      </c>
      <c r="AG156" s="82">
        <f t="shared" si="94"/>
        <v>52.622508414504637</v>
      </c>
      <c r="AH156" s="82">
        <f t="shared" si="94"/>
        <v>137.71326282494249</v>
      </c>
      <c r="AI156" s="82">
        <f t="shared" si="94"/>
        <v>83.822605671242854</v>
      </c>
      <c r="AJ156" s="82">
        <f t="shared" si="94"/>
        <v>351.84742092577494</v>
      </c>
      <c r="AK156" s="82">
        <f t="shared" si="94"/>
        <v>56.48310463585176</v>
      </c>
      <c r="AL156" s="82">
        <f t="shared" si="94"/>
        <v>359.51398153802415</v>
      </c>
      <c r="AM156" s="83">
        <f>238.9508+0.00400703*$C$106-19.799*SIN($C$100*AM117)+19.848*COS($C$100*AM117)+0.897*SIN($C$100*2*AM117)-4.956*COS($C$100*2*AM117)+0.61*SIN($C$100*3*AM117)+1.211*COS($C$100*3*AM117)-0.341*SIN($C$100*4*AM117)-0.19*COS($C$100*4*AM117)+0.128*SIN($C$100*5*AM117)-0.034*COS($C$100*5*AM117)-0.038*SIN($C$100*6*AM117)+0.031*COS($C$100*6*AM117)+0.02*SIN($C$100*(AM116-AM117))-0.01*COS($C$100*(AM116-AM117))</f>
        <v>301.90743171534484</v>
      </c>
    </row>
    <row r="157" spans="2:39" ht="16" customHeight="1">
      <c r="B157" s="84" t="s">
        <v>50</v>
      </c>
      <c r="C157" s="80"/>
      <c r="D157" s="81"/>
      <c r="E157" s="82">
        <f t="shared" ref="E157:L157" si="95">E140+E154</f>
        <v>2.3074153455594217</v>
      </c>
      <c r="F157" s="82">
        <f t="shared" si="95"/>
        <v>3.2506545097192392</v>
      </c>
      <c r="G157" s="82">
        <f t="shared" si="95"/>
        <v>2.3230158697060022</v>
      </c>
      <c r="H157" s="82">
        <f t="shared" si="95"/>
        <v>1.8471339917434721</v>
      </c>
      <c r="I157" s="82">
        <f t="shared" si="95"/>
        <v>-0.38202058864667809</v>
      </c>
      <c r="J157" s="82">
        <f t="shared" si="95"/>
        <v>-2.1057595771700717</v>
      </c>
      <c r="K157" s="82">
        <f t="shared" si="95"/>
        <v>-0.23476293069101886</v>
      </c>
      <c r="L157" s="82">
        <f t="shared" si="95"/>
        <v>-1.3022690206802996</v>
      </c>
      <c r="M157" s="83">
        <f>-3.9082-5.453*SIN($C$100*M117)-14.975*COS($C$100*M117)+3.527*SIN($C$100*2*M117)+1.673*COS($C$100*2*M117)-1.051*SIN($C$100*3*M117)+0.328*COS($C$100*3*M117)+0.179*SIN($C$100*4*M117)-0.292*COS($C$100*4*M117)+0.019*SIN($C$100*5*M117)+0.1*COS($C$100*5*M117)-0.031*SIN($C$100*6*M117)-0.026*COS($C$100*6*M117)+0.011*COS($C$100*(M116-M117))</f>
        <v>-3.4445042406126505</v>
      </c>
      <c r="N157" s="69"/>
      <c r="O157" s="84" t="s">
        <v>50</v>
      </c>
      <c r="P157" s="80"/>
      <c r="Q157" s="81"/>
      <c r="R157" s="82">
        <f t="shared" ref="R157:Y157" si="96">R140+R154</f>
        <v>3.0214304813016395</v>
      </c>
      <c r="S157" s="82">
        <f t="shared" si="96"/>
        <v>3.2770854903187017</v>
      </c>
      <c r="T157" s="82">
        <f t="shared" si="96"/>
        <v>3.455814149437173</v>
      </c>
      <c r="U157" s="82">
        <f t="shared" si="96"/>
        <v>1.8478054892450539</v>
      </c>
      <c r="V157" s="82">
        <f t="shared" si="96"/>
        <v>-0.38014548684965271</v>
      </c>
      <c r="W157" s="82">
        <f t="shared" si="96"/>
        <v>-2.1065168787521169</v>
      </c>
      <c r="X157" s="82">
        <f t="shared" si="96"/>
        <v>-0.23461712857546288</v>
      </c>
      <c r="Y157" s="82">
        <f t="shared" si="96"/>
        <v>-1.3023953019345613</v>
      </c>
      <c r="Z157" s="83">
        <f>-3.9082-5.453*SIN($C$100*Z117)-14.975*COS($C$100*Z117)+3.527*SIN($C$100*2*Z117)+1.673*COS($C$100*2*Z117)-1.051*SIN($C$100*3*Z117)+0.328*COS($C$100*3*Z117)+0.179*SIN($C$100*4*Z117)-0.292*COS($C$100*4*Z117)+0.019*SIN($C$100*5*Z117)+0.1*COS($C$100*5*Z117)-0.031*SIN($C$100*6*Z117)-0.026*COS($C$100*6*Z117)+0.011*COS($C$100*(Z116-Z117))</f>
        <v>-3.4459035044877737</v>
      </c>
      <c r="AB157" s="84" t="s">
        <v>50</v>
      </c>
      <c r="AC157" s="80"/>
      <c r="AD157" s="81"/>
      <c r="AE157" s="82">
        <f t="shared" ref="AE157:AL157" si="97">AE140+AE154</f>
        <v>3.7005672869859056</v>
      </c>
      <c r="AF157" s="82">
        <f t="shared" si="97"/>
        <v>3.3008826180425666</v>
      </c>
      <c r="AG157" s="82">
        <f t="shared" si="97"/>
        <v>4.3488232041067274</v>
      </c>
      <c r="AH157" s="82">
        <f t="shared" si="97"/>
        <v>1.8483669354552619</v>
      </c>
      <c r="AI157" s="82">
        <f t="shared" si="97"/>
        <v>-0.37826977453952976</v>
      </c>
      <c r="AJ157" s="82">
        <f t="shared" si="97"/>
        <v>-2.1072735339255404</v>
      </c>
      <c r="AK157" s="82">
        <f t="shared" si="97"/>
        <v>-0.23447131475008265</v>
      </c>
      <c r="AL157" s="82">
        <f t="shared" si="97"/>
        <v>-1.3025215687387073</v>
      </c>
      <c r="AM157" s="83">
        <f>-3.9082-5.453*SIN($C$100*AM117)-14.975*COS($C$100*AM117)+3.527*SIN($C$100*2*AM117)+1.673*COS($C$100*2*AM117)-1.051*SIN($C$100*3*AM117)+0.328*COS($C$100*3*AM117)+0.179*SIN($C$100*4*AM117)-0.292*COS($C$100*4*AM117)+0.019*SIN($C$100*5*AM117)+0.1*COS($C$100*5*AM117)-0.031*SIN($C$100*6*AM117)-0.026*COS($C$100*6*AM117)+0.011*COS($C$100*(AM116-AM117))</f>
        <v>-3.4473026905433448</v>
      </c>
    </row>
    <row r="158" spans="2:39" ht="16" customHeight="1">
      <c r="B158" s="85" t="s">
        <v>49</v>
      </c>
      <c r="C158" s="86"/>
      <c r="D158" s="87"/>
      <c r="E158" s="88">
        <f t="shared" ref="E158:M158" si="98">E135+E155</f>
        <v>0.30828462747131358</v>
      </c>
      <c r="F158" s="88">
        <f t="shared" si="98"/>
        <v>0.71868183439724709</v>
      </c>
      <c r="G158" s="88">
        <f t="shared" si="98"/>
        <v>56.890351689121793</v>
      </c>
      <c r="H158" s="88">
        <f t="shared" si="98"/>
        <v>1.6560632080011706</v>
      </c>
      <c r="I158" s="88">
        <f t="shared" si="98"/>
        <v>5.1011714987679229</v>
      </c>
      <c r="J158" s="88">
        <f t="shared" si="98"/>
        <v>9.6347911144053491</v>
      </c>
      <c r="K158" s="88">
        <f t="shared" si="98"/>
        <v>19.523795537876019</v>
      </c>
      <c r="L158" s="88">
        <f t="shared" si="98"/>
        <v>29.875172467827021</v>
      </c>
      <c r="M158" s="89">
        <f t="shared" si="98"/>
        <v>35.159546810995991</v>
      </c>
      <c r="N158" s="69"/>
      <c r="O158" s="85" t="s">
        <v>49</v>
      </c>
      <c r="P158" s="86"/>
      <c r="Q158" s="87"/>
      <c r="R158" s="88">
        <f t="shared" ref="R158:Z158" si="99">R135+R155</f>
        <v>0.30759925749856898</v>
      </c>
      <c r="S158" s="88">
        <f t="shared" si="99"/>
        <v>0.71872645326162954</v>
      </c>
      <c r="T158" s="88">
        <f t="shared" si="99"/>
        <v>57.219319486828581</v>
      </c>
      <c r="U158" s="88">
        <f t="shared" si="99"/>
        <v>1.6564990848957653</v>
      </c>
      <c r="V158" s="88">
        <f t="shared" si="99"/>
        <v>5.1015136377764287</v>
      </c>
      <c r="W158" s="88">
        <f t="shared" si="99"/>
        <v>9.6344878615149252</v>
      </c>
      <c r="X158" s="88">
        <f t="shared" si="99"/>
        <v>19.523626263798654</v>
      </c>
      <c r="Y158" s="88">
        <f t="shared" si="99"/>
        <v>29.875153160822716</v>
      </c>
      <c r="Z158" s="89">
        <f t="shared" si="99"/>
        <v>35.160245393423871</v>
      </c>
      <c r="AB158" s="85" t="s">
        <v>49</v>
      </c>
      <c r="AC158" s="86"/>
      <c r="AD158" s="87"/>
      <c r="AE158" s="88">
        <f t="shared" ref="AE158:AM158" si="100">AE135+AE155</f>
        <v>0.30755486430550694</v>
      </c>
      <c r="AF158" s="88">
        <f t="shared" si="100"/>
        <v>0.71877471462568177</v>
      </c>
      <c r="AG158" s="88">
        <f t="shared" si="100"/>
        <v>57.709674377776132</v>
      </c>
      <c r="AH158" s="88">
        <f t="shared" si="100"/>
        <v>1.6569254503415807</v>
      </c>
      <c r="AI158" s="88">
        <f t="shared" si="100"/>
        <v>5.101855974873458</v>
      </c>
      <c r="AJ158" s="88">
        <f t="shared" si="100"/>
        <v>9.6341845724608657</v>
      </c>
      <c r="AK158" s="88">
        <f t="shared" si="100"/>
        <v>19.523456974372841</v>
      </c>
      <c r="AL158" s="88">
        <f t="shared" si="100"/>
        <v>29.875133855828977</v>
      </c>
      <c r="AM158" s="89">
        <f t="shared" si="100"/>
        <v>35.160943991859881</v>
      </c>
    </row>
    <row r="159" spans="2:39" ht="16" customHeight="1"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</row>
    <row r="160" spans="2:39" ht="16" customHeight="1">
      <c r="B160" s="71" t="s">
        <v>48</v>
      </c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71" t="s">
        <v>48</v>
      </c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B160" s="71" t="s">
        <v>48</v>
      </c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</row>
    <row r="161" spans="2:39" ht="16" customHeight="1">
      <c r="B161" s="71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71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B161" s="71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</row>
    <row r="162" spans="2:39" ht="16" customHeight="1">
      <c r="B162" s="69"/>
      <c r="C162" s="90" t="s">
        <v>28</v>
      </c>
      <c r="D162" s="90" t="s">
        <v>29</v>
      </c>
      <c r="E162" s="90" t="s">
        <v>3</v>
      </c>
      <c r="F162" s="90" t="s">
        <v>6</v>
      </c>
      <c r="G162" s="90" t="s">
        <v>1</v>
      </c>
      <c r="H162" s="90" t="s">
        <v>4</v>
      </c>
      <c r="I162" s="90" t="s">
        <v>5</v>
      </c>
      <c r="J162" s="90" t="s">
        <v>7</v>
      </c>
      <c r="K162" s="90" t="s">
        <v>27</v>
      </c>
      <c r="L162" s="90" t="s">
        <v>26</v>
      </c>
      <c r="M162" s="90" t="s">
        <v>25</v>
      </c>
      <c r="N162" s="69"/>
      <c r="O162" s="69"/>
      <c r="P162" s="90" t="s">
        <v>28</v>
      </c>
      <c r="Q162" s="90" t="s">
        <v>29</v>
      </c>
      <c r="R162" s="90" t="s">
        <v>3</v>
      </c>
      <c r="S162" s="90" t="s">
        <v>6</v>
      </c>
      <c r="T162" s="90" t="s">
        <v>1</v>
      </c>
      <c r="U162" s="90" t="s">
        <v>4</v>
      </c>
      <c r="V162" s="90" t="s">
        <v>5</v>
      </c>
      <c r="W162" s="90" t="s">
        <v>7</v>
      </c>
      <c r="X162" s="90" t="s">
        <v>27</v>
      </c>
      <c r="Y162" s="90" t="s">
        <v>26</v>
      </c>
      <c r="Z162" s="90" t="s">
        <v>25</v>
      </c>
      <c r="AB162" s="69"/>
      <c r="AC162" s="90" t="s">
        <v>28</v>
      </c>
      <c r="AD162" s="90" t="s">
        <v>29</v>
      </c>
      <c r="AE162" s="90" t="s">
        <v>3</v>
      </c>
      <c r="AF162" s="90" t="s">
        <v>6</v>
      </c>
      <c r="AG162" s="90" t="s">
        <v>1</v>
      </c>
      <c r="AH162" s="90" t="s">
        <v>4</v>
      </c>
      <c r="AI162" s="90" t="s">
        <v>5</v>
      </c>
      <c r="AJ162" s="90" t="s">
        <v>7</v>
      </c>
      <c r="AK162" s="90" t="s">
        <v>27</v>
      </c>
      <c r="AL162" s="90" t="s">
        <v>26</v>
      </c>
      <c r="AM162" s="90" t="s">
        <v>25</v>
      </c>
    </row>
    <row r="163" spans="2:39" ht="16" customHeight="1">
      <c r="B163" s="79" t="s">
        <v>47</v>
      </c>
      <c r="C163" s="91"/>
      <c r="D163" s="92"/>
      <c r="E163" s="93">
        <f>E158*COS($C$100*E156)*COS($C$100*E157)</f>
        <v>0.11652520483059095</v>
      </c>
      <c r="F163" s="93">
        <f>F158*COS($C$100*F156)*COS($C$100*F157)</f>
        <v>-0.62219994639593512</v>
      </c>
      <c r="G163" s="93">
        <f>COS($C$100*G156)*COS($C$100*G157)</f>
        <v>0.91625836731690236</v>
      </c>
      <c r="H163" s="93">
        <f t="shared" ref="H163:M163" si="101">H158*COS($C$100*H156)*COS($C$100*H157)</f>
        <v>-1.2071811044766327</v>
      </c>
      <c r="I163" s="93">
        <f t="shared" si="101"/>
        <v>0.56417937737300605</v>
      </c>
      <c r="J163" s="93">
        <f t="shared" si="101"/>
        <v>9.5294026233304869</v>
      </c>
      <c r="K163" s="93">
        <f t="shared" si="101"/>
        <v>10.787069879533391</v>
      </c>
      <c r="L163" s="93">
        <f t="shared" si="101"/>
        <v>29.866326904090194</v>
      </c>
      <c r="M163" s="94">
        <f t="shared" si="101"/>
        <v>18.549246909656041</v>
      </c>
      <c r="N163" s="69"/>
      <c r="O163" s="79" t="s">
        <v>47</v>
      </c>
      <c r="P163" s="91"/>
      <c r="Q163" s="92"/>
      <c r="R163" s="93">
        <f>R158*COS($C$100*R156)*COS($C$100*R157)</f>
        <v>8.4309636668530585E-2</v>
      </c>
      <c r="S163" s="93">
        <f>S158*COS($C$100*S156)*COS($C$100*S157)</f>
        <v>-0.63210787925948364</v>
      </c>
      <c r="T163" s="93">
        <f>COS($C$100*T156)*COS($C$100*T157)</f>
        <v>0.78472407880736061</v>
      </c>
      <c r="U163" s="93">
        <f t="shared" ref="U163:Z163" si="102">U158*COS($C$100*U156)*COS($C$100*U157)</f>
        <v>-1.2161970958178656</v>
      </c>
      <c r="V163" s="93">
        <f t="shared" si="102"/>
        <v>0.55658231933823077</v>
      </c>
      <c r="W163" s="93">
        <f t="shared" si="102"/>
        <v>9.5298886505089282</v>
      </c>
      <c r="X163" s="93">
        <f t="shared" si="102"/>
        <v>10.783749148695616</v>
      </c>
      <c r="Y163" s="93">
        <f t="shared" si="102"/>
        <v>29.866333554936087</v>
      </c>
      <c r="Z163" s="94">
        <f t="shared" si="102"/>
        <v>18.549940816141202</v>
      </c>
      <c r="AB163" s="79" t="s">
        <v>47</v>
      </c>
      <c r="AC163" s="91"/>
      <c r="AD163" s="92"/>
      <c r="AE163" s="93">
        <f>AE158*COS($C$100*AE156)*COS($C$100*AE157)</f>
        <v>5.1238224755624048E-2</v>
      </c>
      <c r="AF163" s="93">
        <f>AF158*COS($C$100*AF156)*COS($C$100*AF157)</f>
        <v>-0.64151202014708442</v>
      </c>
      <c r="AG163" s="93">
        <f>COS($C$100*AG156)*COS($C$100*AG157)</f>
        <v>0.60531590115430001</v>
      </c>
      <c r="AH163" s="93">
        <f t="shared" ref="AH163:AM163" si="103">AH158*COS($C$100*AH156)*COS($C$100*AH157)</f>
        <v>-1.2251338997619494</v>
      </c>
      <c r="AI163" s="93">
        <f t="shared" si="103"/>
        <v>0.54898402080820485</v>
      </c>
      <c r="AJ163" s="93">
        <f t="shared" si="103"/>
        <v>9.5303714860925695</v>
      </c>
      <c r="AK163" s="93">
        <f t="shared" si="103"/>
        <v>10.780427987316655</v>
      </c>
      <c r="AL163" s="93">
        <f t="shared" si="103"/>
        <v>29.866339870069435</v>
      </c>
      <c r="AM163" s="94">
        <f t="shared" si="103"/>
        <v>18.550634642685292</v>
      </c>
    </row>
    <row r="164" spans="2:39" ht="16" customHeight="1">
      <c r="B164" s="84" t="s">
        <v>46</v>
      </c>
      <c r="C164" s="80"/>
      <c r="D164" s="81"/>
      <c r="E164" s="82">
        <f>E158*SIN($C$100*E156)*COS($C$100*E157)</f>
        <v>0.28514423258410987</v>
      </c>
      <c r="F164" s="82">
        <f>F158*SIN($C$100*F156)*COS($C$100*F157)</f>
        <v>0.35736544045812357</v>
      </c>
      <c r="G164" s="82">
        <f>SIN($C$100*G156)*COS($C$100*G157)</f>
        <v>0.39853188904165099</v>
      </c>
      <c r="H164" s="82">
        <f t="shared" ref="H164:M164" si="104">H158*SIN($C$100*H156)*COS($C$100*H157)</f>
        <v>1.1324353051016571</v>
      </c>
      <c r="I164" s="82">
        <f t="shared" si="104"/>
        <v>5.0697628623943274</v>
      </c>
      <c r="J164" s="82">
        <f t="shared" si="104"/>
        <v>-1.3763551997962056</v>
      </c>
      <c r="K164" s="82">
        <f t="shared" si="104"/>
        <v>16.273024187596217</v>
      </c>
      <c r="L164" s="82">
        <f t="shared" si="104"/>
        <v>-0.25970344205119017</v>
      </c>
      <c r="M164" s="83">
        <f t="shared" si="104"/>
        <v>-29.793568780343662</v>
      </c>
      <c r="N164" s="69"/>
      <c r="O164" s="84" t="s">
        <v>46</v>
      </c>
      <c r="P164" s="80"/>
      <c r="Q164" s="81"/>
      <c r="R164" s="82">
        <f>R158*SIN($C$100*R156)*COS($C$100*R157)</f>
        <v>0.29537487065517543</v>
      </c>
      <c r="S164" s="82">
        <f>S158*SIN($C$100*S156)*COS($C$100*S157)</f>
        <v>0.33958695358071256</v>
      </c>
      <c r="T164" s="82">
        <f>SIN($C$100*T156)*COS($C$100*T157)</f>
        <v>0.61690727817879321</v>
      </c>
      <c r="U164" s="82">
        <f t="shared" ref="U164:Z164" si="105">U158*SIN($C$100*U156)*COS($C$100*U157)</f>
        <v>1.1233881164306323</v>
      </c>
      <c r="V164" s="82">
        <f t="shared" si="105"/>
        <v>5.070947828913174</v>
      </c>
      <c r="W164" s="82">
        <f t="shared" si="105"/>
        <v>-1.3708262509946469</v>
      </c>
      <c r="X164" s="82">
        <f t="shared" si="105"/>
        <v>16.275022133161585</v>
      </c>
      <c r="Y164" s="82">
        <f t="shared" si="105"/>
        <v>-0.25652720238714416</v>
      </c>
      <c r="Z164" s="83">
        <f t="shared" si="105"/>
        <v>-29.793897396670374</v>
      </c>
      <c r="AB164" s="84" t="s">
        <v>46</v>
      </c>
      <c r="AC164" s="80"/>
      <c r="AD164" s="81"/>
      <c r="AE164" s="82">
        <f>AE158*SIN($C$100*AE156)*COS($C$100*AE157)</f>
        <v>0.30260635468919078</v>
      </c>
      <c r="AF164" s="82">
        <f>AF158*SIN($C$100*AF156)*COS($C$100*AF157)</f>
        <v>0.32153781423751954</v>
      </c>
      <c r="AG164" s="82">
        <f>SIN($C$100*AG156)*COS($C$100*AG157)</f>
        <v>0.79236526270242824</v>
      </c>
      <c r="AH164" s="82">
        <f t="shared" ref="AH164:AM164" si="106">AH158*SIN($C$100*AH156)*COS($C$100*AH157)</f>
        <v>1.1142677821197482</v>
      </c>
      <c r="AI164" s="82">
        <f t="shared" si="106"/>
        <v>5.0721214914331707</v>
      </c>
      <c r="AJ164" s="82">
        <f t="shared" si="106"/>
        <v>-1.3652968506241612</v>
      </c>
      <c r="AK164" s="82">
        <f t="shared" si="106"/>
        <v>16.277019424374661</v>
      </c>
      <c r="AL164" s="82">
        <f t="shared" si="106"/>
        <v>-0.25335095984032718</v>
      </c>
      <c r="AM164" s="83">
        <f t="shared" si="106"/>
        <v>-29.794226052111156</v>
      </c>
    </row>
    <row r="165" spans="2:39" ht="16" customHeight="1">
      <c r="B165" s="85" t="s">
        <v>45</v>
      </c>
      <c r="C165" s="86"/>
      <c r="D165" s="87"/>
      <c r="E165" s="88">
        <f>E158*SIN($C$100*E157)</f>
        <v>1.2411881337430597E-2</v>
      </c>
      <c r="F165" s="88">
        <f>F158*SIN($C$100*F157)</f>
        <v>4.0752273110330355E-2</v>
      </c>
      <c r="G165" s="88">
        <f>SIN($C$100*G157)</f>
        <v>4.0533168376747163E-2</v>
      </c>
      <c r="H165" s="88">
        <f t="shared" ref="H165:M165" si="107">H158*SIN($C$100*H157)</f>
        <v>5.3379861830303701E-2</v>
      </c>
      <c r="I165" s="88">
        <f t="shared" si="107"/>
        <v>-3.4011896102174796E-2</v>
      </c>
      <c r="J165" s="88">
        <f t="shared" si="107"/>
        <v>-0.35402235053767689</v>
      </c>
      <c r="K165" s="88">
        <f t="shared" si="107"/>
        <v>-7.9996304661146281E-2</v>
      </c>
      <c r="L165" s="88">
        <f t="shared" si="107"/>
        <v>-0.67897081131275183</v>
      </c>
      <c r="M165" s="89">
        <f t="shared" si="107"/>
        <v>-2.11244653664082</v>
      </c>
      <c r="N165" s="69"/>
      <c r="O165" s="85" t="s">
        <v>45</v>
      </c>
      <c r="P165" s="86"/>
      <c r="Q165" s="87"/>
      <c r="R165" s="88">
        <f>R158*SIN($C$100*R157)</f>
        <v>1.6213394583791126E-2</v>
      </c>
      <c r="S165" s="88">
        <f>S158*SIN($C$100*S157)</f>
        <v>4.1085819377132848E-2</v>
      </c>
      <c r="T165" s="88">
        <f>SIN($C$100*T157)</f>
        <v>6.0278771304434278E-2</v>
      </c>
      <c r="U165" s="88">
        <f t="shared" ref="U165:Z165" si="108">U158*SIN($C$100*U157)</f>
        <v>5.341331526065126E-2</v>
      </c>
      <c r="V165" s="88">
        <f t="shared" si="108"/>
        <v>-3.3847225288603344E-2</v>
      </c>
      <c r="W165" s="88">
        <f t="shared" si="108"/>
        <v>-0.35413846467663018</v>
      </c>
      <c r="X165" s="88">
        <f t="shared" si="108"/>
        <v>-7.9945929200262E-2</v>
      </c>
      <c r="Y165" s="88">
        <f t="shared" si="108"/>
        <v>-0.67903620105974227</v>
      </c>
      <c r="Z165" s="89">
        <f t="shared" si="108"/>
        <v>-2.1133456319592581</v>
      </c>
      <c r="AB165" s="85" t="s">
        <v>45</v>
      </c>
      <c r="AC165" s="86"/>
      <c r="AD165" s="87"/>
      <c r="AE165" s="88">
        <f>AE158*SIN($C$100*AE157)</f>
        <v>1.9850264068536044E-2</v>
      </c>
      <c r="AF165" s="88">
        <f>AF158*SIN($C$100*AF157)</f>
        <v>4.1386621115952101E-2</v>
      </c>
      <c r="AG165" s="88">
        <f>SIN($C$100*AG157)</f>
        <v>7.5828426544862951E-2</v>
      </c>
      <c r="AH165" s="88">
        <f t="shared" ref="AH165:AM165" si="109">AH158*SIN($C$100*AH157)</f>
        <v>5.3443291194173091E-2</v>
      </c>
      <c r="AI165" s="88">
        <f t="shared" si="109"/>
        <v>-3.368247899143894E-2</v>
      </c>
      <c r="AJ165" s="88">
        <f t="shared" si="109"/>
        <v>-0.35425446079397382</v>
      </c>
      <c r="AK165" s="88">
        <f t="shared" si="109"/>
        <v>-7.9895550547482305E-2</v>
      </c>
      <c r="AL165" s="88">
        <f t="shared" si="109"/>
        <v>-0.67910158323142811</v>
      </c>
      <c r="AM165" s="89">
        <f t="shared" si="109"/>
        <v>-2.1142447133699203</v>
      </c>
    </row>
    <row r="166" spans="2:39" ht="16" customHeight="1"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</row>
    <row r="167" spans="2:39" ht="16" customHeight="1">
      <c r="B167" s="71" t="s">
        <v>44</v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69"/>
      <c r="O167" s="71" t="s">
        <v>44</v>
      </c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B167" s="71" t="s">
        <v>44</v>
      </c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</row>
    <row r="168" spans="2:39" ht="16" customHeight="1">
      <c r="B168" s="71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69"/>
      <c r="O168" s="71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B168" s="71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</row>
    <row r="169" spans="2:39" ht="16" customHeight="1">
      <c r="B169" s="69"/>
      <c r="C169" s="90" t="s">
        <v>28</v>
      </c>
      <c r="D169" s="90" t="s">
        <v>29</v>
      </c>
      <c r="E169" s="90" t="s">
        <v>3</v>
      </c>
      <c r="F169" s="90" t="s">
        <v>6</v>
      </c>
      <c r="G169" s="90" t="s">
        <v>1</v>
      </c>
      <c r="H169" s="90" t="s">
        <v>4</v>
      </c>
      <c r="I169" s="90" t="s">
        <v>5</v>
      </c>
      <c r="J169" s="90" t="s">
        <v>7</v>
      </c>
      <c r="K169" s="90" t="s">
        <v>27</v>
      </c>
      <c r="L169" s="90" t="s">
        <v>26</v>
      </c>
      <c r="M169" s="90" t="s">
        <v>25</v>
      </c>
      <c r="N169" s="69"/>
      <c r="O169" s="69"/>
      <c r="P169" s="90" t="s">
        <v>28</v>
      </c>
      <c r="Q169" s="90" t="s">
        <v>29</v>
      </c>
      <c r="R169" s="90" t="s">
        <v>3</v>
      </c>
      <c r="S169" s="90" t="s">
        <v>6</v>
      </c>
      <c r="T169" s="90" t="s">
        <v>1</v>
      </c>
      <c r="U169" s="90" t="s">
        <v>4</v>
      </c>
      <c r="V169" s="90" t="s">
        <v>5</v>
      </c>
      <c r="W169" s="90" t="s">
        <v>7</v>
      </c>
      <c r="X169" s="90" t="s">
        <v>27</v>
      </c>
      <c r="Y169" s="90" t="s">
        <v>26</v>
      </c>
      <c r="Z169" s="90" t="s">
        <v>25</v>
      </c>
      <c r="AB169" s="69"/>
      <c r="AC169" s="90" t="s">
        <v>28</v>
      </c>
      <c r="AD169" s="90" t="s">
        <v>29</v>
      </c>
      <c r="AE169" s="90" t="s">
        <v>3</v>
      </c>
      <c r="AF169" s="90" t="s">
        <v>6</v>
      </c>
      <c r="AG169" s="90" t="s">
        <v>1</v>
      </c>
      <c r="AH169" s="90" t="s">
        <v>4</v>
      </c>
      <c r="AI169" s="90" t="s">
        <v>5</v>
      </c>
      <c r="AJ169" s="90" t="s">
        <v>7</v>
      </c>
      <c r="AK169" s="90" t="s">
        <v>27</v>
      </c>
      <c r="AL169" s="90" t="s">
        <v>26</v>
      </c>
      <c r="AM169" s="90" t="s">
        <v>25</v>
      </c>
    </row>
    <row r="170" spans="2:39" ht="16" customHeight="1">
      <c r="B170" s="79" t="s">
        <v>43</v>
      </c>
      <c r="C170" s="101">
        <f>C135*COS($C$100*(C134+C111))</f>
        <v>0.94623735220924388</v>
      </c>
      <c r="D170" s="102">
        <f>D135*COS($C$100*(D134+D111))</f>
        <v>0.94890451782073026</v>
      </c>
      <c r="E170" s="103"/>
      <c r="F170" s="103"/>
      <c r="G170" s="103"/>
      <c r="H170" s="103"/>
      <c r="I170" s="103"/>
      <c r="J170" s="103"/>
      <c r="K170" s="103"/>
      <c r="L170" s="103"/>
      <c r="M170" s="104"/>
      <c r="N170" s="69"/>
      <c r="O170" s="79" t="s">
        <v>43</v>
      </c>
      <c r="P170" s="101">
        <f>P135*COS($C$100*(P134+P111))</f>
        <v>0.95149963559302519</v>
      </c>
      <c r="Q170" s="102">
        <f>Q135*COS($C$100*(Q134+Q111))</f>
        <v>0.95402253568372741</v>
      </c>
      <c r="R170" s="103"/>
      <c r="S170" s="103"/>
      <c r="T170" s="103"/>
      <c r="U170" s="103"/>
      <c r="V170" s="103"/>
      <c r="W170" s="103"/>
      <c r="X170" s="103"/>
      <c r="Y170" s="103"/>
      <c r="Z170" s="104"/>
      <c r="AB170" s="79" t="s">
        <v>43</v>
      </c>
      <c r="AC170" s="101">
        <f>AC135*COS($C$100*(AC134+AC111))</f>
        <v>0.95647305400061167</v>
      </c>
      <c r="AD170" s="102">
        <f>AD135*COS($C$100*(AD134+AD111))</f>
        <v>0.95885103220649781</v>
      </c>
      <c r="AE170" s="103"/>
      <c r="AF170" s="103"/>
      <c r="AG170" s="103"/>
      <c r="AH170" s="103"/>
      <c r="AI170" s="103"/>
      <c r="AJ170" s="103"/>
      <c r="AK170" s="103"/>
      <c r="AL170" s="103"/>
      <c r="AM170" s="104"/>
    </row>
    <row r="171" spans="2:39" ht="16" customHeight="1">
      <c r="B171" s="84" t="s">
        <v>42</v>
      </c>
      <c r="C171" s="105">
        <f>C135*SIN($C$100*(C134+C111))</f>
        <v>-0.29537612627341719</v>
      </c>
      <c r="D171" s="106">
        <f>D135*SIN($C$100*(D134+D111))</f>
        <v>-0.287119992053602</v>
      </c>
      <c r="E171" s="107"/>
      <c r="F171" s="107"/>
      <c r="G171" s="107"/>
      <c r="H171" s="107"/>
      <c r="I171" s="107"/>
      <c r="J171" s="107"/>
      <c r="K171" s="107"/>
      <c r="L171" s="107"/>
      <c r="M171" s="108"/>
      <c r="N171" s="69"/>
      <c r="O171" s="84" t="s">
        <v>42</v>
      </c>
      <c r="P171" s="105">
        <f>P135*SIN($C$100*(P134+P111))</f>
        <v>-0.27884205741914458</v>
      </c>
      <c r="Q171" s="106">
        <f>Q135*SIN($C$100*(Q134+Q111))</f>
        <v>-0.27054295886209823</v>
      </c>
      <c r="R171" s="107"/>
      <c r="S171" s="107"/>
      <c r="T171" s="107"/>
      <c r="U171" s="107"/>
      <c r="V171" s="107"/>
      <c r="W171" s="107"/>
      <c r="X171" s="107"/>
      <c r="Y171" s="107"/>
      <c r="Z171" s="108"/>
      <c r="AB171" s="84" t="s">
        <v>42</v>
      </c>
      <c r="AC171" s="105">
        <f>AC135*SIN($C$100*(AC134+AC111))</f>
        <v>-0.26222333404177289</v>
      </c>
      <c r="AD171" s="106">
        <f>AD135*SIN($C$100*(AD134+AD111))</f>
        <v>-0.25388382173070573</v>
      </c>
      <c r="AE171" s="107"/>
      <c r="AF171" s="107"/>
      <c r="AG171" s="107"/>
      <c r="AH171" s="107"/>
      <c r="AI171" s="107"/>
      <c r="AJ171" s="107"/>
      <c r="AK171" s="107"/>
      <c r="AL171" s="107"/>
      <c r="AM171" s="108"/>
    </row>
    <row r="172" spans="2:39" ht="16" customHeight="1">
      <c r="B172" s="84" t="s">
        <v>41</v>
      </c>
      <c r="C172" s="105">
        <f>C170</f>
        <v>0.94623735220924388</v>
      </c>
      <c r="D172" s="106">
        <f>D170</f>
        <v>0.94890451782073026</v>
      </c>
      <c r="E172" s="107">
        <f>E163+C$170</f>
        <v>1.0627625570398349</v>
      </c>
      <c r="F172" s="107">
        <f>F163+C$170</f>
        <v>0.32403740581330875</v>
      </c>
      <c r="G172" s="107">
        <f>G163+C$170</f>
        <v>1.8624957195261462</v>
      </c>
      <c r="H172" s="107">
        <f>H163+C$170</f>
        <v>-0.26094375226738886</v>
      </c>
      <c r="I172" s="107">
        <f>I163+C$170</f>
        <v>1.5104167295822499</v>
      </c>
      <c r="J172" s="107">
        <f>J163+C$170</f>
        <v>10.47563997553973</v>
      </c>
      <c r="K172" s="107">
        <f>K163+C$170</f>
        <v>11.733307231742634</v>
      </c>
      <c r="L172" s="107">
        <f>L163+C$170</f>
        <v>30.812564256299439</v>
      </c>
      <c r="M172" s="108">
        <f>M163+C$170</f>
        <v>19.495484261865286</v>
      </c>
      <c r="N172" s="69"/>
      <c r="O172" s="84" t="s">
        <v>41</v>
      </c>
      <c r="P172" s="105">
        <f>P170</f>
        <v>0.95149963559302519</v>
      </c>
      <c r="Q172" s="106">
        <f>Q170</f>
        <v>0.95402253568372741</v>
      </c>
      <c r="R172" s="107">
        <f>R163+P$170</f>
        <v>1.0358092722615557</v>
      </c>
      <c r="S172" s="107">
        <f>S163+P$170</f>
        <v>0.31939175633354155</v>
      </c>
      <c r="T172" s="107">
        <f>T163+P$170</f>
        <v>1.7362237144003858</v>
      </c>
      <c r="U172" s="107">
        <f>U163+P$170</f>
        <v>-0.26469746022484042</v>
      </c>
      <c r="V172" s="107">
        <f>V163+P$170</f>
        <v>1.5080819549312561</v>
      </c>
      <c r="W172" s="107">
        <f>W163+P$170</f>
        <v>10.481388286101954</v>
      </c>
      <c r="X172" s="107">
        <f>X163+P$170</f>
        <v>11.735248784288641</v>
      </c>
      <c r="Y172" s="107">
        <f>Y163+P$170</f>
        <v>30.817833190529111</v>
      </c>
      <c r="Z172" s="108">
        <f>Z163+P$170</f>
        <v>19.501440451734226</v>
      </c>
      <c r="AB172" s="84" t="s">
        <v>41</v>
      </c>
      <c r="AC172" s="105">
        <f>AC170</f>
        <v>0.95647305400061167</v>
      </c>
      <c r="AD172" s="106">
        <f>AD170</f>
        <v>0.95885103220649781</v>
      </c>
      <c r="AE172" s="107">
        <f>AE163+AC$170</f>
        <v>1.0077112787562357</v>
      </c>
      <c r="AF172" s="107">
        <f>AF163+AC$170</f>
        <v>0.31496103385352725</v>
      </c>
      <c r="AG172" s="107">
        <f>AG163+AC$170</f>
        <v>1.5617889551549116</v>
      </c>
      <c r="AH172" s="107">
        <f>AH163+AC$170</f>
        <v>-0.26866084576133775</v>
      </c>
      <c r="AI172" s="107">
        <f>AI163+AC$170</f>
        <v>1.5054570748088165</v>
      </c>
      <c r="AJ172" s="107">
        <f>AJ163+AC$170</f>
        <v>10.48684454009318</v>
      </c>
      <c r="AK172" s="107">
        <f>AK163+AC$170</f>
        <v>11.736901041317266</v>
      </c>
      <c r="AL172" s="107">
        <f>AL163+AC$170</f>
        <v>30.822812924070046</v>
      </c>
      <c r="AM172" s="108">
        <f>AM163+AC$170</f>
        <v>19.507107696685903</v>
      </c>
    </row>
    <row r="173" spans="2:39" ht="16" customHeight="1">
      <c r="B173" s="84" t="s">
        <v>40</v>
      </c>
      <c r="C173" s="105">
        <f>C171*COS($C$100*C141)</f>
        <v>-0.27100899633186049</v>
      </c>
      <c r="D173" s="106">
        <f>D171*COS($C$100*D141)</f>
        <v>-0.26343395439518069</v>
      </c>
      <c r="E173" s="107">
        <f>E164+C$171</f>
        <v>-1.0231893689307325E-2</v>
      </c>
      <c r="F173" s="107">
        <f>F164+C$171</f>
        <v>6.1989314184706379E-2</v>
      </c>
      <c r="G173" s="107">
        <f>G164+C$171</f>
        <v>0.10315576276823379</v>
      </c>
      <c r="H173" s="107">
        <f>H164+C$171</f>
        <v>0.83705917882823999</v>
      </c>
      <c r="I173" s="107">
        <f>I164+C$171</f>
        <v>4.7743867361209098</v>
      </c>
      <c r="J173" s="107">
        <f>J164+C$171</f>
        <v>-1.6717313260696227</v>
      </c>
      <c r="K173" s="107">
        <f>K164+C$171</f>
        <v>15.9776480613228</v>
      </c>
      <c r="L173" s="107">
        <f>L164+C$171</f>
        <v>-0.55507956832460736</v>
      </c>
      <c r="M173" s="108">
        <f>M164+C$171</f>
        <v>-30.08894490661708</v>
      </c>
      <c r="N173" s="69"/>
      <c r="O173" s="84" t="s">
        <v>40</v>
      </c>
      <c r="P173" s="105">
        <f>P171*COS($C$100*P141)</f>
        <v>-0.25583890976457124</v>
      </c>
      <c r="Q173" s="106">
        <f>Q171*COS($C$100*Q141)</f>
        <v>-0.24822444782427375</v>
      </c>
      <c r="R173" s="107">
        <f>R164+P$171</f>
        <v>1.6532813236030841E-2</v>
      </c>
      <c r="S173" s="107">
        <f>S164+P$171</f>
        <v>6.0744896161567974E-2</v>
      </c>
      <c r="T173" s="107">
        <f>T164+P$171</f>
        <v>0.33806522075964862</v>
      </c>
      <c r="U173" s="107">
        <f>U164+P$171</f>
        <v>0.84454605901148772</v>
      </c>
      <c r="V173" s="107">
        <f>V164+P$171</f>
        <v>4.7921057714940289</v>
      </c>
      <c r="W173" s="107">
        <f>W164+P$171</f>
        <v>-1.6496683084137915</v>
      </c>
      <c r="X173" s="107">
        <f>X164+P$171</f>
        <v>15.996180075742441</v>
      </c>
      <c r="Y173" s="107">
        <f>Y164+P$171</f>
        <v>-0.53536925980628869</v>
      </c>
      <c r="Z173" s="108">
        <f>Z164+P$171</f>
        <v>-30.072739454089518</v>
      </c>
      <c r="AB173" s="84" t="s">
        <v>40</v>
      </c>
      <c r="AC173" s="105">
        <f>AC171*COS($C$100*AC141)</f>
        <v>-0.24059115227096348</v>
      </c>
      <c r="AD173" s="106">
        <f>AD171*COS($C$100*AD141)</f>
        <v>-0.23293961049913545</v>
      </c>
      <c r="AE173" s="107">
        <f>AE164+AC$171</f>
        <v>4.0383020647417889E-2</v>
      </c>
      <c r="AF173" s="107">
        <f>AF164+AC$171</f>
        <v>5.9314480195746644E-2</v>
      </c>
      <c r="AG173" s="107">
        <f>AG164+AC$171</f>
        <v>0.53014192866065535</v>
      </c>
      <c r="AH173" s="107">
        <f>AH164+AC$171</f>
        <v>0.8520444480779753</v>
      </c>
      <c r="AI173" s="107">
        <f>AI164+AC$171</f>
        <v>4.8098981573913981</v>
      </c>
      <c r="AJ173" s="107">
        <f>AJ164+AC$171</f>
        <v>-1.6275201846659342</v>
      </c>
      <c r="AK173" s="107">
        <f>AK164+AC$171</f>
        <v>16.014796090332887</v>
      </c>
      <c r="AL173" s="107">
        <f>AL164+AC$171</f>
        <v>-0.51557429388210008</v>
      </c>
      <c r="AM173" s="108">
        <f>AM164+AC$171</f>
        <v>-30.056449386152931</v>
      </c>
    </row>
    <row r="174" spans="2:39" ht="16" customHeight="1">
      <c r="B174" s="85" t="s">
        <v>39</v>
      </c>
      <c r="C174" s="109">
        <f>C171*SIN($C$100*C141)</f>
        <v>-0.11747842303796611</v>
      </c>
      <c r="D174" s="110">
        <f>D171*SIN($C$100*D141)</f>
        <v>-0.11419475254396909</v>
      </c>
      <c r="E174" s="111">
        <f t="shared" ref="E174:M174" si="110">E165</f>
        <v>1.2411881337430597E-2</v>
      </c>
      <c r="F174" s="111">
        <f t="shared" si="110"/>
        <v>4.0752273110330355E-2</v>
      </c>
      <c r="G174" s="111">
        <f t="shared" si="110"/>
        <v>4.0533168376747163E-2</v>
      </c>
      <c r="H174" s="111">
        <f t="shared" si="110"/>
        <v>5.3379861830303701E-2</v>
      </c>
      <c r="I174" s="111">
        <f t="shared" si="110"/>
        <v>-3.4011896102174796E-2</v>
      </c>
      <c r="J174" s="111">
        <f t="shared" si="110"/>
        <v>-0.35402235053767689</v>
      </c>
      <c r="K174" s="111">
        <f t="shared" si="110"/>
        <v>-7.9996304661146281E-2</v>
      </c>
      <c r="L174" s="111">
        <f t="shared" si="110"/>
        <v>-0.67897081131275183</v>
      </c>
      <c r="M174" s="112">
        <f t="shared" si="110"/>
        <v>-2.11244653664082</v>
      </c>
      <c r="N174" s="69"/>
      <c r="O174" s="85" t="s">
        <v>39</v>
      </c>
      <c r="P174" s="109">
        <f>P171*SIN($C$100*P141)</f>
        <v>-0.11090241312170394</v>
      </c>
      <c r="Q174" s="110">
        <f>Q171*SIN($C$100*Q141)</f>
        <v>-0.10760165469077769</v>
      </c>
      <c r="R174" s="111">
        <f t="shared" ref="R174:Z174" si="111">R165</f>
        <v>1.6213394583791126E-2</v>
      </c>
      <c r="S174" s="111">
        <f t="shared" si="111"/>
        <v>4.1085819377132848E-2</v>
      </c>
      <c r="T174" s="111">
        <f t="shared" si="111"/>
        <v>6.0278771304434278E-2</v>
      </c>
      <c r="U174" s="111">
        <f t="shared" si="111"/>
        <v>5.341331526065126E-2</v>
      </c>
      <c r="V174" s="111">
        <f t="shared" si="111"/>
        <v>-3.3847225288603344E-2</v>
      </c>
      <c r="W174" s="111">
        <f t="shared" si="111"/>
        <v>-0.35413846467663018</v>
      </c>
      <c r="X174" s="111">
        <f t="shared" si="111"/>
        <v>-7.9945929200262E-2</v>
      </c>
      <c r="Y174" s="111">
        <f t="shared" si="111"/>
        <v>-0.67903620105974227</v>
      </c>
      <c r="Z174" s="112">
        <f t="shared" si="111"/>
        <v>-2.1133456319592581</v>
      </c>
      <c r="AB174" s="85" t="s">
        <v>39</v>
      </c>
      <c r="AC174" s="109">
        <f>AC171*SIN($C$100*AC141)</f>
        <v>-0.10429273399865048</v>
      </c>
      <c r="AD174" s="110">
        <f>AD171*SIN($C$100*AD141)</f>
        <v>-0.10097590206133257</v>
      </c>
      <c r="AE174" s="111">
        <f t="shared" ref="AE174:AM174" si="112">AE165</f>
        <v>1.9850264068536044E-2</v>
      </c>
      <c r="AF174" s="111">
        <f t="shared" si="112"/>
        <v>4.1386621115952101E-2</v>
      </c>
      <c r="AG174" s="111">
        <f t="shared" si="112"/>
        <v>7.5828426544862951E-2</v>
      </c>
      <c r="AH174" s="111">
        <f t="shared" si="112"/>
        <v>5.3443291194173091E-2</v>
      </c>
      <c r="AI174" s="111">
        <f t="shared" si="112"/>
        <v>-3.368247899143894E-2</v>
      </c>
      <c r="AJ174" s="111">
        <f t="shared" si="112"/>
        <v>-0.35425446079397382</v>
      </c>
      <c r="AK174" s="111">
        <f t="shared" si="112"/>
        <v>-7.9895550547482305E-2</v>
      </c>
      <c r="AL174" s="111">
        <f t="shared" si="112"/>
        <v>-0.67910158323142811</v>
      </c>
      <c r="AM174" s="112">
        <f t="shared" si="112"/>
        <v>-2.1142447133699203</v>
      </c>
    </row>
    <row r="175" spans="2:39" ht="16" customHeight="1">
      <c r="B175" s="69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69"/>
      <c r="O175" s="69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B175" s="69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</row>
    <row r="176" spans="2:39" ht="16" customHeight="1">
      <c r="B176" s="71" t="s">
        <v>38</v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69"/>
      <c r="O176" s="71" t="s">
        <v>38</v>
      </c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B176" s="71" t="s">
        <v>38</v>
      </c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</row>
    <row r="177" spans="2:39" ht="16" customHeight="1">
      <c r="B177" s="71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69"/>
      <c r="O177" s="71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B177" s="71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</row>
    <row r="178" spans="2:39" ht="16" customHeight="1">
      <c r="B178" s="69"/>
      <c r="C178" s="90" t="s">
        <v>28</v>
      </c>
      <c r="D178" s="90" t="s">
        <v>29</v>
      </c>
      <c r="E178" s="90" t="s">
        <v>3</v>
      </c>
      <c r="F178" s="90" t="s">
        <v>6</v>
      </c>
      <c r="G178" s="90" t="s">
        <v>1</v>
      </c>
      <c r="H178" s="90" t="s">
        <v>4</v>
      </c>
      <c r="I178" s="90" t="s">
        <v>5</v>
      </c>
      <c r="J178" s="90" t="s">
        <v>7</v>
      </c>
      <c r="K178" s="90" t="s">
        <v>27</v>
      </c>
      <c r="L178" s="90" t="s">
        <v>26</v>
      </c>
      <c r="M178" s="90" t="s">
        <v>25</v>
      </c>
      <c r="N178" s="69"/>
      <c r="O178" s="69"/>
      <c r="P178" s="90" t="s">
        <v>28</v>
      </c>
      <c r="Q178" s="90" t="s">
        <v>29</v>
      </c>
      <c r="R178" s="90" t="s">
        <v>3</v>
      </c>
      <c r="S178" s="90" t="s">
        <v>6</v>
      </c>
      <c r="T178" s="90" t="s">
        <v>1</v>
      </c>
      <c r="U178" s="90" t="s">
        <v>4</v>
      </c>
      <c r="V178" s="90" t="s">
        <v>5</v>
      </c>
      <c r="W178" s="90" t="s">
        <v>7</v>
      </c>
      <c r="X178" s="90" t="s">
        <v>27</v>
      </c>
      <c r="Y178" s="90" t="s">
        <v>26</v>
      </c>
      <c r="Z178" s="90" t="s">
        <v>25</v>
      </c>
      <c r="AB178" s="69"/>
      <c r="AC178" s="90" t="s">
        <v>28</v>
      </c>
      <c r="AD178" s="90" t="s">
        <v>29</v>
      </c>
      <c r="AE178" s="90" t="s">
        <v>3</v>
      </c>
      <c r="AF178" s="90" t="s">
        <v>6</v>
      </c>
      <c r="AG178" s="90" t="s">
        <v>1</v>
      </c>
      <c r="AH178" s="90" t="s">
        <v>4</v>
      </c>
      <c r="AI178" s="90" t="s">
        <v>5</v>
      </c>
      <c r="AJ178" s="90" t="s">
        <v>7</v>
      </c>
      <c r="AK178" s="90" t="s">
        <v>27</v>
      </c>
      <c r="AL178" s="90" t="s">
        <v>26</v>
      </c>
      <c r="AM178" s="90" t="s">
        <v>25</v>
      </c>
    </row>
    <row r="179" spans="2:39" ht="16" customHeight="1">
      <c r="B179" s="79" t="s">
        <v>37</v>
      </c>
      <c r="C179" s="101">
        <f>C170</f>
        <v>0.94623735220924388</v>
      </c>
      <c r="D179" s="102">
        <f>D170</f>
        <v>0.94890451782073026</v>
      </c>
      <c r="E179" s="103">
        <f>E172</f>
        <v>1.0627625570398349</v>
      </c>
      <c r="F179" s="103">
        <f>F172</f>
        <v>0.32403740581330875</v>
      </c>
      <c r="G179" s="103">
        <f>G163</f>
        <v>0.91625836731690236</v>
      </c>
      <c r="H179" s="103">
        <f t="shared" ref="H179:M179" si="113">H172</f>
        <v>-0.26094375226738886</v>
      </c>
      <c r="I179" s="103">
        <f t="shared" si="113"/>
        <v>1.5104167295822499</v>
      </c>
      <c r="J179" s="103">
        <f t="shared" si="113"/>
        <v>10.47563997553973</v>
      </c>
      <c r="K179" s="103">
        <f t="shared" si="113"/>
        <v>11.733307231742634</v>
      </c>
      <c r="L179" s="103">
        <f t="shared" si="113"/>
        <v>30.812564256299439</v>
      </c>
      <c r="M179" s="104">
        <f t="shared" si="113"/>
        <v>19.495484261865286</v>
      </c>
      <c r="N179" s="69"/>
      <c r="O179" s="79" t="s">
        <v>37</v>
      </c>
      <c r="P179" s="101">
        <f>P170</f>
        <v>0.95149963559302519</v>
      </c>
      <c r="Q179" s="102">
        <f>Q170</f>
        <v>0.95402253568372741</v>
      </c>
      <c r="R179" s="103">
        <f>R172</f>
        <v>1.0358092722615557</v>
      </c>
      <c r="S179" s="103">
        <f>S172</f>
        <v>0.31939175633354155</v>
      </c>
      <c r="T179" s="103">
        <f>T163</f>
        <v>0.78472407880736061</v>
      </c>
      <c r="U179" s="103">
        <f t="shared" ref="U179:Z179" si="114">U172</f>
        <v>-0.26469746022484042</v>
      </c>
      <c r="V179" s="103">
        <f t="shared" si="114"/>
        <v>1.5080819549312561</v>
      </c>
      <c r="W179" s="103">
        <f t="shared" si="114"/>
        <v>10.481388286101954</v>
      </c>
      <c r="X179" s="103">
        <f t="shared" si="114"/>
        <v>11.735248784288641</v>
      </c>
      <c r="Y179" s="103">
        <f t="shared" si="114"/>
        <v>30.817833190529111</v>
      </c>
      <c r="Z179" s="104">
        <f t="shared" si="114"/>
        <v>19.501440451734226</v>
      </c>
      <c r="AB179" s="79" t="s">
        <v>37</v>
      </c>
      <c r="AC179" s="101">
        <f>AC170</f>
        <v>0.95647305400061167</v>
      </c>
      <c r="AD179" s="102">
        <f>AD170</f>
        <v>0.95885103220649781</v>
      </c>
      <c r="AE179" s="103">
        <f>AE172</f>
        <v>1.0077112787562357</v>
      </c>
      <c r="AF179" s="103">
        <f>AF172</f>
        <v>0.31496103385352725</v>
      </c>
      <c r="AG179" s="103">
        <f>AG163</f>
        <v>0.60531590115430001</v>
      </c>
      <c r="AH179" s="103">
        <f t="shared" ref="AH179:AM179" si="115">AH172</f>
        <v>-0.26866084576133775</v>
      </c>
      <c r="AI179" s="103">
        <f t="shared" si="115"/>
        <v>1.5054570748088165</v>
      </c>
      <c r="AJ179" s="103">
        <f t="shared" si="115"/>
        <v>10.48684454009318</v>
      </c>
      <c r="AK179" s="103">
        <f t="shared" si="115"/>
        <v>11.736901041317266</v>
      </c>
      <c r="AL179" s="103">
        <f t="shared" si="115"/>
        <v>30.822812924070046</v>
      </c>
      <c r="AM179" s="104">
        <f t="shared" si="115"/>
        <v>19.507107696685903</v>
      </c>
    </row>
    <row r="180" spans="2:39" ht="16" customHeight="1">
      <c r="B180" s="84" t="s">
        <v>36</v>
      </c>
      <c r="C180" s="105">
        <f>C171*COS($C$100*C141)</f>
        <v>-0.27100899633186049</v>
      </c>
      <c r="D180" s="106">
        <f>D171*COS($C$100*D141)</f>
        <v>-0.26343395439518069</v>
      </c>
      <c r="E180" s="107">
        <f>E173*COS($C$100*C$141)-E174*SIN($C$100*C$141)</f>
        <v>-1.4324324511767302E-2</v>
      </c>
      <c r="F180" s="107">
        <f>F173*COS($C$100*C$141)-F174*SIN($C$100*C$141)</f>
        <v>4.0667298308206465E-2</v>
      </c>
      <c r="G180" s="107">
        <f>G164*COS($C$100*C$141)-G174*SIN($C$100*C$141)</f>
        <v>0.34953384979467517</v>
      </c>
      <c r="H180" s="107">
        <f>H173*COS($C$100*C$141)-H174*SIN($C$100*C$141)</f>
        <v>0.74677526825787821</v>
      </c>
      <c r="I180" s="107">
        <f>I173*COS($C$100*C$141)-I174*SIN($C$100*C$141)</f>
        <v>4.3940498433291824</v>
      </c>
      <c r="J180" s="107">
        <f>J173*COS($C$100*C$141)-J174*SIN($C$100*C$141)</f>
        <v>-1.3930179346059379</v>
      </c>
      <c r="K180" s="107">
        <f>K173*COS($C$100*C$141)-K174*SIN($C$100*C$141)</f>
        <v>14.691384369183471</v>
      </c>
      <c r="L180" s="107">
        <f>L173*COS($C$100*C$141)-L174*SIN($C$100*C$141)</f>
        <v>-0.23924457736550481</v>
      </c>
      <c r="M180" s="108">
        <f>M173*COS($C$100*C$141)-M174*SIN($C$100*C$141)</f>
        <v>-26.766577149271438</v>
      </c>
      <c r="N180" s="69"/>
      <c r="O180" s="84" t="s">
        <v>36</v>
      </c>
      <c r="P180" s="105">
        <f>P171*COS($C$100*P141)</f>
        <v>-0.25583890976457124</v>
      </c>
      <c r="Q180" s="106">
        <f>Q171*COS($C$100*Q141)</f>
        <v>-0.24822444782427375</v>
      </c>
      <c r="R180" s="107">
        <f>R173*COS($C$100*P$141)-R174*SIN($C$100*P$141)</f>
        <v>8.7204647387731302E-3</v>
      </c>
      <c r="S180" s="107">
        <f>S173*COS($C$100*P$141)-S174*SIN($C$100*P$141)</f>
        <v>3.9392879235644968E-2</v>
      </c>
      <c r="T180" s="107">
        <f>T164*COS($C$100*P$141)-T174*SIN($C$100*P$141)</f>
        <v>0.54204098792107569</v>
      </c>
      <c r="U180" s="107">
        <f>U173*COS($C$100*P$141)-U174*SIN($C$100*P$141)</f>
        <v>0.75363121106349917</v>
      </c>
      <c r="V180" s="107">
        <f>V173*COS($C$100*P$141)-V174*SIN($C$100*P$141)</f>
        <v>4.4102416486225859</v>
      </c>
      <c r="W180" s="107">
        <f>W173*COS($C$100*P$141)-W174*SIN($C$100*P$141)</f>
        <v>-1.372728829821118</v>
      </c>
      <c r="X180" s="107">
        <f>X173*COS($C$100*P$141)-X174*SIN($C$100*P$141)</f>
        <v>14.708367544707706</v>
      </c>
      <c r="Y180" s="107">
        <f>Y173*COS($C$100*P$141)-Y174*SIN($C$100*P$141)</f>
        <v>-0.22113426872008479</v>
      </c>
      <c r="Z180" s="108">
        <f>Z173*COS($C$100*P$141)-Z174*SIN($C$100*P$141)</f>
        <v>-26.751350977198864</v>
      </c>
      <c r="AB180" s="84" t="s">
        <v>36</v>
      </c>
      <c r="AC180" s="105">
        <f>AC171*COS($C$100*AC141)</f>
        <v>-0.24059115227096348</v>
      </c>
      <c r="AD180" s="106">
        <f>AD171*COS($C$100*AD141)</f>
        <v>-0.23293961049913545</v>
      </c>
      <c r="AE180" s="107">
        <f>AE173*COS($C$100*AC$141)-AE174*SIN($C$100*AC$141)</f>
        <v>2.9156669780667274E-2</v>
      </c>
      <c r="AF180" s="107">
        <f>AF173*COS($C$100*AC$141)-AF174*SIN($C$100*AC$141)</f>
        <v>3.7960829480999853E-2</v>
      </c>
      <c r="AG180" s="107">
        <f>AG164*COS($C$100*AC$141)-AG174*SIN($C$100*AC$141)</f>
        <v>0.69684003645828585</v>
      </c>
      <c r="AH180" s="107">
        <f>AH173*COS($C$100*AC$141)-AH174*SIN($C$100*AC$141)</f>
        <v>0.76049909641093427</v>
      </c>
      <c r="AI180" s="107">
        <f>AI173*COS($C$100*AC$141)-AI174*SIN($C$100*AC$141)</f>
        <v>4.4265007233480684</v>
      </c>
      <c r="AJ180" s="107">
        <f>AJ173*COS($C$100*AC$141)-AJ174*SIN($C$100*AC$141)</f>
        <v>-1.3523616867334738</v>
      </c>
      <c r="AK180" s="107">
        <f>AK173*COS($C$100*AC$141)-AK174*SIN($C$100*AC$141)</f>
        <v>14.725427789517431</v>
      </c>
      <c r="AL180" s="107">
        <f>AL173*COS($C$100*AC$141)-AL174*SIN($C$100*AC$141)</f>
        <v>-0.20294628951627713</v>
      </c>
      <c r="AM180" s="108">
        <f>AM173*COS($C$100*AC$141)-AM174*SIN($C$100*AC$141)</f>
        <v>-26.73604717561879</v>
      </c>
    </row>
    <row r="181" spans="2:39" ht="16" customHeight="1">
      <c r="B181" s="84" t="s">
        <v>35</v>
      </c>
      <c r="C181" s="105">
        <f>C171*SIN($C$100*C141)</f>
        <v>-0.11747842303796611</v>
      </c>
      <c r="D181" s="106">
        <f>D171*SIN($C$100*D141)</f>
        <v>-0.11419475254396909</v>
      </c>
      <c r="E181" s="107">
        <f>E173*SIN($C$100*C$141)+E174*COS($C$100*C$141)</f>
        <v>7.3184816789637081E-3</v>
      </c>
      <c r="F181" s="107">
        <f>F173*SIN($C$100*C$141)+F174*COS($C$100*C$141)</f>
        <v>6.2045093964475079E-2</v>
      </c>
      <c r="G181" s="107">
        <f>G164*SIN($C$100*C$141)+G174*COS($C$100*C$141)</f>
        <v>0.19569540661312929</v>
      </c>
      <c r="H181" s="107">
        <f>H173*SIN($C$100*C$141)+H174*COS($C$100*C$141)</f>
        <v>0.38189550563996394</v>
      </c>
      <c r="I181" s="107">
        <f>I173*SIN($C$100*C$141)+I174*COS($C$100*C$141)</f>
        <v>1.8676861324811849</v>
      </c>
      <c r="J181" s="107">
        <f>J173*SIN($C$100*C$141)+J174*COS($C$100*C$141)</f>
        <v>-0.98970626203380563</v>
      </c>
      <c r="K181" s="107">
        <f>K173*SIN($C$100*C$141)+K174*COS($C$100*C$141)</f>
        <v>6.281310555701193</v>
      </c>
      <c r="L181" s="107">
        <f t="shared" ref="L181:M181" si="116">L173*SIN($C$100*$C$141)+L174*COS($C$100*$C$141)</f>
        <v>-0.84372787199862598</v>
      </c>
      <c r="M181" s="108">
        <f t="shared" si="116"/>
        <v>-13.905300560423127</v>
      </c>
      <c r="N181" s="69"/>
      <c r="O181" s="84" t="s">
        <v>35</v>
      </c>
      <c r="P181" s="105">
        <f>P171*SIN($C$100*P141)</f>
        <v>-0.11090241312170394</v>
      </c>
      <c r="Q181" s="106">
        <f>Q171*SIN($C$100*Q141)</f>
        <v>-0.10760165469077769</v>
      </c>
      <c r="R181" s="107">
        <f>R173*SIN($C$100*P$141)+R174*COS($C$100*P$141)</f>
        <v>2.145137692939543E-2</v>
      </c>
      <c r="S181" s="107">
        <f>S173*SIN($C$100*P$141)+S174*COS($C$100*P$141)</f>
        <v>6.1856188284568195E-2</v>
      </c>
      <c r="T181" s="107">
        <f>T164*SIN($C$100*P$141)+T174*COS($C$100*P$141)</f>
        <v>0.30066540797618119</v>
      </c>
      <c r="U181" s="107">
        <f>U173*SIN($C$100*P$141)+U174*COS($C$100*P$141)</f>
        <v>0.38490391755596942</v>
      </c>
      <c r="V181" s="107">
        <f>V173*SIN($C$100*P$141)+V174*COS($C$100*P$141)</f>
        <v>1.8748845192706809</v>
      </c>
      <c r="W181" s="107">
        <f>W173*SIN($C$100*P$141)+W174*COS($C$100*P$141)</f>
        <v>-0.98103778710418976</v>
      </c>
      <c r="X181" s="107">
        <f>X173*SIN($C$100*P$141)+X174*COS($C$100*P$141)</f>
        <v>6.2887274179251982</v>
      </c>
      <c r="Y181" s="107">
        <f t="shared" ref="Y181:Z181" si="117">Y173*SIN($C$100*$C$141)+Y174*COS($C$100*$C$141)</f>
        <v>-0.83594858806795858</v>
      </c>
      <c r="Z181" s="108">
        <f t="shared" si="117"/>
        <v>-13.899680173600933</v>
      </c>
      <c r="AB181" s="84" t="s">
        <v>35</v>
      </c>
      <c r="AC181" s="105">
        <f>AC171*SIN($C$100*AC141)</f>
        <v>-0.10429273399865048</v>
      </c>
      <c r="AD181" s="106">
        <f>AD171*SIN($C$100*AD141)</f>
        <v>-0.10097590206133257</v>
      </c>
      <c r="AE181" s="107">
        <f>AE173*SIN($C$100*AC$141)+AE174*COS($C$100*AC$141)</f>
        <v>3.4274041890350722E-2</v>
      </c>
      <c r="AF181" s="107">
        <f>AF173*SIN($C$100*AC$141)+AF174*COS($C$100*AC$141)</f>
        <v>6.1563263342690383E-2</v>
      </c>
      <c r="AG181" s="107">
        <f>AG164*SIN($C$100*AC$141)+AG174*COS($C$100*AC$141)</f>
        <v>0.38471628948950498</v>
      </c>
      <c r="AH181" s="107">
        <f>AH173*SIN($C$100*AC$141)+AH174*COS($C$100*AC$141)</f>
        <v>0.38791371622091309</v>
      </c>
      <c r="AI181" s="107">
        <f>AI173*SIN($C$100*AC$141)+AI174*COS($C$100*AC$141)</f>
        <v>1.8821121486423711</v>
      </c>
      <c r="AJ181" s="107">
        <f>AJ173*SIN($C$100*AC$141)+AJ174*COS($C$100*AC$141)</f>
        <v>-0.97233535508221602</v>
      </c>
      <c r="AK181" s="107">
        <f>AK173*SIN($C$100*AC$141)+AK174*COS($C$100*AC$141)</f>
        <v>6.2961776920324111</v>
      </c>
      <c r="AL181" s="107">
        <f t="shared" ref="AL181:AM181" si="118">AL173*SIN($C$100*$C$141)+AL174*COS($C$100*$C$141)</f>
        <v>-0.82813562683357222</v>
      </c>
      <c r="AM181" s="108">
        <f t="shared" si="118"/>
        <v>-13.894026120368135</v>
      </c>
    </row>
    <row r="182" spans="2:39" ht="16" customHeight="1">
      <c r="B182" s="84" t="s">
        <v>34</v>
      </c>
      <c r="C182" s="105">
        <f t="shared" ref="C182:M182" si="119">ATAN2(C179,C180)</f>
        <v>-0.27893997082819583</v>
      </c>
      <c r="D182" s="106">
        <f t="shared" si="119"/>
        <v>-0.27079947068473381</v>
      </c>
      <c r="E182" s="107">
        <f t="shared" si="119"/>
        <v>-1.3477570406359506E-2</v>
      </c>
      <c r="F182" s="107">
        <f t="shared" si="119"/>
        <v>0.12484910661553358</v>
      </c>
      <c r="G182" s="107">
        <f t="shared" si="119"/>
        <v>0.36443925445553055</v>
      </c>
      <c r="H182" s="107">
        <f t="shared" si="119"/>
        <v>1.9069609579724276</v>
      </c>
      <c r="I182" s="107">
        <f t="shared" si="119"/>
        <v>1.2397079647437943</v>
      </c>
      <c r="J182" s="107">
        <f t="shared" si="119"/>
        <v>-0.13220129025615071</v>
      </c>
      <c r="K182" s="107">
        <f t="shared" si="119"/>
        <v>0.89687772173986624</v>
      </c>
      <c r="L182" s="107">
        <f t="shared" si="119"/>
        <v>-7.7643576729433204E-3</v>
      </c>
      <c r="M182" s="108">
        <f t="shared" si="119"/>
        <v>-0.94129464007277441</v>
      </c>
      <c r="N182" s="69"/>
      <c r="O182" s="84" t="s">
        <v>34</v>
      </c>
      <c r="P182" s="105">
        <f t="shared" ref="P182:Z182" si="120">ATAN2(P179,P180)</f>
        <v>-0.26266733477740878</v>
      </c>
      <c r="Q182" s="106">
        <f t="shared" si="120"/>
        <v>-0.25454339273903387</v>
      </c>
      <c r="R182" s="107">
        <f t="shared" si="120"/>
        <v>8.4187880408686088E-3</v>
      </c>
      <c r="S182" s="107">
        <f t="shared" si="120"/>
        <v>0.12271742486052266</v>
      </c>
      <c r="T182" s="107">
        <f t="shared" si="120"/>
        <v>0.60448471059002828</v>
      </c>
      <c r="U182" s="107">
        <f t="shared" si="120"/>
        <v>1.9085659860737585</v>
      </c>
      <c r="V182" s="107">
        <f t="shared" si="120"/>
        <v>1.2413109575380272</v>
      </c>
      <c r="W182" s="107">
        <f t="shared" si="120"/>
        <v>-0.13022702083953261</v>
      </c>
      <c r="X182" s="107">
        <f t="shared" si="120"/>
        <v>0.89736035196300912</v>
      </c>
      <c r="Y182" s="107">
        <f t="shared" si="120"/>
        <v>-7.1754062720783586E-3</v>
      </c>
      <c r="Z182" s="108">
        <f t="shared" si="120"/>
        <v>-0.94087842495115848</v>
      </c>
      <c r="AB182" s="84" t="s">
        <v>34</v>
      </c>
      <c r="AC182" s="105">
        <f t="shared" ref="AC182:AM182" si="121">ATAN2(AC179,AC180)</f>
        <v>-0.24642747046909969</v>
      </c>
      <c r="AD182" s="106">
        <f t="shared" si="121"/>
        <v>-0.2383193955075564</v>
      </c>
      <c r="AE182" s="107">
        <f t="shared" si="121"/>
        <v>2.8925485210705978E-2</v>
      </c>
      <c r="AF182" s="107">
        <f t="shared" si="121"/>
        <v>0.11994691332126492</v>
      </c>
      <c r="AG182" s="107">
        <f t="shared" si="121"/>
        <v>0.85556937848176451</v>
      </c>
      <c r="AH182" s="107">
        <f t="shared" si="121"/>
        <v>1.9103805277844679</v>
      </c>
      <c r="AI182" s="107">
        <f t="shared" si="121"/>
        <v>1.2429673387170022</v>
      </c>
      <c r="AJ182" s="107">
        <f t="shared" si="121"/>
        <v>-0.128250108918497</v>
      </c>
      <c r="AK182" s="107">
        <f t="shared" si="121"/>
        <v>0.89785680426275838</v>
      </c>
      <c r="AL182" s="107">
        <f t="shared" si="121"/>
        <v>-6.584193250809574E-3</v>
      </c>
      <c r="AM182" s="108">
        <f t="shared" si="121"/>
        <v>-0.94046765886566341</v>
      </c>
    </row>
    <row r="183" spans="2:39" ht="16" customHeight="1">
      <c r="B183" s="84" t="s">
        <v>14</v>
      </c>
      <c r="C183" s="105">
        <f>MOD((C182/(2*PI()))*24+24,24)</f>
        <v>22.934527795602804</v>
      </c>
      <c r="D183" s="106">
        <f t="shared" ref="D183:M183" si="122">(D182/(2*PI()))*24</f>
        <v>-1.0343777843074606</v>
      </c>
      <c r="E183" s="107">
        <f t="shared" si="122"/>
        <v>-5.1480526824987841E-2</v>
      </c>
      <c r="F183" s="107">
        <f t="shared" si="122"/>
        <v>0.47688845900326132</v>
      </c>
      <c r="G183" s="107">
        <f t="shared" si="122"/>
        <v>1.3920554112797454</v>
      </c>
      <c r="H183" s="107">
        <f t="shared" si="122"/>
        <v>7.2840543058696303</v>
      </c>
      <c r="I183" s="107">
        <f t="shared" si="122"/>
        <v>4.735335613904831</v>
      </c>
      <c r="J183" s="107">
        <f t="shared" si="122"/>
        <v>-0.50497173185742728</v>
      </c>
      <c r="K183" s="107">
        <f t="shared" si="122"/>
        <v>3.4258205463335316</v>
      </c>
      <c r="L183" s="107">
        <f t="shared" si="122"/>
        <v>-2.965766168597796E-2</v>
      </c>
      <c r="M183" s="108">
        <f t="shared" si="122"/>
        <v>-3.5954806769637244</v>
      </c>
      <c r="N183" s="69"/>
      <c r="O183" s="84" t="s">
        <v>14</v>
      </c>
      <c r="P183" s="105">
        <f>MOD((P182/(2*PI()))*24+24,24)</f>
        <v>22.996684686753639</v>
      </c>
      <c r="Q183" s="106">
        <f t="shared" ref="Q183:Z183" si="123">(Q182/(2*PI()))*24</f>
        <v>-0.97228414045917355</v>
      </c>
      <c r="R183" s="107">
        <f t="shared" si="123"/>
        <v>3.2157401557132134E-2</v>
      </c>
      <c r="S183" s="107">
        <f t="shared" si="123"/>
        <v>0.46874603448145025</v>
      </c>
      <c r="T183" s="107">
        <f t="shared" si="123"/>
        <v>2.3089615131330428</v>
      </c>
      <c r="U183" s="107">
        <f t="shared" si="123"/>
        <v>7.2901850616167074</v>
      </c>
      <c r="V183" s="107">
        <f t="shared" si="123"/>
        <v>4.7414585953514603</v>
      </c>
      <c r="W183" s="107">
        <f t="shared" si="123"/>
        <v>-0.49743057817782915</v>
      </c>
      <c r="X183" s="107">
        <f t="shared" si="123"/>
        <v>3.427664057990301</v>
      </c>
      <c r="Y183" s="107">
        <f t="shared" si="123"/>
        <v>-2.740803304545264E-2</v>
      </c>
      <c r="Z183" s="108">
        <f t="shared" si="123"/>
        <v>-3.5938908523078501</v>
      </c>
      <c r="AB183" s="84" t="s">
        <v>14</v>
      </c>
      <c r="AC183" s="105">
        <f>MOD((AC182/(2*PI()))*24+24,24)</f>
        <v>23.058716399069056</v>
      </c>
      <c r="AD183" s="106">
        <f t="shared" ref="AD183:AM183" si="124">(AD182/(2*PI()))*24</f>
        <v>-0.91031303591280088</v>
      </c>
      <c r="AE183" s="107">
        <f t="shared" si="124"/>
        <v>0.11048721486276888</v>
      </c>
      <c r="AF183" s="107">
        <f t="shared" si="124"/>
        <v>0.45816345992866614</v>
      </c>
      <c r="AG183" s="107">
        <f t="shared" si="124"/>
        <v>3.2680342978424042</v>
      </c>
      <c r="AH183" s="107">
        <f t="shared" si="124"/>
        <v>7.2971161004016469</v>
      </c>
      <c r="AI183" s="107">
        <f t="shared" si="124"/>
        <v>4.7477855054061386</v>
      </c>
      <c r="AJ183" s="107">
        <f t="shared" si="124"/>
        <v>-0.48987933087486646</v>
      </c>
      <c r="AK183" s="107">
        <f t="shared" si="124"/>
        <v>3.4295603660906475</v>
      </c>
      <c r="AL183" s="107">
        <f t="shared" si="124"/>
        <v>-2.5149765651327337E-2</v>
      </c>
      <c r="AM183" s="108">
        <f t="shared" si="124"/>
        <v>-3.5923218414367843</v>
      </c>
    </row>
    <row r="184" spans="2:39" ht="16" customHeight="1">
      <c r="B184" s="84" t="s">
        <v>33</v>
      </c>
      <c r="C184" s="105">
        <f t="shared" ref="C184:M184" si="125">MOD((C182+2*PI())/(2*PI())*360,360)</f>
        <v>344.01791693404209</v>
      </c>
      <c r="D184" s="106">
        <f t="shared" si="125"/>
        <v>344.48433323538808</v>
      </c>
      <c r="E184" s="107">
        <f t="shared" si="125"/>
        <v>359.22779209762518</v>
      </c>
      <c r="F184" s="107">
        <f t="shared" si="125"/>
        <v>7.153326885048898</v>
      </c>
      <c r="G184" s="107">
        <f t="shared" si="125"/>
        <v>20.880831169196199</v>
      </c>
      <c r="H184" s="107">
        <f t="shared" si="125"/>
        <v>109.26081458804447</v>
      </c>
      <c r="I184" s="107">
        <f t="shared" si="125"/>
        <v>71.030034208572488</v>
      </c>
      <c r="J184" s="107">
        <f t="shared" si="125"/>
        <v>352.4254240221386</v>
      </c>
      <c r="K184" s="107">
        <f t="shared" si="125"/>
        <v>51.387308195003015</v>
      </c>
      <c r="L184" s="107">
        <f t="shared" si="125"/>
        <v>359.55513507471028</v>
      </c>
      <c r="M184" s="108">
        <f t="shared" si="125"/>
        <v>306.0677898455441</v>
      </c>
      <c r="N184" s="69"/>
      <c r="O184" s="84" t="s">
        <v>33</v>
      </c>
      <c r="P184" s="105">
        <f t="shared" ref="P184:Z184" si="126">MOD((P182+2*PI())/(2*PI())*360,360)</f>
        <v>344.95027030130461</v>
      </c>
      <c r="Q184" s="106">
        <f t="shared" si="126"/>
        <v>345.41573789311241</v>
      </c>
      <c r="R184" s="107">
        <f t="shared" si="126"/>
        <v>0.48236102335698661</v>
      </c>
      <c r="S184" s="107">
        <f t="shared" si="126"/>
        <v>7.0311905172217735</v>
      </c>
      <c r="T184" s="107">
        <f t="shared" si="126"/>
        <v>34.634422696995614</v>
      </c>
      <c r="U184" s="107">
        <f t="shared" si="126"/>
        <v>109.35277592425064</v>
      </c>
      <c r="V184" s="107">
        <f t="shared" si="126"/>
        <v>71.121878930271919</v>
      </c>
      <c r="W184" s="107">
        <f t="shared" si="126"/>
        <v>352.53854132733255</v>
      </c>
      <c r="X184" s="107">
        <f t="shared" si="126"/>
        <v>51.414960869854553</v>
      </c>
      <c r="Y184" s="107">
        <f t="shared" si="126"/>
        <v>359.58887950431819</v>
      </c>
      <c r="Z184" s="108">
        <f t="shared" si="126"/>
        <v>306.09163721538226</v>
      </c>
      <c r="AB184" s="84" t="s">
        <v>33</v>
      </c>
      <c r="AC184" s="105">
        <f t="shared" ref="AC184:AM184" si="127">MOD((AC182+2*PI())/(2*PI())*360,360)</f>
        <v>345.88074598603583</v>
      </c>
      <c r="AD184" s="106">
        <f t="shared" si="127"/>
        <v>346.34530446130799</v>
      </c>
      <c r="AE184" s="107">
        <f t="shared" si="127"/>
        <v>1.6573082229415377</v>
      </c>
      <c r="AF184" s="107">
        <f t="shared" si="127"/>
        <v>6.8724518989299668</v>
      </c>
      <c r="AG184" s="107">
        <f t="shared" si="127"/>
        <v>49.020514467636076</v>
      </c>
      <c r="AH184" s="107">
        <f t="shared" si="127"/>
        <v>109.4567415060248</v>
      </c>
      <c r="AI184" s="107">
        <f t="shared" si="127"/>
        <v>71.216782581092048</v>
      </c>
      <c r="AJ184" s="107">
        <f t="shared" si="127"/>
        <v>352.65181003687701</v>
      </c>
      <c r="AK184" s="107">
        <f t="shared" si="127"/>
        <v>51.44340549135967</v>
      </c>
      <c r="AL184" s="107">
        <f t="shared" si="127"/>
        <v>359.6227535152301</v>
      </c>
      <c r="AM184" s="108">
        <f t="shared" si="127"/>
        <v>306.11517237844822</v>
      </c>
    </row>
    <row r="185" spans="2:39" ht="16" customHeight="1">
      <c r="B185" s="84" t="s">
        <v>32</v>
      </c>
      <c r="C185" s="105">
        <f>ATAN2(SQRT(C179*C179+C180*C180),C181)</f>
        <v>-0.11879248092240699</v>
      </c>
      <c r="D185" s="106">
        <f t="shared" ref="D185:M185" si="128">ATAN2(SQRT(D179*D179+D180*D180),D181)</f>
        <v>-0.11544254682091824</v>
      </c>
      <c r="E185" s="107">
        <f t="shared" si="128"/>
        <v>6.8855468326312497E-3</v>
      </c>
      <c r="F185" s="107">
        <f t="shared" si="128"/>
        <v>0.18774722331448682</v>
      </c>
      <c r="G185" s="107">
        <f t="shared" si="128"/>
        <v>0.19696651765260251</v>
      </c>
      <c r="H185" s="107">
        <f t="shared" si="128"/>
        <v>0.44976763188825947</v>
      </c>
      <c r="I185" s="107">
        <f t="shared" si="128"/>
        <v>0.38219844668833108</v>
      </c>
      <c r="J185" s="107">
        <f t="shared" si="128"/>
        <v>-9.3380161946370804E-2</v>
      </c>
      <c r="K185" s="107">
        <f t="shared" si="128"/>
        <v>0.32242282742843664</v>
      </c>
      <c r="L185" s="107">
        <f t="shared" si="128"/>
        <v>-2.7374926322556864E-2</v>
      </c>
      <c r="M185" s="108">
        <f t="shared" si="128"/>
        <v>-0.3975639615552608</v>
      </c>
      <c r="N185" s="69"/>
      <c r="O185" s="84" t="s">
        <v>32</v>
      </c>
      <c r="P185" s="105">
        <f>ATAN2(SQRT(P179*P179+P180*P180),P181)</f>
        <v>-0.11208587958670216</v>
      </c>
      <c r="Q185" s="106">
        <f t="shared" ref="Q185:Z185" si="129">ATAN2(SQRT(Q179*Q179+Q180*Q180),Q181)</f>
        <v>-0.10872271319370556</v>
      </c>
      <c r="R185" s="107">
        <f t="shared" si="129"/>
        <v>2.0706081355665762E-2</v>
      </c>
      <c r="S185" s="107">
        <f t="shared" si="129"/>
        <v>0.18989624990289128</v>
      </c>
      <c r="T185" s="107">
        <f t="shared" si="129"/>
        <v>0.30539026768814825</v>
      </c>
      <c r="U185" s="107">
        <f t="shared" si="129"/>
        <v>0.44904201075527533</v>
      </c>
      <c r="V185" s="107">
        <f t="shared" si="129"/>
        <v>0.38244703728830021</v>
      </c>
      <c r="W185" s="107">
        <f t="shared" si="129"/>
        <v>-9.2540457392131223E-2</v>
      </c>
      <c r="X185" s="107">
        <f t="shared" si="129"/>
        <v>0.32254607435410604</v>
      </c>
      <c r="Y185" s="107">
        <f t="shared" si="129"/>
        <v>-2.7118134530498564E-2</v>
      </c>
      <c r="Z185" s="108">
        <f t="shared" si="129"/>
        <v>-0.39751450715299602</v>
      </c>
      <c r="AB185" s="84" t="s">
        <v>32</v>
      </c>
      <c r="AC185" s="105">
        <f>ATAN2(SQRT(AC179*AC179+AC180*AC180),AC181)</f>
        <v>-0.10535328751490121</v>
      </c>
      <c r="AD185" s="106">
        <f t="shared" ref="AD185:AM185" si="130">ATAN2(SQRT(AD179*AD179+AD180*AD180),AD181)</f>
        <v>-0.1019778355993123</v>
      </c>
      <c r="AE185" s="107">
        <f t="shared" si="130"/>
        <v>3.3984450701577365E-2</v>
      </c>
      <c r="AF185" s="107">
        <f t="shared" si="130"/>
        <v>0.19167630482456294</v>
      </c>
      <c r="AG185" s="107">
        <f t="shared" si="130"/>
        <v>0.39490043580319517</v>
      </c>
      <c r="AH185" s="107">
        <f t="shared" si="130"/>
        <v>0.44829092339906618</v>
      </c>
      <c r="AI185" s="107">
        <f t="shared" si="130"/>
        <v>0.38270073380676994</v>
      </c>
      <c r="AJ185" s="107">
        <f t="shared" si="130"/>
        <v>-9.1700149998771893E-2</v>
      </c>
      <c r="AK185" s="107">
        <f t="shared" si="130"/>
        <v>0.32267256481667989</v>
      </c>
      <c r="AL185" s="107">
        <f t="shared" si="130"/>
        <v>-2.6860575936581411E-2</v>
      </c>
      <c r="AM185" s="108">
        <f t="shared" si="130"/>
        <v>-0.39746661058490296</v>
      </c>
    </row>
    <row r="186" spans="2:39" ht="16" customHeight="1">
      <c r="B186" s="84" t="s">
        <v>31</v>
      </c>
      <c r="C186" s="105">
        <f t="shared" ref="C186:M186" si="131">(C185)/(2*PI())*360</f>
        <v>-6.8063077947422697</v>
      </c>
      <c r="D186" s="106">
        <f t="shared" si="131"/>
        <v>-6.6143707090800152</v>
      </c>
      <c r="E186" s="107">
        <f t="shared" si="131"/>
        <v>0.3945127731494425</v>
      </c>
      <c r="F186" s="107">
        <f t="shared" si="131"/>
        <v>10.757123511220266</v>
      </c>
      <c r="G186" s="107">
        <f t="shared" si="131"/>
        <v>11.285350166883152</v>
      </c>
      <c r="H186" s="107">
        <f t="shared" si="131"/>
        <v>25.76978706879089</v>
      </c>
      <c r="I186" s="107">
        <f t="shared" si="131"/>
        <v>21.898357931697166</v>
      </c>
      <c r="J186" s="107">
        <f t="shared" si="131"/>
        <v>-5.3502891697751824</v>
      </c>
      <c r="K186" s="107">
        <f t="shared" si="131"/>
        <v>18.473467230324296</v>
      </c>
      <c r="L186" s="107">
        <f t="shared" si="131"/>
        <v>-1.5684677427640916</v>
      </c>
      <c r="M186" s="108">
        <f t="shared" si="131"/>
        <v>-22.778737083617759</v>
      </c>
      <c r="N186" s="69"/>
      <c r="O186" s="84" t="s">
        <v>31</v>
      </c>
      <c r="P186" s="105">
        <f t="shared" ref="P186:Z186" si="132">(P185)/(2*PI())*360</f>
        <v>-6.4220478433295822</v>
      </c>
      <c r="Q186" s="106">
        <f t="shared" si="132"/>
        <v>-6.229352603210641</v>
      </c>
      <c r="R186" s="107">
        <f t="shared" si="132"/>
        <v>1.1863710719341702</v>
      </c>
      <c r="S186" s="107">
        <f t="shared" si="132"/>
        <v>10.880253664797239</v>
      </c>
      <c r="T186" s="107">
        <f t="shared" si="132"/>
        <v>17.497573442901331</v>
      </c>
      <c r="U186" s="107">
        <f t="shared" si="132"/>
        <v>25.728212040345397</v>
      </c>
      <c r="V186" s="107">
        <f t="shared" si="132"/>
        <v>21.912601123902022</v>
      </c>
      <c r="W186" s="107">
        <f t="shared" si="132"/>
        <v>-5.3021776427793403</v>
      </c>
      <c r="X186" s="107">
        <f t="shared" si="132"/>
        <v>18.480528759003114</v>
      </c>
      <c r="Y186" s="107">
        <f t="shared" si="132"/>
        <v>-1.55375465686555</v>
      </c>
      <c r="Z186" s="108">
        <f t="shared" si="132"/>
        <v>-22.775903555089645</v>
      </c>
      <c r="AB186" s="84" t="s">
        <v>31</v>
      </c>
      <c r="AC186" s="105">
        <f t="shared" ref="AC186:AM186" si="133">(AC185)/(2*PI())*360</f>
        <v>-6.0362987324321482</v>
      </c>
      <c r="AD186" s="106">
        <f t="shared" si="133"/>
        <v>-5.8428995837195545</v>
      </c>
      <c r="AE186" s="107">
        <f t="shared" si="133"/>
        <v>1.9471655942707926</v>
      </c>
      <c r="AF186" s="107">
        <f t="shared" si="133"/>
        <v>10.982243299110516</v>
      </c>
      <c r="AG186" s="107">
        <f t="shared" si="133"/>
        <v>22.626128299399991</v>
      </c>
      <c r="AH186" s="107">
        <f t="shared" si="133"/>
        <v>25.685177904788972</v>
      </c>
      <c r="AI186" s="107">
        <f t="shared" si="133"/>
        <v>21.927136863687501</v>
      </c>
      <c r="AJ186" s="107">
        <f t="shared" si="133"/>
        <v>-5.254031575646211</v>
      </c>
      <c r="AK186" s="107">
        <f t="shared" si="133"/>
        <v>18.487776128657256</v>
      </c>
      <c r="AL186" s="107">
        <f t="shared" si="133"/>
        <v>-1.5389976364567732</v>
      </c>
      <c r="AM186" s="108">
        <f t="shared" si="133"/>
        <v>-22.773159283884752</v>
      </c>
    </row>
    <row r="187" spans="2:39" ht="16" customHeight="1">
      <c r="B187" s="85" t="s">
        <v>30</v>
      </c>
      <c r="C187" s="109">
        <f>SQRT(C179*C179+C180*C180+C100*C100)</f>
        <v>0.98443670199182931</v>
      </c>
      <c r="D187" s="110">
        <f t="shared" ref="D187:M187" si="134">SQRT(D179*D179+D180*D180+D181*D181)</f>
        <v>0.99139178621645496</v>
      </c>
      <c r="E187" s="111">
        <f t="shared" si="134"/>
        <v>1.0628842830208056</v>
      </c>
      <c r="F187" s="111">
        <f t="shared" si="134"/>
        <v>0.33242091270401164</v>
      </c>
      <c r="G187" s="111">
        <f t="shared" si="134"/>
        <v>1</v>
      </c>
      <c r="H187" s="111">
        <f t="shared" si="134"/>
        <v>0.87841284163940481</v>
      </c>
      <c r="I187" s="111">
        <f t="shared" si="134"/>
        <v>5.0077224575774641</v>
      </c>
      <c r="J187" s="111">
        <f t="shared" si="134"/>
        <v>10.614096774967182</v>
      </c>
      <c r="K187" s="111">
        <f t="shared" si="134"/>
        <v>19.823272574797421</v>
      </c>
      <c r="L187" s="111">
        <f t="shared" si="134"/>
        <v>30.825042266611216</v>
      </c>
      <c r="M187" s="112">
        <f t="shared" si="134"/>
        <v>35.914912537388155</v>
      </c>
      <c r="N187" s="69"/>
      <c r="O187" s="85" t="s">
        <v>30</v>
      </c>
      <c r="P187" s="109">
        <f>SQRT(P179*P179+P180*P180+P100*P100)</f>
        <v>0.98529442517614196</v>
      </c>
      <c r="Q187" s="110">
        <f t="shared" ref="Q187:Z187" si="135">SQRT(Q179*Q179+Q180*Q180+Q181*Q181)</f>
        <v>0.99164131175655845</v>
      </c>
      <c r="R187" s="111">
        <f t="shared" si="135"/>
        <v>1.0360680752636098</v>
      </c>
      <c r="S187" s="111">
        <f t="shared" si="135"/>
        <v>0.32770273263644667</v>
      </c>
      <c r="T187" s="111">
        <f t="shared" si="135"/>
        <v>1</v>
      </c>
      <c r="U187" s="111">
        <f t="shared" si="135"/>
        <v>0.88666553642760348</v>
      </c>
      <c r="V187" s="111">
        <f t="shared" si="135"/>
        <v>5.0239162555356547</v>
      </c>
      <c r="W187" s="111">
        <f t="shared" si="135"/>
        <v>10.616323279929995</v>
      </c>
      <c r="X187" s="111">
        <f t="shared" si="135"/>
        <v>19.839360685171364</v>
      </c>
      <c r="Y187" s="111">
        <f t="shared" si="135"/>
        <v>30.829961935850211</v>
      </c>
      <c r="Z187" s="112">
        <f t="shared" si="135"/>
        <v>35.904624600825578</v>
      </c>
      <c r="AB187" s="85" t="s">
        <v>30</v>
      </c>
      <c r="AC187" s="109">
        <f>SQRT(AC179*AC179+AC180*AC180+AC100*AC100)</f>
        <v>0.98626812053331969</v>
      </c>
      <c r="AD187" s="110">
        <f t="shared" ref="AD187:AM187" si="136">SQRT(AD179*AD179+AD180*AD180+AD181*AD181)</f>
        <v>0.9918932890689679</v>
      </c>
      <c r="AE187" s="111">
        <f t="shared" si="136"/>
        <v>1.0087154418728446</v>
      </c>
      <c r="AF187" s="111">
        <f t="shared" si="136"/>
        <v>0.32315864960475643</v>
      </c>
      <c r="AG187" s="111">
        <f t="shared" si="136"/>
        <v>1</v>
      </c>
      <c r="AH187" s="111">
        <f t="shared" si="136"/>
        <v>0.89499417703098161</v>
      </c>
      <c r="AI187" s="111">
        <f t="shared" si="136"/>
        <v>5.0401047407727644</v>
      </c>
      <c r="AJ187" s="111">
        <f t="shared" si="136"/>
        <v>10.618296783503917</v>
      </c>
      <c r="AK187" s="111">
        <f t="shared" si="136"/>
        <v>19.85534998854498</v>
      </c>
      <c r="AL187" s="111">
        <f t="shared" si="136"/>
        <v>30.834603813979495</v>
      </c>
      <c r="AM187" s="112">
        <f t="shared" si="136"/>
        <v>35.894114156787431</v>
      </c>
    </row>
    <row r="188" spans="2:39" ht="16" customHeight="1">
      <c r="B188" s="69"/>
      <c r="C188" s="69"/>
      <c r="D188" s="69"/>
      <c r="E188" s="69"/>
      <c r="F188" s="69"/>
      <c r="G188" s="113"/>
      <c r="H188" s="69"/>
      <c r="I188" s="69"/>
      <c r="J188" s="69"/>
      <c r="K188" s="69"/>
      <c r="L188" s="69"/>
      <c r="M188" s="69"/>
      <c r="N188" s="69"/>
      <c r="O188" s="69"/>
    </row>
    <row r="189" spans="2:39" ht="16" customHeight="1"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</row>
    <row r="190" spans="2:39" ht="16"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</row>
    <row r="191" spans="2:39" ht="16"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</row>
    <row r="192" spans="2:39" ht="16"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</row>
    <row r="193" spans="2:15" ht="16"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</row>
    <row r="194" spans="2:15" ht="16"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</row>
    <row r="195" spans="2:15" ht="16"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</row>
    <row r="196" spans="2:15" ht="16"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</row>
    <row r="197" spans="2:15" ht="16"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</row>
    <row r="198" spans="2:15" ht="16"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</row>
    <row r="199" spans="2:15" ht="16"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</row>
    <row r="200" spans="2:15" ht="16"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</row>
    <row r="201" spans="2:15" ht="16"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</row>
    <row r="202" spans="2:15" ht="16"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</row>
    <row r="203" spans="2:15" ht="16"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</row>
    <row r="204" spans="2:15" ht="16"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</row>
    <row r="205" spans="2:15" ht="16"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</row>
    <row r="206" spans="2:15" ht="16"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</row>
    <row r="207" spans="2:15" ht="16"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</row>
    <row r="208" spans="2:15" ht="16"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</row>
    <row r="209" spans="2:15" ht="16"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</row>
    <row r="210" spans="2:15" ht="16"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</row>
    <row r="211" spans="2:15" ht="16"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</row>
    <row r="212" spans="2:15" ht="16"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</row>
    <row r="213" spans="2:15" ht="16"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</row>
    <row r="214" spans="2:15" ht="16"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</row>
    <row r="215" spans="2:15" ht="16"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</row>
    <row r="216" spans="2:15" ht="16"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</row>
    <row r="217" spans="2:15" ht="16"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</row>
    <row r="218" spans="2:15" ht="16"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</row>
    <row r="219" spans="2:15" ht="16"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</row>
    <row r="220" spans="2:15" ht="16"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</row>
    <row r="221" spans="2:15" ht="16"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</row>
    <row r="222" spans="2:15" ht="16"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</row>
    <row r="223" spans="2:15" ht="16"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</row>
    <row r="224" spans="2:15" ht="16"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</row>
    <row r="225" spans="2:15" ht="16"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</row>
    <row r="226" spans="2:15" ht="16"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</row>
    <row r="227" spans="2:15" ht="16">
      <c r="B227" s="69"/>
      <c r="C227" s="95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</row>
    <row r="228" spans="2:15" ht="16"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</row>
    <row r="229" spans="2:15" ht="16">
      <c r="B229" s="69"/>
      <c r="C229" s="69"/>
      <c r="D229" s="69"/>
      <c r="E229" s="69"/>
      <c r="F229" s="2"/>
      <c r="G229" s="69"/>
      <c r="H229" s="69"/>
      <c r="I229" s="69"/>
      <c r="J229" s="69"/>
      <c r="K229" s="69"/>
      <c r="L229" s="69"/>
      <c r="M229" s="69"/>
      <c r="N229" s="69"/>
      <c r="O229" s="69"/>
    </row>
    <row r="230" spans="2:15" ht="16">
      <c r="B230" s="69"/>
      <c r="C230" s="69"/>
      <c r="D230" s="2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</row>
    <row r="231" spans="2:15" ht="16">
      <c r="B231" s="69"/>
      <c r="C231" s="2"/>
      <c r="D231" s="69"/>
      <c r="E231" s="69"/>
      <c r="F231" s="69"/>
      <c r="G231" s="2"/>
      <c r="H231" s="69"/>
      <c r="I231" s="69"/>
      <c r="J231" s="69"/>
      <c r="K231" s="69"/>
      <c r="L231" s="69"/>
      <c r="M231" s="69"/>
      <c r="N231" s="69"/>
      <c r="O231" s="69"/>
    </row>
    <row r="232" spans="2:15" ht="16"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</row>
    <row r="233" spans="2:15" ht="16"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</row>
    <row r="234" spans="2:15" ht="16"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</row>
    <row r="235" spans="2:15" ht="16"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</row>
    <row r="236" spans="2:15" ht="16"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</row>
    <row r="237" spans="2:15" ht="16">
      <c r="B237" s="69"/>
      <c r="C237" s="114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</row>
    <row r="238" spans="2:15" ht="16"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</row>
    <row r="239" spans="2:15" ht="16"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</row>
    <row r="240" spans="2:15" ht="16"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</row>
    <row r="241" spans="2:15" ht="16"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</row>
    <row r="242" spans="2:15" ht="16"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</row>
    <row r="243" spans="2:15" ht="16"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</row>
    <row r="244" spans="2:15" ht="16"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</row>
    <row r="245" spans="2:15" ht="16"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</row>
    <row r="246" spans="2:15" ht="16"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</row>
    <row r="247" spans="2:15" ht="16"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</row>
    <row r="248" spans="2:15" ht="16"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</row>
    <row r="249" spans="2:15" ht="16"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</row>
    <row r="250" spans="2:15" ht="16"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</row>
    <row r="251" spans="2:15" ht="16"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</row>
    <row r="252" spans="2:15" ht="16"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</row>
    <row r="253" spans="2:15" ht="16"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</row>
    <row r="254" spans="2:15" ht="16"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</row>
    <row r="255" spans="2:15" ht="16"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</row>
    <row r="256" spans="2:15" ht="16"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</row>
    <row r="257" spans="2:15" ht="16"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</row>
    <row r="258" spans="2:15" ht="16"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</row>
    <row r="259" spans="2:15" ht="16"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</row>
    <row r="260" spans="2:15" ht="16"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</row>
    <row r="261" spans="2:15" ht="16"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</row>
    <row r="262" spans="2:15" ht="16"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</row>
    <row r="263" spans="2:15" ht="16">
      <c r="B263" s="69"/>
      <c r="C263" s="69"/>
      <c r="D263" s="95"/>
      <c r="E263" s="69"/>
      <c r="F263" s="95"/>
      <c r="G263" s="69"/>
      <c r="H263" s="69"/>
      <c r="I263" s="69"/>
      <c r="J263" s="69"/>
      <c r="K263" s="69"/>
      <c r="L263" s="69"/>
      <c r="M263" s="69"/>
      <c r="N263" s="69"/>
      <c r="O263" s="69"/>
    </row>
    <row r="264" spans="2:15" ht="16"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</row>
    <row r="265" spans="2:15" ht="16"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</row>
    <row r="266" spans="2:15" ht="16"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</row>
    <row r="267" spans="2:15" ht="16">
      <c r="B267" s="69"/>
      <c r="C267" s="95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</row>
    <row r="268" spans="2:15" ht="16">
      <c r="B268" s="69"/>
      <c r="C268" s="69"/>
      <c r="D268" s="69"/>
      <c r="E268" s="69"/>
      <c r="F268" s="69"/>
      <c r="G268" s="95"/>
      <c r="H268" s="69"/>
      <c r="I268" s="69"/>
      <c r="J268" s="69"/>
      <c r="K268" s="69"/>
      <c r="L268" s="69"/>
      <c r="M268" s="69"/>
      <c r="N268" s="69"/>
      <c r="O268" s="69"/>
    </row>
    <row r="269" spans="2:15" ht="16"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</row>
    <row r="270" spans="2:15" ht="16"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</row>
    <row r="271" spans="2:15" ht="16"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</row>
    <row r="272" spans="2:15" ht="16"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</row>
    <row r="273" spans="2:15" ht="16"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</row>
    <row r="274" spans="2:15" ht="16"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</row>
    <row r="275" spans="2:15" ht="16"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</row>
    <row r="276" spans="2:15" ht="16"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</row>
  </sheetData>
  <sheetProtection sheet="1" objects="1" scenarios="1"/>
  <mergeCells count="22">
    <mergeCell ref="AQ66:AS66"/>
    <mergeCell ref="AV66:AX66"/>
    <mergeCell ref="I37:T37"/>
    <mergeCell ref="C66:E66"/>
    <mergeCell ref="H66:J66"/>
    <mergeCell ref="M66:O66"/>
    <mergeCell ref="R66:T66"/>
    <mergeCell ref="B102:M102"/>
    <mergeCell ref="O102:Z102"/>
    <mergeCell ref="AB102:AM102"/>
    <mergeCell ref="W66:Y66"/>
    <mergeCell ref="AB66:AD66"/>
    <mergeCell ref="AG66:AI66"/>
    <mergeCell ref="AL66:AN66"/>
    <mergeCell ref="C81:F81"/>
    <mergeCell ref="G81:J81"/>
    <mergeCell ref="K81:N81"/>
    <mergeCell ref="B2:C2"/>
    <mergeCell ref="C48:D48"/>
    <mergeCell ref="E48:F48"/>
    <mergeCell ref="G48:H48"/>
    <mergeCell ref="B17:E17"/>
  </mergeCells>
  <conditionalFormatting sqref="C27:C36">
    <cfRule type="expression" dxfId="1" priority="3">
      <formula>F27="Y"</formula>
    </cfRule>
  </conditionalFormatting>
  <conditionalFormatting sqref="E27:E36">
    <cfRule type="expression" dxfId="0" priority="1">
      <formula>G27="Y"</formula>
    </cfRule>
  </conditionalFormatting>
  <dataValidations count="2">
    <dataValidation type="list" allowBlank="1" showInputMessage="1" showErrorMessage="1" sqref="C11" xr:uid="{E8B782A2-F870-C245-89A4-3984AC37A5EA}">
      <formula1>$B$19:$B$23</formula1>
    </dataValidation>
    <dataValidation type="list" allowBlank="1" showInputMessage="1" showErrorMessage="1" sqref="H3" xr:uid="{C506310F-2472-954D-94C3-6D90D7CF4673}">
      <formula1>$B$27:$B$36</formula1>
    </dataValidation>
  </dataValidations>
  <hyperlinks>
    <hyperlink ref="B98" r:id="rId1" display="1. Orbital Elements (Paul Schlyter)" xr:uid="{67FA4905-ED79-C747-9ABE-BB07185C0E40}"/>
  </hyperlinks>
  <pageMargins left="0.7" right="0.7" top="0.75" bottom="0.75" header="0.3" footer="0.3"/>
  <pageSetup paperSize="9"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BA542-5B0C-E348-A76F-A871FF615F4E}">
  <dimension ref="A1"/>
  <sheetViews>
    <sheetView showGridLines="0" workbookViewId="0">
      <selection activeCell="L35" sqref="L35"/>
    </sheetView>
  </sheetViews>
  <sheetFormatPr baseColWidth="10" defaultRowHeight="16"/>
  <sheetData/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Rising, Transit, Setting</vt:lpstr>
      <vt:lpstr>Background</vt:lpstr>
    </vt:vector>
  </TitlesOfParts>
  <Manager/>
  <Company>Astronomy Morsels</Company>
  <LinksUpToDate>false</LinksUpToDate>
  <SharedDoc>false</SharedDoc>
  <HyperlinkBase>www.astronomy-morsels.ch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Rise, Transit and Set Times (our Solar System)</dc:title>
  <dc:subject/>
  <dc:creator>Anton Viola</dc:creator>
  <cp:keywords/>
  <dc:description/>
  <cp:lastModifiedBy>Anton Viola</cp:lastModifiedBy>
  <dcterms:created xsi:type="dcterms:W3CDTF">2016-06-12T12:50:56Z</dcterms:created>
  <dcterms:modified xsi:type="dcterms:W3CDTF">2025-01-31T22:53:24Z</dcterms:modified>
  <cp:category/>
</cp:coreProperties>
</file>