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202300"/>
  <mc:AlternateContent xmlns:mc="http://schemas.openxmlformats.org/markup-compatibility/2006">
    <mc:Choice Requires="x15">
      <x15ac:absPath xmlns:x15ac="http://schemas.microsoft.com/office/spreadsheetml/2010/11/ac" url="/Users/hanssassenburg/Library/CloudStorage/Dropbox/X_Private/20_Astronomy/Morsels/"/>
    </mc:Choice>
  </mc:AlternateContent>
  <xr:revisionPtr revIDLastSave="0" documentId="13_ncr:1_{4D6539BD-BD65-B445-A0DA-34FB5FEC19BE}" xr6:coauthVersionLast="47" xr6:coauthVersionMax="47" xr10:uidLastSave="{00000000-0000-0000-0000-000000000000}"/>
  <bookViews>
    <workbookView xWindow="9740" yWindow="4920" windowWidth="28440" windowHeight="19480" xr2:uid="{CC8EE947-C85F-0440-8208-92F294748D61}"/>
  </bookViews>
  <sheets>
    <sheet name="Introduction" sheetId="3" r:id="rId1"/>
    <sheet name="Moon Phase-Node Model" sheetId="7" r:id="rId2"/>
    <sheet name="Calculations" sheetId="5" r:id="rId3"/>
    <sheet name="Background" sheetId="6" r:id="rId4"/>
  </sheets>
  <externalReferences>
    <externalReference r:id="rId5"/>
  </externalReferences>
  <definedNames>
    <definedName name="A_B1" localSheetId="2">#REF!</definedName>
    <definedName name="A_B1" localSheetId="0">#REF!</definedName>
    <definedName name="A_B1" localSheetId="1">#REF!</definedName>
    <definedName name="A_B1">#REF!</definedName>
    <definedName name="A_B2" localSheetId="2">#REF!</definedName>
    <definedName name="A_B2" localSheetId="0">#REF!</definedName>
    <definedName name="A_B2" localSheetId="1">#REF!</definedName>
    <definedName name="A_B2">#REF!</definedName>
    <definedName name="A_B3" localSheetId="2">#REF!</definedName>
    <definedName name="A_B3" localSheetId="0">#REF!</definedName>
    <definedName name="A_B3" localSheetId="1">#REF!</definedName>
    <definedName name="A_B3">#REF!</definedName>
    <definedName name="A_C1" localSheetId="2">#REF!</definedName>
    <definedName name="A_C1" localSheetId="0">#REF!</definedName>
    <definedName name="A_C1">#REF!</definedName>
    <definedName name="A_C2" localSheetId="2">#REF!</definedName>
    <definedName name="A_C2" localSheetId="0">#REF!</definedName>
    <definedName name="A_C2">#REF!</definedName>
    <definedName name="A_CF" localSheetId="2">#REF!</definedName>
    <definedName name="A_CF" localSheetId="0">#REF!</definedName>
    <definedName name="A_CF">#REF!</definedName>
    <definedName name="A_D1" localSheetId="2">#REF!</definedName>
    <definedName name="A_D1" localSheetId="0">#REF!</definedName>
    <definedName name="A_D1">#REF!</definedName>
    <definedName name="A_D2" localSheetId="2">#REF!</definedName>
    <definedName name="A_D2" localSheetId="0">#REF!</definedName>
    <definedName name="A_D2">#REF!</definedName>
    <definedName name="A_E1" localSheetId="2">#REF!</definedName>
    <definedName name="A_E1" localSheetId="0">#REF!</definedName>
    <definedName name="A_E1">#REF!</definedName>
    <definedName name="A_E2" localSheetId="2">#REF!</definedName>
    <definedName name="A_E2" localSheetId="0">#REF!</definedName>
    <definedName name="A_E2">#REF!</definedName>
    <definedName name="A_E3" localSheetId="2">#REF!</definedName>
    <definedName name="A_E3" localSheetId="0">#REF!</definedName>
    <definedName name="A_E3">#REF!</definedName>
    <definedName name="A_E4" localSheetId="2">#REF!</definedName>
    <definedName name="A_E4" localSheetId="0">#REF!</definedName>
    <definedName name="A_E4">#REF!</definedName>
    <definedName name="A_E5" localSheetId="2">#REF!</definedName>
    <definedName name="A_E5" localSheetId="0">#REF!</definedName>
    <definedName name="A_E5">#REF!</definedName>
    <definedName name="A_E6" localSheetId="2">#REF!</definedName>
    <definedName name="A_E6" localSheetId="0">#REF!</definedName>
    <definedName name="A_E6">#REF!</definedName>
    <definedName name="A_F1" localSheetId="2">#REF!</definedName>
    <definedName name="A_F1" localSheetId="0">#REF!</definedName>
    <definedName name="A_F1">#REF!</definedName>
    <definedName name="A_F2" localSheetId="2">#REF!</definedName>
    <definedName name="A_F2" localSheetId="0">#REF!</definedName>
    <definedName name="A_F2">#REF!</definedName>
    <definedName name="A_G1" localSheetId="2">#REF!</definedName>
    <definedName name="A_G1" localSheetId="0">#REF!</definedName>
    <definedName name="A_G1">#REF!</definedName>
    <definedName name="A_G2" localSheetId="2">#REF!</definedName>
    <definedName name="A_G2" localSheetId="0">#REF!</definedName>
    <definedName name="A_G2">#REF!</definedName>
    <definedName name="A_H1" localSheetId="2">#REF!</definedName>
    <definedName name="A_H1" localSheetId="0">#REF!</definedName>
    <definedName name="A_H1">#REF!</definedName>
    <definedName name="A_H2" localSheetId="2">#REF!</definedName>
    <definedName name="A_H2" localSheetId="0">#REF!</definedName>
    <definedName name="A_H2">#REF!</definedName>
    <definedName name="A_I1" localSheetId="2">#REF!</definedName>
    <definedName name="A_I1" localSheetId="0">#REF!</definedName>
    <definedName name="A_I1">#REF!</definedName>
    <definedName name="A_jup1" localSheetId="2">#REF!</definedName>
    <definedName name="A_jup1" localSheetId="0">#REF!</definedName>
    <definedName name="A_jup1">#REF!</definedName>
    <definedName name="A_jup2" localSheetId="2">#REF!</definedName>
    <definedName name="A_jup2" localSheetId="0">#REF!</definedName>
    <definedName name="A_jup2">#REF!</definedName>
    <definedName name="A_jup3" localSheetId="2">#REF!</definedName>
    <definedName name="A_jup3" localSheetId="0">#REF!</definedName>
    <definedName name="A_jup3">#REF!</definedName>
    <definedName name="A_jup4" localSheetId="2">#REF!</definedName>
    <definedName name="A_jup4" localSheetId="0">#REF!</definedName>
    <definedName name="A_jup4">#REF!</definedName>
    <definedName name="A_K1" localSheetId="2">#REF!</definedName>
    <definedName name="A_K1" localSheetId="0">#REF!</definedName>
    <definedName name="A_K1">#REF!</definedName>
    <definedName name="A_K2" localSheetId="2">#REF!</definedName>
    <definedName name="A_K2" localSheetId="0">#REF!</definedName>
    <definedName name="A_K2">#REF!</definedName>
    <definedName name="A_L1" localSheetId="2">#REF!</definedName>
    <definedName name="A_L1" localSheetId="0">#REF!</definedName>
    <definedName name="A_L1">#REF!</definedName>
    <definedName name="A_L2" localSheetId="2">#REF!</definedName>
    <definedName name="A_L2" localSheetId="0">#REF!</definedName>
    <definedName name="A_L2">#REF!</definedName>
    <definedName name="A_lun1" localSheetId="2">#REF!</definedName>
    <definedName name="A_lun1" localSheetId="0">#REF!</definedName>
    <definedName name="A_lun1">#REF!</definedName>
    <definedName name="A_lun2" localSheetId="2">#REF!</definedName>
    <definedName name="A_lun2" localSheetId="0">#REF!</definedName>
    <definedName name="A_lun2">#REF!</definedName>
    <definedName name="A_lun3" localSheetId="2">#REF!</definedName>
    <definedName name="A_lun3" localSheetId="0">#REF!</definedName>
    <definedName name="A_lun3">#REF!</definedName>
    <definedName name="A_lun4" localSheetId="2">#REF!</definedName>
    <definedName name="A_lun4" localSheetId="0">#REF!</definedName>
    <definedName name="A_lun4">#REF!</definedName>
    <definedName name="A_M1" localSheetId="2">#REF!</definedName>
    <definedName name="A_M1" localSheetId="0">#REF!</definedName>
    <definedName name="A_M1">#REF!</definedName>
    <definedName name="A_M2" localSheetId="2">#REF!</definedName>
    <definedName name="A_M2" localSheetId="0">#REF!</definedName>
    <definedName name="A_M2">#REF!</definedName>
    <definedName name="A_M3" localSheetId="2">#REF!</definedName>
    <definedName name="A_M3" localSheetId="0">#REF!</definedName>
    <definedName name="A_M3">#REF!</definedName>
    <definedName name="A_mars1" localSheetId="2">#REF!</definedName>
    <definedName name="A_mars1" localSheetId="0">#REF!</definedName>
    <definedName name="A_mars1">#REF!</definedName>
    <definedName name="A_mars2" localSheetId="2">#REF!</definedName>
    <definedName name="A_mars2" localSheetId="0">#REF!</definedName>
    <definedName name="A_mars2">#REF!</definedName>
    <definedName name="A_mars3" localSheetId="2">#REF!</definedName>
    <definedName name="A_mars3" localSheetId="0">#REF!</definedName>
    <definedName name="A_mars3">#REF!</definedName>
    <definedName name="A_mars4" localSheetId="2">#REF!</definedName>
    <definedName name="A_mars4" localSheetId="0">#REF!</definedName>
    <definedName name="A_mars4">#REF!</definedName>
    <definedName name="A_mer1" localSheetId="2">#REF!</definedName>
    <definedName name="A_mer1" localSheetId="0">#REF!</definedName>
    <definedName name="A_mer1">#REF!</definedName>
    <definedName name="A_mer2" localSheetId="2">#REF!</definedName>
    <definedName name="A_mer2" localSheetId="0">#REF!</definedName>
    <definedName name="A_mer2">#REF!</definedName>
    <definedName name="A_N1" localSheetId="2">#REF!</definedName>
    <definedName name="A_N1" localSheetId="0">#REF!</definedName>
    <definedName name="A_N1">#REF!</definedName>
    <definedName name="A_N2" localSheetId="2">#REF!</definedName>
    <definedName name="A_N2" localSheetId="0">#REF!</definedName>
    <definedName name="A_N2">#REF!</definedName>
    <definedName name="A_N3" localSheetId="2">#REF!</definedName>
    <definedName name="A_N3" localSheetId="0">#REF!</definedName>
    <definedName name="A_N3">#REF!</definedName>
    <definedName name="A_O1" localSheetId="2">#REF!</definedName>
    <definedName name="A_O1" localSheetId="0">#REF!</definedName>
    <definedName name="A_O1">#REF!</definedName>
    <definedName name="A_P1" localSheetId="2">#REF!</definedName>
    <definedName name="A_P1" localSheetId="0">#REF!</definedName>
    <definedName name="A_P1">#REF!</definedName>
    <definedName name="A_P2" localSheetId="2">#REF!</definedName>
    <definedName name="A_P2" localSheetId="0">#REF!</definedName>
    <definedName name="A_P2">#REF!</definedName>
    <definedName name="A_Q1" localSheetId="2">#REF!</definedName>
    <definedName name="A_Q1" localSheetId="0">#REF!</definedName>
    <definedName name="A_Q1">#REF!</definedName>
    <definedName name="A_sat1" localSheetId="2">#REF!</definedName>
    <definedName name="A_sat1" localSheetId="0">#REF!</definedName>
    <definedName name="A_sat1">#REF!</definedName>
    <definedName name="A_sat2" localSheetId="2">#REF!</definedName>
    <definedName name="A_sat2" localSheetId="0">#REF!</definedName>
    <definedName name="A_sat2">#REF!</definedName>
    <definedName name="A_sat3" localSheetId="2">#REF!</definedName>
    <definedName name="A_sat3" localSheetId="0">#REF!</definedName>
    <definedName name="A_sat3">#REF!</definedName>
    <definedName name="A_sat4" localSheetId="2">#REF!</definedName>
    <definedName name="A_sat4" localSheetId="0">#REF!</definedName>
    <definedName name="A_sat4">#REF!</definedName>
    <definedName name="A_sun1" localSheetId="2">#REF!</definedName>
    <definedName name="A_sun1" localSheetId="0">#REF!</definedName>
    <definedName name="A_sun1">#REF!</definedName>
    <definedName name="A_sun2" localSheetId="2">#REF!</definedName>
    <definedName name="A_sun2" localSheetId="0">#REF!</definedName>
    <definedName name="A_sun2">#REF!</definedName>
    <definedName name="A_sun3" localSheetId="2">#REF!</definedName>
    <definedName name="A_sun3" localSheetId="0">#REF!</definedName>
    <definedName name="A_sun3">#REF!</definedName>
    <definedName name="A_ven1" localSheetId="2">#REF!</definedName>
    <definedName name="A_ven1" localSheetId="0">#REF!</definedName>
    <definedName name="A_ven1">#REF!</definedName>
    <definedName name="A_X" localSheetId="2">#REF!</definedName>
    <definedName name="A_X" localSheetId="0">#REF!</definedName>
    <definedName name="A_X">#REF!</definedName>
    <definedName name="AU">#REF!</definedName>
    <definedName name="date" localSheetId="2">#REF!</definedName>
    <definedName name="date" localSheetId="0">#REF!</definedName>
    <definedName name="date">#REF!</definedName>
    <definedName name="Day" localSheetId="2">#REF!</definedName>
    <definedName name="Day">#REF!</definedName>
    <definedName name="Days">#REF!</definedName>
    <definedName name="degrees" localSheetId="2">{0;90;180;270}</definedName>
    <definedName name="degrees" localSheetId="0">{0;90;180;270}</definedName>
    <definedName name="degrees" localSheetId="1">{0;90;180;270}</definedName>
    <definedName name="degrees">{0;90;180;270}</definedName>
    <definedName name="dgrs" localSheetId="2">{0;90;180;270}</definedName>
    <definedName name="dgrs" localSheetId="0">{0;90;180;270}</definedName>
    <definedName name="dgrs" localSheetId="1">{0;90;180;270}</definedName>
    <definedName name="dgrs">{0;90;180;270}</definedName>
    <definedName name="DR">#REF!</definedName>
    <definedName name="ER">#REF!</definedName>
    <definedName name="KeyDates" localSheetId="2">#REF!</definedName>
    <definedName name="KeyDates">#REF!</definedName>
    <definedName name="Month" localSheetId="2">#REF!</definedName>
    <definedName name="Month">#REF!</definedName>
    <definedName name="Months" localSheetId="2">#REF!</definedName>
    <definedName name="Months">#REF!</definedName>
    <definedName name="MonthSelected" localSheetId="2">#REF!</definedName>
    <definedName name="MonthSelected">#REF!</definedName>
    <definedName name="Monthselected10" localSheetId="2">#REF!</definedName>
    <definedName name="Monthselected10">#REF!</definedName>
    <definedName name="MonthSelected11" localSheetId="2">#REF!</definedName>
    <definedName name="MonthSelected11">#REF!</definedName>
    <definedName name="MonthSelected12" localSheetId="2">#REF!</definedName>
    <definedName name="MonthSelected12">#REF!</definedName>
    <definedName name="MonthSelected2" localSheetId="2">#REF!</definedName>
    <definedName name="MonthSelected2">#REF!</definedName>
    <definedName name="MonthSelected3" localSheetId="2">#REF!</definedName>
    <definedName name="MonthSelected3">#REF!</definedName>
    <definedName name="MonthSelected4" localSheetId="2">#REF!</definedName>
    <definedName name="MonthSelected4">#REF!</definedName>
    <definedName name="MonthSelected5" localSheetId="2">#REF!</definedName>
    <definedName name="MonthSelected5">#REF!</definedName>
    <definedName name="MonthSelected6" localSheetId="2">#REF!</definedName>
    <definedName name="MonthSelected6">#REF!</definedName>
    <definedName name="MonthSelected7" localSheetId="2">#REF!</definedName>
    <definedName name="MonthSelected7">#REF!</definedName>
    <definedName name="MonthSelected8" localSheetId="2">#REF!</definedName>
    <definedName name="MonthSelected8">#REF!</definedName>
    <definedName name="MonthSelected9" localSheetId="2">#REF!</definedName>
    <definedName name="MonthSelected9">#REF!</definedName>
    <definedName name="MoonPhaseTable">Calculations!$H$4:$I$12</definedName>
    <definedName name="RD">#REF!</definedName>
    <definedName name="RSA">#REF!</definedName>
    <definedName name="SD" localSheetId="2">#REF!</definedName>
    <definedName name="SD" localSheetId="0">#REF!</definedName>
    <definedName name="SD">[1]Definitions!$C$8</definedName>
    <definedName name="Year" localSheetId="2">#REF!</definedName>
    <definedName name="Yea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7" l="1"/>
  <c r="E67" i="7" s="1"/>
  <c r="F67" i="7" s="1"/>
  <c r="J20" i="7"/>
  <c r="J21" i="7"/>
  <c r="J22" i="7"/>
  <c r="J23" i="7"/>
  <c r="K35" i="7"/>
  <c r="N35" i="7"/>
  <c r="K36" i="7"/>
  <c r="N36" i="7"/>
  <c r="K38" i="7"/>
  <c r="N38" i="7"/>
  <c r="D56" i="7" s="1"/>
  <c r="D57" i="7" s="1"/>
  <c r="D58" i="7" s="1"/>
  <c r="K47" i="7"/>
  <c r="G56" i="7" s="1"/>
  <c r="G57" i="7" s="1"/>
  <c r="F74" i="7" s="1"/>
  <c r="N47" i="7"/>
  <c r="J56" i="7" s="1"/>
  <c r="J57" i="7" s="1"/>
  <c r="J58" i="7" s="1"/>
  <c r="D66" i="7"/>
  <c r="E66" i="7"/>
  <c r="K9" i="7" s="1"/>
  <c r="J66" i="7"/>
  <c r="L66" i="7"/>
  <c r="M66" i="7"/>
  <c r="N66" i="7"/>
  <c r="H67" i="7"/>
  <c r="M67" i="7"/>
  <c r="N67" i="7"/>
  <c r="H68" i="7"/>
  <c r="C70" i="7"/>
  <c r="D70" i="7"/>
  <c r="E70" i="7"/>
  <c r="F70" i="7" s="1"/>
  <c r="E71" i="7"/>
  <c r="F71" i="7" s="1"/>
  <c r="B80" i="7"/>
  <c r="B84" i="7"/>
  <c r="C86" i="7"/>
  <c r="C96" i="7" s="1"/>
  <c r="D86" i="7"/>
  <c r="D96" i="7" s="1"/>
  <c r="C88" i="7"/>
  <c r="D88" i="7"/>
  <c r="B92" i="7"/>
  <c r="B93" i="7"/>
  <c r="C93" i="7"/>
  <c r="C95" i="7" s="1"/>
  <c r="D93" i="7"/>
  <c r="D95" i="7" s="1"/>
  <c r="B94" i="7"/>
  <c r="B95" i="7"/>
  <c r="B96" i="7"/>
  <c r="C5" i="5"/>
  <c r="B10" i="5" s="1"/>
  <c r="E69" i="7" l="1"/>
  <c r="F69" i="7" s="1"/>
  <c r="E68" i="7"/>
  <c r="K11" i="7" s="1"/>
  <c r="L11" i="7" s="1"/>
  <c r="C68" i="7"/>
  <c r="D68" i="7"/>
  <c r="D79" i="7"/>
  <c r="D82" i="7"/>
  <c r="D94" i="7" s="1"/>
  <c r="I68" i="7"/>
  <c r="J68" i="7"/>
  <c r="C83" i="7"/>
  <c r="D81" i="7"/>
  <c r="D78" i="7"/>
  <c r="D80" i="7" s="1"/>
  <c r="K68" i="7"/>
  <c r="I66" i="7"/>
  <c r="F66" i="7"/>
  <c r="C79" i="7"/>
  <c r="L67" i="7"/>
  <c r="C78" i="7"/>
  <c r="C80" i="7" s="1"/>
  <c r="K67" i="7"/>
  <c r="I67" i="7"/>
  <c r="C82" i="7"/>
  <c r="K66" i="7"/>
  <c r="C66" i="7"/>
  <c r="M56" i="7"/>
  <c r="M57" i="7" s="1"/>
  <c r="M58" i="7" s="1"/>
  <c r="D67" i="7"/>
  <c r="K14" i="7"/>
  <c r="L14" i="7" s="1"/>
  <c r="C81" i="7"/>
  <c r="J67" i="7"/>
  <c r="C85" i="7"/>
  <c r="D84" i="7"/>
  <c r="C67" i="7"/>
  <c r="K12" i="7"/>
  <c r="L12" i="7" s="1"/>
  <c r="K10" i="7"/>
  <c r="F3" i="5" s="1"/>
  <c r="L9" i="7"/>
  <c r="K13" i="7"/>
  <c r="F75" i="7"/>
  <c r="H69" i="7"/>
  <c r="C89" i="7"/>
  <c r="N68" i="7"/>
  <c r="F73" i="7"/>
  <c r="D87" i="7"/>
  <c r="M68" i="7"/>
  <c r="C87" i="7"/>
  <c r="L68" i="7"/>
  <c r="G58" i="7"/>
  <c r="D89" i="7"/>
  <c r="D85" i="7"/>
  <c r="B11" i="5"/>
  <c r="F68" i="7" l="1"/>
  <c r="D83" i="7"/>
  <c r="L10" i="7"/>
  <c r="N9" i="7"/>
  <c r="N19" i="7" s="1"/>
  <c r="C92" i="7"/>
  <c r="D92" i="7"/>
  <c r="N11" i="7"/>
  <c r="L20" i="7" s="1"/>
  <c r="C84" i="7"/>
  <c r="C94" i="7"/>
  <c r="J69" i="7"/>
  <c r="H70" i="7"/>
  <c r="N69" i="7"/>
  <c r="I69" i="7"/>
  <c r="K69" i="7"/>
  <c r="M69" i="7"/>
  <c r="L69" i="7"/>
  <c r="L13" i="7"/>
  <c r="N13" i="7"/>
  <c r="B12" i="5"/>
  <c r="M19" i="7" l="1"/>
  <c r="M20" i="7" s="1"/>
  <c r="L22" i="7"/>
  <c r="N22" i="7" s="1"/>
  <c r="L21" i="7"/>
  <c r="L23" i="7"/>
  <c r="M24" i="7"/>
  <c r="N24" i="7"/>
  <c r="O20" i="7" s="1"/>
  <c r="I70" i="7"/>
  <c r="J70" i="7"/>
  <c r="K70" i="7"/>
  <c r="L70" i="7"/>
  <c r="M70" i="7"/>
  <c r="N70" i="7"/>
  <c r="H71" i="7"/>
  <c r="B13" i="5"/>
  <c r="M21" i="7" l="1"/>
  <c r="N23" i="7"/>
  <c r="N71" i="7"/>
  <c r="H72" i="7"/>
  <c r="L71" i="7"/>
  <c r="I71" i="7"/>
  <c r="J71" i="7"/>
  <c r="K71" i="7"/>
  <c r="M71" i="7"/>
  <c r="B14" i="5"/>
  <c r="J72" i="7" l="1"/>
  <c r="I72" i="7"/>
  <c r="K72" i="7"/>
  <c r="L72" i="7"/>
  <c r="M72" i="7"/>
  <c r="N72" i="7"/>
  <c r="H73" i="7"/>
  <c r="B15" i="5"/>
  <c r="H74" i="7" l="1"/>
  <c r="M73" i="7"/>
  <c r="J73" i="7"/>
  <c r="K73" i="7"/>
  <c r="I73" i="7"/>
  <c r="L73" i="7"/>
  <c r="N73" i="7"/>
  <c r="B16" i="5"/>
  <c r="I74" i="7" l="1"/>
  <c r="J74" i="7"/>
  <c r="K74" i="7"/>
  <c r="L74" i="7"/>
  <c r="M74" i="7"/>
  <c r="N74" i="7"/>
  <c r="H75" i="7"/>
  <c r="B17" i="5"/>
  <c r="H76" i="7" l="1"/>
  <c r="J75" i="7"/>
  <c r="K75" i="7"/>
  <c r="M75" i="7"/>
  <c r="I75" i="7"/>
  <c r="L75" i="7"/>
  <c r="N75" i="7"/>
  <c r="B18" i="5"/>
  <c r="I76" i="7" l="1"/>
  <c r="J76" i="7"/>
  <c r="K76" i="7"/>
  <c r="L76" i="7"/>
  <c r="M76" i="7"/>
  <c r="N76" i="7"/>
  <c r="H77" i="7"/>
  <c r="B19" i="5"/>
  <c r="H78" i="7" l="1"/>
  <c r="I77" i="7"/>
  <c r="M77" i="7"/>
  <c r="L77" i="7"/>
  <c r="J77" i="7"/>
  <c r="K77" i="7"/>
  <c r="N77" i="7"/>
  <c r="B20" i="5"/>
  <c r="I78" i="7" l="1"/>
  <c r="J78" i="7"/>
  <c r="K78" i="7"/>
  <c r="L78" i="7"/>
  <c r="M78" i="7"/>
  <c r="N78" i="7"/>
  <c r="H79" i="7"/>
  <c r="B21" i="5"/>
  <c r="K79" i="7" l="1"/>
  <c r="J79" i="7"/>
  <c r="H80" i="7"/>
  <c r="M79" i="7"/>
  <c r="I79" i="7"/>
  <c r="L79" i="7"/>
  <c r="N79" i="7"/>
  <c r="B22" i="5"/>
  <c r="M80" i="7" l="1"/>
  <c r="H81" i="7"/>
  <c r="I80" i="7"/>
  <c r="J80" i="7"/>
  <c r="K80" i="7"/>
  <c r="L80" i="7"/>
  <c r="N80" i="7"/>
  <c r="B23" i="5"/>
  <c r="M81" i="7" l="1"/>
  <c r="N81" i="7"/>
  <c r="J81" i="7"/>
  <c r="H82" i="7"/>
  <c r="I81" i="7"/>
  <c r="K81" i="7"/>
  <c r="L81" i="7"/>
  <c r="B24" i="5"/>
  <c r="N82" i="7" l="1"/>
  <c r="K82" i="7"/>
  <c r="I82" i="7"/>
  <c r="J82" i="7"/>
  <c r="L82" i="7"/>
  <c r="M82" i="7"/>
  <c r="H83" i="7"/>
  <c r="B25" i="5"/>
  <c r="J83" i="7" l="1"/>
  <c r="K83" i="7"/>
  <c r="N83" i="7"/>
  <c r="M83" i="7"/>
  <c r="H84" i="7"/>
  <c r="I83" i="7"/>
  <c r="L83" i="7"/>
  <c r="B26" i="5"/>
  <c r="H85" i="7" l="1"/>
  <c r="J84" i="7"/>
  <c r="L84" i="7"/>
  <c r="N84" i="7"/>
  <c r="I84" i="7"/>
  <c r="K84" i="7"/>
  <c r="M84" i="7"/>
  <c r="B27" i="5"/>
  <c r="I85" i="7" l="1"/>
  <c r="J85" i="7"/>
  <c r="K85" i="7"/>
  <c r="L85" i="7"/>
  <c r="M85" i="7"/>
  <c r="H86" i="7"/>
  <c r="N85" i="7"/>
  <c r="B28" i="5"/>
  <c r="N86" i="7" l="1"/>
  <c r="H87" i="7"/>
  <c r="L86" i="7"/>
  <c r="J86" i="7"/>
  <c r="I86" i="7"/>
  <c r="K86" i="7"/>
  <c r="M86" i="7"/>
  <c r="B29" i="5"/>
  <c r="M87" i="7" l="1"/>
  <c r="I87" i="7"/>
  <c r="L87" i="7"/>
  <c r="J87" i="7"/>
  <c r="K87" i="7"/>
  <c r="H88" i="7"/>
  <c r="N87" i="7"/>
  <c r="B30" i="5"/>
  <c r="M88" i="7" l="1"/>
  <c r="N88" i="7"/>
  <c r="J88" i="7"/>
  <c r="H89" i="7"/>
  <c r="I88" i="7"/>
  <c r="K88" i="7"/>
  <c r="L88" i="7"/>
  <c r="B31" i="5"/>
  <c r="M89" i="7" l="1"/>
  <c r="N89" i="7"/>
  <c r="H90" i="7"/>
  <c r="J89" i="7"/>
  <c r="I89" i="7"/>
  <c r="K89" i="7"/>
  <c r="L89" i="7"/>
  <c r="B32" i="5"/>
  <c r="M90" i="7" l="1"/>
  <c r="N90" i="7"/>
  <c r="H91" i="7"/>
  <c r="J90" i="7"/>
  <c r="I90" i="7"/>
  <c r="K90" i="7"/>
  <c r="L90" i="7"/>
  <c r="B33" i="5"/>
  <c r="L91" i="7" l="1"/>
  <c r="I91" i="7"/>
  <c r="J91" i="7"/>
  <c r="M91" i="7"/>
  <c r="K91" i="7"/>
  <c r="N91" i="7"/>
  <c r="H92" i="7"/>
  <c r="B34" i="5"/>
  <c r="K92" i="7" l="1"/>
  <c r="N92" i="7"/>
  <c r="H93" i="7"/>
  <c r="M92" i="7"/>
  <c r="I92" i="7"/>
  <c r="J92" i="7"/>
  <c r="L92" i="7"/>
  <c r="B35" i="5"/>
  <c r="I93" i="7" l="1"/>
  <c r="H94" i="7"/>
  <c r="M93" i="7"/>
  <c r="K93" i="7"/>
  <c r="L93" i="7"/>
  <c r="J93" i="7"/>
  <c r="N93" i="7"/>
  <c r="B36" i="5"/>
  <c r="K94" i="7" l="1"/>
  <c r="I94" i="7"/>
  <c r="J94" i="7"/>
  <c r="N94" i="7"/>
  <c r="L94" i="7"/>
  <c r="M94" i="7"/>
  <c r="H95" i="7"/>
  <c r="B37" i="5"/>
  <c r="M95" i="7" l="1"/>
  <c r="I95" i="7"/>
  <c r="N95" i="7"/>
  <c r="H96" i="7"/>
  <c r="K95" i="7"/>
  <c r="J95" i="7"/>
  <c r="L95" i="7"/>
  <c r="B38" i="5"/>
  <c r="I96" i="7" l="1"/>
  <c r="J96" i="7"/>
  <c r="N96" i="7"/>
  <c r="K96" i="7"/>
  <c r="H97" i="7"/>
  <c r="L96" i="7"/>
  <c r="M96" i="7"/>
  <c r="B39" i="5"/>
  <c r="M97" i="7" l="1"/>
  <c r="N97" i="7"/>
  <c r="H98" i="7"/>
  <c r="I97" i="7"/>
  <c r="J97" i="7"/>
  <c r="K97" i="7"/>
  <c r="L97" i="7"/>
  <c r="B40" i="5"/>
  <c r="J98" i="7" l="1"/>
  <c r="I98" i="7"/>
  <c r="M98" i="7"/>
  <c r="H99" i="7"/>
  <c r="K98" i="7"/>
  <c r="L98" i="7"/>
  <c r="N98" i="7"/>
  <c r="B41" i="5"/>
  <c r="N99" i="7" l="1"/>
  <c r="H100" i="7"/>
  <c r="L99" i="7"/>
  <c r="I99" i="7"/>
  <c r="J99" i="7"/>
  <c r="K99" i="7"/>
  <c r="M99" i="7"/>
  <c r="B42" i="5"/>
  <c r="J100" i="7" l="1"/>
  <c r="K100" i="7"/>
  <c r="I100" i="7"/>
  <c r="L100" i="7"/>
  <c r="H101" i="7"/>
  <c r="N100" i="7"/>
  <c r="M100" i="7"/>
  <c r="B43" i="5"/>
  <c r="N101" i="7" l="1"/>
  <c r="J101" i="7"/>
  <c r="L101" i="7"/>
  <c r="K101" i="7"/>
  <c r="M101" i="7"/>
  <c r="I101" i="7"/>
  <c r="H102" i="7"/>
  <c r="B44" i="5"/>
  <c r="I102" i="7" l="1"/>
  <c r="J102" i="7"/>
  <c r="L102" i="7"/>
  <c r="N102" i="7"/>
  <c r="K102" i="7"/>
  <c r="M102" i="7"/>
  <c r="H103" i="7"/>
  <c r="B45" i="5"/>
  <c r="M103" i="7" l="1"/>
  <c r="N103" i="7"/>
  <c r="I103" i="7"/>
  <c r="J103" i="7"/>
  <c r="K103" i="7"/>
  <c r="L103" i="7"/>
  <c r="H104" i="7"/>
  <c r="B46" i="5"/>
  <c r="K104" i="7" l="1"/>
  <c r="I104" i="7"/>
  <c r="M104" i="7"/>
  <c r="N104" i="7"/>
  <c r="H105" i="7"/>
  <c r="J104" i="7"/>
  <c r="L104" i="7"/>
  <c r="B47" i="5"/>
  <c r="L105" i="7" l="1"/>
  <c r="K105" i="7"/>
  <c r="I105" i="7"/>
  <c r="H106" i="7"/>
  <c r="J105" i="7"/>
  <c r="M105" i="7"/>
  <c r="N105" i="7"/>
  <c r="B48" i="5"/>
  <c r="M106" i="7" l="1"/>
  <c r="N106" i="7"/>
  <c r="I106" i="7"/>
  <c r="H107" i="7"/>
  <c r="K106" i="7"/>
  <c r="J106" i="7"/>
  <c r="L106" i="7"/>
  <c r="B49" i="5"/>
  <c r="I107" i="7" l="1"/>
  <c r="J107" i="7"/>
  <c r="M107" i="7"/>
  <c r="K107" i="7"/>
  <c r="N107" i="7"/>
  <c r="L107" i="7"/>
  <c r="H108" i="7"/>
  <c r="B50" i="5"/>
  <c r="H109" i="7" l="1"/>
  <c r="J108" i="7"/>
  <c r="L108" i="7"/>
  <c r="K108" i="7"/>
  <c r="I108" i="7"/>
  <c r="M108" i="7"/>
  <c r="N108" i="7"/>
  <c r="B51" i="5"/>
  <c r="I109" i="7" l="1"/>
  <c r="J109" i="7"/>
  <c r="K109" i="7"/>
  <c r="L109" i="7"/>
  <c r="M109" i="7"/>
  <c r="N109" i="7"/>
  <c r="H110" i="7"/>
  <c r="B52" i="5"/>
  <c r="I110" i="7" l="1"/>
  <c r="M110" i="7"/>
  <c r="N110" i="7"/>
  <c r="K110" i="7"/>
  <c r="L110" i="7"/>
  <c r="H111" i="7"/>
  <c r="J110" i="7"/>
  <c r="B53" i="5"/>
  <c r="J111" i="7" l="1"/>
  <c r="N111" i="7"/>
  <c r="K111" i="7"/>
  <c r="M111" i="7"/>
  <c r="H112" i="7"/>
  <c r="I111" i="7"/>
  <c r="L111" i="7"/>
  <c r="B54" i="5"/>
  <c r="J112" i="7" l="1"/>
  <c r="M112" i="7"/>
  <c r="L112" i="7"/>
  <c r="H113" i="7"/>
  <c r="I112" i="7"/>
  <c r="K112" i="7"/>
  <c r="N112" i="7"/>
  <c r="B55" i="5"/>
  <c r="H114" i="7" l="1"/>
  <c r="M113" i="7"/>
  <c r="N113" i="7"/>
  <c r="I113" i="7"/>
  <c r="J113" i="7"/>
  <c r="K113" i="7"/>
  <c r="L113" i="7"/>
  <c r="B56" i="5"/>
  <c r="J114" i="7" l="1"/>
  <c r="L114" i="7"/>
  <c r="M114" i="7"/>
  <c r="I114" i="7"/>
  <c r="H115" i="7"/>
  <c r="K114" i="7"/>
  <c r="N114" i="7"/>
  <c r="B57" i="5"/>
  <c r="N115" i="7" l="1"/>
  <c r="K115" i="7"/>
  <c r="H116" i="7"/>
  <c r="I115" i="7"/>
  <c r="J115" i="7"/>
  <c r="L115" i="7"/>
  <c r="M115" i="7"/>
  <c r="B58" i="5"/>
  <c r="L116" i="7" l="1"/>
  <c r="N116" i="7"/>
  <c r="H117" i="7"/>
  <c r="I116" i="7"/>
  <c r="J116" i="7"/>
  <c r="K116" i="7"/>
  <c r="M116" i="7"/>
  <c r="B59" i="5"/>
  <c r="I117" i="7" l="1"/>
  <c r="H118" i="7"/>
  <c r="J117" i="7"/>
  <c r="M117" i="7"/>
  <c r="L117" i="7"/>
  <c r="K117" i="7"/>
  <c r="N117" i="7"/>
  <c r="B60" i="5"/>
  <c r="I118" i="7" l="1"/>
  <c r="L118" i="7"/>
  <c r="J118" i="7"/>
  <c r="K118" i="7"/>
  <c r="N118" i="7"/>
  <c r="M118" i="7"/>
  <c r="H119" i="7"/>
  <c r="B61" i="5"/>
  <c r="L119" i="7" l="1"/>
  <c r="M119" i="7"/>
  <c r="K119" i="7"/>
  <c r="J119" i="7"/>
  <c r="I119" i="7"/>
  <c r="N119" i="7"/>
  <c r="H120" i="7"/>
  <c r="B62" i="5"/>
  <c r="K120" i="7" l="1"/>
  <c r="N120" i="7"/>
  <c r="H121" i="7"/>
  <c r="M120" i="7"/>
  <c r="J120" i="7"/>
  <c r="I120" i="7"/>
  <c r="L120" i="7"/>
  <c r="B63" i="5"/>
  <c r="N121" i="7" l="1"/>
  <c r="H122" i="7"/>
  <c r="K121" i="7"/>
  <c r="M121" i="7"/>
  <c r="I121" i="7"/>
  <c r="J121" i="7"/>
  <c r="L121" i="7"/>
  <c r="B64" i="5"/>
  <c r="M122" i="7" l="1"/>
  <c r="N122" i="7"/>
  <c r="J122" i="7"/>
  <c r="H123" i="7"/>
  <c r="I122" i="7"/>
  <c r="L122" i="7"/>
  <c r="K122" i="7"/>
  <c r="B65" i="5"/>
  <c r="K123" i="7" l="1"/>
  <c r="I123" i="7"/>
  <c r="J123" i="7"/>
  <c r="M123" i="7"/>
  <c r="N123" i="7"/>
  <c r="L123" i="7"/>
  <c r="H124" i="7"/>
  <c r="B66" i="5"/>
  <c r="H125" i="7" l="1"/>
  <c r="J124" i="7"/>
  <c r="M124" i="7"/>
  <c r="K124" i="7"/>
  <c r="I124" i="7"/>
  <c r="L124" i="7"/>
  <c r="N124" i="7"/>
  <c r="B67" i="5"/>
  <c r="I125" i="7" l="1"/>
  <c r="J125" i="7"/>
  <c r="K125" i="7"/>
  <c r="L125" i="7"/>
  <c r="M125" i="7"/>
  <c r="H126" i="7"/>
  <c r="N125" i="7"/>
  <c r="B68" i="5"/>
  <c r="M126" i="7" l="1"/>
  <c r="N126" i="7"/>
  <c r="I126" i="7"/>
  <c r="L126" i="7"/>
  <c r="J126" i="7"/>
  <c r="K126" i="7"/>
  <c r="H127" i="7"/>
  <c r="B69" i="5"/>
  <c r="J127" i="7" l="1"/>
  <c r="M127" i="7"/>
  <c r="N127" i="7"/>
  <c r="K127" i="7"/>
  <c r="I127" i="7"/>
  <c r="H128" i="7"/>
  <c r="L127" i="7"/>
  <c r="B70" i="5"/>
  <c r="L128" i="7" l="1"/>
  <c r="K128" i="7"/>
  <c r="I128" i="7"/>
  <c r="J128" i="7"/>
  <c r="H129" i="7"/>
  <c r="M128" i="7"/>
  <c r="N128" i="7"/>
  <c r="B71" i="5"/>
  <c r="M129" i="7" l="1"/>
  <c r="N129" i="7"/>
  <c r="H130" i="7"/>
  <c r="J129" i="7"/>
  <c r="I129" i="7"/>
  <c r="K129" i="7"/>
  <c r="L129" i="7"/>
  <c r="B72" i="5"/>
  <c r="J130" i="7" l="1"/>
  <c r="M130" i="7"/>
  <c r="N130" i="7"/>
  <c r="I130" i="7"/>
  <c r="L130" i="7"/>
  <c r="K130" i="7"/>
  <c r="H131" i="7"/>
  <c r="B73" i="5"/>
  <c r="N131" i="7" l="1"/>
  <c r="H132" i="7"/>
  <c r="L131" i="7"/>
  <c r="J131" i="7"/>
  <c r="I131" i="7"/>
  <c r="K131" i="7"/>
  <c r="M131" i="7"/>
  <c r="B74" i="5"/>
  <c r="J132" i="7" l="1"/>
  <c r="K132" i="7"/>
  <c r="L132" i="7"/>
  <c r="I132" i="7"/>
  <c r="H133" i="7"/>
  <c r="M132" i="7"/>
  <c r="N132" i="7"/>
  <c r="B75" i="5"/>
  <c r="J133" i="7" l="1"/>
  <c r="M133" i="7"/>
  <c r="K133" i="7"/>
  <c r="N133" i="7"/>
  <c r="I133" i="7"/>
  <c r="L133" i="7"/>
  <c r="H134" i="7"/>
  <c r="B76" i="5"/>
  <c r="I134" i="7" l="1"/>
  <c r="J134" i="7"/>
  <c r="K134" i="7"/>
  <c r="N134" i="7"/>
  <c r="L134" i="7"/>
  <c r="H135" i="7"/>
  <c r="M134" i="7"/>
  <c r="B77" i="5"/>
  <c r="L135" i="7" l="1"/>
  <c r="N135" i="7"/>
  <c r="I135" i="7"/>
  <c r="K135" i="7"/>
  <c r="H136" i="7"/>
  <c r="J135" i="7"/>
  <c r="M135" i="7"/>
  <c r="B78" i="5"/>
  <c r="K136" i="7" l="1"/>
  <c r="N136" i="7"/>
  <c r="M136" i="7"/>
  <c r="H137" i="7"/>
  <c r="I136" i="7"/>
  <c r="J136" i="7"/>
  <c r="L136" i="7"/>
  <c r="B79" i="5"/>
  <c r="J137" i="7" l="1"/>
  <c r="K137" i="7"/>
  <c r="N137" i="7"/>
  <c r="H138" i="7"/>
  <c r="I137" i="7"/>
  <c r="L137" i="7"/>
  <c r="M137" i="7"/>
  <c r="B80" i="5"/>
  <c r="M138" i="7" l="1"/>
  <c r="N138" i="7"/>
  <c r="I138" i="7"/>
  <c r="J138" i="7"/>
  <c r="L138" i="7"/>
  <c r="K138" i="7"/>
  <c r="B81" i="5"/>
  <c r="B82" i="5" l="1"/>
  <c r="B83" i="5" l="1"/>
  <c r="B84" i="5" l="1"/>
  <c r="B85" i="5" l="1"/>
  <c r="B86" i="5" l="1"/>
  <c r="B87" i="5" l="1"/>
  <c r="B88" i="5" l="1"/>
  <c r="B89" i="5" l="1"/>
  <c r="B90" i="5" l="1"/>
  <c r="B91" i="5" l="1"/>
  <c r="B92" i="5" l="1"/>
  <c r="B93" i="5" l="1"/>
  <c r="B94" i="5" l="1"/>
  <c r="B95" i="5" l="1"/>
  <c r="B96" i="5" l="1"/>
  <c r="B97" i="5" l="1"/>
  <c r="B98" i="5" l="1"/>
  <c r="B99" i="5" l="1"/>
  <c r="B100" i="5" l="1"/>
  <c r="B101" i="5" l="1"/>
  <c r="B102" i="5" l="1"/>
  <c r="B103" i="5" l="1"/>
  <c r="B104" i="5" l="1"/>
  <c r="B105" i="5" l="1"/>
  <c r="B106" i="5" l="1"/>
  <c r="B107" i="5" l="1"/>
  <c r="B108" i="5" l="1"/>
  <c r="B109" i="5" l="1"/>
  <c r="B110" i="5" l="1"/>
  <c r="B111" i="5" l="1"/>
  <c r="B112" i="5" l="1"/>
  <c r="B113" i="5" l="1"/>
  <c r="B114" i="5" l="1"/>
  <c r="B115" i="5" l="1"/>
  <c r="B116" i="5" l="1"/>
  <c r="B117" i="5" l="1"/>
  <c r="B118" i="5" l="1"/>
  <c r="B119" i="5" l="1"/>
  <c r="B120" i="5" l="1"/>
  <c r="B121" i="5" l="1"/>
  <c r="B122" i="5" l="1"/>
  <c r="B123" i="5" l="1"/>
  <c r="B124" i="5" l="1"/>
  <c r="B125" i="5" l="1"/>
  <c r="B126" i="5" l="1"/>
  <c r="B127" i="5" l="1"/>
  <c r="B128" i="5" l="1"/>
  <c r="B129" i="5" l="1"/>
  <c r="B130" i="5" l="1"/>
  <c r="B131" i="5" l="1"/>
  <c r="B132" i="5" l="1"/>
  <c r="B133" i="5" l="1"/>
  <c r="B134" i="5" l="1"/>
  <c r="B135" i="5" l="1"/>
  <c r="B136" i="5" l="1"/>
  <c r="B137" i="5" l="1"/>
  <c r="B138" i="5" l="1"/>
  <c r="B139" i="5" l="1"/>
  <c r="B140" i="5" l="1"/>
  <c r="B141" i="5" l="1"/>
  <c r="B142" i="5" l="1"/>
  <c r="B143" i="5" l="1"/>
  <c r="B144" i="5" l="1"/>
  <c r="B145" i="5" l="1"/>
  <c r="B146" i="5" l="1"/>
  <c r="B147" i="5" l="1"/>
  <c r="B148" i="5" l="1"/>
  <c r="B149" i="5" l="1"/>
  <c r="B150" i="5" l="1"/>
  <c r="B151" i="5" l="1"/>
  <c r="B152" i="5" l="1"/>
  <c r="B153" i="5" l="1"/>
  <c r="B154" i="5" l="1"/>
  <c r="B155" i="5" l="1"/>
  <c r="B156" i="5" l="1"/>
  <c r="B157" i="5" l="1"/>
  <c r="B158" i="5" l="1"/>
  <c r="B159" i="5" l="1"/>
  <c r="B160" i="5" l="1"/>
  <c r="B161" i="5" l="1"/>
  <c r="B162" i="5" l="1"/>
  <c r="B163" i="5" l="1"/>
  <c r="B164" i="5" l="1"/>
  <c r="B165" i="5" l="1"/>
  <c r="B166" i="5" l="1"/>
  <c r="B167" i="5" l="1"/>
  <c r="B168" i="5" l="1"/>
  <c r="B169" i="5" l="1"/>
  <c r="B170" i="5" l="1"/>
  <c r="B171" i="5" l="1"/>
  <c r="B172" i="5" l="1"/>
  <c r="B173" i="5" l="1"/>
  <c r="B174" i="5" l="1"/>
  <c r="B175" i="5" l="1"/>
  <c r="B176" i="5" l="1"/>
  <c r="B177" i="5" l="1"/>
  <c r="B178" i="5" l="1"/>
  <c r="B179" i="5" l="1"/>
  <c r="B180" i="5" l="1"/>
  <c r="B181" i="5" l="1"/>
  <c r="B182" i="5" l="1"/>
  <c r="B183" i="5" l="1"/>
  <c r="B184" i="5" l="1"/>
  <c r="B185" i="5" l="1"/>
  <c r="B186" i="5" l="1"/>
  <c r="B187" i="5" l="1"/>
  <c r="B188" i="5" l="1"/>
  <c r="B189" i="5" l="1"/>
  <c r="B190" i="5" l="1"/>
  <c r="B191" i="5" l="1"/>
  <c r="B192" i="5" l="1"/>
  <c r="B193" i="5" l="1"/>
  <c r="B194" i="5" l="1"/>
  <c r="B195" i="5" l="1"/>
  <c r="B196" i="5" l="1"/>
  <c r="B197" i="5" l="1"/>
  <c r="B198" i="5" l="1"/>
  <c r="B199" i="5" l="1"/>
  <c r="B200" i="5" l="1"/>
  <c r="B201" i="5" l="1"/>
  <c r="B202" i="5" l="1"/>
  <c r="B203" i="5" l="1"/>
  <c r="B204" i="5" l="1"/>
  <c r="B205" i="5" l="1"/>
  <c r="B206" i="5" l="1"/>
  <c r="B207" i="5" l="1"/>
  <c r="B208" i="5" l="1"/>
  <c r="B209" i="5" l="1"/>
  <c r="F4" i="5" l="1"/>
  <c r="F5" i="5" l="1"/>
  <c r="F6" i="5" s="1"/>
  <c r="C19" i="5" l="1"/>
  <c r="C35" i="5"/>
  <c r="C51" i="5"/>
  <c r="C67" i="5"/>
  <c r="C83" i="5"/>
  <c r="C99" i="5"/>
  <c r="C115" i="5"/>
  <c r="C131" i="5"/>
  <c r="C147" i="5"/>
  <c r="C163" i="5"/>
  <c r="C179" i="5"/>
  <c r="C195" i="5"/>
  <c r="C84" i="5"/>
  <c r="C132" i="5"/>
  <c r="C148" i="5"/>
  <c r="C180" i="5"/>
  <c r="C196" i="5"/>
  <c r="C200" i="5"/>
  <c r="C201" i="5"/>
  <c r="C122" i="5"/>
  <c r="C170" i="5"/>
  <c r="C155" i="5"/>
  <c r="C124" i="5"/>
  <c r="C77" i="5"/>
  <c r="C205" i="5"/>
  <c r="C142" i="5"/>
  <c r="C15" i="5"/>
  <c r="C128" i="5"/>
  <c r="C97" i="5"/>
  <c r="C20" i="5"/>
  <c r="C36" i="5"/>
  <c r="C52" i="5"/>
  <c r="C68" i="5"/>
  <c r="C100" i="5"/>
  <c r="C116" i="5"/>
  <c r="C164" i="5"/>
  <c r="C137" i="5"/>
  <c r="C106" i="5"/>
  <c r="C154" i="5"/>
  <c r="C139" i="5"/>
  <c r="C76" i="5"/>
  <c r="C109" i="5"/>
  <c r="C62" i="5"/>
  <c r="C31" i="5"/>
  <c r="C191" i="5"/>
  <c r="C160" i="5"/>
  <c r="C129" i="5"/>
  <c r="C34" i="5"/>
  <c r="C21" i="5"/>
  <c r="C37" i="5"/>
  <c r="C53" i="5"/>
  <c r="C69" i="5"/>
  <c r="C85" i="5"/>
  <c r="C101" i="5"/>
  <c r="C117" i="5"/>
  <c r="C133" i="5"/>
  <c r="C149" i="5"/>
  <c r="C165" i="5"/>
  <c r="C181" i="5"/>
  <c r="C197" i="5"/>
  <c r="C119" i="5"/>
  <c r="C167" i="5"/>
  <c r="C153" i="5"/>
  <c r="C74" i="5"/>
  <c r="C186" i="5"/>
  <c r="C44" i="5"/>
  <c r="C204" i="5"/>
  <c r="C189" i="5"/>
  <c r="C14" i="5"/>
  <c r="C79" i="5"/>
  <c r="C207" i="5"/>
  <c r="C176" i="5"/>
  <c r="C81" i="5"/>
  <c r="C18" i="5"/>
  <c r="C22" i="5"/>
  <c r="C38" i="5"/>
  <c r="C54" i="5"/>
  <c r="C70" i="5"/>
  <c r="C86" i="5"/>
  <c r="C102" i="5"/>
  <c r="C118" i="5"/>
  <c r="C134" i="5"/>
  <c r="C150" i="5"/>
  <c r="C166" i="5"/>
  <c r="C182" i="5"/>
  <c r="C198" i="5"/>
  <c r="C151" i="5"/>
  <c r="C199" i="5"/>
  <c r="C169" i="5"/>
  <c r="C90" i="5"/>
  <c r="C123" i="5"/>
  <c r="C140" i="5"/>
  <c r="C141" i="5"/>
  <c r="C46" i="5"/>
  <c r="C175" i="5"/>
  <c r="C16" i="5"/>
  <c r="C208" i="5"/>
  <c r="C161" i="5"/>
  <c r="C50" i="5"/>
  <c r="C23" i="5"/>
  <c r="C39" i="5"/>
  <c r="C55" i="5"/>
  <c r="C71" i="5"/>
  <c r="C87" i="5"/>
  <c r="C103" i="5"/>
  <c r="C135" i="5"/>
  <c r="C183" i="5"/>
  <c r="C42" i="5"/>
  <c r="C203" i="5"/>
  <c r="C156" i="5"/>
  <c r="C157" i="5"/>
  <c r="C30" i="5"/>
  <c r="C95" i="5"/>
  <c r="C64" i="5"/>
  <c r="C17" i="5"/>
  <c r="C177" i="5"/>
  <c r="C178" i="5"/>
  <c r="C24" i="5"/>
  <c r="C40" i="5"/>
  <c r="C56" i="5"/>
  <c r="C72" i="5"/>
  <c r="C88" i="5"/>
  <c r="C104" i="5"/>
  <c r="C120" i="5"/>
  <c r="C136" i="5"/>
  <c r="C152" i="5"/>
  <c r="C168" i="5"/>
  <c r="C184" i="5"/>
  <c r="C26" i="5"/>
  <c r="C60" i="5"/>
  <c r="C61" i="5"/>
  <c r="C126" i="5"/>
  <c r="C206" i="5"/>
  <c r="C143" i="5"/>
  <c r="C32" i="5"/>
  <c r="C193" i="5"/>
  <c r="C114" i="5"/>
  <c r="C9" i="5"/>
  <c r="C25" i="5"/>
  <c r="C41" i="5"/>
  <c r="C57" i="5"/>
  <c r="C73" i="5"/>
  <c r="C89" i="5"/>
  <c r="C105" i="5"/>
  <c r="C121" i="5"/>
  <c r="C185" i="5"/>
  <c r="C202" i="5"/>
  <c r="C171" i="5"/>
  <c r="C108" i="5"/>
  <c r="C173" i="5"/>
  <c r="C78" i="5"/>
  <c r="C63" i="5"/>
  <c r="C112" i="5"/>
  <c r="C49" i="5"/>
  <c r="C82" i="5"/>
  <c r="C10" i="5"/>
  <c r="C58" i="5"/>
  <c r="C138" i="5"/>
  <c r="C92" i="5"/>
  <c r="C93" i="5"/>
  <c r="C94" i="5"/>
  <c r="C174" i="5"/>
  <c r="C127" i="5"/>
  <c r="C80" i="5"/>
  <c r="C192" i="5"/>
  <c r="C145" i="5"/>
  <c r="C11" i="5"/>
  <c r="C27" i="5"/>
  <c r="C43" i="5"/>
  <c r="C59" i="5"/>
  <c r="C75" i="5"/>
  <c r="C91" i="5"/>
  <c r="C107" i="5"/>
  <c r="C187" i="5"/>
  <c r="C188" i="5"/>
  <c r="C45" i="5"/>
  <c r="C110" i="5"/>
  <c r="C190" i="5"/>
  <c r="C111" i="5"/>
  <c r="C48" i="5"/>
  <c r="C65" i="5"/>
  <c r="C209" i="5"/>
  <c r="C162" i="5"/>
  <c r="C12" i="5"/>
  <c r="C28" i="5"/>
  <c r="C172" i="5"/>
  <c r="C13" i="5"/>
  <c r="C29" i="5"/>
  <c r="C125" i="5"/>
  <c r="C158" i="5"/>
  <c r="C47" i="5"/>
  <c r="C96" i="5"/>
  <c r="C146" i="5"/>
  <c r="C194" i="5"/>
  <c r="C159" i="5"/>
  <c r="C113" i="5"/>
  <c r="C66" i="5"/>
  <c r="C144" i="5"/>
  <c r="C98" i="5"/>
  <c r="C33" i="5"/>
  <c r="C130" i="5"/>
  <c r="D52" i="5" l="1"/>
  <c r="F52" i="5"/>
  <c r="E52" i="5"/>
  <c r="E89" i="5"/>
  <c r="D89" i="5"/>
  <c r="F89" i="5"/>
  <c r="E36" i="5"/>
  <c r="D36" i="5"/>
  <c r="F36" i="5"/>
  <c r="E46" i="5"/>
  <c r="F46" i="5"/>
  <c r="D46" i="5"/>
  <c r="F20" i="5"/>
  <c r="E20" i="5"/>
  <c r="D20" i="5"/>
  <c r="F84" i="5"/>
  <c r="D84" i="5"/>
  <c r="E84" i="5"/>
  <c r="D34" i="5"/>
  <c r="F34" i="5"/>
  <c r="E34" i="5"/>
  <c r="F70" i="5"/>
  <c r="D70" i="5"/>
  <c r="E70" i="5"/>
  <c r="D41" i="5"/>
  <c r="E41" i="5"/>
  <c r="F41" i="5"/>
  <c r="F38" i="5"/>
  <c r="E38" i="5"/>
  <c r="D38" i="5"/>
  <c r="E31" i="5"/>
  <c r="D31" i="5"/>
  <c r="F31" i="5"/>
  <c r="E102" i="5"/>
  <c r="D102" i="5"/>
  <c r="F102" i="5"/>
  <c r="F54" i="5"/>
  <c r="E54" i="5"/>
  <c r="D54" i="5"/>
  <c r="D82" i="5"/>
  <c r="E82" i="5"/>
  <c r="F82" i="5"/>
  <c r="D22" i="5"/>
  <c r="E22" i="5"/>
  <c r="F22" i="5"/>
  <c r="F62" i="5"/>
  <c r="D62" i="5"/>
  <c r="E62" i="5"/>
  <c r="D15" i="5"/>
  <c r="E15" i="5"/>
  <c r="F15" i="5"/>
  <c r="D105" i="5"/>
  <c r="F105" i="5"/>
  <c r="E105" i="5"/>
  <c r="E97" i="5"/>
  <c r="F97" i="5"/>
  <c r="D97" i="5"/>
  <c r="F9" i="5"/>
  <c r="E9" i="5"/>
  <c r="D9" i="5"/>
  <c r="F90" i="5"/>
  <c r="D90" i="5"/>
  <c r="E90" i="5"/>
  <c r="E18" i="5"/>
  <c r="F18" i="5"/>
  <c r="D18" i="5"/>
  <c r="F92" i="5"/>
  <c r="D92" i="5"/>
  <c r="E92" i="5"/>
  <c r="E49" i="5"/>
  <c r="F49" i="5"/>
  <c r="D49" i="5"/>
  <c r="D103" i="5"/>
  <c r="F103" i="5"/>
  <c r="E103" i="5"/>
  <c r="E81" i="5"/>
  <c r="D81" i="5"/>
  <c r="F81" i="5"/>
  <c r="D76" i="5"/>
  <c r="F76" i="5"/>
  <c r="E76" i="5"/>
  <c r="E16" i="5"/>
  <c r="F16" i="5"/>
  <c r="D16" i="5"/>
  <c r="F75" i="5"/>
  <c r="E75" i="5"/>
  <c r="D75" i="5"/>
  <c r="E63" i="5"/>
  <c r="F63" i="5"/>
  <c r="D63" i="5"/>
  <c r="E87" i="5"/>
  <c r="D87" i="5"/>
  <c r="F87" i="5"/>
  <c r="E77" i="5"/>
  <c r="D77" i="5"/>
  <c r="F77" i="5"/>
  <c r="F30" i="5"/>
  <c r="D30" i="5"/>
  <c r="E30" i="5"/>
  <c r="E57" i="5"/>
  <c r="F57" i="5"/>
  <c r="D57" i="5"/>
  <c r="F10" i="5"/>
  <c r="E10" i="5"/>
  <c r="D10" i="5"/>
  <c r="E25" i="5"/>
  <c r="D25" i="5"/>
  <c r="F25" i="5"/>
  <c r="D43" i="5"/>
  <c r="E43" i="5"/>
  <c r="F43" i="5"/>
  <c r="F11" i="5"/>
  <c r="D11" i="5"/>
  <c r="E11" i="5"/>
  <c r="D32" i="5"/>
  <c r="E32" i="5"/>
  <c r="F32" i="5"/>
  <c r="D40" i="5"/>
  <c r="F40" i="5"/>
  <c r="E40" i="5"/>
  <c r="F71" i="5"/>
  <c r="E71" i="5"/>
  <c r="D71" i="5"/>
  <c r="F73" i="5"/>
  <c r="D73" i="5"/>
  <c r="E73" i="5"/>
  <c r="E33" i="5"/>
  <c r="F33" i="5"/>
  <c r="D33" i="5"/>
  <c r="F24" i="5"/>
  <c r="D24" i="5"/>
  <c r="E24" i="5"/>
  <c r="E55" i="5"/>
  <c r="F55" i="5"/>
  <c r="D55" i="5"/>
  <c r="E79" i="5"/>
  <c r="F79" i="5"/>
  <c r="D79" i="5"/>
  <c r="E101" i="5"/>
  <c r="D101" i="5"/>
  <c r="F101" i="5"/>
  <c r="D106" i="5"/>
  <c r="F106" i="5"/>
  <c r="E106" i="5"/>
  <c r="D99" i="5"/>
  <c r="E99" i="5"/>
  <c r="F99" i="5"/>
  <c r="F45" i="5"/>
  <c r="E45" i="5"/>
  <c r="D45" i="5"/>
  <c r="E86" i="5"/>
  <c r="D86" i="5"/>
  <c r="F86" i="5"/>
  <c r="E13" i="5"/>
  <c r="F13" i="5"/>
  <c r="D13" i="5"/>
  <c r="F59" i="5"/>
  <c r="E59" i="5"/>
  <c r="D59" i="5"/>
  <c r="E72" i="5"/>
  <c r="F72" i="5"/>
  <c r="D72" i="5"/>
  <c r="D98" i="5"/>
  <c r="E98" i="5"/>
  <c r="F98" i="5"/>
  <c r="F39" i="5"/>
  <c r="E39" i="5"/>
  <c r="D39" i="5"/>
  <c r="E14" i="5"/>
  <c r="D14" i="5"/>
  <c r="F14" i="5"/>
  <c r="D85" i="5"/>
  <c r="E85" i="5"/>
  <c r="F85" i="5"/>
  <c r="E83" i="5"/>
  <c r="D83" i="5"/>
  <c r="F83" i="5"/>
  <c r="E47" i="5"/>
  <c r="D47" i="5"/>
  <c r="F47" i="5"/>
  <c r="D88" i="5"/>
  <c r="F88" i="5"/>
  <c r="E88" i="5"/>
  <c r="E12" i="5"/>
  <c r="D12" i="5"/>
  <c r="F12" i="5"/>
  <c r="E78" i="5"/>
  <c r="F78" i="5"/>
  <c r="D78" i="5"/>
  <c r="D66" i="5"/>
  <c r="E66" i="5"/>
  <c r="F66" i="5"/>
  <c r="F48" i="5"/>
  <c r="D48" i="5"/>
  <c r="E48" i="5"/>
  <c r="D80" i="5"/>
  <c r="F80" i="5"/>
  <c r="E80" i="5"/>
  <c r="E23" i="5"/>
  <c r="D23" i="5"/>
  <c r="F23" i="5"/>
  <c r="D69" i="5"/>
  <c r="E69" i="5"/>
  <c r="F69" i="5"/>
  <c r="F67" i="5"/>
  <c r="E67" i="5"/>
  <c r="D67" i="5"/>
  <c r="F74" i="5"/>
  <c r="D74" i="5"/>
  <c r="E74" i="5"/>
  <c r="D42" i="5"/>
  <c r="F42" i="5"/>
  <c r="E42" i="5"/>
  <c r="F56" i="5"/>
  <c r="D56" i="5"/>
  <c r="E56" i="5"/>
  <c r="D108" i="5"/>
  <c r="E108" i="5"/>
  <c r="F108" i="5"/>
  <c r="E61" i="5"/>
  <c r="D61" i="5"/>
  <c r="F61" i="5"/>
  <c r="D17" i="5"/>
  <c r="E17" i="5"/>
  <c r="F17" i="5"/>
  <c r="F50" i="5"/>
  <c r="E50" i="5"/>
  <c r="D50" i="5"/>
  <c r="E53" i="5"/>
  <c r="D53" i="5"/>
  <c r="F53" i="5"/>
  <c r="D51" i="5"/>
  <c r="F51" i="5"/>
  <c r="E51" i="5"/>
  <c r="D93" i="5"/>
  <c r="E93" i="5"/>
  <c r="F93" i="5"/>
  <c r="E58" i="5"/>
  <c r="D58" i="5"/>
  <c r="F58" i="5"/>
  <c r="E29" i="5"/>
  <c r="D29" i="5"/>
  <c r="F29" i="5"/>
  <c r="F104" i="5"/>
  <c r="D104" i="5"/>
  <c r="E104" i="5"/>
  <c r="E28" i="5"/>
  <c r="F28" i="5"/>
  <c r="D28" i="5"/>
  <c r="F27" i="5"/>
  <c r="E27" i="5"/>
  <c r="D27" i="5"/>
  <c r="D65" i="5"/>
  <c r="E65" i="5"/>
  <c r="F65" i="5"/>
  <c r="E60" i="5"/>
  <c r="F60" i="5"/>
  <c r="D60" i="5"/>
  <c r="E64" i="5"/>
  <c r="D64" i="5"/>
  <c r="F64" i="5"/>
  <c r="E44" i="5"/>
  <c r="D44" i="5"/>
  <c r="F44" i="5"/>
  <c r="E37" i="5"/>
  <c r="F37" i="5"/>
  <c r="D37" i="5"/>
  <c r="D100" i="5"/>
  <c r="F100" i="5"/>
  <c r="E100" i="5"/>
  <c r="E35" i="5"/>
  <c r="D35" i="5"/>
  <c r="F35" i="5"/>
  <c r="D96" i="5"/>
  <c r="F96" i="5"/>
  <c r="E96" i="5"/>
  <c r="D107" i="5"/>
  <c r="E107" i="5"/>
  <c r="F107" i="5"/>
  <c r="E91" i="5"/>
  <c r="D91" i="5"/>
  <c r="F91" i="5"/>
  <c r="F94" i="5"/>
  <c r="E94" i="5"/>
  <c r="D94" i="5"/>
  <c r="D26" i="5"/>
  <c r="F26" i="5"/>
  <c r="E26" i="5"/>
  <c r="E95" i="5"/>
  <c r="F95" i="5"/>
  <c r="D95" i="5"/>
  <c r="D21" i="5"/>
  <c r="E21" i="5"/>
  <c r="F21" i="5"/>
  <c r="D68" i="5"/>
  <c r="F68" i="5"/>
  <c r="E68" i="5"/>
  <c r="E19" i="5"/>
  <c r="D19" i="5"/>
  <c r="F19" i="5"/>
  <c r="E180" i="5"/>
  <c r="F180" i="5"/>
  <c r="D180" i="5"/>
  <c r="D148" i="5"/>
  <c r="F148" i="5"/>
  <c r="E148" i="5"/>
  <c r="F160" i="5"/>
  <c r="E160" i="5"/>
  <c r="D160" i="5"/>
  <c r="F132" i="5"/>
  <c r="E132" i="5"/>
  <c r="D132" i="5"/>
  <c r="F129" i="5"/>
  <c r="E129" i="5"/>
  <c r="D129" i="5"/>
  <c r="E203" i="5"/>
  <c r="D203" i="5"/>
  <c r="F203" i="5"/>
  <c r="E191" i="5"/>
  <c r="D191" i="5"/>
  <c r="F191" i="5"/>
  <c r="D140" i="5"/>
  <c r="F140" i="5"/>
  <c r="E140" i="5"/>
  <c r="D197" i="5"/>
  <c r="E197" i="5"/>
  <c r="F197" i="5"/>
  <c r="D128" i="5"/>
  <c r="E128" i="5"/>
  <c r="F128" i="5"/>
  <c r="D195" i="5"/>
  <c r="E195" i="5"/>
  <c r="F195" i="5"/>
  <c r="D153" i="5"/>
  <c r="E153" i="5"/>
  <c r="F153" i="5"/>
  <c r="E125" i="5"/>
  <c r="D125" i="5"/>
  <c r="F125" i="5"/>
  <c r="D123" i="5"/>
  <c r="E123" i="5"/>
  <c r="F123" i="5"/>
  <c r="F181" i="5"/>
  <c r="E181" i="5"/>
  <c r="D181" i="5"/>
  <c r="D179" i="5"/>
  <c r="F179" i="5"/>
  <c r="E179" i="5"/>
  <c r="D152" i="5"/>
  <c r="E152" i="5"/>
  <c r="F152" i="5"/>
  <c r="D136" i="5"/>
  <c r="E136" i="5"/>
  <c r="F136" i="5"/>
  <c r="F135" i="5"/>
  <c r="D135" i="5"/>
  <c r="E135" i="5"/>
  <c r="F165" i="5"/>
  <c r="D165" i="5"/>
  <c r="E165" i="5"/>
  <c r="F109" i="5"/>
  <c r="D109" i="5"/>
  <c r="E109" i="5"/>
  <c r="E142" i="5"/>
  <c r="F142" i="5"/>
  <c r="D142" i="5"/>
  <c r="D163" i="5"/>
  <c r="E163" i="5"/>
  <c r="F163" i="5"/>
  <c r="F114" i="5"/>
  <c r="D114" i="5"/>
  <c r="E114" i="5"/>
  <c r="D169" i="5"/>
  <c r="F169" i="5"/>
  <c r="E169" i="5"/>
  <c r="D149" i="5"/>
  <c r="F149" i="5"/>
  <c r="E149" i="5"/>
  <c r="E205" i="5"/>
  <c r="F205" i="5"/>
  <c r="D205" i="5"/>
  <c r="E147" i="5"/>
  <c r="D147" i="5"/>
  <c r="F147" i="5"/>
  <c r="F184" i="5"/>
  <c r="E184" i="5"/>
  <c r="D184" i="5"/>
  <c r="E188" i="5"/>
  <c r="D188" i="5"/>
  <c r="F188" i="5"/>
  <c r="E167" i="5"/>
  <c r="D167" i="5"/>
  <c r="F167" i="5"/>
  <c r="F199" i="5"/>
  <c r="D199" i="5"/>
  <c r="E199" i="5"/>
  <c r="D176" i="5"/>
  <c r="E176" i="5"/>
  <c r="F176" i="5"/>
  <c r="E133" i="5"/>
  <c r="D133" i="5"/>
  <c r="F133" i="5"/>
  <c r="F139" i="5"/>
  <c r="D139" i="5"/>
  <c r="E139" i="5"/>
  <c r="F131" i="5"/>
  <c r="D131" i="5"/>
  <c r="E131" i="5"/>
  <c r="E151" i="5"/>
  <c r="D151" i="5"/>
  <c r="F151" i="5"/>
  <c r="D207" i="5"/>
  <c r="E207" i="5"/>
  <c r="F207" i="5"/>
  <c r="F117" i="5"/>
  <c r="E117" i="5"/>
  <c r="D117" i="5"/>
  <c r="D154" i="5"/>
  <c r="F154" i="5"/>
  <c r="E154" i="5"/>
  <c r="E124" i="5"/>
  <c r="D124" i="5"/>
  <c r="F124" i="5"/>
  <c r="F115" i="5"/>
  <c r="E115" i="5"/>
  <c r="D115" i="5"/>
  <c r="E175" i="5"/>
  <c r="F175" i="5"/>
  <c r="D175" i="5"/>
  <c r="E193" i="5"/>
  <c r="D193" i="5"/>
  <c r="F193" i="5"/>
  <c r="E145" i="5"/>
  <c r="D145" i="5"/>
  <c r="F145" i="5"/>
  <c r="D143" i="5"/>
  <c r="E143" i="5"/>
  <c r="F143" i="5"/>
  <c r="E198" i="5"/>
  <c r="D198" i="5"/>
  <c r="F198" i="5"/>
  <c r="E155" i="5"/>
  <c r="D155" i="5"/>
  <c r="F155" i="5"/>
  <c r="D157" i="5"/>
  <c r="F157" i="5"/>
  <c r="E157" i="5"/>
  <c r="E158" i="5"/>
  <c r="F158" i="5"/>
  <c r="D158" i="5"/>
  <c r="F172" i="5"/>
  <c r="E172" i="5"/>
  <c r="D172" i="5"/>
  <c r="F112" i="5"/>
  <c r="D112" i="5"/>
  <c r="E112" i="5"/>
  <c r="F144" i="5"/>
  <c r="D144" i="5"/>
  <c r="E144" i="5"/>
  <c r="F192" i="5"/>
  <c r="D192" i="5"/>
  <c r="E192" i="5"/>
  <c r="F206" i="5"/>
  <c r="D206" i="5"/>
  <c r="E206" i="5"/>
  <c r="E178" i="5"/>
  <c r="F178" i="5"/>
  <c r="D178" i="5"/>
  <c r="F182" i="5"/>
  <c r="E182" i="5"/>
  <c r="D182" i="5"/>
  <c r="F137" i="5"/>
  <c r="E137" i="5"/>
  <c r="D137" i="5"/>
  <c r="F170" i="5"/>
  <c r="D170" i="5"/>
  <c r="E170" i="5"/>
  <c r="D168" i="5"/>
  <c r="F168" i="5"/>
  <c r="E168" i="5"/>
  <c r="D138" i="5"/>
  <c r="F138" i="5"/>
  <c r="E138" i="5"/>
  <c r="F120" i="5"/>
  <c r="D120" i="5"/>
  <c r="E120" i="5"/>
  <c r="F183" i="5"/>
  <c r="D183" i="5"/>
  <c r="E183" i="5"/>
  <c r="D209" i="5"/>
  <c r="F209" i="5"/>
  <c r="E209" i="5"/>
  <c r="D113" i="5"/>
  <c r="F113" i="5"/>
  <c r="E113" i="5"/>
  <c r="F171" i="5"/>
  <c r="E171" i="5"/>
  <c r="D171" i="5"/>
  <c r="D177" i="5"/>
  <c r="F177" i="5"/>
  <c r="E177" i="5"/>
  <c r="D166" i="5"/>
  <c r="F166" i="5"/>
  <c r="E166" i="5"/>
  <c r="F189" i="5"/>
  <c r="E189" i="5"/>
  <c r="D189" i="5"/>
  <c r="D164" i="5"/>
  <c r="E164" i="5"/>
  <c r="F164" i="5"/>
  <c r="F122" i="5"/>
  <c r="E122" i="5"/>
  <c r="D122" i="5"/>
  <c r="E156" i="5"/>
  <c r="F156" i="5"/>
  <c r="D156" i="5"/>
  <c r="E111" i="5"/>
  <c r="D111" i="5"/>
  <c r="F111" i="5"/>
  <c r="E150" i="5"/>
  <c r="D150" i="5"/>
  <c r="F150" i="5"/>
  <c r="E204" i="5"/>
  <c r="D204" i="5"/>
  <c r="F204" i="5"/>
  <c r="D116" i="5"/>
  <c r="E116" i="5"/>
  <c r="F116" i="5"/>
  <c r="F201" i="5"/>
  <c r="D201" i="5"/>
  <c r="E201" i="5"/>
  <c r="D187" i="5"/>
  <c r="F187" i="5"/>
  <c r="E187" i="5"/>
  <c r="D119" i="5"/>
  <c r="E119" i="5"/>
  <c r="F119" i="5"/>
  <c r="D130" i="5"/>
  <c r="F130" i="5"/>
  <c r="E130" i="5"/>
  <c r="E159" i="5"/>
  <c r="F159" i="5"/>
  <c r="D159" i="5"/>
  <c r="D202" i="5"/>
  <c r="E202" i="5"/>
  <c r="F202" i="5"/>
  <c r="F190" i="5"/>
  <c r="E190" i="5"/>
  <c r="D190" i="5"/>
  <c r="D174" i="5"/>
  <c r="E174" i="5"/>
  <c r="F174" i="5"/>
  <c r="D185" i="5"/>
  <c r="E185" i="5"/>
  <c r="F185" i="5"/>
  <c r="D161" i="5"/>
  <c r="F161" i="5"/>
  <c r="E161" i="5"/>
  <c r="E134" i="5"/>
  <c r="F134" i="5"/>
  <c r="D134" i="5"/>
  <c r="F200" i="5"/>
  <c r="E200" i="5"/>
  <c r="D200" i="5"/>
  <c r="F141" i="5"/>
  <c r="D141" i="5"/>
  <c r="E141" i="5"/>
  <c r="E162" i="5"/>
  <c r="F162" i="5"/>
  <c r="D162" i="5"/>
  <c r="D173" i="5"/>
  <c r="E173" i="5"/>
  <c r="F173" i="5"/>
  <c r="F126" i="5"/>
  <c r="E126" i="5"/>
  <c r="D126" i="5"/>
  <c r="D127" i="5"/>
  <c r="F127" i="5"/>
  <c r="E127" i="5"/>
  <c r="D194" i="5"/>
  <c r="F194" i="5"/>
  <c r="E194" i="5"/>
  <c r="D146" i="5"/>
  <c r="F146" i="5"/>
  <c r="E146" i="5"/>
  <c r="D110" i="5"/>
  <c r="E110" i="5"/>
  <c r="F110" i="5"/>
  <c r="E121" i="5"/>
  <c r="F121" i="5"/>
  <c r="D121" i="5"/>
  <c r="D208" i="5"/>
  <c r="E208" i="5"/>
  <c r="F208" i="5"/>
  <c r="F118" i="5"/>
  <c r="D118" i="5"/>
  <c r="E118" i="5"/>
  <c r="E186" i="5"/>
  <c r="F186" i="5"/>
  <c r="D186" i="5"/>
  <c r="D196" i="5"/>
  <c r="E196" i="5"/>
  <c r="F196" i="5"/>
</calcChain>
</file>

<file path=xl/sharedStrings.xml><?xml version="1.0" encoding="utf-8"?>
<sst xmlns="http://schemas.openxmlformats.org/spreadsheetml/2006/main" count="165" uniqueCount="130">
  <si>
    <t>Earth</t>
  </si>
  <si>
    <t>Moon</t>
  </si>
  <si>
    <t>Angle</t>
  </si>
  <si>
    <t>points:</t>
  </si>
  <si>
    <t>dgr</t>
  </si>
  <si>
    <t>Pointer</t>
  </si>
  <si>
    <t>Position</t>
  </si>
  <si>
    <t>Differences</t>
  </si>
  <si>
    <t>Values</t>
  </si>
  <si>
    <t>step:</t>
  </si>
  <si>
    <t>cos</t>
  </si>
  <si>
    <t>delta (E-M)</t>
  </si>
  <si>
    <t>minor semi axis</t>
  </si>
  <si>
    <t>major semi axis</t>
  </si>
  <si>
    <t>DN</t>
  </si>
  <si>
    <t>delta (M-N)</t>
  </si>
  <si>
    <t>AN</t>
  </si>
  <si>
    <t>x</t>
  </si>
  <si>
    <t>ellipse</t>
  </si>
  <si>
    <t>black bottom</t>
  </si>
  <si>
    <t>transparent</t>
  </si>
  <si>
    <t>black top</t>
  </si>
  <si>
    <t>Perigee</t>
  </si>
  <si>
    <t>Apogee</t>
  </si>
  <si>
    <t>Moon position</t>
  </si>
  <si>
    <t>New Moon?</t>
  </si>
  <si>
    <t>Full Moon?</t>
  </si>
  <si>
    <t>Solar boundaries</t>
  </si>
  <si>
    <t>Super Moon?</t>
  </si>
  <si>
    <t>Inside inner?</t>
  </si>
  <si>
    <t>Inside outer?</t>
  </si>
  <si>
    <t>Lunar boundaries</t>
  </si>
  <si>
    <t>Perigee inside?</t>
  </si>
  <si>
    <t>Perigee outside?</t>
  </si>
  <si>
    <t>Perigee/Apogee</t>
  </si>
  <si>
    <t>Offset (days)</t>
  </si>
  <si>
    <t>Sidereal/2</t>
  </si>
  <si>
    <t>Offset (x)</t>
  </si>
  <si>
    <t>Offset (y)</t>
  </si>
  <si>
    <t>Te</t>
  </si>
  <si>
    <t>Sidereal</t>
  </si>
  <si>
    <t>Tm</t>
  </si>
  <si>
    <t>Fe</t>
  </si>
  <si>
    <t>Fm</t>
  </si>
  <si>
    <t>Nodes</t>
  </si>
  <si>
    <t>Rn</t>
  </si>
  <si>
    <t>Tn</t>
  </si>
  <si>
    <t>Fn</t>
  </si>
  <si>
    <t>dFme = Fm - Fe</t>
  </si>
  <si>
    <t>dFne = Fn - Fne</t>
  </si>
  <si>
    <t>dFpe = Fp - Fpe</t>
  </si>
  <si>
    <t>dFnme = Fn - Fme</t>
  </si>
  <si>
    <t>Synodic month</t>
  </si>
  <si>
    <t xml:space="preserve">Eme = 1 / dFme </t>
  </si>
  <si>
    <t>Draconitic month</t>
  </si>
  <si>
    <t xml:space="preserve">Ene = 1 / dFne </t>
  </si>
  <si>
    <t>Anomalistic month</t>
  </si>
  <si>
    <t xml:space="preserve">Epe = 1 / dFpe </t>
  </si>
  <si>
    <t>Eclipse year</t>
  </si>
  <si>
    <t xml:space="preserve">Enme = 1 / dFnme </t>
  </si>
  <si>
    <t>Eme / 2</t>
  </si>
  <si>
    <t>Ene / 2</t>
  </si>
  <si>
    <t>Epe / 2</t>
  </si>
  <si>
    <t>Enme / 2</t>
  </si>
  <si>
    <t>Calculations</t>
  </si>
  <si>
    <t>Position (calculated)</t>
  </si>
  <si>
    <t>Object</t>
  </si>
  <si>
    <t>y</t>
  </si>
  <si>
    <t>angle</t>
  </si>
  <si>
    <t>days</t>
  </si>
  <si>
    <t>Node (DN)</t>
  </si>
  <si>
    <t>Node (AN)</t>
  </si>
  <si>
    <t>Position (graph)</t>
  </si>
  <si>
    <t>Email</t>
  </si>
  <si>
    <t>V1.0</t>
  </si>
  <si>
    <t>Input</t>
  </si>
  <si>
    <t>All Rights Reserved:  © Astronomy Morsels.</t>
  </si>
  <si>
    <t>I'm solely responsible for the input and express no warranty.  Use at your own risk.</t>
  </si>
  <si>
    <t>Nonetheless, this spreadsheet has been carefully reviewed, and calculation results have been compared with other applications.</t>
  </si>
  <si>
    <t>New Moon</t>
  </si>
  <si>
    <t>NM</t>
  </si>
  <si>
    <t>Waning Crescent</t>
  </si>
  <si>
    <t>NC</t>
  </si>
  <si>
    <t>Third/Last Quarter</t>
  </si>
  <si>
    <t>LQ</t>
  </si>
  <si>
    <t>Waning Gibbous</t>
  </si>
  <si>
    <t>NG</t>
  </si>
  <si>
    <t>Full Moon</t>
  </si>
  <si>
    <t>FM</t>
  </si>
  <si>
    <t>Waxing Gibbous</t>
  </si>
  <si>
    <t>WG</t>
  </si>
  <si>
    <t>First Quarter</t>
  </si>
  <si>
    <t>FQ</t>
  </si>
  <si>
    <t>Waxing Crescent</t>
  </si>
  <si>
    <t>WC</t>
  </si>
  <si>
    <t>Moon Phase</t>
  </si>
  <si>
    <t>Abbrevation</t>
  </si>
  <si>
    <t>treshold delta (E-M)</t>
  </si>
  <si>
    <t>treshold delta (M-P)</t>
  </si>
  <si>
    <t>Origin</t>
  </si>
  <si>
    <t>Perigee-Moon (Apogee)</t>
  </si>
  <si>
    <t>Origin-PM</t>
  </si>
  <si>
    <t>Perigee-Moon (Perigee)</t>
  </si>
  <si>
    <t>Moon-Nodes (AN)</t>
  </si>
  <si>
    <t>Moon-Nodes (DN)</t>
  </si>
  <si>
    <t>Origin-MN</t>
  </si>
  <si>
    <t>Earth-Moon (New Moon)</t>
  </si>
  <si>
    <t>Earth-Moon (Full Moon)</t>
  </si>
  <si>
    <t>Origin-EM</t>
  </si>
  <si>
    <t># Anom. Months</t>
  </si>
  <si>
    <t># Drac. Months</t>
  </si>
  <si>
    <t># Syn.  Months</t>
  </si>
  <si>
    <t>Perigee-Moon</t>
  </si>
  <si>
    <t>Moon-Nodes</t>
  </si>
  <si>
    <t>Earth-Moon</t>
  </si>
  <si>
    <t>Offset (angle)</t>
  </si>
  <si>
    <t>Offet (angle)</t>
  </si>
  <si>
    <t>Rpm</t>
  </si>
  <si>
    <t>Perigee(-Moon) orbit</t>
  </si>
  <si>
    <t>Rmn</t>
  </si>
  <si>
    <t>Rem</t>
  </si>
  <si>
    <t>Moon(-Nodes) orbit</t>
  </si>
  <si>
    <t>Earth(-Moon) orbit</t>
  </si>
  <si>
    <t>delta (P-M)</t>
  </si>
  <si>
    <t>Angle between sun-earth-moon</t>
  </si>
  <si>
    <t>Note: a planned improvement is modeling the earth's orbit around the sun and the moon's orbit around the earth as ellipses. This will improve eclipse predictions.</t>
  </si>
  <si>
    <r>
      <rPr>
        <b/>
        <sz val="14"/>
        <color theme="0"/>
        <rFont val="Calibri"/>
        <family val="2"/>
      </rPr>
      <t>Compiled by</t>
    </r>
    <r>
      <rPr>
        <sz val="14"/>
        <color theme="0"/>
        <rFont val="Calibri"/>
        <family val="2"/>
      </rPr>
      <t>: Anton Viola (Astronomy Morsels).</t>
    </r>
  </si>
  <si>
    <r>
      <rPr>
        <b/>
        <sz val="14"/>
        <color theme="0"/>
        <rFont val="Calibri"/>
        <family val="2"/>
      </rPr>
      <t>Latest update</t>
    </r>
    <r>
      <rPr>
        <sz val="14"/>
        <color theme="0"/>
        <rFont val="Calibri"/>
        <family val="2"/>
      </rPr>
      <t>: 21st February, 2022.</t>
    </r>
  </si>
  <si>
    <t># days</t>
  </si>
  <si>
    <t xml:space="preserve">This spreadsheet simulates the montion of the earth and moon around the sun, including the tilt of the moon's  orbit with respect to the plane of the earth around the sun. Also the distance between the moon and earth is simulated (perigee, apogee). This model can be used for predicting lunar and solar eclipses as well as super moons (full moon or a new moon that nearly coincides with perigee). As the orbits of both earth and moon are simulated as circles, the predictions are less accurate.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</si>
</sst>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
    <numFmt numFmtId="167" formatCode="0.000"/>
  </numFmts>
  <fonts count="25" x14ac:knownFonts="1">
    <font>
      <sz val="12"/>
      <color theme="1"/>
      <name val="Aptos Narrow"/>
      <family val="2"/>
      <scheme val="minor"/>
    </font>
    <font>
      <sz val="12"/>
      <color theme="1"/>
      <name val="Verdana"/>
      <family val="2"/>
    </font>
    <font>
      <sz val="11"/>
      <color theme="1"/>
      <name val="Aptos Narrow"/>
      <family val="2"/>
      <charset val="238"/>
      <scheme val="minor"/>
    </font>
    <font>
      <sz val="12"/>
      <color theme="1"/>
      <name val="Calibri"/>
      <family val="2"/>
    </font>
    <font>
      <sz val="10"/>
      <color theme="1"/>
      <name val="Calibri"/>
      <family val="2"/>
    </font>
    <font>
      <sz val="11"/>
      <color theme="1"/>
      <name val="Calibri"/>
      <family val="2"/>
    </font>
    <font>
      <b/>
      <sz val="11"/>
      <color theme="1"/>
      <name val="Calibri"/>
      <family val="2"/>
    </font>
    <font>
      <b/>
      <sz val="10"/>
      <color theme="1"/>
      <name val="Calibri"/>
      <family val="2"/>
    </font>
    <font>
      <i/>
      <sz val="10"/>
      <color theme="1"/>
      <name val="Calibri"/>
      <family val="2"/>
    </font>
    <font>
      <sz val="10"/>
      <color theme="0"/>
      <name val="Calibri"/>
      <family val="2"/>
    </font>
    <font>
      <b/>
      <sz val="12"/>
      <color theme="1"/>
      <name val="Calibri"/>
      <family val="2"/>
    </font>
    <font>
      <u/>
      <sz val="12"/>
      <color theme="10"/>
      <name val="Aptos Narrow"/>
      <family val="2"/>
      <scheme val="minor"/>
    </font>
    <font>
      <i/>
      <sz val="14"/>
      <color theme="0"/>
      <name val="Calibri"/>
      <family val="2"/>
    </font>
    <font>
      <sz val="11"/>
      <color theme="1"/>
      <name val="Aptos Narrow"/>
      <family val="2"/>
      <scheme val="minor"/>
    </font>
    <font>
      <u/>
      <sz val="11"/>
      <color theme="10"/>
      <name val="Aptos Narrow"/>
      <family val="2"/>
      <scheme val="minor"/>
    </font>
    <font>
      <b/>
      <sz val="11"/>
      <color theme="2" tint="-0.499984740745262"/>
      <name val="Calibri"/>
      <family val="2"/>
    </font>
    <font>
      <sz val="10"/>
      <color theme="1"/>
      <name val="Verdana"/>
      <family val="2"/>
    </font>
    <font>
      <sz val="8"/>
      <color theme="1"/>
      <name val="Calibri"/>
      <family val="2"/>
    </font>
    <font>
      <b/>
      <sz val="14"/>
      <color rgb="FFFF0000"/>
      <name val="Calibri"/>
      <family val="2"/>
    </font>
    <font>
      <sz val="14"/>
      <color theme="0"/>
      <name val="Calibri"/>
      <family val="2"/>
    </font>
    <font>
      <b/>
      <sz val="14"/>
      <color theme="0"/>
      <name val="Calibri"/>
      <family val="2"/>
    </font>
    <font>
      <sz val="14"/>
      <color theme="0"/>
      <name val="Aptos Narrow"/>
      <family val="2"/>
      <scheme val="minor"/>
    </font>
    <font>
      <u/>
      <sz val="14"/>
      <color theme="0"/>
      <name val="Calibri"/>
      <family val="2"/>
    </font>
    <font>
      <u/>
      <sz val="12"/>
      <color theme="0"/>
      <name val="Calibri"/>
      <family val="2"/>
    </font>
    <font>
      <sz val="9"/>
      <color theme="0"/>
      <name val="Calibri"/>
      <family val="2"/>
    </font>
  </fonts>
  <fills count="12">
    <fill>
      <patternFill patternType="none"/>
    </fill>
    <fill>
      <patternFill patternType="gray125"/>
    </fill>
    <fill>
      <patternFill patternType="solid">
        <fgColor theme="1"/>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C00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00B050"/>
        <bgColor indexed="64"/>
      </patternFill>
    </fill>
  </fills>
  <borders count="4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bottom style="thin">
        <color indexed="64"/>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indexed="64"/>
      </left>
      <right style="thin">
        <color indexed="64"/>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right/>
      <top style="thin">
        <color auto="1"/>
      </top>
      <bottom style="thin">
        <color auto="1"/>
      </bottom>
      <diagonal/>
    </border>
  </borders>
  <cellStyleXfs count="5">
    <xf numFmtId="0" fontId="0" fillId="0" borderId="0"/>
    <xf numFmtId="0" fontId="2" fillId="0" borderId="0"/>
    <xf numFmtId="0" fontId="11" fillId="0" borderId="0" applyNumberFormat="0" applyFill="0" applyBorder="0" applyAlignment="0" applyProtection="0"/>
    <xf numFmtId="0" fontId="13" fillId="0" borderId="0"/>
    <xf numFmtId="0" fontId="14" fillId="0" borderId="0" applyNumberFormat="0" applyFill="0" applyBorder="0" applyAlignment="0" applyProtection="0"/>
  </cellStyleXfs>
  <cellXfs count="231">
    <xf numFmtId="0" fontId="0" fillId="0" borderId="0" xfId="0"/>
    <xf numFmtId="0" fontId="4" fillId="0" borderId="0" xfId="0" applyFont="1"/>
    <xf numFmtId="2" fontId="7" fillId="8" borderId="5" xfId="0" applyNumberFormat="1" applyFont="1" applyFill="1" applyBorder="1" applyAlignment="1" applyProtection="1">
      <alignment horizontal="right"/>
      <protection locked="0"/>
    </xf>
    <xf numFmtId="165" fontId="7" fillId="8" borderId="5" xfId="0" applyNumberFormat="1" applyFont="1" applyFill="1" applyBorder="1" applyAlignment="1" applyProtection="1">
      <alignment horizontal="right"/>
      <protection locked="0"/>
    </xf>
    <xf numFmtId="0" fontId="13" fillId="0" borderId="0" xfId="3"/>
    <xf numFmtId="0" fontId="5" fillId="0" borderId="0" xfId="3" applyFont="1"/>
    <xf numFmtId="0" fontId="5" fillId="9" borderId="2" xfId="1" applyFont="1" applyFill="1" applyBorder="1"/>
    <xf numFmtId="0" fontId="5" fillId="9" borderId="1" xfId="1" applyFont="1" applyFill="1" applyBorder="1"/>
    <xf numFmtId="164" fontId="5" fillId="9" borderId="3" xfId="1" applyNumberFormat="1" applyFont="1" applyFill="1" applyBorder="1"/>
    <xf numFmtId="0" fontId="5" fillId="9" borderId="6" xfId="1" applyFont="1" applyFill="1" applyBorder="1"/>
    <xf numFmtId="0" fontId="5" fillId="9" borderId="7" xfId="1" applyFont="1" applyFill="1" applyBorder="1"/>
    <xf numFmtId="2" fontId="5" fillId="9" borderId="8" xfId="1" applyNumberFormat="1" applyFont="1" applyFill="1" applyBorder="1"/>
    <xf numFmtId="0" fontId="5" fillId="9" borderId="4" xfId="1" applyFont="1" applyFill="1" applyBorder="1"/>
    <xf numFmtId="0" fontId="5" fillId="9" borderId="0" xfId="1" applyFont="1" applyFill="1"/>
    <xf numFmtId="0" fontId="5" fillId="9" borderId="5" xfId="1" applyFont="1" applyFill="1" applyBorder="1"/>
    <xf numFmtId="0" fontId="5" fillId="9" borderId="8" xfId="1" applyFont="1" applyFill="1" applyBorder="1"/>
    <xf numFmtId="0" fontId="7" fillId="9" borderId="1" xfId="3" applyFont="1" applyFill="1" applyBorder="1" applyAlignment="1">
      <alignment horizontal="center"/>
    </xf>
    <xf numFmtId="0" fontId="7" fillId="9" borderId="2" xfId="3" applyFont="1" applyFill="1" applyBorder="1" applyAlignment="1">
      <alignment horizontal="center"/>
    </xf>
    <xf numFmtId="0" fontId="7" fillId="9" borderId="2" xfId="3" applyFont="1" applyFill="1" applyBorder="1"/>
    <xf numFmtId="0" fontId="7" fillId="9" borderId="3" xfId="3" applyFont="1" applyFill="1" applyBorder="1"/>
    <xf numFmtId="0" fontId="4" fillId="9" borderId="4" xfId="3" applyFont="1" applyFill="1" applyBorder="1" applyAlignment="1">
      <alignment horizontal="center"/>
    </xf>
    <xf numFmtId="0" fontId="4" fillId="9" borderId="0" xfId="3" applyFont="1" applyFill="1" applyAlignment="1">
      <alignment horizontal="center"/>
    </xf>
    <xf numFmtId="0" fontId="4" fillId="9" borderId="0" xfId="3" applyFont="1" applyFill="1" applyAlignment="1">
      <alignment horizontal="left"/>
    </xf>
    <xf numFmtId="0" fontId="4" fillId="9" borderId="5" xfId="3" applyFont="1" applyFill="1" applyBorder="1"/>
    <xf numFmtId="0" fontId="4" fillId="9" borderId="0" xfId="3" applyFont="1" applyFill="1"/>
    <xf numFmtId="0" fontId="4" fillId="9" borderId="6" xfId="3" applyFont="1" applyFill="1" applyBorder="1" applyAlignment="1">
      <alignment horizontal="center"/>
    </xf>
    <xf numFmtId="0" fontId="4" fillId="9" borderId="7" xfId="3" applyFont="1" applyFill="1" applyBorder="1" applyAlignment="1">
      <alignment horizontal="center"/>
    </xf>
    <xf numFmtId="0" fontId="4" fillId="9" borderId="7" xfId="3" applyFont="1" applyFill="1" applyBorder="1" applyAlignment="1">
      <alignment horizontal="left"/>
    </xf>
    <xf numFmtId="0" fontId="4" fillId="9" borderId="8" xfId="3" applyFont="1" applyFill="1" applyBorder="1"/>
    <xf numFmtId="0" fontId="1" fillId="0" borderId="0" xfId="0" applyFont="1" applyProtection="1">
      <protection locked="0"/>
    </xf>
    <xf numFmtId="0" fontId="4" fillId="0" borderId="0" xfId="0" applyFont="1" applyProtection="1">
      <protection locked="0"/>
    </xf>
    <xf numFmtId="0" fontId="3" fillId="0" borderId="0" xfId="0" applyFont="1" applyProtection="1">
      <protection locked="0"/>
    </xf>
    <xf numFmtId="0" fontId="16" fillId="0" borderId="0" xfId="0" applyFont="1" applyProtection="1">
      <protection locked="0"/>
    </xf>
    <xf numFmtId="0" fontId="4" fillId="0" borderId="0" xfId="0" applyFont="1" applyAlignment="1" applyProtection="1">
      <alignment horizontal="center"/>
      <protection locked="0"/>
    </xf>
    <xf numFmtId="0" fontId="10" fillId="0" borderId="0" xfId="0" applyFont="1" applyProtection="1">
      <protection locked="0"/>
    </xf>
    <xf numFmtId="0" fontId="1" fillId="2" borderId="0" xfId="0" applyFont="1" applyFill="1" applyProtection="1">
      <protection locked="0"/>
    </xf>
    <xf numFmtId="0" fontId="4" fillId="2" borderId="0" xfId="0" applyFont="1" applyFill="1" applyProtection="1">
      <protection locked="0"/>
    </xf>
    <xf numFmtId="0" fontId="3" fillId="2" borderId="0" xfId="0" applyFont="1" applyFill="1" applyProtection="1">
      <protection locked="0"/>
    </xf>
    <xf numFmtId="166" fontId="4" fillId="10" borderId="8" xfId="0" applyNumberFormat="1" applyFont="1" applyFill="1" applyBorder="1" applyAlignment="1" applyProtection="1">
      <alignment horizontal="right"/>
      <protection locked="0"/>
    </xf>
    <xf numFmtId="0" fontId="4" fillId="10" borderId="6" xfId="0" applyFont="1" applyFill="1" applyBorder="1" applyProtection="1">
      <protection locked="0"/>
    </xf>
    <xf numFmtId="166" fontId="4" fillId="10" borderId="5" xfId="0" applyNumberFormat="1" applyFont="1" applyFill="1" applyBorder="1" applyAlignment="1" applyProtection="1">
      <alignment horizontal="right"/>
      <protection locked="0"/>
    </xf>
    <xf numFmtId="0" fontId="4" fillId="10" borderId="4" xfId="0" applyFont="1" applyFill="1" applyBorder="1" applyProtection="1">
      <protection locked="0"/>
    </xf>
    <xf numFmtId="0" fontId="4" fillId="0" borderId="0" xfId="0" applyFont="1" applyAlignment="1" applyProtection="1">
      <alignment horizontal="right"/>
      <protection locked="0"/>
    </xf>
    <xf numFmtId="166" fontId="4" fillId="10" borderId="3" xfId="0" applyNumberFormat="1" applyFont="1" applyFill="1" applyBorder="1" applyAlignment="1" applyProtection="1">
      <alignment horizontal="right"/>
      <protection locked="0"/>
    </xf>
    <xf numFmtId="0" fontId="4" fillId="10" borderId="1" xfId="0" applyFont="1" applyFill="1" applyBorder="1" applyProtection="1">
      <protection locked="0"/>
    </xf>
    <xf numFmtId="166" fontId="4" fillId="0" borderId="8" xfId="0" applyNumberFormat="1" applyFont="1" applyBorder="1" applyAlignment="1" applyProtection="1">
      <alignment horizontal="right"/>
      <protection locked="0"/>
    </xf>
    <xf numFmtId="0" fontId="4" fillId="0" borderId="6" xfId="0" applyFont="1" applyBorder="1" applyProtection="1">
      <protection locked="0"/>
    </xf>
    <xf numFmtId="0" fontId="4" fillId="0" borderId="4" xfId="0" applyFont="1" applyBorder="1" applyAlignment="1" applyProtection="1">
      <alignment horizontal="left"/>
      <protection locked="0"/>
    </xf>
    <xf numFmtId="0" fontId="4" fillId="5" borderId="4" xfId="0" applyFont="1" applyFill="1" applyBorder="1" applyAlignment="1" applyProtection="1">
      <alignment horizontal="left"/>
      <protection locked="0"/>
    </xf>
    <xf numFmtId="0" fontId="4" fillId="0" borderId="4" xfId="0" applyFont="1" applyBorder="1" applyProtection="1">
      <protection locked="0"/>
    </xf>
    <xf numFmtId="0" fontId="7" fillId="4" borderId="3"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4" fillId="7" borderId="20" xfId="0" applyFont="1" applyFill="1" applyBorder="1" applyAlignment="1" applyProtection="1">
      <alignment horizontal="center"/>
      <protection locked="0"/>
    </xf>
    <xf numFmtId="0" fontId="4" fillId="7" borderId="19" xfId="0" applyFont="1" applyFill="1" applyBorder="1" applyAlignment="1" applyProtection="1">
      <alignment horizontal="center"/>
      <protection locked="0"/>
    </xf>
    <xf numFmtId="0" fontId="3" fillId="0" borderId="26" xfId="0" applyFont="1" applyBorder="1" applyAlignment="1" applyProtection="1">
      <alignment horizontal="center" vertical="center"/>
      <protection locked="0"/>
    </xf>
    <xf numFmtId="164" fontId="4" fillId="5" borderId="25" xfId="0" applyNumberFormat="1" applyFont="1" applyFill="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4" fillId="7" borderId="7" xfId="0" applyFont="1" applyFill="1" applyBorder="1" applyAlignment="1" applyProtection="1">
      <alignment horizontal="center"/>
      <protection locked="0"/>
    </xf>
    <xf numFmtId="4" fontId="8" fillId="0" borderId="6" xfId="0" applyNumberFormat="1" applyFont="1" applyBorder="1" applyAlignment="1" applyProtection="1">
      <alignment horizontal="center"/>
      <protection locked="0"/>
    </xf>
    <xf numFmtId="0" fontId="3" fillId="0" borderId="22" xfId="0" applyFont="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7" borderId="0" xfId="0" applyFont="1" applyFill="1" applyAlignment="1" applyProtection="1">
      <alignment horizontal="center"/>
      <protection locked="0"/>
    </xf>
    <xf numFmtId="4" fontId="8" fillId="0" borderId="4" xfId="0" applyNumberFormat="1" applyFont="1" applyBorder="1" applyAlignment="1" applyProtection="1">
      <alignment horizontal="center"/>
      <protection locked="0"/>
    </xf>
    <xf numFmtId="0" fontId="3" fillId="0" borderId="11" xfId="0" applyFont="1" applyBorder="1" applyAlignment="1" applyProtection="1">
      <alignment horizontal="center" vertical="center"/>
      <protection locked="0"/>
    </xf>
    <xf numFmtId="0" fontId="4" fillId="7" borderId="10" xfId="0" applyFont="1" applyFill="1" applyBorder="1" applyAlignment="1" applyProtection="1">
      <alignment horizontal="center"/>
      <protection locked="0"/>
    </xf>
    <xf numFmtId="4" fontId="8" fillId="0" borderId="9" xfId="0" applyNumberFormat="1" applyFont="1" applyBorder="1" applyAlignment="1" applyProtection="1">
      <alignment horizontal="center"/>
      <protection locked="0"/>
    </xf>
    <xf numFmtId="0" fontId="3" fillId="0" borderId="3" xfId="0" applyFont="1" applyBorder="1" applyAlignment="1" applyProtection="1">
      <alignment horizontal="center" vertical="center"/>
      <protection locked="0"/>
    </xf>
    <xf numFmtId="0" fontId="4" fillId="7" borderId="2" xfId="0" applyFont="1" applyFill="1" applyBorder="1" applyAlignment="1" applyProtection="1">
      <alignment horizontal="center"/>
      <protection locked="0"/>
    </xf>
    <xf numFmtId="4" fontId="8" fillId="0" borderId="1" xfId="0" applyNumberFormat="1" applyFont="1" applyBorder="1" applyAlignment="1" applyProtection="1">
      <alignment horizontal="center"/>
      <protection locked="0"/>
    </xf>
    <xf numFmtId="164" fontId="4" fillId="5" borderId="20" xfId="0" applyNumberFormat="1" applyFont="1" applyFill="1" applyBorder="1" applyAlignment="1" applyProtection="1">
      <alignment horizontal="center" vertical="center"/>
      <protection locked="0"/>
    </xf>
    <xf numFmtId="164" fontId="4" fillId="5" borderId="19" xfId="0" applyNumberFormat="1" applyFont="1" applyFill="1" applyBorder="1" applyAlignment="1" applyProtection="1">
      <alignment horizontal="center" vertical="center"/>
      <protection locked="0"/>
    </xf>
    <xf numFmtId="0" fontId="4" fillId="7" borderId="18" xfId="0" applyFont="1" applyFill="1" applyBorder="1" applyAlignment="1" applyProtection="1">
      <alignment horizontal="center" vertical="center"/>
      <protection locked="0"/>
    </xf>
    <xf numFmtId="0" fontId="4" fillId="7" borderId="17" xfId="0" applyFont="1" applyFill="1" applyBorder="1" applyAlignment="1" applyProtection="1">
      <alignment horizontal="center" vertical="center"/>
      <protection locked="0"/>
    </xf>
    <xf numFmtId="0" fontId="4" fillId="5" borderId="7" xfId="0" applyFont="1" applyFill="1" applyBorder="1" applyAlignment="1" applyProtection="1">
      <alignment horizontal="center" vertical="center"/>
      <protection locked="0"/>
    </xf>
    <xf numFmtId="164" fontId="4" fillId="5" borderId="7" xfId="0" applyNumberFormat="1" applyFont="1" applyFill="1" applyBorder="1" applyAlignment="1" applyProtection="1">
      <alignment horizontal="center" vertical="center"/>
      <protection locked="0"/>
    </xf>
    <xf numFmtId="0" fontId="4" fillId="5" borderId="6" xfId="0" applyFont="1" applyFill="1" applyBorder="1" applyAlignment="1" applyProtection="1">
      <alignment horizontal="center" vertical="center"/>
      <protection locked="0"/>
    </xf>
    <xf numFmtId="0" fontId="4" fillId="5" borderId="0" xfId="0" applyFont="1" applyFill="1" applyAlignment="1" applyProtection="1">
      <alignment horizontal="center" vertical="center"/>
      <protection locked="0"/>
    </xf>
    <xf numFmtId="164" fontId="4" fillId="5" borderId="0" xfId="0" applyNumberFormat="1" applyFont="1" applyFill="1" applyAlignment="1" applyProtection="1">
      <alignment horizontal="center" vertical="center"/>
      <protection locked="0"/>
    </xf>
    <xf numFmtId="0" fontId="4" fillId="5" borderId="4" xfId="0" applyFont="1" applyFill="1" applyBorder="1" applyAlignment="1" applyProtection="1">
      <alignment horizontal="center" vertical="center"/>
      <protection locked="0"/>
    </xf>
    <xf numFmtId="0" fontId="4" fillId="5" borderId="10" xfId="0" applyFont="1" applyFill="1" applyBorder="1" applyAlignment="1" applyProtection="1">
      <alignment horizontal="center" vertical="center"/>
      <protection locked="0"/>
    </xf>
    <xf numFmtId="164" fontId="4" fillId="5" borderId="10" xfId="0" applyNumberFormat="1" applyFont="1" applyFill="1" applyBorder="1" applyAlignment="1" applyProtection="1">
      <alignment horizontal="center" vertical="center"/>
      <protection locked="0"/>
    </xf>
    <xf numFmtId="0" fontId="4" fillId="5" borderId="9" xfId="0" applyFont="1" applyFill="1" applyBorder="1" applyAlignment="1" applyProtection="1">
      <alignment horizontal="center" vertical="center"/>
      <protection locked="0"/>
    </xf>
    <xf numFmtId="0" fontId="4" fillId="5" borderId="13" xfId="0" applyFont="1" applyFill="1" applyBorder="1" applyAlignment="1" applyProtection="1">
      <alignment horizontal="center" vertical="center"/>
      <protection locked="0"/>
    </xf>
    <xf numFmtId="164" fontId="4" fillId="5" borderId="13" xfId="0" applyNumberFormat="1" applyFont="1" applyFill="1" applyBorder="1" applyAlignment="1" applyProtection="1">
      <alignment horizontal="center" vertical="center"/>
      <protection locked="0"/>
    </xf>
    <xf numFmtId="0" fontId="4" fillId="5" borderId="12" xfId="0" applyFont="1" applyFill="1" applyBorder="1" applyAlignment="1" applyProtection="1">
      <alignment horizontal="center" vertical="center"/>
      <protection locked="0"/>
    </xf>
    <xf numFmtId="0" fontId="4" fillId="0" borderId="9" xfId="0" applyFont="1" applyBorder="1" applyAlignment="1" applyProtection="1">
      <alignment horizontal="center"/>
      <protection locked="0"/>
    </xf>
    <xf numFmtId="0" fontId="7" fillId="4" borderId="2" xfId="0" applyFont="1" applyFill="1" applyBorder="1" applyAlignment="1" applyProtection="1">
      <alignment horizontal="center" vertical="center"/>
      <protection locked="0"/>
    </xf>
    <xf numFmtId="4" fontId="17" fillId="0" borderId="0" xfId="0" applyNumberFormat="1" applyFont="1" applyProtection="1">
      <protection locked="0"/>
    </xf>
    <xf numFmtId="164" fontId="10" fillId="8" borderId="0" xfId="0" applyNumberFormat="1" applyFont="1" applyFill="1" applyProtection="1">
      <protection locked="0"/>
    </xf>
    <xf numFmtId="0" fontId="5" fillId="0" borderId="0" xfId="0" applyFont="1" applyAlignment="1" applyProtection="1">
      <alignment horizontal="right"/>
      <protection locked="0"/>
    </xf>
    <xf numFmtId="0" fontId="10" fillId="8" borderId="0" xfId="0" applyFont="1" applyFill="1" applyAlignment="1" applyProtection="1">
      <alignment horizontal="right"/>
      <protection locked="0"/>
    </xf>
    <xf numFmtId="0" fontId="4" fillId="9" borderId="1" xfId="0" applyFont="1" applyFill="1" applyBorder="1" applyProtection="1">
      <protection locked="0"/>
    </xf>
    <xf numFmtId="0" fontId="4" fillId="9" borderId="4" xfId="0" applyFont="1" applyFill="1" applyBorder="1" applyAlignment="1" applyProtection="1">
      <alignment horizontal="right"/>
      <protection locked="0"/>
    </xf>
    <xf numFmtId="0" fontId="4" fillId="9" borderId="6" xfId="0" applyFont="1" applyFill="1" applyBorder="1" applyAlignment="1" applyProtection="1">
      <alignment horizontal="right"/>
      <protection locked="0"/>
    </xf>
    <xf numFmtId="0" fontId="4" fillId="9" borderId="7" xfId="0" applyFont="1" applyFill="1" applyBorder="1" applyAlignment="1" applyProtection="1">
      <alignment horizontal="right"/>
      <protection locked="0"/>
    </xf>
    <xf numFmtId="0" fontId="4" fillId="9" borderId="8" xfId="0" applyFont="1" applyFill="1" applyBorder="1" applyAlignment="1" applyProtection="1">
      <alignment horizontal="right"/>
      <protection locked="0"/>
    </xf>
    <xf numFmtId="0" fontId="4" fillId="9" borderId="28" xfId="0" applyFont="1" applyFill="1" applyBorder="1" applyAlignment="1" applyProtection="1">
      <alignment horizontal="right"/>
      <protection locked="0"/>
    </xf>
    <xf numFmtId="2" fontId="4" fillId="9" borderId="28" xfId="0" applyNumberFormat="1" applyFont="1" applyFill="1" applyBorder="1" applyProtection="1">
      <protection locked="0"/>
    </xf>
    <xf numFmtId="2" fontId="4" fillId="9" borderId="29" xfId="0" applyNumberFormat="1" applyFont="1" applyFill="1" applyBorder="1" applyProtection="1">
      <protection locked="0"/>
    </xf>
    <xf numFmtId="164" fontId="4" fillId="9" borderId="29" xfId="0" applyNumberFormat="1" applyFont="1" applyFill="1" applyBorder="1" applyProtection="1">
      <protection locked="0"/>
    </xf>
    <xf numFmtId="164" fontId="4" fillId="9" borderId="30" xfId="0" applyNumberFormat="1" applyFont="1" applyFill="1" applyBorder="1" applyProtection="1">
      <protection locked="0"/>
    </xf>
    <xf numFmtId="0" fontId="4" fillId="9" borderId="31" xfId="0" applyFont="1" applyFill="1" applyBorder="1" applyAlignment="1" applyProtection="1">
      <alignment horizontal="right"/>
      <protection locked="0"/>
    </xf>
    <xf numFmtId="2" fontId="4" fillId="9" borderId="31" xfId="0" applyNumberFormat="1" applyFont="1" applyFill="1" applyBorder="1" applyProtection="1">
      <protection locked="0"/>
    </xf>
    <xf numFmtId="2" fontId="4" fillId="9" borderId="32" xfId="0" applyNumberFormat="1" applyFont="1" applyFill="1" applyBorder="1" applyProtection="1">
      <protection locked="0"/>
    </xf>
    <xf numFmtId="164" fontId="4" fillId="9" borderId="32" xfId="0" applyNumberFormat="1" applyFont="1" applyFill="1" applyBorder="1" applyProtection="1">
      <protection locked="0"/>
    </xf>
    <xf numFmtId="164" fontId="4" fillId="9" borderId="33" xfId="0" applyNumberFormat="1" applyFont="1" applyFill="1" applyBorder="1" applyProtection="1">
      <protection locked="0"/>
    </xf>
    <xf numFmtId="0" fontId="4" fillId="9" borderId="34" xfId="0" applyFont="1" applyFill="1" applyBorder="1" applyAlignment="1" applyProtection="1">
      <alignment horizontal="right"/>
      <protection locked="0"/>
    </xf>
    <xf numFmtId="2" fontId="4" fillId="9" borderId="12" xfId="0" applyNumberFormat="1" applyFont="1" applyFill="1" applyBorder="1" applyProtection="1">
      <protection locked="0"/>
    </xf>
    <xf numFmtId="2" fontId="4" fillId="9" borderId="13" xfId="0" applyNumberFormat="1" applyFont="1" applyFill="1" applyBorder="1" applyProtection="1">
      <protection locked="0"/>
    </xf>
    <xf numFmtId="164" fontId="4" fillId="9" borderId="13" xfId="0" applyNumberFormat="1" applyFont="1" applyFill="1" applyBorder="1" applyProtection="1">
      <protection locked="0"/>
    </xf>
    <xf numFmtId="164" fontId="4" fillId="9" borderId="14" xfId="0" applyNumberFormat="1" applyFont="1" applyFill="1" applyBorder="1" applyProtection="1">
      <protection locked="0"/>
    </xf>
    <xf numFmtId="0" fontId="4" fillId="9" borderId="35" xfId="0" applyFont="1" applyFill="1" applyBorder="1" applyAlignment="1" applyProtection="1">
      <alignment horizontal="right"/>
      <protection locked="0"/>
    </xf>
    <xf numFmtId="0" fontId="4" fillId="9" borderId="9" xfId="0" applyFont="1" applyFill="1" applyBorder="1" applyProtection="1">
      <protection locked="0"/>
    </xf>
    <xf numFmtId="0" fontId="4" fillId="9" borderId="10" xfId="0" applyFont="1" applyFill="1" applyBorder="1" applyProtection="1">
      <protection locked="0"/>
    </xf>
    <xf numFmtId="164" fontId="4" fillId="9" borderId="10" xfId="0" applyNumberFormat="1" applyFont="1" applyFill="1" applyBorder="1" applyProtection="1">
      <protection locked="0"/>
    </xf>
    <xf numFmtId="164" fontId="4" fillId="9" borderId="11" xfId="0" applyNumberFormat="1" applyFont="1" applyFill="1" applyBorder="1" applyProtection="1">
      <protection locked="0"/>
    </xf>
    <xf numFmtId="0" fontId="4" fillId="9" borderId="6" xfId="0" applyFont="1" applyFill="1" applyBorder="1" applyProtection="1">
      <protection locked="0"/>
    </xf>
    <xf numFmtId="0" fontId="4" fillId="9" borderId="7" xfId="0" applyFont="1" applyFill="1" applyBorder="1" applyProtection="1">
      <protection locked="0"/>
    </xf>
    <xf numFmtId="164" fontId="4" fillId="9" borderId="7" xfId="0" applyNumberFormat="1" applyFont="1" applyFill="1" applyBorder="1" applyProtection="1">
      <protection locked="0"/>
    </xf>
    <xf numFmtId="164" fontId="4" fillId="9" borderId="8" xfId="0" applyNumberFormat="1" applyFont="1" applyFill="1" applyBorder="1" applyProtection="1">
      <protection locked="0"/>
    </xf>
    <xf numFmtId="0" fontId="4" fillId="9" borderId="2" xfId="0" applyFont="1" applyFill="1" applyBorder="1" applyProtection="1">
      <protection locked="0"/>
    </xf>
    <xf numFmtId="164" fontId="4" fillId="9" borderId="3" xfId="0" applyNumberFormat="1" applyFont="1" applyFill="1" applyBorder="1" applyProtection="1">
      <protection locked="0"/>
    </xf>
    <xf numFmtId="0" fontId="4" fillId="9" borderId="4" xfId="0" applyFont="1" applyFill="1" applyBorder="1" applyAlignment="1" applyProtection="1">
      <alignment horizontal="left"/>
      <protection locked="0"/>
    </xf>
    <xf numFmtId="0" fontId="4" fillId="9" borderId="4" xfId="0" applyFont="1" applyFill="1" applyBorder="1" applyProtection="1">
      <protection locked="0"/>
    </xf>
    <xf numFmtId="0" fontId="4" fillId="9" borderId="0" xfId="0" applyFont="1" applyFill="1" applyProtection="1">
      <protection locked="0"/>
    </xf>
    <xf numFmtId="164" fontId="4" fillId="9" borderId="5" xfId="0" applyNumberFormat="1" applyFont="1" applyFill="1" applyBorder="1" applyProtection="1">
      <protection locked="0"/>
    </xf>
    <xf numFmtId="167" fontId="4" fillId="9" borderId="8" xfId="0" applyNumberFormat="1" applyFont="1" applyFill="1" applyBorder="1" applyProtection="1">
      <protection locked="0"/>
    </xf>
    <xf numFmtId="0" fontId="4" fillId="9" borderId="15" xfId="0" applyFont="1" applyFill="1" applyBorder="1" applyProtection="1">
      <protection locked="0"/>
    </xf>
    <xf numFmtId="0" fontId="4" fillId="9" borderId="15" xfId="0" applyFont="1" applyFill="1" applyBorder="1" applyAlignment="1" applyProtection="1">
      <alignment horizontal="right"/>
      <protection locked="0"/>
    </xf>
    <xf numFmtId="0" fontId="3" fillId="9" borderId="16" xfId="0" applyFont="1" applyFill="1" applyBorder="1" applyAlignment="1" applyProtection="1">
      <alignment horizontal="right"/>
      <protection locked="0"/>
    </xf>
    <xf numFmtId="0" fontId="4" fillId="9" borderId="21" xfId="0" applyFont="1" applyFill="1" applyBorder="1" applyAlignment="1" applyProtection="1">
      <alignment horizontal="right"/>
      <protection locked="0"/>
    </xf>
    <xf numFmtId="2" fontId="4" fillId="9" borderId="1" xfId="0" applyNumberFormat="1" applyFont="1" applyFill="1" applyBorder="1" applyAlignment="1" applyProtection="1">
      <alignment horizontal="right"/>
      <protection locked="0"/>
    </xf>
    <xf numFmtId="2" fontId="4" fillId="9" borderId="3" xfId="0" applyNumberFormat="1" applyFont="1" applyFill="1" applyBorder="1" applyAlignment="1" applyProtection="1">
      <alignment horizontal="right"/>
      <protection locked="0"/>
    </xf>
    <xf numFmtId="0" fontId="4" fillId="9" borderId="27" xfId="0" applyFont="1" applyFill="1" applyBorder="1" applyAlignment="1" applyProtection="1">
      <alignment horizontal="right"/>
      <protection locked="0"/>
    </xf>
    <xf numFmtId="2" fontId="4" fillId="9" borderId="4" xfId="0" applyNumberFormat="1" applyFont="1" applyFill="1" applyBorder="1" applyAlignment="1" applyProtection="1">
      <alignment horizontal="right"/>
      <protection locked="0"/>
    </xf>
    <xf numFmtId="2" fontId="4" fillId="9" borderId="5" xfId="0" applyNumberFormat="1" applyFont="1" applyFill="1" applyBorder="1" applyAlignment="1" applyProtection="1">
      <alignment horizontal="right"/>
      <protection locked="0"/>
    </xf>
    <xf numFmtId="2" fontId="4" fillId="9" borderId="9" xfId="0" applyNumberFormat="1" applyFont="1" applyFill="1" applyBorder="1" applyAlignment="1" applyProtection="1">
      <alignment horizontal="right"/>
      <protection locked="0"/>
    </xf>
    <xf numFmtId="2" fontId="4" fillId="9" borderId="11" xfId="0" applyNumberFormat="1" applyFont="1" applyFill="1" applyBorder="1" applyAlignment="1" applyProtection="1">
      <alignment horizontal="right"/>
      <protection locked="0"/>
    </xf>
    <xf numFmtId="2" fontId="4" fillId="9" borderId="12" xfId="0" applyNumberFormat="1" applyFont="1" applyFill="1" applyBorder="1" applyAlignment="1" applyProtection="1">
      <alignment horizontal="right"/>
      <protection locked="0"/>
    </xf>
    <xf numFmtId="2" fontId="4" fillId="9" borderId="14" xfId="0" applyNumberFormat="1" applyFont="1" applyFill="1" applyBorder="1" applyAlignment="1" applyProtection="1">
      <alignment horizontal="right"/>
      <protection locked="0"/>
    </xf>
    <xf numFmtId="2" fontId="4" fillId="9" borderId="0" xfId="0" applyNumberFormat="1" applyFont="1" applyFill="1" applyAlignment="1" applyProtection="1">
      <alignment horizontal="right"/>
      <protection locked="0"/>
    </xf>
    <xf numFmtId="0" fontId="4" fillId="9" borderId="24" xfId="0" applyFont="1" applyFill="1" applyBorder="1" applyAlignment="1" applyProtection="1">
      <alignment horizontal="right"/>
      <protection locked="0"/>
    </xf>
    <xf numFmtId="2" fontId="4" fillId="9" borderId="7" xfId="0" applyNumberFormat="1" applyFont="1" applyFill="1" applyBorder="1" applyAlignment="1" applyProtection="1">
      <alignment horizontal="right"/>
      <protection locked="0"/>
    </xf>
    <xf numFmtId="2" fontId="4" fillId="9" borderId="8" xfId="0" applyNumberFormat="1" applyFont="1" applyFill="1" applyBorder="1" applyAlignment="1" applyProtection="1">
      <alignment horizontal="right"/>
      <protection locked="0"/>
    </xf>
    <xf numFmtId="0" fontId="4" fillId="9" borderId="21" xfId="0" applyFont="1" applyFill="1" applyBorder="1" applyProtection="1">
      <protection locked="0"/>
    </xf>
    <xf numFmtId="2" fontId="4" fillId="9" borderId="2" xfId="0" applyNumberFormat="1" applyFont="1" applyFill="1" applyBorder="1" applyProtection="1">
      <protection locked="0"/>
    </xf>
    <xf numFmtId="2" fontId="4" fillId="9" borderId="3" xfId="0" applyNumberFormat="1" applyFont="1" applyFill="1" applyBorder="1" applyProtection="1">
      <protection locked="0"/>
    </xf>
    <xf numFmtId="0" fontId="4" fillId="9" borderId="35" xfId="0" applyFont="1" applyFill="1" applyBorder="1" applyProtection="1">
      <protection locked="0"/>
    </xf>
    <xf numFmtId="2" fontId="4" fillId="9" borderId="10" xfId="0" applyNumberFormat="1" applyFont="1" applyFill="1" applyBorder="1" applyProtection="1">
      <protection locked="0"/>
    </xf>
    <xf numFmtId="2" fontId="4" fillId="9" borderId="11" xfId="0" applyNumberFormat="1" applyFont="1" applyFill="1" applyBorder="1" applyProtection="1">
      <protection locked="0"/>
    </xf>
    <xf numFmtId="0" fontId="4" fillId="9" borderId="34" xfId="0" applyFont="1" applyFill="1" applyBorder="1" applyProtection="1">
      <protection locked="0"/>
    </xf>
    <xf numFmtId="2" fontId="4" fillId="9" borderId="14" xfId="0" applyNumberFormat="1" applyFont="1" applyFill="1" applyBorder="1" applyProtection="1">
      <protection locked="0"/>
    </xf>
    <xf numFmtId="0" fontId="4" fillId="9" borderId="27" xfId="0" applyFont="1" applyFill="1" applyBorder="1" applyProtection="1">
      <protection locked="0"/>
    </xf>
    <xf numFmtId="2" fontId="4" fillId="9" borderId="0" xfId="0" applyNumberFormat="1" applyFont="1" applyFill="1" applyProtection="1">
      <protection locked="0"/>
    </xf>
    <xf numFmtId="2" fontId="4" fillId="9" borderId="5" xfId="0" applyNumberFormat="1" applyFont="1" applyFill="1" applyBorder="1" applyProtection="1">
      <protection locked="0"/>
    </xf>
    <xf numFmtId="0" fontId="4" fillId="9" borderId="24" xfId="0" applyFont="1" applyFill="1" applyBorder="1" applyProtection="1">
      <protection locked="0"/>
    </xf>
    <xf numFmtId="2" fontId="4" fillId="9" borderId="7" xfId="0" applyNumberFormat="1" applyFont="1" applyFill="1" applyBorder="1" applyProtection="1">
      <protection locked="0"/>
    </xf>
    <xf numFmtId="2" fontId="4" fillId="9" borderId="8" xfId="0" applyNumberFormat="1" applyFont="1" applyFill="1" applyBorder="1" applyProtection="1">
      <protection locked="0"/>
    </xf>
    <xf numFmtId="0" fontId="4" fillId="9" borderId="3" xfId="0" applyFont="1" applyFill="1" applyBorder="1" applyAlignment="1" applyProtection="1">
      <alignment horizontal="right"/>
      <protection locked="0"/>
    </xf>
    <xf numFmtId="0" fontId="4" fillId="9" borderId="1" xfId="0" applyFont="1" applyFill="1" applyBorder="1" applyAlignment="1" applyProtection="1">
      <alignment horizontal="right"/>
      <protection locked="0"/>
    </xf>
    <xf numFmtId="2" fontId="4" fillId="9" borderId="1" xfId="0" applyNumberFormat="1" applyFont="1" applyFill="1" applyBorder="1" applyProtection="1">
      <protection locked="0"/>
    </xf>
    <xf numFmtId="2" fontId="4" fillId="9" borderId="4" xfId="0" applyNumberFormat="1" applyFont="1" applyFill="1" applyBorder="1" applyProtection="1">
      <protection locked="0"/>
    </xf>
    <xf numFmtId="2" fontId="4" fillId="9" borderId="6" xfId="0" applyNumberFormat="1" applyFont="1" applyFill="1" applyBorder="1" applyProtection="1">
      <protection locked="0"/>
    </xf>
    <xf numFmtId="2" fontId="7" fillId="5" borderId="5" xfId="0" applyNumberFormat="1" applyFont="1" applyFill="1" applyBorder="1" applyAlignment="1">
      <alignment horizontal="right"/>
    </xf>
    <xf numFmtId="164" fontId="4" fillId="0" borderId="0" xfId="0" applyNumberFormat="1" applyFont="1" applyProtection="1">
      <protection locked="0"/>
    </xf>
    <xf numFmtId="0" fontId="6" fillId="9" borderId="4" xfId="1" applyFont="1" applyFill="1" applyBorder="1" applyAlignment="1">
      <alignment horizontal="right"/>
    </xf>
    <xf numFmtId="0" fontId="6" fillId="9" borderId="0" xfId="1" applyFont="1" applyFill="1" applyAlignment="1">
      <alignment horizontal="right"/>
    </xf>
    <xf numFmtId="0" fontId="6" fillId="9" borderId="5" xfId="1" applyFont="1" applyFill="1" applyBorder="1" applyAlignment="1">
      <alignment horizontal="right"/>
    </xf>
    <xf numFmtId="164" fontId="10" fillId="9" borderId="16" xfId="0" applyNumberFormat="1" applyFont="1" applyFill="1" applyBorder="1"/>
    <xf numFmtId="2" fontId="5" fillId="9" borderId="4" xfId="1" applyNumberFormat="1" applyFont="1" applyFill="1" applyBorder="1"/>
    <xf numFmtId="2" fontId="5" fillId="9" borderId="6" xfId="1" applyNumberFormat="1" applyFont="1" applyFill="1" applyBorder="1"/>
    <xf numFmtId="0" fontId="18" fillId="0" borderId="0" xfId="0" applyFont="1"/>
    <xf numFmtId="0" fontId="0" fillId="11" borderId="0" xfId="0" applyFill="1"/>
    <xf numFmtId="0" fontId="19" fillId="2" borderId="1" xfId="0" applyFont="1" applyFill="1" applyBorder="1" applyAlignment="1">
      <alignment horizontal="left"/>
    </xf>
    <xf numFmtId="0" fontId="19" fillId="2" borderId="2" xfId="0" applyFont="1" applyFill="1" applyBorder="1" applyAlignment="1">
      <alignment horizontal="center"/>
    </xf>
    <xf numFmtId="0" fontId="21" fillId="2" borderId="2" xfId="0" applyFont="1" applyFill="1" applyBorder="1"/>
    <xf numFmtId="0" fontId="22" fillId="2" borderId="3" xfId="2" applyFont="1" applyFill="1" applyBorder="1" applyAlignment="1">
      <alignment horizontal="center"/>
    </xf>
    <xf numFmtId="0" fontId="22" fillId="2" borderId="4" xfId="2" applyFont="1" applyFill="1" applyBorder="1" applyAlignment="1">
      <alignment horizontal="left"/>
    </xf>
    <xf numFmtId="0" fontId="19" fillId="2" borderId="0" xfId="0" applyFont="1" applyFill="1" applyAlignment="1">
      <alignment horizontal="center"/>
    </xf>
    <xf numFmtId="0" fontId="21" fillId="2" borderId="0" xfId="0" applyFont="1" applyFill="1"/>
    <xf numFmtId="0" fontId="19" fillId="2" borderId="5" xfId="0" applyFont="1" applyFill="1" applyBorder="1" applyAlignment="1">
      <alignment horizontal="center"/>
    </xf>
    <xf numFmtId="0" fontId="19" fillId="2" borderId="6" xfId="2" applyFont="1" applyFill="1" applyBorder="1" applyAlignment="1">
      <alignment horizontal="left"/>
    </xf>
    <xf numFmtId="0" fontId="19" fillId="2" borderId="7" xfId="2" applyFont="1" applyFill="1" applyBorder="1" applyAlignment="1">
      <alignment horizontal="left"/>
    </xf>
    <xf numFmtId="0" fontId="21" fillId="2" borderId="7" xfId="0" applyFont="1" applyFill="1" applyBorder="1"/>
    <xf numFmtId="0" fontId="20" fillId="2" borderId="8" xfId="0" applyFont="1" applyFill="1" applyBorder="1" applyAlignment="1">
      <alignment horizontal="center"/>
    </xf>
    <xf numFmtId="0" fontId="12" fillId="2" borderId="0" xfId="0" applyFont="1" applyFill="1" applyAlignment="1">
      <alignment horizontal="center" vertical="center" wrapText="1"/>
    </xf>
    <xf numFmtId="0" fontId="23" fillId="2" borderId="1" xfId="2" applyFont="1" applyFill="1" applyBorder="1" applyAlignment="1">
      <alignment horizontal="center"/>
    </xf>
    <xf numFmtId="0" fontId="23" fillId="2" borderId="2" xfId="2" applyFont="1" applyFill="1" applyBorder="1" applyAlignment="1">
      <alignment horizontal="center"/>
    </xf>
    <xf numFmtId="0" fontId="23" fillId="2" borderId="36" xfId="2" applyFont="1" applyFill="1" applyBorder="1" applyAlignment="1">
      <alignment horizontal="center"/>
    </xf>
    <xf numFmtId="0" fontId="24" fillId="2" borderId="4" xfId="0" applyFont="1" applyFill="1" applyBorder="1" applyAlignment="1">
      <alignment horizontal="center"/>
    </xf>
    <xf numFmtId="0" fontId="24" fillId="2" borderId="0" xfId="0" applyFont="1" applyFill="1" applyAlignment="1">
      <alignment horizontal="center"/>
    </xf>
    <xf numFmtId="0" fontId="24" fillId="2" borderId="37" xfId="0" applyFont="1" applyFill="1" applyBorder="1" applyAlignment="1">
      <alignment horizontal="center"/>
    </xf>
    <xf numFmtId="0" fontId="24" fillId="2" borderId="6" xfId="0" applyFont="1" applyFill="1" applyBorder="1" applyAlignment="1">
      <alignment horizontal="center"/>
    </xf>
    <xf numFmtId="0" fontId="24" fillId="2" borderId="7" xfId="0" applyFont="1" applyFill="1" applyBorder="1" applyAlignment="1">
      <alignment horizontal="center"/>
    </xf>
    <xf numFmtId="0" fontId="24" fillId="2" borderId="38" xfId="0" applyFont="1" applyFill="1" applyBorder="1" applyAlignment="1">
      <alignment horizontal="center"/>
    </xf>
    <xf numFmtId="164" fontId="4" fillId="5" borderId="5" xfId="0" applyNumberFormat="1" applyFont="1" applyFill="1" applyBorder="1" applyAlignment="1" applyProtection="1">
      <alignment horizontal="center" vertical="center"/>
      <protection locked="0"/>
    </xf>
    <xf numFmtId="164" fontId="4" fillId="5" borderId="11" xfId="0" applyNumberFormat="1" applyFont="1" applyFill="1" applyBorder="1" applyAlignment="1" applyProtection="1">
      <alignment horizontal="center" vertical="center"/>
      <protection locked="0"/>
    </xf>
    <xf numFmtId="164" fontId="4" fillId="5" borderId="14" xfId="0" applyNumberFormat="1" applyFont="1" applyFill="1" applyBorder="1" applyAlignment="1" applyProtection="1">
      <alignment horizontal="center" vertical="center"/>
      <protection locked="0"/>
    </xf>
    <xf numFmtId="0" fontId="4" fillId="5" borderId="4" xfId="0" applyFont="1" applyFill="1" applyBorder="1" applyAlignment="1" applyProtection="1">
      <alignment horizontal="center" vertical="center"/>
      <protection locked="0"/>
    </xf>
    <xf numFmtId="0" fontId="4" fillId="5" borderId="9" xfId="0" applyFont="1" applyFill="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9" borderId="1" xfId="0" applyFont="1" applyFill="1" applyBorder="1" applyAlignment="1" applyProtection="1">
      <alignment horizontal="center"/>
      <protection locked="0"/>
    </xf>
    <xf numFmtId="0" fontId="3" fillId="9" borderId="2" xfId="0" applyFont="1" applyFill="1" applyBorder="1" applyAlignment="1" applyProtection="1">
      <alignment horizontal="center"/>
      <protection locked="0"/>
    </xf>
    <xf numFmtId="0" fontId="3" fillId="9" borderId="3" xfId="0" applyFont="1" applyFill="1" applyBorder="1" applyAlignment="1" applyProtection="1">
      <alignment horizontal="center"/>
      <protection locked="0"/>
    </xf>
    <xf numFmtId="0" fontId="7" fillId="4" borderId="1" xfId="0" applyFont="1" applyFill="1" applyBorder="1" applyAlignment="1" applyProtection="1">
      <alignment horizontal="center" vertical="center"/>
      <protection locked="0"/>
    </xf>
    <xf numFmtId="0" fontId="7" fillId="4" borderId="3" xfId="0" applyFont="1" applyFill="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15" fillId="0" borderId="0" xfId="0" applyFont="1" applyAlignment="1">
      <alignment horizontal="center"/>
    </xf>
    <xf numFmtId="0" fontId="9" fillId="3" borderId="7" xfId="0" applyFont="1" applyFill="1" applyBorder="1" applyAlignment="1" applyProtection="1">
      <alignment horizontal="center"/>
      <protection locked="0"/>
    </xf>
    <xf numFmtId="0" fontId="9" fillId="3" borderId="8" xfId="0" applyFont="1" applyFill="1" applyBorder="1" applyAlignment="1" applyProtection="1">
      <alignment horizontal="center"/>
      <protection locked="0"/>
    </xf>
    <xf numFmtId="0" fontId="9" fillId="3" borderId="2" xfId="0" applyFont="1" applyFill="1" applyBorder="1" applyAlignment="1" applyProtection="1">
      <alignment horizontal="center"/>
      <protection locked="0"/>
    </xf>
    <xf numFmtId="0" fontId="9" fillId="3" borderId="3" xfId="0" applyFont="1" applyFill="1" applyBorder="1" applyAlignment="1" applyProtection="1">
      <alignment horizontal="center"/>
      <protection locked="0"/>
    </xf>
    <xf numFmtId="0" fontId="4" fillId="7" borderId="21" xfId="0" applyFont="1" applyFill="1" applyBorder="1" applyAlignment="1" applyProtection="1">
      <alignment horizontal="center" vertical="center" textRotation="180"/>
      <protection locked="0"/>
    </xf>
    <xf numFmtId="0" fontId="4" fillId="7" borderId="5" xfId="0" applyFont="1" applyFill="1" applyBorder="1" applyAlignment="1" applyProtection="1">
      <alignment horizontal="center" vertical="center" textRotation="180"/>
      <protection locked="0"/>
    </xf>
    <xf numFmtId="0" fontId="4" fillId="7" borderId="24" xfId="0" applyFont="1" applyFill="1" applyBorder="1" applyAlignment="1" applyProtection="1">
      <alignment horizontal="center" vertical="center" textRotation="180"/>
      <protection locked="0"/>
    </xf>
    <xf numFmtId="4" fontId="7" fillId="8" borderId="15" xfId="0" applyNumberFormat="1" applyFont="1" applyFill="1" applyBorder="1" applyAlignment="1" applyProtection="1">
      <alignment horizontal="center"/>
      <protection locked="0"/>
    </xf>
    <xf numFmtId="4" fontId="7" fillId="8" borderId="16" xfId="0" applyNumberFormat="1" applyFont="1" applyFill="1" applyBorder="1" applyAlignment="1" applyProtection="1">
      <alignment horizontal="center"/>
      <protection locked="0"/>
    </xf>
    <xf numFmtId="0" fontId="9" fillId="6" borderId="1" xfId="0" applyFont="1" applyFill="1" applyBorder="1" applyAlignment="1" applyProtection="1">
      <alignment horizontal="center"/>
      <protection locked="0"/>
    </xf>
    <xf numFmtId="0" fontId="9" fillId="6" borderId="3" xfId="0" applyFont="1" applyFill="1" applyBorder="1" applyAlignment="1" applyProtection="1">
      <alignment horizontal="center"/>
      <protection locked="0"/>
    </xf>
    <xf numFmtId="0" fontId="9" fillId="6" borderId="15" xfId="0" applyFont="1" applyFill="1" applyBorder="1" applyAlignment="1" applyProtection="1">
      <alignment horizontal="center"/>
      <protection locked="0"/>
    </xf>
    <xf numFmtId="0" fontId="9" fillId="6" borderId="16" xfId="0" applyFont="1" applyFill="1" applyBorder="1" applyAlignment="1" applyProtection="1">
      <alignment horizontal="center"/>
      <protection locked="0"/>
    </xf>
    <xf numFmtId="164" fontId="4" fillId="5" borderId="1" xfId="0" applyNumberFormat="1" applyFont="1" applyFill="1" applyBorder="1" applyAlignment="1" applyProtection="1">
      <alignment horizontal="center" vertical="center"/>
      <protection locked="0"/>
    </xf>
    <xf numFmtId="164" fontId="4" fillId="5" borderId="4" xfId="0" applyNumberFormat="1" applyFont="1" applyFill="1" applyBorder="1" applyAlignment="1" applyProtection="1">
      <alignment horizontal="center" vertical="center"/>
      <protection locked="0"/>
    </xf>
    <xf numFmtId="164" fontId="4" fillId="5" borderId="6" xfId="0" applyNumberFormat="1" applyFont="1" applyFill="1" applyBorder="1" applyAlignment="1" applyProtection="1">
      <alignment horizontal="center" vertical="center"/>
      <protection locked="0"/>
    </xf>
    <xf numFmtId="0" fontId="10" fillId="9" borderId="15" xfId="0" applyFont="1" applyFill="1" applyBorder="1" applyAlignment="1">
      <alignment horizontal="left"/>
    </xf>
    <xf numFmtId="0" fontId="10" fillId="9" borderId="39" xfId="0" applyFont="1" applyFill="1" applyBorder="1" applyAlignment="1">
      <alignment horizontal="left"/>
    </xf>
  </cellXfs>
  <cellStyles count="5">
    <cellStyle name="Hyperlink" xfId="2" builtinId="8"/>
    <cellStyle name="Hyperlink 3" xfId="4" xr:uid="{5B2D0758-A6BA-2946-989D-37AFC94136AE}"/>
    <cellStyle name="Normal" xfId="0" builtinId="0"/>
    <cellStyle name="Normal 3" xfId="1" xr:uid="{150A7FBA-7A4E-4E4D-99A1-253F3C260301}"/>
    <cellStyle name="Normal 4" xfId="3" xr:uid="{A42ACF20-E5B0-F34F-965A-00F07001EE4F}"/>
  </cellStyles>
  <dxfs count="6">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3" Type="http://schemas.openxmlformats.org/officeDocument/2006/relationships/image" Target="../media/image3.jpg"/><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267175572519083E-2"/>
          <c:y val="1.2482662968099861E-2"/>
          <c:w val="0.96946564885496178"/>
          <c:h val="0.96948682385575591"/>
        </c:manualLayout>
      </c:layout>
      <c:scatterChart>
        <c:scatterStyle val="lineMarker"/>
        <c:varyColors val="0"/>
        <c:ser>
          <c:idx val="1"/>
          <c:order val="0"/>
          <c:tx>
            <c:v>Earth-Moon orbit</c:v>
          </c:tx>
          <c:spPr>
            <a:ln w="25400" cap="rnd">
              <a:solidFill>
                <a:srgbClr val="C00000"/>
              </a:solidFill>
            </a:ln>
            <a:effectLst>
              <a:glow>
                <a:schemeClr val="accent2">
                  <a:satMod val="175000"/>
                  <a:alpha val="14000"/>
                </a:schemeClr>
              </a:glow>
            </a:effectLst>
          </c:spPr>
          <c:marker>
            <c:symbol val="circle"/>
            <c:size val="3"/>
            <c:spPr>
              <a:noFill/>
              <a:ln>
                <a:noFill/>
              </a:ln>
              <a:effectLst>
                <a:glow>
                  <a:schemeClr val="accent2">
                    <a:satMod val="175000"/>
                    <a:alpha val="14000"/>
                  </a:schemeClr>
                </a:glow>
              </a:effectLst>
            </c:spPr>
          </c:marker>
          <c:xVal>
            <c:numRef>
              <c:f>'Moon Phase-Node Model'!$I$66:$I$138</c:f>
              <c:numCache>
                <c:formatCode>0.00</c:formatCode>
                <c:ptCount val="73"/>
                <c:pt idx="0">
                  <c:v>-0.73205000000000009</c:v>
                </c:pt>
                <c:pt idx="1">
                  <c:v>-0.73585530190825454</c:v>
                </c:pt>
                <c:pt idx="2">
                  <c:v>-0.74724224698779207</c:v>
                </c:pt>
                <c:pt idx="3">
                  <c:v>-0.76612417371093178</c:v>
                </c:pt>
                <c:pt idx="4">
                  <c:v>-0.79235737921409166</c:v>
                </c:pt>
                <c:pt idx="5">
                  <c:v>-0.82574221296335015</c:v>
                </c:pt>
                <c:pt idx="6">
                  <c:v>-0.86602459621556138</c:v>
                </c:pt>
                <c:pt idx="7">
                  <c:v>-0.91289795571100829</c:v>
                </c:pt>
                <c:pt idx="8">
                  <c:v>-0.96600555688102208</c:v>
                </c:pt>
                <c:pt idx="9">
                  <c:v>-1.0249432188134526</c:v>
                </c:pt>
                <c:pt idx="10">
                  <c:v>-1.0892623903134608</c:v>
                </c:pt>
                <c:pt idx="11">
                  <c:v>-1.158473563648954</c:v>
                </c:pt>
                <c:pt idx="12">
                  <c:v>-1.2320500000000001</c:v>
                </c:pt>
                <c:pt idx="13">
                  <c:v>-1.3094317382593006</c:v>
                </c:pt>
                <c:pt idx="14">
                  <c:v>-1.3900298566743312</c:v>
                </c:pt>
                <c:pt idx="15">
                  <c:v>-1.4732309548974794</c:v>
                </c:pt>
                <c:pt idx="16">
                  <c:v>-1.5584018223330696</c:v>
                </c:pt>
                <c:pt idx="17">
                  <c:v>-1.644894257252342</c:v>
                </c:pt>
                <c:pt idx="18">
                  <c:v>-1.7320500000000001</c:v>
                </c:pt>
                <c:pt idx="19">
                  <c:v>-1.8192057427476582</c:v>
                </c:pt>
                <c:pt idx="20">
                  <c:v>-1.9056981776669304</c:v>
                </c:pt>
                <c:pt idx="21">
                  <c:v>-1.9908690451025208</c:v>
                </c:pt>
                <c:pt idx="22">
                  <c:v>-2.074070143325669</c:v>
                </c:pt>
                <c:pt idx="23">
                  <c:v>-2.1546682617406994</c:v>
                </c:pt>
                <c:pt idx="24">
                  <c:v>-2.2320500000000001</c:v>
                </c:pt>
                <c:pt idx="25">
                  <c:v>-2.3056264363510461</c:v>
                </c:pt>
                <c:pt idx="26">
                  <c:v>-2.3748376096865393</c:v>
                </c:pt>
                <c:pt idx="27">
                  <c:v>-2.4391567811865476</c:v>
                </c:pt>
                <c:pt idx="28">
                  <c:v>-2.498094443118978</c:v>
                </c:pt>
                <c:pt idx="29">
                  <c:v>-2.551202044288992</c:v>
                </c:pt>
                <c:pt idx="30">
                  <c:v>-2.5980754037844389</c:v>
                </c:pt>
                <c:pt idx="31">
                  <c:v>-2.6383577870366501</c:v>
                </c:pt>
                <c:pt idx="32">
                  <c:v>-2.6717426207859085</c:v>
                </c:pt>
                <c:pt idx="33">
                  <c:v>-2.6979758262890683</c:v>
                </c:pt>
                <c:pt idx="34">
                  <c:v>-2.7168577530122082</c:v>
                </c:pt>
                <c:pt idx="35">
                  <c:v>-2.7282446980917454</c:v>
                </c:pt>
                <c:pt idx="36">
                  <c:v>-2.7320500000000001</c:v>
                </c:pt>
                <c:pt idx="37">
                  <c:v>-2.7282446980917454</c:v>
                </c:pt>
                <c:pt idx="38">
                  <c:v>-2.7168577530122082</c:v>
                </c:pt>
                <c:pt idx="39">
                  <c:v>-2.6979758262890683</c:v>
                </c:pt>
                <c:pt idx="40">
                  <c:v>-2.6717426207859085</c:v>
                </c:pt>
                <c:pt idx="41">
                  <c:v>-2.6383577870366501</c:v>
                </c:pt>
                <c:pt idx="42">
                  <c:v>-2.5980754037844385</c:v>
                </c:pt>
                <c:pt idx="43">
                  <c:v>-2.551202044288992</c:v>
                </c:pt>
                <c:pt idx="44">
                  <c:v>-2.498094443118978</c:v>
                </c:pt>
                <c:pt idx="45">
                  <c:v>-2.439156781186548</c:v>
                </c:pt>
                <c:pt idx="46">
                  <c:v>-2.3748376096865398</c:v>
                </c:pt>
                <c:pt idx="47">
                  <c:v>-2.3056264363510466</c:v>
                </c:pt>
                <c:pt idx="48">
                  <c:v>-2.2320500000000005</c:v>
                </c:pt>
                <c:pt idx="49">
                  <c:v>-2.1546682617406994</c:v>
                </c:pt>
                <c:pt idx="50">
                  <c:v>-2.0740701433256685</c:v>
                </c:pt>
                <c:pt idx="51">
                  <c:v>-1.9908690451025208</c:v>
                </c:pt>
                <c:pt idx="52">
                  <c:v>-1.9056981776669304</c:v>
                </c:pt>
                <c:pt idx="53">
                  <c:v>-1.8192057427476582</c:v>
                </c:pt>
                <c:pt idx="54">
                  <c:v>-1.7320500000000003</c:v>
                </c:pt>
                <c:pt idx="55">
                  <c:v>-1.6448942572523422</c:v>
                </c:pt>
                <c:pt idx="56">
                  <c:v>-1.55840182233307</c:v>
                </c:pt>
                <c:pt idx="57">
                  <c:v>-1.4732309548974798</c:v>
                </c:pt>
                <c:pt idx="58">
                  <c:v>-1.3900298566743312</c:v>
                </c:pt>
                <c:pt idx="59">
                  <c:v>-1.3094317382593004</c:v>
                </c:pt>
                <c:pt idx="60">
                  <c:v>-1.2320500000000001</c:v>
                </c:pt>
                <c:pt idx="61">
                  <c:v>-1.158473563648954</c:v>
                </c:pt>
                <c:pt idx="62">
                  <c:v>-1.0892623903134608</c:v>
                </c:pt>
                <c:pt idx="63">
                  <c:v>-1.0249432188134526</c:v>
                </c:pt>
                <c:pt idx="64">
                  <c:v>-0.9660055568810223</c:v>
                </c:pt>
                <c:pt idx="65">
                  <c:v>-0.91289795571100851</c:v>
                </c:pt>
                <c:pt idx="66">
                  <c:v>-0.86602459621556171</c:v>
                </c:pt>
                <c:pt idx="67">
                  <c:v>-0.82574221296335004</c:v>
                </c:pt>
                <c:pt idx="68">
                  <c:v>-0.79235737921409166</c:v>
                </c:pt>
                <c:pt idx="69">
                  <c:v>-0.76612417371093178</c:v>
                </c:pt>
                <c:pt idx="70">
                  <c:v>-0.74724224698779207</c:v>
                </c:pt>
                <c:pt idx="71">
                  <c:v>-0.73585530190825454</c:v>
                </c:pt>
                <c:pt idx="72">
                  <c:v>-0.73205000000000009</c:v>
                </c:pt>
              </c:numCache>
            </c:numRef>
          </c:xVal>
          <c:yVal>
            <c:numRef>
              <c:f>'Moon Phase-Node Model'!$J$66:$J$138</c:f>
              <c:numCache>
                <c:formatCode>0.00</c:formatCode>
                <c:ptCount val="73"/>
                <c:pt idx="0">
                  <c:v>-1</c:v>
                </c:pt>
                <c:pt idx="1">
                  <c:v>-0.91284425725234186</c:v>
                </c:pt>
                <c:pt idx="2">
                  <c:v>-0.8263518223330697</c:v>
                </c:pt>
                <c:pt idx="3">
                  <c:v>-0.74118095489747926</c:v>
                </c:pt>
                <c:pt idx="4">
                  <c:v>-0.65797985667433134</c:v>
                </c:pt>
                <c:pt idx="5">
                  <c:v>-0.5773817382593005</c:v>
                </c:pt>
                <c:pt idx="6">
                  <c:v>-0.5</c:v>
                </c:pt>
                <c:pt idx="7">
                  <c:v>-0.42642356364895395</c:v>
                </c:pt>
                <c:pt idx="8">
                  <c:v>-0.35721239031346075</c:v>
                </c:pt>
                <c:pt idx="9">
                  <c:v>-0.29289321881345254</c:v>
                </c:pt>
                <c:pt idx="10">
                  <c:v>-0.23395555688102199</c:v>
                </c:pt>
                <c:pt idx="11">
                  <c:v>-0.1808479557110082</c:v>
                </c:pt>
                <c:pt idx="12">
                  <c:v>-0.1339745962155614</c:v>
                </c:pt>
                <c:pt idx="13">
                  <c:v>-9.3692212963350063E-2</c:v>
                </c:pt>
                <c:pt idx="14">
                  <c:v>-6.0307379214091683E-2</c:v>
                </c:pt>
                <c:pt idx="15">
                  <c:v>-3.4074173710931688E-2</c:v>
                </c:pt>
                <c:pt idx="16">
                  <c:v>-1.519224698779198E-2</c:v>
                </c:pt>
                <c:pt idx="17">
                  <c:v>-3.8053019082544548E-3</c:v>
                </c:pt>
                <c:pt idx="18">
                  <c:v>0</c:v>
                </c:pt>
                <c:pt idx="19">
                  <c:v>-3.8053019082544548E-3</c:v>
                </c:pt>
                <c:pt idx="20">
                  <c:v>-1.519224698779198E-2</c:v>
                </c:pt>
                <c:pt idx="21">
                  <c:v>-3.4074173710931688E-2</c:v>
                </c:pt>
                <c:pt idx="22">
                  <c:v>-6.0307379214091572E-2</c:v>
                </c:pt>
                <c:pt idx="23">
                  <c:v>-9.3692212963349952E-2</c:v>
                </c:pt>
                <c:pt idx="24">
                  <c:v>-0.13397459621556129</c:v>
                </c:pt>
                <c:pt idx="25">
                  <c:v>-0.18084795571100831</c:v>
                </c:pt>
                <c:pt idx="26">
                  <c:v>-0.23395555688102199</c:v>
                </c:pt>
                <c:pt idx="27">
                  <c:v>-0.29289321881345243</c:v>
                </c:pt>
                <c:pt idx="28">
                  <c:v>-0.35721239031346053</c:v>
                </c:pt>
                <c:pt idx="29">
                  <c:v>-0.42642356364895406</c:v>
                </c:pt>
                <c:pt idx="30">
                  <c:v>-0.5</c:v>
                </c:pt>
                <c:pt idx="31">
                  <c:v>-0.5773817382593005</c:v>
                </c:pt>
                <c:pt idx="32">
                  <c:v>-0.65797985667433112</c:v>
                </c:pt>
                <c:pt idx="33">
                  <c:v>-0.74118095489747904</c:v>
                </c:pt>
                <c:pt idx="34">
                  <c:v>-0.8263518223330697</c:v>
                </c:pt>
                <c:pt idx="35">
                  <c:v>-0.91284425725234186</c:v>
                </c:pt>
                <c:pt idx="36">
                  <c:v>-0.99999999999999989</c:v>
                </c:pt>
                <c:pt idx="37">
                  <c:v>-1.0871557427476579</c:v>
                </c:pt>
                <c:pt idx="38">
                  <c:v>-1.1736481776669305</c:v>
                </c:pt>
                <c:pt idx="39">
                  <c:v>-1.2588190451025207</c:v>
                </c:pt>
                <c:pt idx="40">
                  <c:v>-1.3420201433256687</c:v>
                </c:pt>
                <c:pt idx="41">
                  <c:v>-1.4226182617406993</c:v>
                </c:pt>
                <c:pt idx="42">
                  <c:v>-1.5</c:v>
                </c:pt>
                <c:pt idx="43">
                  <c:v>-1.573576436351046</c:v>
                </c:pt>
                <c:pt idx="44">
                  <c:v>-1.6427876096865393</c:v>
                </c:pt>
                <c:pt idx="45">
                  <c:v>-1.7071067811865475</c:v>
                </c:pt>
                <c:pt idx="46">
                  <c:v>-1.7660444431189779</c:v>
                </c:pt>
                <c:pt idx="47">
                  <c:v>-1.8191520442889915</c:v>
                </c:pt>
                <c:pt idx="48">
                  <c:v>-1.8660254037844384</c:v>
                </c:pt>
                <c:pt idx="49">
                  <c:v>-1.90630778703665</c:v>
                </c:pt>
                <c:pt idx="50">
                  <c:v>-1.9396926207859084</c:v>
                </c:pt>
                <c:pt idx="51">
                  <c:v>-1.9659258262890682</c:v>
                </c:pt>
                <c:pt idx="52">
                  <c:v>-1.9848077530122081</c:v>
                </c:pt>
                <c:pt idx="53">
                  <c:v>-1.9961946980917455</c:v>
                </c:pt>
                <c:pt idx="54">
                  <c:v>-2</c:v>
                </c:pt>
                <c:pt idx="55">
                  <c:v>-1.9961946980917455</c:v>
                </c:pt>
                <c:pt idx="56">
                  <c:v>-1.9848077530122081</c:v>
                </c:pt>
                <c:pt idx="57">
                  <c:v>-1.9659258262890684</c:v>
                </c:pt>
                <c:pt idx="58">
                  <c:v>-1.9396926207859084</c:v>
                </c:pt>
                <c:pt idx="59">
                  <c:v>-1.90630778703665</c:v>
                </c:pt>
                <c:pt idx="60">
                  <c:v>-1.8660254037844386</c:v>
                </c:pt>
                <c:pt idx="61">
                  <c:v>-1.8191520442889919</c:v>
                </c:pt>
                <c:pt idx="62">
                  <c:v>-1.7660444431189781</c:v>
                </c:pt>
                <c:pt idx="63">
                  <c:v>-1.7071067811865477</c:v>
                </c:pt>
                <c:pt idx="64">
                  <c:v>-1.6427876096865397</c:v>
                </c:pt>
                <c:pt idx="65">
                  <c:v>-1.5735764363510465</c:v>
                </c:pt>
                <c:pt idx="66">
                  <c:v>-1.5000000000000004</c:v>
                </c:pt>
                <c:pt idx="67">
                  <c:v>-1.4226182617406993</c:v>
                </c:pt>
                <c:pt idx="68">
                  <c:v>-1.3420201433256687</c:v>
                </c:pt>
                <c:pt idx="69">
                  <c:v>-1.2588190451025207</c:v>
                </c:pt>
                <c:pt idx="70">
                  <c:v>-1.1736481776669303</c:v>
                </c:pt>
                <c:pt idx="71">
                  <c:v>-1.0871557427476584</c:v>
                </c:pt>
                <c:pt idx="72">
                  <c:v>-1.0000000000000002</c:v>
                </c:pt>
              </c:numCache>
            </c:numRef>
          </c:yVal>
          <c:smooth val="0"/>
          <c:extLst>
            <c:ext xmlns:c16="http://schemas.microsoft.com/office/drawing/2014/chart" uri="{C3380CC4-5D6E-409C-BE32-E72D297353CC}">
              <c16:uniqueId val="{00000000-169D-4D4A-AEEA-25E6654BF9A4}"/>
            </c:ext>
          </c:extLst>
        </c:ser>
        <c:ser>
          <c:idx val="2"/>
          <c:order val="1"/>
          <c:tx>
            <c:v>Moon-Nodes orbit</c:v>
          </c:tx>
          <c:spPr>
            <a:ln w="25400" cap="rnd" cmpd="sng">
              <a:solidFill>
                <a:srgbClr val="00B050"/>
              </a:solidFill>
            </a:ln>
            <a:effectLst>
              <a:glow>
                <a:schemeClr val="accent3">
                  <a:satMod val="175000"/>
                  <a:alpha val="14000"/>
                </a:schemeClr>
              </a:glow>
            </a:effectLst>
          </c:spPr>
          <c:marker>
            <c:symbol val="circle"/>
            <c:size val="3"/>
            <c:spPr>
              <a:noFill/>
              <a:ln>
                <a:noFill/>
              </a:ln>
              <a:effectLst>
                <a:glow>
                  <a:schemeClr val="accent3">
                    <a:satMod val="175000"/>
                    <a:alpha val="14000"/>
                  </a:schemeClr>
                </a:glow>
              </a:effectLst>
            </c:spPr>
          </c:marker>
          <c:xVal>
            <c:numRef>
              <c:f>'Moon Phase-Node Model'!$K$66:$K$138</c:f>
              <c:numCache>
                <c:formatCode>0.00</c:formatCode>
                <c:ptCount val="73"/>
                <c:pt idx="0">
                  <c:v>2.7320500000000001</c:v>
                </c:pt>
                <c:pt idx="1">
                  <c:v>2.7282446980917454</c:v>
                </c:pt>
                <c:pt idx="2">
                  <c:v>2.7168577530122082</c:v>
                </c:pt>
                <c:pt idx="3">
                  <c:v>2.6979758262890683</c:v>
                </c:pt>
                <c:pt idx="4">
                  <c:v>2.6717426207859085</c:v>
                </c:pt>
                <c:pt idx="5">
                  <c:v>2.6383577870366501</c:v>
                </c:pt>
                <c:pt idx="6">
                  <c:v>2.5980754037844389</c:v>
                </c:pt>
                <c:pt idx="7">
                  <c:v>2.551202044288992</c:v>
                </c:pt>
                <c:pt idx="8">
                  <c:v>2.498094443118978</c:v>
                </c:pt>
                <c:pt idx="9">
                  <c:v>2.4391567811865476</c:v>
                </c:pt>
                <c:pt idx="10">
                  <c:v>2.3748376096865393</c:v>
                </c:pt>
                <c:pt idx="11">
                  <c:v>2.3056264363510461</c:v>
                </c:pt>
                <c:pt idx="12">
                  <c:v>2.2320500000000001</c:v>
                </c:pt>
                <c:pt idx="13">
                  <c:v>2.1546682617406994</c:v>
                </c:pt>
                <c:pt idx="14">
                  <c:v>2.074070143325669</c:v>
                </c:pt>
                <c:pt idx="15">
                  <c:v>1.9908690451025208</c:v>
                </c:pt>
                <c:pt idx="16">
                  <c:v>1.9056981776669306</c:v>
                </c:pt>
                <c:pt idx="17">
                  <c:v>1.8192057427476582</c:v>
                </c:pt>
                <c:pt idx="18">
                  <c:v>1.7320500000000001</c:v>
                </c:pt>
                <c:pt idx="19">
                  <c:v>1.644894257252342</c:v>
                </c:pt>
                <c:pt idx="20">
                  <c:v>1.5584018223330698</c:v>
                </c:pt>
                <c:pt idx="21">
                  <c:v>1.4732309548974794</c:v>
                </c:pt>
                <c:pt idx="22">
                  <c:v>1.3900298566743314</c:v>
                </c:pt>
                <c:pt idx="23">
                  <c:v>1.3094317382593008</c:v>
                </c:pt>
                <c:pt idx="24">
                  <c:v>1.2320500000000003</c:v>
                </c:pt>
                <c:pt idx="25">
                  <c:v>1.158473563648954</c:v>
                </c:pt>
                <c:pt idx="26">
                  <c:v>1.0892623903134608</c:v>
                </c:pt>
                <c:pt idx="27">
                  <c:v>1.0249432188134526</c:v>
                </c:pt>
                <c:pt idx="28">
                  <c:v>0.96600555688102219</c:v>
                </c:pt>
                <c:pt idx="29">
                  <c:v>0.91289795571100818</c:v>
                </c:pt>
                <c:pt idx="30">
                  <c:v>0.86602459621556138</c:v>
                </c:pt>
                <c:pt idx="31">
                  <c:v>0.82574221296335015</c:v>
                </c:pt>
                <c:pt idx="32">
                  <c:v>0.79235737921409177</c:v>
                </c:pt>
                <c:pt idx="33">
                  <c:v>0.76612417371093189</c:v>
                </c:pt>
                <c:pt idx="34">
                  <c:v>0.74724224698779207</c:v>
                </c:pt>
                <c:pt idx="35">
                  <c:v>0.73585530190825454</c:v>
                </c:pt>
                <c:pt idx="36">
                  <c:v>0.73205000000000009</c:v>
                </c:pt>
                <c:pt idx="37">
                  <c:v>0.73585530190825454</c:v>
                </c:pt>
                <c:pt idx="38">
                  <c:v>0.74724224698779207</c:v>
                </c:pt>
                <c:pt idx="39">
                  <c:v>0.76612417371093178</c:v>
                </c:pt>
                <c:pt idx="40">
                  <c:v>0.79235737921409166</c:v>
                </c:pt>
                <c:pt idx="41">
                  <c:v>0.82574221296335004</c:v>
                </c:pt>
                <c:pt idx="42">
                  <c:v>0.86602459621556149</c:v>
                </c:pt>
                <c:pt idx="43">
                  <c:v>0.91289795571100829</c:v>
                </c:pt>
                <c:pt idx="44">
                  <c:v>0.96600555688102208</c:v>
                </c:pt>
                <c:pt idx="45">
                  <c:v>1.0249432188134524</c:v>
                </c:pt>
                <c:pt idx="46">
                  <c:v>1.0892623903134606</c:v>
                </c:pt>
                <c:pt idx="47">
                  <c:v>1.1584735636489536</c:v>
                </c:pt>
                <c:pt idx="48">
                  <c:v>1.2320499999999996</c:v>
                </c:pt>
                <c:pt idx="49">
                  <c:v>1.3094317382593008</c:v>
                </c:pt>
                <c:pt idx="50">
                  <c:v>1.3900298566743317</c:v>
                </c:pt>
                <c:pt idx="51">
                  <c:v>1.4732309548974794</c:v>
                </c:pt>
                <c:pt idx="52">
                  <c:v>1.5584018223330698</c:v>
                </c:pt>
                <c:pt idx="53">
                  <c:v>1.644894257252342</c:v>
                </c:pt>
                <c:pt idx="54">
                  <c:v>1.7320499999999999</c:v>
                </c:pt>
                <c:pt idx="55">
                  <c:v>1.819205742747658</c:v>
                </c:pt>
                <c:pt idx="56">
                  <c:v>1.9056981776669302</c:v>
                </c:pt>
                <c:pt idx="57">
                  <c:v>1.9908690451025204</c:v>
                </c:pt>
                <c:pt idx="58">
                  <c:v>2.074070143325669</c:v>
                </c:pt>
                <c:pt idx="59">
                  <c:v>2.1546682617406998</c:v>
                </c:pt>
                <c:pt idx="60">
                  <c:v>2.2320500000000001</c:v>
                </c:pt>
                <c:pt idx="61">
                  <c:v>2.3056264363510461</c:v>
                </c:pt>
                <c:pt idx="62">
                  <c:v>2.3748376096865393</c:v>
                </c:pt>
                <c:pt idx="63">
                  <c:v>2.4391567811865476</c:v>
                </c:pt>
                <c:pt idx="64">
                  <c:v>2.498094443118978</c:v>
                </c:pt>
                <c:pt idx="65">
                  <c:v>2.5512020442889916</c:v>
                </c:pt>
                <c:pt idx="66">
                  <c:v>2.5980754037844385</c:v>
                </c:pt>
                <c:pt idx="67">
                  <c:v>2.6383577870366501</c:v>
                </c:pt>
                <c:pt idx="68">
                  <c:v>2.6717426207859085</c:v>
                </c:pt>
                <c:pt idx="69">
                  <c:v>2.6979758262890683</c:v>
                </c:pt>
                <c:pt idx="70">
                  <c:v>2.7168577530122082</c:v>
                </c:pt>
                <c:pt idx="71">
                  <c:v>2.7282446980917454</c:v>
                </c:pt>
                <c:pt idx="72">
                  <c:v>2.7320500000000001</c:v>
                </c:pt>
              </c:numCache>
            </c:numRef>
          </c:xVal>
          <c:yVal>
            <c:numRef>
              <c:f>'Moon Phase-Node Model'!$L$66:$L$138</c:f>
              <c:numCache>
                <c:formatCode>0.00</c:formatCode>
                <c:ptCount val="73"/>
                <c:pt idx="0">
                  <c:v>-1</c:v>
                </c:pt>
                <c:pt idx="1">
                  <c:v>-0.91284425725234186</c:v>
                </c:pt>
                <c:pt idx="2">
                  <c:v>-0.8263518223330697</c:v>
                </c:pt>
                <c:pt idx="3">
                  <c:v>-0.74118095489747926</c:v>
                </c:pt>
                <c:pt idx="4">
                  <c:v>-0.65797985667433134</c:v>
                </c:pt>
                <c:pt idx="5">
                  <c:v>-0.5773817382593005</c:v>
                </c:pt>
                <c:pt idx="6">
                  <c:v>-0.5</c:v>
                </c:pt>
                <c:pt idx="7">
                  <c:v>-0.42642356364895395</c:v>
                </c:pt>
                <c:pt idx="8">
                  <c:v>-0.35721239031346075</c:v>
                </c:pt>
                <c:pt idx="9">
                  <c:v>-0.29289321881345254</c:v>
                </c:pt>
                <c:pt idx="10">
                  <c:v>-0.23395555688102199</c:v>
                </c:pt>
                <c:pt idx="11">
                  <c:v>-0.1808479557110082</c:v>
                </c:pt>
                <c:pt idx="12">
                  <c:v>-0.1339745962155614</c:v>
                </c:pt>
                <c:pt idx="13">
                  <c:v>-9.3692212963350063E-2</c:v>
                </c:pt>
                <c:pt idx="14">
                  <c:v>-6.0307379214091683E-2</c:v>
                </c:pt>
                <c:pt idx="15">
                  <c:v>-3.4074173710931688E-2</c:v>
                </c:pt>
                <c:pt idx="16">
                  <c:v>-1.519224698779198E-2</c:v>
                </c:pt>
                <c:pt idx="17">
                  <c:v>-3.8053019082544548E-3</c:v>
                </c:pt>
                <c:pt idx="18">
                  <c:v>0</c:v>
                </c:pt>
                <c:pt idx="19">
                  <c:v>-3.8053019082544548E-3</c:v>
                </c:pt>
                <c:pt idx="20">
                  <c:v>-1.519224698779198E-2</c:v>
                </c:pt>
                <c:pt idx="21">
                  <c:v>-3.4074173710931688E-2</c:v>
                </c:pt>
                <c:pt idx="22">
                  <c:v>-6.0307379214091572E-2</c:v>
                </c:pt>
                <c:pt idx="23">
                  <c:v>-9.3692212963349952E-2</c:v>
                </c:pt>
                <c:pt idx="24">
                  <c:v>-0.13397459621556129</c:v>
                </c:pt>
                <c:pt idx="25">
                  <c:v>-0.18084795571100831</c:v>
                </c:pt>
                <c:pt idx="26">
                  <c:v>-0.23395555688102199</c:v>
                </c:pt>
                <c:pt idx="27">
                  <c:v>-0.29289321881345243</c:v>
                </c:pt>
                <c:pt idx="28">
                  <c:v>-0.35721239031346053</c:v>
                </c:pt>
                <c:pt idx="29">
                  <c:v>-0.42642356364895406</c:v>
                </c:pt>
                <c:pt idx="30">
                  <c:v>-0.5</c:v>
                </c:pt>
                <c:pt idx="31">
                  <c:v>-0.5773817382593005</c:v>
                </c:pt>
                <c:pt idx="32">
                  <c:v>-0.65797985667433112</c:v>
                </c:pt>
                <c:pt idx="33">
                  <c:v>-0.74118095489747904</c:v>
                </c:pt>
                <c:pt idx="34">
                  <c:v>-0.8263518223330697</c:v>
                </c:pt>
                <c:pt idx="35">
                  <c:v>-0.91284425725234186</c:v>
                </c:pt>
                <c:pt idx="36">
                  <c:v>-0.99999999999999989</c:v>
                </c:pt>
                <c:pt idx="37">
                  <c:v>-1.0871557427476579</c:v>
                </c:pt>
                <c:pt idx="38">
                  <c:v>-1.1736481776669305</c:v>
                </c:pt>
                <c:pt idx="39">
                  <c:v>-1.2588190451025207</c:v>
                </c:pt>
                <c:pt idx="40">
                  <c:v>-1.3420201433256687</c:v>
                </c:pt>
                <c:pt idx="41">
                  <c:v>-1.4226182617406993</c:v>
                </c:pt>
                <c:pt idx="42">
                  <c:v>-1.5</c:v>
                </c:pt>
                <c:pt idx="43">
                  <c:v>-1.573576436351046</c:v>
                </c:pt>
                <c:pt idx="44">
                  <c:v>-1.6427876096865393</c:v>
                </c:pt>
                <c:pt idx="45">
                  <c:v>-1.7071067811865475</c:v>
                </c:pt>
                <c:pt idx="46">
                  <c:v>-1.7660444431189779</c:v>
                </c:pt>
                <c:pt idx="47">
                  <c:v>-1.8191520442889915</c:v>
                </c:pt>
                <c:pt idx="48">
                  <c:v>-1.8660254037844384</c:v>
                </c:pt>
                <c:pt idx="49">
                  <c:v>-1.90630778703665</c:v>
                </c:pt>
                <c:pt idx="50">
                  <c:v>-1.9396926207859084</c:v>
                </c:pt>
                <c:pt idx="51">
                  <c:v>-1.9659258262890682</c:v>
                </c:pt>
                <c:pt idx="52">
                  <c:v>-1.9848077530122081</c:v>
                </c:pt>
                <c:pt idx="53">
                  <c:v>-1.9961946980917455</c:v>
                </c:pt>
                <c:pt idx="54">
                  <c:v>-2</c:v>
                </c:pt>
                <c:pt idx="55">
                  <c:v>-1.9961946980917455</c:v>
                </c:pt>
                <c:pt idx="56">
                  <c:v>-1.9848077530122081</c:v>
                </c:pt>
                <c:pt idx="57">
                  <c:v>-1.9659258262890684</c:v>
                </c:pt>
                <c:pt idx="58">
                  <c:v>-1.9396926207859084</c:v>
                </c:pt>
                <c:pt idx="59">
                  <c:v>-1.90630778703665</c:v>
                </c:pt>
                <c:pt idx="60">
                  <c:v>-1.8660254037844386</c:v>
                </c:pt>
                <c:pt idx="61">
                  <c:v>-1.8191520442889919</c:v>
                </c:pt>
                <c:pt idx="62">
                  <c:v>-1.7660444431189781</c:v>
                </c:pt>
                <c:pt idx="63">
                  <c:v>-1.7071067811865477</c:v>
                </c:pt>
                <c:pt idx="64">
                  <c:v>-1.6427876096865397</c:v>
                </c:pt>
                <c:pt idx="65">
                  <c:v>-1.5735764363510465</c:v>
                </c:pt>
                <c:pt idx="66">
                  <c:v>-1.5000000000000004</c:v>
                </c:pt>
                <c:pt idx="67">
                  <c:v>-1.4226182617406993</c:v>
                </c:pt>
                <c:pt idx="68">
                  <c:v>-1.3420201433256687</c:v>
                </c:pt>
                <c:pt idx="69">
                  <c:v>-1.2588190451025207</c:v>
                </c:pt>
                <c:pt idx="70">
                  <c:v>-1.1736481776669303</c:v>
                </c:pt>
                <c:pt idx="71">
                  <c:v>-1.0871557427476584</c:v>
                </c:pt>
                <c:pt idx="72">
                  <c:v>-1.0000000000000002</c:v>
                </c:pt>
              </c:numCache>
            </c:numRef>
          </c:yVal>
          <c:smooth val="0"/>
          <c:extLst>
            <c:ext xmlns:c16="http://schemas.microsoft.com/office/drawing/2014/chart" uri="{C3380CC4-5D6E-409C-BE32-E72D297353CC}">
              <c16:uniqueId val="{00000001-169D-4D4A-AEEA-25E6654BF9A4}"/>
            </c:ext>
          </c:extLst>
        </c:ser>
        <c:ser>
          <c:idx val="0"/>
          <c:order val="2"/>
          <c:tx>
            <c:v>Perigee-Moon orbit</c:v>
          </c:tx>
          <c:spPr>
            <a:ln w="25400" cmpd="sng">
              <a:solidFill>
                <a:srgbClr val="0070C0"/>
              </a:solidFill>
              <a:headEnd type="triangle"/>
            </a:ln>
          </c:spPr>
          <c:marker>
            <c:symbol val="none"/>
          </c:marker>
          <c:xVal>
            <c:numRef>
              <c:f>'Moon Phase-Node Model'!$M$66:$M$138</c:f>
              <c:numCache>
                <c:formatCode>0.00</c:formatCode>
                <c:ptCount val="73"/>
                <c:pt idx="0">
                  <c:v>1</c:v>
                </c:pt>
                <c:pt idx="1">
                  <c:v>0.99619469809174555</c:v>
                </c:pt>
                <c:pt idx="2">
                  <c:v>0.98480775301220802</c:v>
                </c:pt>
                <c:pt idx="3">
                  <c:v>0.96592582628906831</c:v>
                </c:pt>
                <c:pt idx="4">
                  <c:v>0.93969262078590843</c:v>
                </c:pt>
                <c:pt idx="5">
                  <c:v>0.90630778703664994</c:v>
                </c:pt>
                <c:pt idx="6">
                  <c:v>0.86602540378443871</c:v>
                </c:pt>
                <c:pt idx="7">
                  <c:v>0.8191520442889918</c:v>
                </c:pt>
                <c:pt idx="8">
                  <c:v>0.76604444311897801</c:v>
                </c:pt>
                <c:pt idx="9">
                  <c:v>0.70710678118654757</c:v>
                </c:pt>
                <c:pt idx="10">
                  <c:v>0.64278760968653936</c:v>
                </c:pt>
                <c:pt idx="11">
                  <c:v>0.57357643635104616</c:v>
                </c:pt>
                <c:pt idx="12">
                  <c:v>0.50000000000000011</c:v>
                </c:pt>
                <c:pt idx="13">
                  <c:v>0.42261826174069944</c:v>
                </c:pt>
                <c:pt idx="14">
                  <c:v>0.34202014332566882</c:v>
                </c:pt>
                <c:pt idx="15">
                  <c:v>0.25881904510252074</c:v>
                </c:pt>
                <c:pt idx="16">
                  <c:v>0.17364817766693041</c:v>
                </c:pt>
                <c:pt idx="17">
                  <c:v>8.7155742747658138E-2</c:v>
                </c:pt>
                <c:pt idx="18">
                  <c:v>6.1257422745431001E-17</c:v>
                </c:pt>
                <c:pt idx="19">
                  <c:v>-8.7155742747658235E-2</c:v>
                </c:pt>
                <c:pt idx="20">
                  <c:v>-0.1736481776669303</c:v>
                </c:pt>
                <c:pt idx="21">
                  <c:v>-0.25881904510252085</c:v>
                </c:pt>
                <c:pt idx="22">
                  <c:v>-0.34202014332566871</c:v>
                </c:pt>
                <c:pt idx="23">
                  <c:v>-0.42261826174069933</c:v>
                </c:pt>
                <c:pt idx="24">
                  <c:v>-0.49999999999999978</c:v>
                </c:pt>
                <c:pt idx="25">
                  <c:v>-0.57357643635104616</c:v>
                </c:pt>
                <c:pt idx="26">
                  <c:v>-0.64278760968653936</c:v>
                </c:pt>
                <c:pt idx="27">
                  <c:v>-0.70710678118654746</c:v>
                </c:pt>
                <c:pt idx="28">
                  <c:v>-0.7660444431189779</c:v>
                </c:pt>
                <c:pt idx="29">
                  <c:v>-0.81915204428899191</c:v>
                </c:pt>
                <c:pt idx="30">
                  <c:v>-0.86602540378443871</c:v>
                </c:pt>
                <c:pt idx="31">
                  <c:v>-0.90630778703664994</c:v>
                </c:pt>
                <c:pt idx="32">
                  <c:v>-0.93969262078590832</c:v>
                </c:pt>
                <c:pt idx="33">
                  <c:v>-0.9659258262890682</c:v>
                </c:pt>
                <c:pt idx="34">
                  <c:v>-0.98480775301220802</c:v>
                </c:pt>
                <c:pt idx="35">
                  <c:v>-0.99619469809174555</c:v>
                </c:pt>
                <c:pt idx="36">
                  <c:v>-1</c:v>
                </c:pt>
                <c:pt idx="37">
                  <c:v>-0.99619469809174555</c:v>
                </c:pt>
                <c:pt idx="38">
                  <c:v>-0.98480775301220802</c:v>
                </c:pt>
                <c:pt idx="39">
                  <c:v>-0.96592582628906831</c:v>
                </c:pt>
                <c:pt idx="40">
                  <c:v>-0.93969262078590843</c:v>
                </c:pt>
                <c:pt idx="41">
                  <c:v>-0.90630778703665005</c:v>
                </c:pt>
                <c:pt idx="42">
                  <c:v>-0.8660254037844386</c:v>
                </c:pt>
                <c:pt idx="43">
                  <c:v>-0.8191520442889918</c:v>
                </c:pt>
                <c:pt idx="44">
                  <c:v>-0.76604444311897801</c:v>
                </c:pt>
                <c:pt idx="45">
                  <c:v>-0.70710678118654768</c:v>
                </c:pt>
                <c:pt idx="46">
                  <c:v>-0.64278760968653947</c:v>
                </c:pt>
                <c:pt idx="47">
                  <c:v>-0.57357643635104638</c:v>
                </c:pt>
                <c:pt idx="48">
                  <c:v>-0.50000000000000044</c:v>
                </c:pt>
                <c:pt idx="49">
                  <c:v>-0.42261826174069916</c:v>
                </c:pt>
                <c:pt idx="50">
                  <c:v>-0.34202014332566855</c:v>
                </c:pt>
                <c:pt idx="51">
                  <c:v>-0.25881904510252063</c:v>
                </c:pt>
                <c:pt idx="52">
                  <c:v>-0.17364817766693033</c:v>
                </c:pt>
                <c:pt idx="53">
                  <c:v>-8.7155742747658249E-2</c:v>
                </c:pt>
                <c:pt idx="54">
                  <c:v>-1.83772268236293E-16</c:v>
                </c:pt>
                <c:pt idx="55">
                  <c:v>8.7155742747657888E-2</c:v>
                </c:pt>
                <c:pt idx="56">
                  <c:v>0.17364817766692997</c:v>
                </c:pt>
                <c:pt idx="57">
                  <c:v>0.2588190451025203</c:v>
                </c:pt>
                <c:pt idx="58">
                  <c:v>0.34202014332566899</c:v>
                </c:pt>
                <c:pt idx="59">
                  <c:v>0.42261826174069961</c:v>
                </c:pt>
                <c:pt idx="60">
                  <c:v>0.50000000000000011</c:v>
                </c:pt>
                <c:pt idx="61">
                  <c:v>0.57357643635104605</c:v>
                </c:pt>
                <c:pt idx="62">
                  <c:v>0.64278760968653925</c:v>
                </c:pt>
                <c:pt idx="63">
                  <c:v>0.70710678118654735</c:v>
                </c:pt>
                <c:pt idx="64">
                  <c:v>0.76604444311897779</c:v>
                </c:pt>
                <c:pt idx="65">
                  <c:v>0.81915204428899158</c:v>
                </c:pt>
                <c:pt idx="66">
                  <c:v>0.86602540378443837</c:v>
                </c:pt>
                <c:pt idx="67">
                  <c:v>0.90630778703665005</c:v>
                </c:pt>
                <c:pt idx="68">
                  <c:v>0.93969262078590843</c:v>
                </c:pt>
                <c:pt idx="69">
                  <c:v>0.96592582628906831</c:v>
                </c:pt>
                <c:pt idx="70">
                  <c:v>0.98480775301220802</c:v>
                </c:pt>
                <c:pt idx="71">
                  <c:v>0.99619469809174555</c:v>
                </c:pt>
                <c:pt idx="72">
                  <c:v>1</c:v>
                </c:pt>
              </c:numCache>
            </c:numRef>
          </c:xVal>
          <c:yVal>
            <c:numRef>
              <c:f>'Moon Phase-Node Model'!$N$66:$N$138</c:f>
              <c:numCache>
                <c:formatCode>0.00</c:formatCode>
                <c:ptCount val="73"/>
                <c:pt idx="0">
                  <c:v>2</c:v>
                </c:pt>
                <c:pt idx="1">
                  <c:v>2.0871557427476581</c:v>
                </c:pt>
                <c:pt idx="2">
                  <c:v>2.1736481776669305</c:v>
                </c:pt>
                <c:pt idx="3">
                  <c:v>2.2588190451025207</c:v>
                </c:pt>
                <c:pt idx="4">
                  <c:v>2.3420201433256689</c:v>
                </c:pt>
                <c:pt idx="5">
                  <c:v>2.4226182617406993</c:v>
                </c:pt>
                <c:pt idx="6">
                  <c:v>2.5</c:v>
                </c:pt>
                <c:pt idx="7">
                  <c:v>2.573576436351046</c:v>
                </c:pt>
                <c:pt idx="8">
                  <c:v>2.6427876096865393</c:v>
                </c:pt>
                <c:pt idx="9">
                  <c:v>2.7071067811865475</c:v>
                </c:pt>
                <c:pt idx="10">
                  <c:v>2.7660444431189779</c:v>
                </c:pt>
                <c:pt idx="11">
                  <c:v>2.8191520442889919</c:v>
                </c:pt>
                <c:pt idx="12">
                  <c:v>2.8660254037844384</c:v>
                </c:pt>
                <c:pt idx="13">
                  <c:v>2.90630778703665</c:v>
                </c:pt>
                <c:pt idx="14">
                  <c:v>2.9396926207859084</c:v>
                </c:pt>
                <c:pt idx="15">
                  <c:v>2.9659258262890682</c:v>
                </c:pt>
                <c:pt idx="16">
                  <c:v>2.9848077530122081</c:v>
                </c:pt>
                <c:pt idx="17">
                  <c:v>2.9961946980917453</c:v>
                </c:pt>
                <c:pt idx="18">
                  <c:v>3</c:v>
                </c:pt>
                <c:pt idx="19">
                  <c:v>2.9961946980917453</c:v>
                </c:pt>
                <c:pt idx="20">
                  <c:v>2.9848077530122081</c:v>
                </c:pt>
                <c:pt idx="21">
                  <c:v>2.9659258262890682</c:v>
                </c:pt>
                <c:pt idx="22">
                  <c:v>2.9396926207859084</c:v>
                </c:pt>
                <c:pt idx="23">
                  <c:v>2.90630778703665</c:v>
                </c:pt>
                <c:pt idx="24">
                  <c:v>2.8660254037844388</c:v>
                </c:pt>
                <c:pt idx="25">
                  <c:v>2.8191520442889919</c:v>
                </c:pt>
                <c:pt idx="26">
                  <c:v>2.7660444431189779</c:v>
                </c:pt>
                <c:pt idx="27">
                  <c:v>2.7071067811865475</c:v>
                </c:pt>
                <c:pt idx="28">
                  <c:v>2.6427876096865397</c:v>
                </c:pt>
                <c:pt idx="29">
                  <c:v>2.573576436351046</c:v>
                </c:pt>
                <c:pt idx="30">
                  <c:v>2.5</c:v>
                </c:pt>
                <c:pt idx="31">
                  <c:v>2.4226182617406993</c:v>
                </c:pt>
                <c:pt idx="32">
                  <c:v>2.3420201433256689</c:v>
                </c:pt>
                <c:pt idx="33">
                  <c:v>2.2588190451025212</c:v>
                </c:pt>
                <c:pt idx="34">
                  <c:v>2.1736481776669301</c:v>
                </c:pt>
                <c:pt idx="35">
                  <c:v>2.0871557427476581</c:v>
                </c:pt>
                <c:pt idx="36">
                  <c:v>2</c:v>
                </c:pt>
                <c:pt idx="37">
                  <c:v>1.9128442572523421</c:v>
                </c:pt>
                <c:pt idx="38">
                  <c:v>1.8263518223330695</c:v>
                </c:pt>
                <c:pt idx="39">
                  <c:v>1.7411809548974793</c:v>
                </c:pt>
                <c:pt idx="40">
                  <c:v>1.6579798566743313</c:v>
                </c:pt>
                <c:pt idx="41">
                  <c:v>1.5773817382593007</c:v>
                </c:pt>
                <c:pt idx="42">
                  <c:v>1.5</c:v>
                </c:pt>
                <c:pt idx="43">
                  <c:v>1.426423563648954</c:v>
                </c:pt>
                <c:pt idx="44">
                  <c:v>1.3572123903134607</c:v>
                </c:pt>
                <c:pt idx="45">
                  <c:v>1.2928932188134525</c:v>
                </c:pt>
                <c:pt idx="46">
                  <c:v>1.2339555568810221</c:v>
                </c:pt>
                <c:pt idx="47">
                  <c:v>1.1808479557110085</c:v>
                </c:pt>
                <c:pt idx="48">
                  <c:v>1.1339745962155616</c:v>
                </c:pt>
                <c:pt idx="49">
                  <c:v>1.09369221296335</c:v>
                </c:pt>
                <c:pt idx="50">
                  <c:v>1.0603073792140916</c:v>
                </c:pt>
                <c:pt idx="51">
                  <c:v>1.0340741737109318</c:v>
                </c:pt>
                <c:pt idx="52">
                  <c:v>1.0151922469877919</c:v>
                </c:pt>
                <c:pt idx="53">
                  <c:v>1.0038053019082545</c:v>
                </c:pt>
                <c:pt idx="54">
                  <c:v>1</c:v>
                </c:pt>
                <c:pt idx="55">
                  <c:v>1.0038053019082545</c:v>
                </c:pt>
                <c:pt idx="56">
                  <c:v>1.0151922469877919</c:v>
                </c:pt>
                <c:pt idx="57">
                  <c:v>1.0340741737109316</c:v>
                </c:pt>
                <c:pt idx="58">
                  <c:v>1.0603073792140916</c:v>
                </c:pt>
                <c:pt idx="59">
                  <c:v>1.09369221296335</c:v>
                </c:pt>
                <c:pt idx="60">
                  <c:v>1.1339745962155614</c:v>
                </c:pt>
                <c:pt idx="61">
                  <c:v>1.1808479557110081</c:v>
                </c:pt>
                <c:pt idx="62">
                  <c:v>1.2339555568810219</c:v>
                </c:pt>
                <c:pt idx="63">
                  <c:v>1.2928932188134523</c:v>
                </c:pt>
                <c:pt idx="64">
                  <c:v>1.3572123903134603</c:v>
                </c:pt>
                <c:pt idx="65">
                  <c:v>1.4264235636489535</c:v>
                </c:pt>
                <c:pt idx="66">
                  <c:v>1.4999999999999996</c:v>
                </c:pt>
                <c:pt idx="67">
                  <c:v>1.5773817382593007</c:v>
                </c:pt>
                <c:pt idx="68">
                  <c:v>1.6579798566743313</c:v>
                </c:pt>
                <c:pt idx="69">
                  <c:v>1.7411809548974793</c:v>
                </c:pt>
                <c:pt idx="70">
                  <c:v>1.8263518223330697</c:v>
                </c:pt>
                <c:pt idx="71">
                  <c:v>1.9128442572523416</c:v>
                </c:pt>
                <c:pt idx="72">
                  <c:v>1.9999999999999998</c:v>
                </c:pt>
              </c:numCache>
            </c:numRef>
          </c:yVal>
          <c:smooth val="0"/>
          <c:extLst>
            <c:ext xmlns:c16="http://schemas.microsoft.com/office/drawing/2014/chart" uri="{C3380CC4-5D6E-409C-BE32-E72D297353CC}">
              <c16:uniqueId val="{00000002-169D-4D4A-AEEA-25E6654BF9A4}"/>
            </c:ext>
          </c:extLst>
        </c:ser>
        <c:ser>
          <c:idx val="3"/>
          <c:order val="3"/>
          <c:tx>
            <c:v>Origin</c:v>
          </c:tx>
          <c:spPr>
            <a:ln>
              <a:noFill/>
            </a:ln>
          </c:spPr>
          <c:marker>
            <c:symbol val="circle"/>
            <c:size val="13"/>
            <c:spPr>
              <a:solidFill>
                <a:srgbClr val="FFFF00">
                  <a:alpha val="85000"/>
                </a:srgbClr>
              </a:solidFill>
              <a:ln w="25400">
                <a:solidFill>
                  <a:schemeClr val="tx1"/>
                </a:solidFill>
              </a:ln>
            </c:spPr>
          </c:marker>
          <c:dPt>
            <c:idx val="0"/>
            <c:marker>
              <c:symbol val="circle"/>
              <c:size val="72"/>
              <c:spPr>
                <a:solidFill>
                  <a:srgbClr val="FFFF00"/>
                </a:solidFill>
                <a:ln w="25400">
                  <a:solidFill>
                    <a:schemeClr val="tx1"/>
                  </a:solidFill>
                </a:ln>
                <a:effectLst>
                  <a:outerShdw blurRad="50800" dist="50800" dir="5400000" algn="ctr" rotWithShape="0">
                    <a:srgbClr val="000000">
                      <a:alpha val="74000"/>
                    </a:srgbClr>
                  </a:outerShdw>
                </a:effectLst>
              </c:spPr>
            </c:marker>
            <c:bubble3D val="0"/>
            <c:spPr>
              <a:ln>
                <a:noFill/>
              </a:ln>
              <a:effectLst>
                <a:outerShdw blurRad="50800" dist="50800" dir="5400000" algn="ctr" rotWithShape="0">
                  <a:srgbClr val="000000">
                    <a:alpha val="74000"/>
                  </a:srgbClr>
                </a:outerShdw>
              </a:effectLst>
            </c:spPr>
            <c:extLst>
              <c:ext xmlns:c16="http://schemas.microsoft.com/office/drawing/2014/chart" uri="{C3380CC4-5D6E-409C-BE32-E72D297353CC}">
                <c16:uniqueId val="{0000001F-169D-4D4A-AEEA-25E6654BF9A4}"/>
              </c:ext>
            </c:extLst>
          </c:dPt>
          <c:xVal>
            <c:numLit>
              <c:formatCode>General</c:formatCode>
              <c:ptCount val="1"/>
              <c:pt idx="0">
                <c:v>0</c:v>
              </c:pt>
            </c:numLit>
          </c:xVal>
          <c:yVal>
            <c:numLit>
              <c:formatCode>General</c:formatCode>
              <c:ptCount val="1"/>
              <c:pt idx="0">
                <c:v>0</c:v>
              </c:pt>
            </c:numLit>
          </c:yVal>
          <c:smooth val="0"/>
          <c:extLst>
            <c:ext xmlns:c16="http://schemas.microsoft.com/office/drawing/2014/chart" uri="{C3380CC4-5D6E-409C-BE32-E72D297353CC}">
              <c16:uniqueId val="{00000003-169D-4D4A-AEEA-25E6654BF9A4}"/>
            </c:ext>
          </c:extLst>
        </c:ser>
        <c:ser>
          <c:idx val="4"/>
          <c:order val="4"/>
          <c:tx>
            <c:v>Origin-EM</c:v>
          </c:tx>
          <c:marker>
            <c:symbol val="circle"/>
            <c:size val="6"/>
            <c:spPr>
              <a:solidFill>
                <a:srgbClr val="C00000"/>
              </a:solidFill>
            </c:spPr>
          </c:marker>
          <c:xVal>
            <c:numRef>
              <c:f>'Moon Phase-Node Model'!$K$35</c:f>
              <c:numCache>
                <c:formatCode>0.00</c:formatCode>
                <c:ptCount val="1"/>
                <c:pt idx="0">
                  <c:v>-1.7320500000000001</c:v>
                </c:pt>
              </c:numCache>
            </c:numRef>
          </c:xVal>
          <c:yVal>
            <c:numRef>
              <c:f>'Moon Phase-Node Model'!$K$36</c:f>
              <c:numCache>
                <c:formatCode>0.00</c:formatCode>
                <c:ptCount val="1"/>
                <c:pt idx="0">
                  <c:v>-1</c:v>
                </c:pt>
              </c:numCache>
            </c:numRef>
          </c:yVal>
          <c:smooth val="0"/>
          <c:extLst>
            <c:ext xmlns:c16="http://schemas.microsoft.com/office/drawing/2014/chart" uri="{C3380CC4-5D6E-409C-BE32-E72D297353CC}">
              <c16:uniqueId val="{00000004-169D-4D4A-AEEA-25E6654BF9A4}"/>
            </c:ext>
          </c:extLst>
        </c:ser>
        <c:ser>
          <c:idx val="5"/>
          <c:order val="5"/>
          <c:tx>
            <c:v>Origin-MN</c:v>
          </c:tx>
          <c:xVal>
            <c:numRef>
              <c:f>'Moon Phase-Node Model'!$N$35</c:f>
              <c:numCache>
                <c:formatCode>0.00</c:formatCode>
                <c:ptCount val="1"/>
                <c:pt idx="0">
                  <c:v>1.7320500000000001</c:v>
                </c:pt>
              </c:numCache>
            </c:numRef>
          </c:xVal>
          <c:yVal>
            <c:numRef>
              <c:f>'Moon Phase-Node Model'!$N$36</c:f>
              <c:numCache>
                <c:formatCode>0.00</c:formatCode>
                <c:ptCount val="1"/>
                <c:pt idx="0">
                  <c:v>-1</c:v>
                </c:pt>
              </c:numCache>
            </c:numRef>
          </c:yVal>
          <c:smooth val="0"/>
          <c:extLst>
            <c:ext xmlns:c16="http://schemas.microsoft.com/office/drawing/2014/chart" uri="{C3380CC4-5D6E-409C-BE32-E72D297353CC}">
              <c16:uniqueId val="{00000005-169D-4D4A-AEEA-25E6654BF9A4}"/>
            </c:ext>
          </c:extLst>
        </c:ser>
        <c:ser>
          <c:idx val="6"/>
          <c:order val="6"/>
          <c:tx>
            <c:v>Origin-PM</c:v>
          </c:tx>
          <c:marker>
            <c:symbol val="circle"/>
            <c:size val="6"/>
            <c:spPr>
              <a:solidFill>
                <a:srgbClr val="0070C0"/>
              </a:solidFill>
            </c:spPr>
          </c:marker>
          <c:xVal>
            <c:numRef>
              <c:f>'Moon Phase-Node Model'!$N$44</c:f>
              <c:numCache>
                <c:formatCode>0.00</c:formatCode>
                <c:ptCount val="1"/>
                <c:pt idx="0">
                  <c:v>0</c:v>
                </c:pt>
              </c:numCache>
            </c:numRef>
          </c:xVal>
          <c:yVal>
            <c:numRef>
              <c:f>'Moon Phase-Node Model'!$N$45</c:f>
              <c:numCache>
                <c:formatCode>0.00</c:formatCode>
                <c:ptCount val="1"/>
                <c:pt idx="0">
                  <c:v>2</c:v>
                </c:pt>
              </c:numCache>
            </c:numRef>
          </c:yVal>
          <c:smooth val="0"/>
          <c:extLst>
            <c:ext xmlns:c16="http://schemas.microsoft.com/office/drawing/2014/chart" uri="{C3380CC4-5D6E-409C-BE32-E72D297353CC}">
              <c16:uniqueId val="{00000006-169D-4D4A-AEEA-25E6654BF9A4}"/>
            </c:ext>
          </c:extLst>
        </c:ser>
        <c:ser>
          <c:idx val="7"/>
          <c:order val="7"/>
          <c:tx>
            <c:v>Pointer-EM</c:v>
          </c:tx>
          <c:spPr>
            <a:ln w="31750">
              <a:solidFill>
                <a:srgbClr val="C00000"/>
              </a:solidFill>
              <a:tailEnd type="stealth"/>
            </a:ln>
          </c:spPr>
          <c:dPt>
            <c:idx val="1"/>
            <c:marker>
              <c:symbol val="none"/>
            </c:marker>
            <c:bubble3D val="0"/>
            <c:extLst>
              <c:ext xmlns:c16="http://schemas.microsoft.com/office/drawing/2014/chart" uri="{C3380CC4-5D6E-409C-BE32-E72D297353CC}">
                <c16:uniqueId val="{00000007-169D-4D4A-AEEA-25E6654BF9A4}"/>
              </c:ext>
            </c:extLst>
          </c:dPt>
          <c:dLbls>
            <c:dLbl>
              <c:idx val="1"/>
              <c:tx>
                <c:rich>
                  <a:bodyPr/>
                  <a:lstStyle/>
                  <a:p>
                    <a:r>
                      <a:rPr lang="en-US"/>
                      <a:t>Full Moon</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169D-4D4A-AEEA-25E6654BF9A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'Moon Phase-Node Model'!$C$78:$C$79</c:f>
              <c:numCache>
                <c:formatCode>0.00</c:formatCode>
                <c:ptCount val="2"/>
                <c:pt idx="0">
                  <c:v>-1.7320500000000001</c:v>
                </c:pt>
                <c:pt idx="1">
                  <c:v>8.0756887732569282E-7</c:v>
                </c:pt>
              </c:numCache>
            </c:numRef>
          </c:xVal>
          <c:yVal>
            <c:numRef>
              <c:f>'Moon Phase-Node Model'!$D$78:$D$79</c:f>
              <c:numCache>
                <c:formatCode>0.00</c:formatCode>
                <c:ptCount val="2"/>
                <c:pt idx="0">
                  <c:v>-1</c:v>
                </c:pt>
                <c:pt idx="1">
                  <c:v>0</c:v>
                </c:pt>
              </c:numCache>
            </c:numRef>
          </c:yVal>
          <c:smooth val="0"/>
          <c:extLst>
            <c:ext xmlns:c16="http://schemas.microsoft.com/office/drawing/2014/chart" uri="{C3380CC4-5D6E-409C-BE32-E72D297353CC}">
              <c16:uniqueId val="{00000008-169D-4D4A-AEEA-25E6654BF9A4}"/>
            </c:ext>
          </c:extLst>
        </c:ser>
        <c:ser>
          <c:idx val="8"/>
          <c:order val="8"/>
          <c:tx>
            <c:v>Pointer-MN</c:v>
          </c:tx>
          <c:dPt>
            <c:idx val="1"/>
            <c:marker>
              <c:symbol val="none"/>
            </c:marker>
            <c:bubble3D val="0"/>
            <c:spPr>
              <a:ln w="31750">
                <a:solidFill>
                  <a:srgbClr val="00B050"/>
                </a:solidFill>
                <a:tailEnd type="stealth"/>
              </a:ln>
            </c:spPr>
            <c:extLst>
              <c:ext xmlns:c16="http://schemas.microsoft.com/office/drawing/2014/chart" uri="{C3380CC4-5D6E-409C-BE32-E72D297353CC}">
                <c16:uniqueId val="{0000000A-169D-4D4A-AEEA-25E6654BF9A4}"/>
              </c:ext>
            </c:extLst>
          </c:dPt>
          <c:dLbls>
            <c:dLbl>
              <c:idx val="1"/>
              <c:tx>
                <c:rich>
                  <a:bodyPr/>
                  <a:lstStyle/>
                  <a:p>
                    <a:r>
                      <a:rPr lang="en-US"/>
                      <a:t>DN</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169D-4D4A-AEEA-25E6654BF9A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'Moon Phase-Node Model'!$C$82:$C$83</c:f>
              <c:numCache>
                <c:formatCode>0.00</c:formatCode>
                <c:ptCount val="2"/>
                <c:pt idx="0">
                  <c:v>1.7320500000000001</c:v>
                </c:pt>
                <c:pt idx="1">
                  <c:v>-8.0756887732569282E-7</c:v>
                </c:pt>
              </c:numCache>
            </c:numRef>
          </c:xVal>
          <c:yVal>
            <c:numRef>
              <c:f>'Moon Phase-Node Model'!$D$82:$D$83</c:f>
              <c:numCache>
                <c:formatCode>0.00</c:formatCode>
                <c:ptCount val="2"/>
                <c:pt idx="0">
                  <c:v>-1</c:v>
                </c:pt>
                <c:pt idx="1">
                  <c:v>0</c:v>
                </c:pt>
              </c:numCache>
            </c:numRef>
          </c:yVal>
          <c:smooth val="0"/>
          <c:extLst>
            <c:ext xmlns:c16="http://schemas.microsoft.com/office/drawing/2014/chart" uri="{C3380CC4-5D6E-409C-BE32-E72D297353CC}">
              <c16:uniqueId val="{0000000B-169D-4D4A-AEEA-25E6654BF9A4}"/>
            </c:ext>
          </c:extLst>
        </c:ser>
        <c:ser>
          <c:idx val="9"/>
          <c:order val="9"/>
          <c:tx>
            <c:v>Pointer-PM</c:v>
          </c:tx>
          <c:marker>
            <c:symbol val="none"/>
          </c:marker>
          <c:dPt>
            <c:idx val="1"/>
            <c:bubble3D val="0"/>
            <c:spPr>
              <a:ln w="31750">
                <a:solidFill>
                  <a:srgbClr val="0070C0"/>
                </a:solidFill>
                <a:tailEnd type="stealth"/>
              </a:ln>
            </c:spPr>
            <c:extLst>
              <c:ext xmlns:c16="http://schemas.microsoft.com/office/drawing/2014/chart" uri="{C3380CC4-5D6E-409C-BE32-E72D297353CC}">
                <c16:uniqueId val="{0000000D-169D-4D4A-AEEA-25E6654BF9A4}"/>
              </c:ext>
            </c:extLst>
          </c:dPt>
          <c:dLbls>
            <c:dLbl>
              <c:idx val="0"/>
              <c:delete val="1"/>
              <c:extLst>
                <c:ext xmlns:c15="http://schemas.microsoft.com/office/drawing/2012/chart" uri="{CE6537A1-D6FC-4f65-9D91-7224C49458BB}"/>
                <c:ext xmlns:c16="http://schemas.microsoft.com/office/drawing/2014/chart" uri="{C3380CC4-5D6E-409C-BE32-E72D297353CC}">
                  <c16:uniqueId val="{0000000E-169D-4D4A-AEEA-25E6654BF9A4}"/>
                </c:ext>
              </c:extLst>
            </c:dLbl>
            <c:dLbl>
              <c:idx val="1"/>
              <c:tx>
                <c:rich>
                  <a:bodyPr/>
                  <a:lstStyle/>
                  <a:p>
                    <a:r>
                      <a:rPr lang="en-US"/>
                      <a:t>Perigee</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169D-4D4A-AEEA-25E6654BF9A4}"/>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'Moon Phase-Node Model'!$C$86:$C$87</c:f>
              <c:numCache>
                <c:formatCode>0.00</c:formatCode>
                <c:ptCount val="2"/>
                <c:pt idx="0">
                  <c:v>0</c:v>
                </c:pt>
                <c:pt idx="1">
                  <c:v>1.22514845490862E-16</c:v>
                </c:pt>
              </c:numCache>
            </c:numRef>
          </c:xVal>
          <c:yVal>
            <c:numRef>
              <c:f>'Moon Phase-Node Model'!$D$86:$D$87</c:f>
              <c:numCache>
                <c:formatCode>0.00</c:formatCode>
                <c:ptCount val="2"/>
                <c:pt idx="0">
                  <c:v>2</c:v>
                </c:pt>
                <c:pt idx="1">
                  <c:v>4</c:v>
                </c:pt>
              </c:numCache>
            </c:numRef>
          </c:yVal>
          <c:smooth val="0"/>
          <c:extLst>
            <c:ext xmlns:c16="http://schemas.microsoft.com/office/drawing/2014/chart" uri="{C3380CC4-5D6E-409C-BE32-E72D297353CC}">
              <c16:uniqueId val="{0000000F-169D-4D4A-AEEA-25E6654BF9A4}"/>
            </c:ext>
          </c:extLst>
        </c:ser>
        <c:ser>
          <c:idx val="10"/>
          <c:order val="10"/>
          <c:tx>
            <c:v>Line-EM-FM</c:v>
          </c:tx>
          <c:spPr>
            <a:ln>
              <a:solidFill>
                <a:schemeClr val="tx1"/>
              </a:solidFill>
              <a:prstDash val="sysDot"/>
            </a:ln>
          </c:spPr>
          <c:marker>
            <c:symbol val="none"/>
          </c:marker>
          <c:xVal>
            <c:numRef>
              <c:f>'Moon Phase-Node Model'!$C$91:$C$92</c:f>
              <c:numCache>
                <c:formatCode>0.00</c:formatCode>
                <c:ptCount val="2"/>
                <c:pt idx="0">
                  <c:v>0</c:v>
                </c:pt>
                <c:pt idx="1">
                  <c:v>-1.7320500000000001</c:v>
                </c:pt>
              </c:numCache>
            </c:numRef>
          </c:xVal>
          <c:yVal>
            <c:numRef>
              <c:f>'Moon Phase-Node Model'!$D$91:$D$92</c:f>
              <c:numCache>
                <c:formatCode>0.00</c:formatCode>
                <c:ptCount val="2"/>
                <c:pt idx="0">
                  <c:v>0</c:v>
                </c:pt>
                <c:pt idx="1">
                  <c:v>-1</c:v>
                </c:pt>
              </c:numCache>
            </c:numRef>
          </c:yVal>
          <c:smooth val="0"/>
          <c:extLst>
            <c:ext xmlns:c16="http://schemas.microsoft.com/office/drawing/2014/chart" uri="{C3380CC4-5D6E-409C-BE32-E72D297353CC}">
              <c16:uniqueId val="{00000010-169D-4D4A-AEEA-25E6654BF9A4}"/>
            </c:ext>
          </c:extLst>
        </c:ser>
        <c:ser>
          <c:idx val="11"/>
          <c:order val="11"/>
          <c:tx>
            <c:v>Line-MN-DN</c:v>
          </c:tx>
          <c:dPt>
            <c:idx val="1"/>
            <c:bubble3D val="0"/>
            <c:spPr>
              <a:ln>
                <a:solidFill>
                  <a:schemeClr val="tx1"/>
                </a:solidFill>
                <a:prstDash val="sysDot"/>
              </a:ln>
            </c:spPr>
            <c:extLst>
              <c:ext xmlns:c16="http://schemas.microsoft.com/office/drawing/2014/chart" uri="{C3380CC4-5D6E-409C-BE32-E72D297353CC}">
                <c16:uniqueId val="{00000012-169D-4D4A-AEEA-25E6654BF9A4}"/>
              </c:ext>
            </c:extLst>
          </c:dPt>
          <c:xVal>
            <c:numRef>
              <c:f>'Moon Phase-Node Model'!$C$93:$C$94</c:f>
              <c:numCache>
                <c:formatCode>0.00</c:formatCode>
                <c:ptCount val="2"/>
                <c:pt idx="0">
                  <c:v>0</c:v>
                </c:pt>
                <c:pt idx="1">
                  <c:v>1.7320500000000001</c:v>
                </c:pt>
              </c:numCache>
            </c:numRef>
          </c:xVal>
          <c:yVal>
            <c:numRef>
              <c:f>'Moon Phase-Node Model'!$D$93:$D$94</c:f>
              <c:numCache>
                <c:formatCode>0.00</c:formatCode>
                <c:ptCount val="2"/>
                <c:pt idx="0">
                  <c:v>0</c:v>
                </c:pt>
                <c:pt idx="1">
                  <c:v>-1</c:v>
                </c:pt>
              </c:numCache>
            </c:numRef>
          </c:yVal>
          <c:smooth val="0"/>
          <c:extLst>
            <c:ext xmlns:c16="http://schemas.microsoft.com/office/drawing/2014/chart" uri="{C3380CC4-5D6E-409C-BE32-E72D297353CC}">
              <c16:uniqueId val="{00000013-169D-4D4A-AEEA-25E6654BF9A4}"/>
            </c:ext>
          </c:extLst>
        </c:ser>
        <c:ser>
          <c:idx val="12"/>
          <c:order val="12"/>
          <c:tx>
            <c:v>Line-PM-Perigee</c:v>
          </c:tx>
          <c:dPt>
            <c:idx val="1"/>
            <c:bubble3D val="0"/>
            <c:spPr>
              <a:ln>
                <a:solidFill>
                  <a:schemeClr val="tx1"/>
                </a:solidFill>
                <a:prstDash val="sysDot"/>
              </a:ln>
            </c:spPr>
            <c:extLst>
              <c:ext xmlns:c16="http://schemas.microsoft.com/office/drawing/2014/chart" uri="{C3380CC4-5D6E-409C-BE32-E72D297353CC}">
                <c16:uniqueId val="{00000015-169D-4D4A-AEEA-25E6654BF9A4}"/>
              </c:ext>
            </c:extLst>
          </c:dPt>
          <c:xVal>
            <c:numRef>
              <c:f>'Moon Phase-Node Model'!$C$95:$C$96</c:f>
              <c:numCache>
                <c:formatCode>0.00</c:formatCode>
                <c:ptCount val="2"/>
                <c:pt idx="0">
                  <c:v>0</c:v>
                </c:pt>
                <c:pt idx="1">
                  <c:v>0</c:v>
                </c:pt>
              </c:numCache>
            </c:numRef>
          </c:xVal>
          <c:yVal>
            <c:numRef>
              <c:f>'Moon Phase-Node Model'!$D$95:$D$96</c:f>
              <c:numCache>
                <c:formatCode>0.00</c:formatCode>
                <c:ptCount val="2"/>
                <c:pt idx="0">
                  <c:v>0</c:v>
                </c:pt>
                <c:pt idx="1">
                  <c:v>2</c:v>
                </c:pt>
              </c:numCache>
            </c:numRef>
          </c:yVal>
          <c:smooth val="0"/>
          <c:extLst>
            <c:ext xmlns:c16="http://schemas.microsoft.com/office/drawing/2014/chart" uri="{C3380CC4-5D6E-409C-BE32-E72D297353CC}">
              <c16:uniqueId val="{00000016-169D-4D4A-AEEA-25E6654BF9A4}"/>
            </c:ext>
          </c:extLst>
        </c:ser>
        <c:ser>
          <c:idx val="13"/>
          <c:order val="13"/>
          <c:tx>
            <c:v>Line-EM-NM</c:v>
          </c:tx>
          <c:spPr>
            <a:ln w="38100">
              <a:solidFill>
                <a:srgbClr val="C00000"/>
              </a:solidFill>
              <a:tailEnd type="stealth"/>
            </a:ln>
          </c:spPr>
          <c:marker>
            <c:symbol val="none"/>
          </c:marker>
          <c:dLbls>
            <c:dLbl>
              <c:idx val="1"/>
              <c:tx>
                <c:rich>
                  <a:bodyPr/>
                  <a:lstStyle/>
                  <a:p>
                    <a:r>
                      <a:rPr lang="en-US"/>
                      <a:t>New Moon</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169D-4D4A-AEEA-25E6654BF9A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'Moon Phase-Node Model'!$C$80:$C$81</c:f>
              <c:numCache>
                <c:formatCode>0.00</c:formatCode>
                <c:ptCount val="2"/>
                <c:pt idx="0">
                  <c:v>-1.7320500000000001</c:v>
                </c:pt>
                <c:pt idx="1">
                  <c:v>-3.4641008075688777</c:v>
                </c:pt>
              </c:numCache>
            </c:numRef>
          </c:xVal>
          <c:yVal>
            <c:numRef>
              <c:f>'Moon Phase-Node Model'!$D$80:$D$81</c:f>
              <c:numCache>
                <c:formatCode>0.00</c:formatCode>
                <c:ptCount val="2"/>
                <c:pt idx="0">
                  <c:v>-1</c:v>
                </c:pt>
                <c:pt idx="1">
                  <c:v>-1.9999999999999987</c:v>
                </c:pt>
              </c:numCache>
            </c:numRef>
          </c:yVal>
          <c:smooth val="0"/>
          <c:extLst>
            <c:ext xmlns:c16="http://schemas.microsoft.com/office/drawing/2014/chart" uri="{C3380CC4-5D6E-409C-BE32-E72D297353CC}">
              <c16:uniqueId val="{00000018-169D-4D4A-AEEA-25E6654BF9A4}"/>
            </c:ext>
          </c:extLst>
        </c:ser>
        <c:ser>
          <c:idx val="14"/>
          <c:order val="14"/>
          <c:tx>
            <c:v>Line-MN-AN</c:v>
          </c:tx>
          <c:spPr>
            <a:ln>
              <a:solidFill>
                <a:srgbClr val="00B050"/>
              </a:solidFill>
            </a:ln>
          </c:spPr>
          <c:marker>
            <c:spPr>
              <a:solidFill>
                <a:srgbClr val="00B050"/>
              </a:solidFill>
              <a:ln>
                <a:solidFill>
                  <a:srgbClr val="00B050"/>
                </a:solidFill>
              </a:ln>
            </c:spPr>
          </c:marker>
          <c:dPt>
            <c:idx val="1"/>
            <c:marker>
              <c:symbol val="none"/>
            </c:marker>
            <c:bubble3D val="0"/>
            <c:spPr>
              <a:ln w="31750">
                <a:solidFill>
                  <a:srgbClr val="00B050"/>
                </a:solidFill>
                <a:tailEnd type="stealth"/>
              </a:ln>
            </c:spPr>
            <c:extLst>
              <c:ext xmlns:c16="http://schemas.microsoft.com/office/drawing/2014/chart" uri="{C3380CC4-5D6E-409C-BE32-E72D297353CC}">
                <c16:uniqueId val="{0000001A-169D-4D4A-AEEA-25E6654BF9A4}"/>
              </c:ext>
            </c:extLst>
          </c:dPt>
          <c:dLbls>
            <c:dLbl>
              <c:idx val="1"/>
              <c:tx>
                <c:rich>
                  <a:bodyPr/>
                  <a:lstStyle/>
                  <a:p>
                    <a:r>
                      <a:rPr lang="en-US"/>
                      <a:t>AN</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169D-4D4A-AEEA-25E6654BF9A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'Moon Phase-Node Model'!$C$84:$C$85</c:f>
              <c:numCache>
                <c:formatCode>0.00</c:formatCode>
                <c:ptCount val="2"/>
                <c:pt idx="0">
                  <c:v>1.7320500000000001</c:v>
                </c:pt>
                <c:pt idx="1">
                  <c:v>3.4641008075688777</c:v>
                </c:pt>
              </c:numCache>
            </c:numRef>
          </c:xVal>
          <c:yVal>
            <c:numRef>
              <c:f>'Moon Phase-Node Model'!$D$84:$D$85</c:f>
              <c:numCache>
                <c:formatCode>0.00</c:formatCode>
                <c:ptCount val="2"/>
                <c:pt idx="0">
                  <c:v>-1</c:v>
                </c:pt>
                <c:pt idx="1">
                  <c:v>-2</c:v>
                </c:pt>
              </c:numCache>
            </c:numRef>
          </c:yVal>
          <c:smooth val="0"/>
          <c:extLst>
            <c:ext xmlns:c16="http://schemas.microsoft.com/office/drawing/2014/chart" uri="{C3380CC4-5D6E-409C-BE32-E72D297353CC}">
              <c16:uniqueId val="{0000001B-169D-4D4A-AEEA-25E6654BF9A4}"/>
            </c:ext>
          </c:extLst>
        </c:ser>
        <c:ser>
          <c:idx val="15"/>
          <c:order val="15"/>
          <c:tx>
            <c:v>Line-PM-Apogee</c:v>
          </c:tx>
          <c:marker>
            <c:symbol val="plus"/>
            <c:size val="9"/>
          </c:marker>
          <c:dPt>
            <c:idx val="1"/>
            <c:bubble3D val="0"/>
            <c:spPr>
              <a:ln w="31750">
                <a:solidFill>
                  <a:srgbClr val="0070C0"/>
                </a:solidFill>
                <a:tailEnd type="stealth"/>
              </a:ln>
            </c:spPr>
            <c:extLst>
              <c:ext xmlns:c16="http://schemas.microsoft.com/office/drawing/2014/chart" uri="{C3380CC4-5D6E-409C-BE32-E72D297353CC}">
                <c16:uniqueId val="{0000001D-169D-4D4A-AEEA-25E6654BF9A4}"/>
              </c:ext>
            </c:extLst>
          </c:dPt>
          <c:dLbls>
            <c:dLbl>
              <c:idx val="1"/>
              <c:tx>
                <c:rich>
                  <a:bodyPr/>
                  <a:lstStyle/>
                  <a:p>
                    <a:r>
                      <a:rPr lang="en-US"/>
                      <a:t>Apogee</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169D-4D4A-AEEA-25E6654BF9A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'Moon Phase-Node Model'!$C$88:$C$89</c:f>
              <c:numCache>
                <c:formatCode>0.00</c:formatCode>
                <c:ptCount val="2"/>
                <c:pt idx="0">
                  <c:v>0</c:v>
                </c:pt>
                <c:pt idx="1">
                  <c:v>-1.22514845490862E-16</c:v>
                </c:pt>
              </c:numCache>
            </c:numRef>
          </c:xVal>
          <c:yVal>
            <c:numRef>
              <c:f>'Moon Phase-Node Model'!$D$88:$D$89</c:f>
              <c:numCache>
                <c:formatCode>0.00</c:formatCode>
                <c:ptCount val="2"/>
                <c:pt idx="0">
                  <c:v>2</c:v>
                </c:pt>
                <c:pt idx="1">
                  <c:v>0</c:v>
                </c:pt>
              </c:numCache>
            </c:numRef>
          </c:yVal>
          <c:smooth val="0"/>
          <c:extLst>
            <c:ext xmlns:c16="http://schemas.microsoft.com/office/drawing/2014/chart" uri="{C3380CC4-5D6E-409C-BE32-E72D297353CC}">
              <c16:uniqueId val="{0000001E-169D-4D4A-AEEA-25E6654BF9A4}"/>
            </c:ext>
          </c:extLst>
        </c:ser>
        <c:dLbls>
          <c:showLegendKey val="0"/>
          <c:showVal val="0"/>
          <c:showCatName val="0"/>
          <c:showSerName val="0"/>
          <c:showPercent val="0"/>
          <c:showBubbleSize val="0"/>
        </c:dLbls>
        <c:axId val="672599200"/>
        <c:axId val="672864240"/>
      </c:scatterChart>
      <c:valAx>
        <c:axId val="672599200"/>
        <c:scaling>
          <c:orientation val="minMax"/>
          <c:max val="5"/>
          <c:min val="-5"/>
        </c:scaling>
        <c:delete val="1"/>
        <c:axPos val="b"/>
        <c:numFmt formatCode="0" sourceLinked="0"/>
        <c:majorTickMark val="none"/>
        <c:minorTickMark val="none"/>
        <c:tickLblPos val="nextTo"/>
        <c:crossAx val="672864240"/>
        <c:crosses val="autoZero"/>
        <c:crossBetween val="midCat"/>
        <c:majorUnit val="5"/>
        <c:minorUnit val="5"/>
      </c:valAx>
      <c:valAx>
        <c:axId val="672864240"/>
        <c:scaling>
          <c:orientation val="minMax"/>
          <c:max val="5"/>
          <c:min val="-5"/>
        </c:scaling>
        <c:delete val="1"/>
        <c:axPos val="l"/>
        <c:numFmt formatCode="0" sourceLinked="0"/>
        <c:majorTickMark val="none"/>
        <c:minorTickMark val="none"/>
        <c:tickLblPos val="nextTo"/>
        <c:crossAx val="672599200"/>
        <c:crosses val="autoZero"/>
        <c:crossBetween val="midCat"/>
        <c:majorUnit val="5"/>
        <c:minorUnit val="5"/>
      </c:valAx>
      <c:spPr>
        <a:solidFill>
          <a:schemeClr val="bg1"/>
        </a:solidFill>
        <a:ln>
          <a:noFill/>
        </a:ln>
        <a:effectLst/>
      </c:spPr>
    </c:plotArea>
    <c:plotVisOnly val="1"/>
    <c:dispBlanksAs val="span"/>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957908635653674E-2"/>
          <c:y val="8.8570188110700786E-3"/>
          <c:w val="0.97273465049997587"/>
          <c:h val="0.98626932728264161"/>
        </c:manualLayout>
      </c:layout>
      <c:pieChart>
        <c:varyColors val="1"/>
        <c:ser>
          <c:idx val="1"/>
          <c:order val="0"/>
          <c:tx>
            <c:v>k</c:v>
          </c:tx>
          <c:spPr>
            <a:noFill/>
            <a:ln>
              <a:noFill/>
            </a:ln>
          </c:spPr>
          <c:dPt>
            <c:idx val="0"/>
            <c:bubble3D val="0"/>
            <c:spPr>
              <a:noFill/>
              <a:ln>
                <a:noFill/>
              </a:ln>
              <a:effectLst/>
            </c:spPr>
            <c:extLst>
              <c:ext xmlns:c16="http://schemas.microsoft.com/office/drawing/2014/chart" uri="{C3380CC4-5D6E-409C-BE32-E72D297353CC}">
                <c16:uniqueId val="{00000001-E9F1-AB41-9447-748A4F2FDF07}"/>
              </c:ext>
            </c:extLst>
          </c:dPt>
          <c:val>
            <c:numLit>
              <c:formatCode>General</c:formatCode>
              <c:ptCount val="1"/>
              <c:pt idx="0">
                <c:v>1</c:v>
              </c:pt>
            </c:numLit>
          </c:val>
          <c:extLst>
            <c:ext xmlns:c16="http://schemas.microsoft.com/office/drawing/2014/chart" uri="{C3380CC4-5D6E-409C-BE32-E72D297353CC}">
              <c16:uniqueId val="{00000002-E9F1-AB41-9447-748A4F2FDF07}"/>
            </c:ext>
          </c:extLst>
        </c:ser>
        <c:dLbls>
          <c:showLegendKey val="0"/>
          <c:showVal val="0"/>
          <c:showCatName val="0"/>
          <c:showSerName val="0"/>
          <c:showPercent val="0"/>
          <c:showBubbleSize val="0"/>
          <c:showLeaderLines val="1"/>
        </c:dLbls>
        <c:firstSliceAng val="0"/>
      </c:pieChart>
      <c:areaChart>
        <c:grouping val="stacked"/>
        <c:varyColors val="0"/>
        <c:ser>
          <c:idx val="2"/>
          <c:order val="1"/>
          <c:tx>
            <c:strRef>
              <c:f>Calculations!$D$8</c:f>
              <c:strCache>
                <c:ptCount val="1"/>
                <c:pt idx="0">
                  <c:v>black bottom</c:v>
                </c:pt>
              </c:strCache>
            </c:strRef>
          </c:tx>
          <c:spPr>
            <a:solidFill>
              <a:schemeClr val="tx1"/>
            </a:solidFill>
            <a:ln w="9525">
              <a:solidFill>
                <a:schemeClr val="tx1"/>
              </a:solidFill>
            </a:ln>
            <a:effectLst/>
          </c:spPr>
          <c:val>
            <c:numRef>
              <c:f>Calculations!$D$9:$D$209</c:f>
              <c:numCache>
                <c:formatCode>General</c:formatCode>
                <c:ptCount val="201"/>
                <c:pt idx="0">
                  <c:v>1</c:v>
                </c:pt>
                <c:pt idx="1">
                  <c:v>0.85893264020334104</c:v>
                </c:pt>
                <c:pt idx="2">
                  <c:v>0.80100251257867583</c:v>
                </c:pt>
                <c:pt idx="3">
                  <c:v>0.7568950843771356</c:v>
                </c:pt>
                <c:pt idx="4">
                  <c:v>0.72</c:v>
                </c:pt>
                <c:pt idx="5">
                  <c:v>0.68775010008008008</c:v>
                </c:pt>
                <c:pt idx="6">
                  <c:v>0.65882555781536034</c:v>
                </c:pt>
                <c:pt idx="7">
                  <c:v>0.63244048101021777</c:v>
                </c:pt>
                <c:pt idx="8">
                  <c:v>0.60808164115469121</c:v>
                </c:pt>
                <c:pt idx="9">
                  <c:v>0.58539175116744224</c:v>
                </c:pt>
                <c:pt idx="10">
                  <c:v>0.56411010564593245</c:v>
                </c:pt>
                <c:pt idx="11">
                  <c:v>0.54403947539287989</c:v>
                </c:pt>
                <c:pt idx="12">
                  <c:v>0.52502631651848319</c:v>
                </c:pt>
                <c:pt idx="13">
                  <c:v>0.50694827857515778</c:v>
                </c:pt>
                <c:pt idx="14">
                  <c:v>0.4897059671130769</c:v>
                </c:pt>
                <c:pt idx="15">
                  <c:v>0.47321731235736286</c:v>
                </c:pt>
                <c:pt idx="16">
                  <c:v>0.45741360134997833</c:v>
                </c:pt>
                <c:pt idx="17">
                  <c:v>0.44223660930462616</c:v>
                </c:pt>
                <c:pt idx="18">
                  <c:v>0.42763647914983238</c:v>
                </c:pt>
                <c:pt idx="19">
                  <c:v>0.41357012354416978</c:v>
                </c:pt>
                <c:pt idx="20">
                  <c:v>0.39999999999999969</c:v>
                </c:pt>
                <c:pt idx="21">
                  <c:v>0.38689315776122646</c:v>
                </c:pt>
                <c:pt idx="22">
                  <c:v>0.3742204861135191</c:v>
                </c:pt>
                <c:pt idx="23">
                  <c:v>0.3619561143620289</c:v>
                </c:pt>
                <c:pt idx="24">
                  <c:v>0.3500769276291229</c:v>
                </c:pt>
                <c:pt idx="25">
                  <c:v>0.3385621722338521</c:v>
                </c:pt>
                <c:pt idx="26">
                  <c:v>0.32739313116799029</c:v>
                </c:pt>
                <c:pt idx="27">
                  <c:v>0.31655285500632868</c:v>
                </c:pt>
                <c:pt idx="28">
                  <c:v>0.30602593708410086</c:v>
                </c:pt>
                <c:pt idx="29">
                  <c:v>0.29579832434166964</c:v>
                </c:pt>
                <c:pt idx="30">
                  <c:v>0.28585715714571469</c:v>
                </c:pt>
                <c:pt idx="31">
                  <c:v>0.27619063283209688</c:v>
                </c:pt>
                <c:pt idx="32">
                  <c:v>0.26678788880706528</c:v>
                </c:pt>
                <c:pt idx="33">
                  <c:v>0.25763890188130123</c:v>
                </c:pt>
                <c:pt idx="34">
                  <c:v>0.24873440116028178</c:v>
                </c:pt>
                <c:pt idx="35">
                  <c:v>0.24006579232146663</c:v>
                </c:pt>
                <c:pt idx="36">
                  <c:v>0.23162509150805788</c:v>
                </c:pt>
                <c:pt idx="37">
                  <c:v>0.22340486738584275</c:v>
                </c:pt>
                <c:pt idx="38">
                  <c:v>0.21539819016267847</c:v>
                </c:pt>
                <c:pt idx="39">
                  <c:v>0.20759858657369856</c:v>
                </c:pt>
                <c:pt idx="40">
                  <c:v>0.19999999999999973</c:v>
                </c:pt>
                <c:pt idx="41">
                  <c:v>0.19259675502262175</c:v>
                </c:pt>
                <c:pt idx="42">
                  <c:v>0.18538352582334772</c:v>
                </c:pt>
                <c:pt idx="43">
                  <c:v>0.17835530793414089</c:v>
                </c:pt>
                <c:pt idx="44">
                  <c:v>0.1715073929116806</c:v>
                </c:pt>
                <c:pt idx="45">
                  <c:v>0.16483534557549639</c:v>
                </c:pt>
                <c:pt idx="46">
                  <c:v>0.15833498349996722</c:v>
                </c:pt>
                <c:pt idx="47">
                  <c:v>0.15200235849384547</c:v>
                </c:pt>
                <c:pt idx="48">
                  <c:v>0.14583373983749481</c:v>
                </c:pt>
                <c:pt idx="49">
                  <c:v>0.13982559907888426</c:v>
                </c:pt>
                <c:pt idx="50">
                  <c:v>0.13397459621556107</c:v>
                </c:pt>
                <c:pt idx="51">
                  <c:v>0.12827756711209937</c:v>
                </c:pt>
                <c:pt idx="52">
                  <c:v>0.12273151202154731</c:v>
                </c:pt>
                <c:pt idx="53">
                  <c:v>0.11733358509570535</c:v>
                </c:pt>
                <c:pt idx="54">
                  <c:v>0.11208108478307521</c:v>
                </c:pt>
                <c:pt idx="55">
                  <c:v>0.10697144502541223</c:v>
                </c:pt>
                <c:pt idx="56">
                  <c:v>0.10200222717425378</c:v>
                </c:pt>
                <c:pt idx="57">
                  <c:v>9.717111255786659E-2</c:v>
                </c:pt>
                <c:pt idx="58">
                  <c:v>9.2475895636925598E-2</c:v>
                </c:pt>
                <c:pt idx="59">
                  <c:v>8.7914477694114201E-2</c:v>
                </c:pt>
                <c:pt idx="60">
                  <c:v>8.348486100883179E-2</c:v>
                </c:pt>
                <c:pt idx="61">
                  <c:v>7.9185143473455621E-2</c:v>
                </c:pt>
                <c:pt idx="62">
                  <c:v>7.5013513612225635E-2</c:v>
                </c:pt>
                <c:pt idx="63">
                  <c:v>7.0968245967878429E-2</c:v>
                </c:pt>
                <c:pt idx="64">
                  <c:v>6.7047696824751757E-2</c:v>
                </c:pt>
                <c:pt idx="65">
                  <c:v>6.3250300240240032E-2</c:v>
                </c:pt>
                <c:pt idx="66">
                  <c:v>5.9574564359299975E-2</c:v>
                </c:pt>
                <c:pt idx="67">
                  <c:v>5.6019067989188431E-2</c:v>
                </c:pt>
                <c:pt idx="68">
                  <c:v>5.2582457413838934E-2</c:v>
                </c:pt>
                <c:pt idx="69">
                  <c:v>4.9263443429253484E-2</c:v>
                </c:pt>
                <c:pt idx="70">
                  <c:v>4.6060798583054119E-2</c:v>
                </c:pt>
                <c:pt idx="71">
                  <c:v>4.2973354602913738E-2</c:v>
                </c:pt>
                <c:pt idx="72">
                  <c:v>3.9999999999999813E-2</c:v>
                </c:pt>
                <c:pt idx="73">
                  <c:v>3.7139677834837626E-2</c:v>
                </c:pt>
                <c:pt idx="74">
                  <c:v>3.4391383634134964E-2</c:v>
                </c:pt>
                <c:pt idx="75">
                  <c:v>3.1754163448145634E-2</c:v>
                </c:pt>
                <c:pt idx="76">
                  <c:v>2.9227112039072023E-2</c:v>
                </c:pt>
                <c:pt idx="77">
                  <c:v>2.6809371191851117E-2</c:v>
                </c:pt>
                <c:pt idx="78">
                  <c:v>2.4500128139423927E-2</c:v>
                </c:pt>
                <c:pt idx="79">
                  <c:v>2.2298614095285108E-2</c:v>
                </c:pt>
                <c:pt idx="80">
                  <c:v>2.0204102886728581E-2</c:v>
                </c:pt>
                <c:pt idx="81">
                  <c:v>1.8215909682785525E-2</c:v>
                </c:pt>
                <c:pt idx="82">
                  <c:v>1.6333389811364896E-2</c:v>
                </c:pt>
                <c:pt idx="83">
                  <c:v>1.455593766058938E-2</c:v>
                </c:pt>
                <c:pt idx="84">
                  <c:v>1.2882985659754542E-2</c:v>
                </c:pt>
                <c:pt idx="85">
                  <c:v>1.1314003335740397E-2</c:v>
                </c:pt>
                <c:pt idx="86">
                  <c:v>9.8484964410748832E-3</c:v>
                </c:pt>
                <c:pt idx="87">
                  <c:v>8.4860061501904616E-3</c:v>
                </c:pt>
                <c:pt idx="88">
                  <c:v>7.2261083207314503E-3</c:v>
                </c:pt>
                <c:pt idx="89">
                  <c:v>6.0684128170590546E-3</c:v>
                </c:pt>
                <c:pt idx="90">
                  <c:v>5.0125628933800348E-3</c:v>
                </c:pt>
                <c:pt idx="91">
                  <c:v>4.0582346341729858E-3</c:v>
                </c:pt>
                <c:pt idx="92">
                  <c:v>3.2051364498308921E-3</c:v>
                </c:pt>
                <c:pt idx="93">
                  <c:v>2.4530086256587813E-3</c:v>
                </c:pt>
                <c:pt idx="94">
                  <c:v>1.8016229225775726E-3</c:v>
                </c:pt>
                <c:pt idx="95">
                  <c:v>1.2507822280910519E-3</c:v>
                </c:pt>
                <c:pt idx="96">
                  <c:v>8.0032025625620395E-4</c:v>
                </c:pt>
                <c:pt idx="97">
                  <c:v>4.5010129558809009E-4</c:v>
                </c:pt>
                <c:pt idx="98">
                  <c:v>2.0002000400098918E-4</c:v>
                </c:pt>
                <c:pt idx="99">
                  <c:v>5.0001250062492453E-5</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numCache>
            </c:numRef>
          </c:val>
          <c:extLst>
            <c:ext xmlns:c16="http://schemas.microsoft.com/office/drawing/2014/chart" uri="{C3380CC4-5D6E-409C-BE32-E72D297353CC}">
              <c16:uniqueId val="{00000003-E9F1-AB41-9447-748A4F2FDF07}"/>
            </c:ext>
          </c:extLst>
        </c:ser>
        <c:ser>
          <c:idx val="0"/>
          <c:order val="2"/>
          <c:tx>
            <c:strRef>
              <c:f>Calculations!$E$8</c:f>
              <c:strCache>
                <c:ptCount val="1"/>
                <c:pt idx="0">
                  <c:v>transparent</c:v>
                </c:pt>
              </c:strCache>
            </c:strRef>
          </c:tx>
          <c:spPr>
            <a:noFill/>
            <a:ln w="25400">
              <a:noFill/>
            </a:ln>
            <a:effectLst/>
          </c:spPr>
          <c:val>
            <c:numRef>
              <c:f>Calculations!$E$9:$E$209</c:f>
              <c:numCache>
                <c:formatCode>General</c:formatCode>
                <c:ptCount val="201"/>
                <c:pt idx="0">
                  <c:v>0</c:v>
                </c:pt>
                <c:pt idx="1">
                  <c:v>0.28213471959331787</c:v>
                </c:pt>
                <c:pt idx="2">
                  <c:v>0.3979949748426484</c:v>
                </c:pt>
                <c:pt idx="3">
                  <c:v>0.48620983124572886</c:v>
                </c:pt>
                <c:pt idx="4">
                  <c:v>0.56000000000000005</c:v>
                </c:pt>
                <c:pt idx="5">
                  <c:v>0.62449979983983994</c:v>
                </c:pt>
                <c:pt idx="6">
                  <c:v>0.68234888436927943</c:v>
                </c:pt>
                <c:pt idx="7">
                  <c:v>0.73511903797956457</c:v>
                </c:pt>
                <c:pt idx="8">
                  <c:v>0.78383671769061747</c:v>
                </c:pt>
                <c:pt idx="9">
                  <c:v>0.82921649766511563</c:v>
                </c:pt>
                <c:pt idx="10">
                  <c:v>0.87177978870813511</c:v>
                </c:pt>
                <c:pt idx="11">
                  <c:v>0.91192104921424022</c:v>
                </c:pt>
                <c:pt idx="12">
                  <c:v>0.94994736696303361</c:v>
                </c:pt>
                <c:pt idx="13">
                  <c:v>0.98610344284968443</c:v>
                </c:pt>
                <c:pt idx="14">
                  <c:v>1.0205880657738462</c:v>
                </c:pt>
                <c:pt idx="15">
                  <c:v>1.0535653752852743</c:v>
                </c:pt>
                <c:pt idx="16">
                  <c:v>1.0851727973000433</c:v>
                </c:pt>
                <c:pt idx="17">
                  <c:v>1.1155267813907477</c:v>
                </c:pt>
                <c:pt idx="18">
                  <c:v>1.1447270417003352</c:v>
                </c:pt>
                <c:pt idx="19">
                  <c:v>1.1728597529116604</c:v>
                </c:pt>
                <c:pt idx="20">
                  <c:v>1.2000000000000006</c:v>
                </c:pt>
                <c:pt idx="21">
                  <c:v>1.2262136844775471</c:v>
                </c:pt>
                <c:pt idx="22">
                  <c:v>1.2515590277729618</c:v>
                </c:pt>
                <c:pt idx="23">
                  <c:v>1.2760877712759422</c:v>
                </c:pt>
                <c:pt idx="24">
                  <c:v>1.2998461447417542</c:v>
                </c:pt>
                <c:pt idx="25">
                  <c:v>1.3228756555322958</c:v>
                </c:pt>
                <c:pt idx="26">
                  <c:v>1.3452137376640194</c:v>
                </c:pt>
                <c:pt idx="27">
                  <c:v>1.3668942899873426</c:v>
                </c:pt>
                <c:pt idx="28">
                  <c:v>1.3879481258317983</c:v>
                </c:pt>
                <c:pt idx="29">
                  <c:v>1.4084033513166607</c:v>
                </c:pt>
                <c:pt idx="30">
                  <c:v>1.4282856857085706</c:v>
                </c:pt>
                <c:pt idx="31">
                  <c:v>1.4476187343358062</c:v>
                </c:pt>
                <c:pt idx="32">
                  <c:v>1.4664242223858694</c:v>
                </c:pt>
                <c:pt idx="33">
                  <c:v>1.4847221962373975</c:v>
                </c:pt>
                <c:pt idx="34">
                  <c:v>1.5025311976794364</c:v>
                </c:pt>
                <c:pt idx="35">
                  <c:v>1.5198684153570667</c:v>
                </c:pt>
                <c:pt idx="36">
                  <c:v>1.5367498169838842</c:v>
                </c:pt>
                <c:pt idx="37">
                  <c:v>1.5531902652283145</c:v>
                </c:pt>
                <c:pt idx="38">
                  <c:v>1.5692036196746431</c:v>
                </c:pt>
                <c:pt idx="39">
                  <c:v>1.5848028268526029</c:v>
                </c:pt>
                <c:pt idx="40">
                  <c:v>1.6000000000000005</c:v>
                </c:pt>
                <c:pt idx="41">
                  <c:v>1.6148064899547565</c:v>
                </c:pt>
                <c:pt idx="42">
                  <c:v>1.6292329483533046</c:v>
                </c:pt>
                <c:pt idx="43">
                  <c:v>1.6432893841317182</c:v>
                </c:pt>
                <c:pt idx="44">
                  <c:v>1.6569852141766388</c:v>
                </c:pt>
                <c:pt idx="45">
                  <c:v>1.6703293088490072</c:v>
                </c:pt>
                <c:pt idx="46">
                  <c:v>1.6833300330000656</c:v>
                </c:pt>
                <c:pt idx="47">
                  <c:v>1.6959952830123091</c:v>
                </c:pt>
                <c:pt idx="48">
                  <c:v>1.7083325203250104</c:v>
                </c:pt>
                <c:pt idx="49">
                  <c:v>1.7203488018422315</c:v>
                </c:pt>
                <c:pt idx="50">
                  <c:v>1.7320508075688779</c:v>
                </c:pt>
                <c:pt idx="51">
                  <c:v>1.7434448657758013</c:v>
                </c:pt>
                <c:pt idx="52">
                  <c:v>1.7545369759569054</c:v>
                </c:pt>
                <c:pt idx="53">
                  <c:v>1.7653328298085893</c:v>
                </c:pt>
                <c:pt idx="54">
                  <c:v>1.7758378304338496</c:v>
                </c:pt>
                <c:pt idx="55">
                  <c:v>1.7860571099491755</c:v>
                </c:pt>
                <c:pt idx="56">
                  <c:v>1.7959955456514924</c:v>
                </c:pt>
                <c:pt idx="57">
                  <c:v>1.8056577748842668</c:v>
                </c:pt>
                <c:pt idx="58">
                  <c:v>1.8150482087261488</c:v>
                </c:pt>
                <c:pt idx="59">
                  <c:v>1.8241710446117716</c:v>
                </c:pt>
                <c:pt idx="60">
                  <c:v>1.8330302779823364</c:v>
                </c:pt>
                <c:pt idx="61">
                  <c:v>1.8416297130530888</c:v>
                </c:pt>
                <c:pt idx="62">
                  <c:v>1.8499729727755487</c:v>
                </c:pt>
                <c:pt idx="63">
                  <c:v>1.8580635080642431</c:v>
                </c:pt>
                <c:pt idx="64">
                  <c:v>1.8659046063504965</c:v>
                </c:pt>
                <c:pt idx="65">
                  <c:v>1.8734993995195199</c:v>
                </c:pt>
                <c:pt idx="66">
                  <c:v>1.8808508712814</c:v>
                </c:pt>
                <c:pt idx="67">
                  <c:v>1.8879618640216231</c:v>
                </c:pt>
                <c:pt idx="68">
                  <c:v>1.8948350851723221</c:v>
                </c:pt>
                <c:pt idx="69">
                  <c:v>1.901473113141493</c:v>
                </c:pt>
                <c:pt idx="70">
                  <c:v>1.9078784028338918</c:v>
                </c:pt>
                <c:pt idx="71">
                  <c:v>1.9140532907941725</c:v>
                </c:pt>
                <c:pt idx="72">
                  <c:v>1.9200000000000004</c:v>
                </c:pt>
                <c:pt idx="73">
                  <c:v>1.9257206443303247</c:v>
                </c:pt>
                <c:pt idx="74">
                  <c:v>1.9312172327317301</c:v>
                </c:pt>
                <c:pt idx="75">
                  <c:v>1.9364916731037087</c:v>
                </c:pt>
                <c:pt idx="76">
                  <c:v>1.941545775921856</c:v>
                </c:pt>
                <c:pt idx="77">
                  <c:v>1.9463812576162978</c:v>
                </c:pt>
                <c:pt idx="78">
                  <c:v>1.9509997437211521</c:v>
                </c:pt>
                <c:pt idx="79">
                  <c:v>1.9554027718094298</c:v>
                </c:pt>
                <c:pt idx="80">
                  <c:v>1.9595917942265428</c:v>
                </c:pt>
                <c:pt idx="81">
                  <c:v>1.963568180634429</c:v>
                </c:pt>
                <c:pt idx="82">
                  <c:v>1.9673332203772702</c:v>
                </c:pt>
                <c:pt idx="83">
                  <c:v>1.9708881246788212</c:v>
                </c:pt>
                <c:pt idx="84">
                  <c:v>1.9742340286804909</c:v>
                </c:pt>
                <c:pt idx="85">
                  <c:v>1.9773719933285192</c:v>
                </c:pt>
                <c:pt idx="86">
                  <c:v>1.9803030071178502</c:v>
                </c:pt>
                <c:pt idx="87">
                  <c:v>1.9830279876996191</c:v>
                </c:pt>
                <c:pt idx="88">
                  <c:v>1.9855477833585371</c:v>
                </c:pt>
                <c:pt idx="89">
                  <c:v>1.9878631743658819</c:v>
                </c:pt>
                <c:pt idx="90">
                  <c:v>1.9899748742132399</c:v>
                </c:pt>
                <c:pt idx="91">
                  <c:v>1.991883530731654</c:v>
                </c:pt>
                <c:pt idx="92">
                  <c:v>1.9935897271003382</c:v>
                </c:pt>
                <c:pt idx="93">
                  <c:v>1.9950939827486824</c:v>
                </c:pt>
                <c:pt idx="94">
                  <c:v>1.9963967541548449</c:v>
                </c:pt>
                <c:pt idx="95">
                  <c:v>1.9974984355438179</c:v>
                </c:pt>
                <c:pt idx="96">
                  <c:v>1.9983993594874876</c:v>
                </c:pt>
                <c:pt idx="97">
                  <c:v>1.9990997974088238</c:v>
                </c:pt>
                <c:pt idx="98">
                  <c:v>1.999599959991998</c:v>
                </c:pt>
                <c:pt idx="99">
                  <c:v>1.999899997499875</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numCache>
            </c:numRef>
          </c:val>
          <c:extLst>
            <c:ext xmlns:c16="http://schemas.microsoft.com/office/drawing/2014/chart" uri="{C3380CC4-5D6E-409C-BE32-E72D297353CC}">
              <c16:uniqueId val="{00000004-E9F1-AB41-9447-748A4F2FDF07}"/>
            </c:ext>
          </c:extLst>
        </c:ser>
        <c:ser>
          <c:idx val="3"/>
          <c:order val="3"/>
          <c:tx>
            <c:strRef>
              <c:f>Calculations!$F$8</c:f>
              <c:strCache>
                <c:ptCount val="1"/>
                <c:pt idx="0">
                  <c:v>black top</c:v>
                </c:pt>
              </c:strCache>
            </c:strRef>
          </c:tx>
          <c:spPr>
            <a:solidFill>
              <a:schemeClr val="tx1"/>
            </a:solidFill>
            <a:ln w="9525">
              <a:noFill/>
            </a:ln>
            <a:effectLst/>
          </c:spPr>
          <c:val>
            <c:numRef>
              <c:f>Calculations!$F$9:$F$209</c:f>
              <c:numCache>
                <c:formatCode>General</c:formatCode>
                <c:ptCount val="201"/>
                <c:pt idx="0">
                  <c:v>1</c:v>
                </c:pt>
                <c:pt idx="1">
                  <c:v>1.141067359796659</c:v>
                </c:pt>
                <c:pt idx="2">
                  <c:v>1.1989974874213243</c:v>
                </c:pt>
                <c:pt idx="3">
                  <c:v>1.2431049156228644</c:v>
                </c:pt>
                <c:pt idx="4">
                  <c:v>1.28</c:v>
                </c:pt>
                <c:pt idx="5">
                  <c:v>1.3122498999199199</c:v>
                </c:pt>
                <c:pt idx="6">
                  <c:v>1.3411744421846397</c:v>
                </c:pt>
                <c:pt idx="7">
                  <c:v>1.3675595189897822</c:v>
                </c:pt>
                <c:pt idx="8">
                  <c:v>1.3919183588453088</c:v>
                </c:pt>
                <c:pt idx="9">
                  <c:v>1.4146082488325578</c:v>
                </c:pt>
                <c:pt idx="10">
                  <c:v>1.4358898943540677</c:v>
                </c:pt>
                <c:pt idx="11">
                  <c:v>1.4559605246071201</c:v>
                </c:pt>
                <c:pt idx="12">
                  <c:v>1.4749736834815168</c:v>
                </c:pt>
                <c:pt idx="13">
                  <c:v>1.4930517214248422</c:v>
                </c:pt>
                <c:pt idx="14">
                  <c:v>1.510294032886923</c:v>
                </c:pt>
                <c:pt idx="15">
                  <c:v>1.5267826876426371</c:v>
                </c:pt>
                <c:pt idx="16">
                  <c:v>1.5425863986500217</c:v>
                </c:pt>
                <c:pt idx="17">
                  <c:v>1.5577633906953738</c:v>
                </c:pt>
                <c:pt idx="18">
                  <c:v>1.5723635208501676</c:v>
                </c:pt>
                <c:pt idx="19">
                  <c:v>1.5864298764558302</c:v>
                </c:pt>
                <c:pt idx="20">
                  <c:v>1.6000000000000003</c:v>
                </c:pt>
                <c:pt idx="21">
                  <c:v>1.6131068422387735</c:v>
                </c:pt>
                <c:pt idx="22">
                  <c:v>1.625779513886481</c:v>
                </c:pt>
                <c:pt idx="23">
                  <c:v>1.6380438856379711</c:v>
                </c:pt>
                <c:pt idx="24">
                  <c:v>1.6499230723708771</c:v>
                </c:pt>
                <c:pt idx="25">
                  <c:v>1.6614378277661479</c:v>
                </c:pt>
                <c:pt idx="26">
                  <c:v>1.6726068688320097</c:v>
                </c:pt>
                <c:pt idx="27">
                  <c:v>1.6834471449936714</c:v>
                </c:pt>
                <c:pt idx="28">
                  <c:v>1.693974062915899</c:v>
                </c:pt>
                <c:pt idx="29">
                  <c:v>1.7042016756583305</c:v>
                </c:pt>
                <c:pt idx="30">
                  <c:v>1.7141428428542853</c:v>
                </c:pt>
                <c:pt idx="31">
                  <c:v>1.7238093671679031</c:v>
                </c:pt>
                <c:pt idx="32">
                  <c:v>1.7332121111929348</c:v>
                </c:pt>
                <c:pt idx="33">
                  <c:v>1.7423610981186988</c:v>
                </c:pt>
                <c:pt idx="34">
                  <c:v>1.7512655988397183</c:v>
                </c:pt>
                <c:pt idx="35">
                  <c:v>1.7599342076785334</c:v>
                </c:pt>
                <c:pt idx="36">
                  <c:v>1.7683749084919422</c:v>
                </c:pt>
                <c:pt idx="37">
                  <c:v>1.7765951326141574</c:v>
                </c:pt>
                <c:pt idx="38">
                  <c:v>1.7846018098373215</c:v>
                </c:pt>
                <c:pt idx="39">
                  <c:v>1.7924014134263015</c:v>
                </c:pt>
                <c:pt idx="40">
                  <c:v>1.8000000000000003</c:v>
                </c:pt>
                <c:pt idx="41">
                  <c:v>1.8074032449773783</c:v>
                </c:pt>
                <c:pt idx="42">
                  <c:v>1.8146164741766522</c:v>
                </c:pt>
                <c:pt idx="43">
                  <c:v>1.8216446920658591</c:v>
                </c:pt>
                <c:pt idx="44">
                  <c:v>1.8284926070883194</c:v>
                </c:pt>
                <c:pt idx="45">
                  <c:v>1.8351646544245037</c:v>
                </c:pt>
                <c:pt idx="46">
                  <c:v>1.8416650165000328</c:v>
                </c:pt>
                <c:pt idx="47">
                  <c:v>1.8479976415061545</c:v>
                </c:pt>
                <c:pt idx="48">
                  <c:v>1.8541662601625051</c:v>
                </c:pt>
                <c:pt idx="49">
                  <c:v>1.8601744009211156</c:v>
                </c:pt>
                <c:pt idx="50">
                  <c:v>1.8660254037844388</c:v>
                </c:pt>
                <c:pt idx="51">
                  <c:v>1.8717224328879007</c:v>
                </c:pt>
                <c:pt idx="52">
                  <c:v>1.8772684879784527</c:v>
                </c:pt>
                <c:pt idx="53">
                  <c:v>1.8826664149042946</c:v>
                </c:pt>
                <c:pt idx="54">
                  <c:v>1.8879189152169249</c:v>
                </c:pt>
                <c:pt idx="55">
                  <c:v>1.8930285549745878</c:v>
                </c:pt>
                <c:pt idx="56">
                  <c:v>1.8979977728257462</c:v>
                </c:pt>
                <c:pt idx="57">
                  <c:v>1.9028288874421335</c:v>
                </c:pt>
                <c:pt idx="58">
                  <c:v>1.9075241043630744</c:v>
                </c:pt>
                <c:pt idx="59">
                  <c:v>1.9120855223058859</c:v>
                </c:pt>
                <c:pt idx="60">
                  <c:v>1.9165151389911683</c:v>
                </c:pt>
                <c:pt idx="61">
                  <c:v>1.9208148565265444</c:v>
                </c:pt>
                <c:pt idx="62">
                  <c:v>1.9249864863877744</c:v>
                </c:pt>
                <c:pt idx="63">
                  <c:v>1.9290317540321216</c:v>
                </c:pt>
                <c:pt idx="64">
                  <c:v>1.9329523031752482</c:v>
                </c:pt>
                <c:pt idx="65">
                  <c:v>1.93674969975976</c:v>
                </c:pt>
                <c:pt idx="66">
                  <c:v>1.9404254356407</c:v>
                </c:pt>
                <c:pt idx="67">
                  <c:v>1.9439809320108115</c:v>
                </c:pt>
                <c:pt idx="68">
                  <c:v>1.9474175425861611</c:v>
                </c:pt>
                <c:pt idx="69">
                  <c:v>1.9507365565707464</c:v>
                </c:pt>
                <c:pt idx="70">
                  <c:v>1.9539392014169459</c:v>
                </c:pt>
                <c:pt idx="71">
                  <c:v>1.9570266453970864</c:v>
                </c:pt>
                <c:pt idx="72">
                  <c:v>1.9600000000000002</c:v>
                </c:pt>
                <c:pt idx="73">
                  <c:v>1.9628603221651624</c:v>
                </c:pt>
                <c:pt idx="74">
                  <c:v>1.965608616365865</c:v>
                </c:pt>
                <c:pt idx="75">
                  <c:v>1.9682458365518545</c:v>
                </c:pt>
                <c:pt idx="76">
                  <c:v>1.9707728879609281</c:v>
                </c:pt>
                <c:pt idx="77">
                  <c:v>1.9731906288081489</c:v>
                </c:pt>
                <c:pt idx="78">
                  <c:v>1.9754998718605761</c:v>
                </c:pt>
                <c:pt idx="79">
                  <c:v>1.977701385904715</c:v>
                </c:pt>
                <c:pt idx="80">
                  <c:v>1.9797958971132714</c:v>
                </c:pt>
                <c:pt idx="81">
                  <c:v>1.9817840903172144</c:v>
                </c:pt>
                <c:pt idx="82">
                  <c:v>1.9836666101886351</c:v>
                </c:pt>
                <c:pt idx="83">
                  <c:v>1.9854440623394107</c:v>
                </c:pt>
                <c:pt idx="84">
                  <c:v>1.9871170143402455</c:v>
                </c:pt>
                <c:pt idx="85">
                  <c:v>1.9886859966642596</c:v>
                </c:pt>
                <c:pt idx="86">
                  <c:v>1.9901515035589252</c:v>
                </c:pt>
                <c:pt idx="87">
                  <c:v>1.9915139938498094</c:v>
                </c:pt>
                <c:pt idx="88">
                  <c:v>1.9927738916792685</c:v>
                </c:pt>
                <c:pt idx="89">
                  <c:v>1.9939315871829408</c:v>
                </c:pt>
                <c:pt idx="90">
                  <c:v>1.9949874371066199</c:v>
                </c:pt>
                <c:pt idx="91">
                  <c:v>1.9959417653658269</c:v>
                </c:pt>
                <c:pt idx="92">
                  <c:v>1.9967948635501691</c:v>
                </c:pt>
                <c:pt idx="93">
                  <c:v>1.9975469913743411</c:v>
                </c:pt>
                <c:pt idx="94">
                  <c:v>1.9981983770774225</c:v>
                </c:pt>
                <c:pt idx="95">
                  <c:v>1.9987492177719091</c:v>
                </c:pt>
                <c:pt idx="96">
                  <c:v>1.9991996797437439</c:v>
                </c:pt>
                <c:pt idx="97">
                  <c:v>1.9995498987044118</c:v>
                </c:pt>
                <c:pt idx="98">
                  <c:v>1.9997999799959989</c:v>
                </c:pt>
                <c:pt idx="99">
                  <c:v>1.9999499987499374</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numCache>
            </c:numRef>
          </c:val>
          <c:extLst>
            <c:ext xmlns:c16="http://schemas.microsoft.com/office/drawing/2014/chart" uri="{C3380CC4-5D6E-409C-BE32-E72D297353CC}">
              <c16:uniqueId val="{00000005-E9F1-AB41-9447-748A4F2FDF07}"/>
            </c:ext>
          </c:extLst>
        </c:ser>
        <c:dLbls>
          <c:showLegendKey val="0"/>
          <c:showVal val="0"/>
          <c:showCatName val="0"/>
          <c:showSerName val="0"/>
          <c:showPercent val="0"/>
          <c:showBubbleSize val="0"/>
        </c:dLbls>
        <c:axId val="239354064"/>
        <c:axId val="239352496"/>
      </c:areaChart>
      <c:catAx>
        <c:axId val="239354064"/>
        <c:scaling>
          <c:orientation val="minMax"/>
        </c:scaling>
        <c:delete val="1"/>
        <c:axPos val="b"/>
        <c:majorTickMark val="none"/>
        <c:minorTickMark val="none"/>
        <c:tickLblPos val="nextTo"/>
        <c:crossAx val="239352496"/>
        <c:crosses val="autoZero"/>
        <c:auto val="1"/>
        <c:lblAlgn val="ctr"/>
        <c:lblOffset val="100"/>
        <c:noMultiLvlLbl val="0"/>
      </c:catAx>
      <c:valAx>
        <c:axId val="239352496"/>
        <c:scaling>
          <c:orientation val="minMax"/>
          <c:max val="2"/>
          <c:min val="0"/>
        </c:scaling>
        <c:delete val="1"/>
        <c:axPos val="l"/>
        <c:numFmt formatCode="General" sourceLinked="1"/>
        <c:majorTickMark val="out"/>
        <c:minorTickMark val="none"/>
        <c:tickLblPos val="nextTo"/>
        <c:crossAx val="239354064"/>
        <c:crosses val="autoZero"/>
        <c:crossBetween val="midCat"/>
      </c:valAx>
      <c:spPr>
        <a:blipFill>
          <a:blip xmlns:r="http://schemas.openxmlformats.org/officeDocument/2006/relationships" r:embed="rId3"/>
          <a:stretch>
            <a:fillRect/>
          </a:stretch>
        </a:blipFill>
        <a:ln>
          <a:noFill/>
        </a:ln>
        <a:effectLst/>
      </c:spPr>
    </c:plotArea>
    <c:plotVisOnly val="0"/>
    <c:dispBlanksAs val="gap"/>
    <c:showDLblsOverMax val="0"/>
  </c:chart>
  <c:spPr>
    <a:solidFill>
      <a:schemeClr val="tx1"/>
    </a:solidFill>
    <a:ln w="9525" cap="flat" cmpd="sng" algn="ctr">
      <a:noFill/>
      <a:round/>
    </a:ln>
    <a:effectLst/>
  </c:spPr>
  <c:txPr>
    <a:bodyPr/>
    <a:lstStyle/>
    <a:p>
      <a:pPr>
        <a:defRPr/>
      </a:pPr>
      <a:endParaRPr lang="en-CH"/>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hyperlink" Target="https://www.astronomy-morsels.ch/morsels"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5.jpg"/><Relationship Id="rId2" Type="http://schemas.openxmlformats.org/officeDocument/2006/relationships/hyperlink" Target="https://en.wikipedia.org/wiki/Eclipse_cycle" TargetMode="Externa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609600</xdr:colOff>
      <xdr:row>44</xdr:row>
      <xdr:rowOff>76200</xdr:rowOff>
    </xdr:from>
    <xdr:to>
      <xdr:col>9</xdr:col>
      <xdr:colOff>228600</xdr:colOff>
      <xdr:row>53</xdr:row>
      <xdr:rowOff>190500</xdr:rowOff>
    </xdr:to>
    <xdr:pic>
      <xdr:nvPicPr>
        <xdr:cNvPr id="2" name="Picture 1">
          <a:hlinkClick xmlns:r="http://schemas.openxmlformats.org/officeDocument/2006/relationships" r:id="rId1"/>
          <a:extLst>
            <a:ext uri="{FF2B5EF4-FFF2-40B4-BE49-F238E27FC236}">
              <a16:creationId xmlns:a16="http://schemas.microsoft.com/office/drawing/2014/main" id="{374E1908-1520-86E9-1DA4-4C06AA0C51C3}"/>
            </a:ext>
          </a:extLst>
        </xdr:cNvPr>
        <xdr:cNvPicPr>
          <a:picLocks noChangeAspect="1"/>
        </xdr:cNvPicPr>
      </xdr:nvPicPr>
      <xdr:blipFill>
        <a:blip xmlns:r="http://schemas.openxmlformats.org/officeDocument/2006/relationships" r:embed="rId2"/>
        <a:stretch>
          <a:fillRect/>
        </a:stretch>
      </xdr:blipFill>
      <xdr:spPr>
        <a:xfrm>
          <a:off x="2260600" y="9118600"/>
          <a:ext cx="5397500" cy="1943100"/>
        </a:xfrm>
        <a:prstGeom prst="rect">
          <a:avLst/>
        </a:prstGeom>
      </xdr:spPr>
    </xdr:pic>
    <xdr:clientData/>
  </xdr:twoCellAnchor>
  <xdr:twoCellAnchor editAs="oneCell">
    <xdr:from>
      <xdr:col>1</xdr:col>
      <xdr:colOff>800100</xdr:colOff>
      <xdr:row>18</xdr:row>
      <xdr:rowOff>127000</xdr:rowOff>
    </xdr:from>
    <xdr:to>
      <xdr:col>10</xdr:col>
      <xdr:colOff>215900</xdr:colOff>
      <xdr:row>36</xdr:row>
      <xdr:rowOff>154844</xdr:rowOff>
    </xdr:to>
    <xdr:pic>
      <xdr:nvPicPr>
        <xdr:cNvPr id="4" name="Picture 3" descr="The Earth Moon System - Let's Talk Science">
          <a:extLst>
            <a:ext uri="{FF2B5EF4-FFF2-40B4-BE49-F238E27FC236}">
              <a16:creationId xmlns:a16="http://schemas.microsoft.com/office/drawing/2014/main" id="{E0B138D3-D297-B5F7-819D-BAF9D1AF7DA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25600" y="3886200"/>
          <a:ext cx="6845300" cy="36854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xdr:row>
      <xdr:rowOff>0</xdr:rowOff>
    </xdr:from>
    <xdr:to>
      <xdr:col>8</xdr:col>
      <xdr:colOff>603250</xdr:colOff>
      <xdr:row>51</xdr:row>
      <xdr:rowOff>190500</xdr:rowOff>
    </xdr:to>
    <xdr:graphicFrame macro="">
      <xdr:nvGraphicFramePr>
        <xdr:cNvPr id="2" name="Chart 1">
          <a:extLst>
            <a:ext uri="{FF2B5EF4-FFF2-40B4-BE49-F238E27FC236}">
              <a16:creationId xmlns:a16="http://schemas.microsoft.com/office/drawing/2014/main" id="{6E5B3FCD-5A97-A146-A228-0E14F88EFC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444500</xdr:colOff>
      <xdr:row>9</xdr:row>
      <xdr:rowOff>88900</xdr:rowOff>
    </xdr:from>
    <xdr:to>
      <xdr:col>2</xdr:col>
      <xdr:colOff>1219200</xdr:colOff>
      <xdr:row>12</xdr:row>
      <xdr:rowOff>0</xdr:rowOff>
    </xdr:to>
    <xdr:sp macro="" textlink="">
      <xdr:nvSpPr>
        <xdr:cNvPr id="3" name="TextBox 1">
          <a:extLst>
            <a:ext uri="{FF2B5EF4-FFF2-40B4-BE49-F238E27FC236}">
              <a16:creationId xmlns:a16="http://schemas.microsoft.com/office/drawing/2014/main" id="{0624A7C2-235C-7E45-A921-B86A6760B177}"/>
            </a:ext>
          </a:extLst>
        </xdr:cNvPr>
        <xdr:cNvSpPr txBox="1"/>
      </xdr:nvSpPr>
      <xdr:spPr>
        <a:xfrm>
          <a:off x="1270000" y="1308100"/>
          <a:ext cx="1206500" cy="5207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2800">
              <a:solidFill>
                <a:schemeClr val="bg1"/>
              </a:solidFill>
            </a:rPr>
            <a:t>Abacus</a:t>
          </a:r>
        </a:p>
      </xdr:txBody>
    </xdr:sp>
    <xdr:clientData/>
  </xdr:twoCellAnchor>
  <xdr:twoCellAnchor>
    <xdr:from>
      <xdr:col>1</xdr:col>
      <xdr:colOff>152400</xdr:colOff>
      <xdr:row>7</xdr:row>
      <xdr:rowOff>127000</xdr:rowOff>
    </xdr:from>
    <xdr:to>
      <xdr:col>8</xdr:col>
      <xdr:colOff>469900</xdr:colOff>
      <xdr:row>10</xdr:row>
      <xdr:rowOff>38100</xdr:rowOff>
    </xdr:to>
    <xdr:sp macro="" textlink="">
      <xdr:nvSpPr>
        <xdr:cNvPr id="4" name="TextBox 1">
          <a:extLst>
            <a:ext uri="{FF2B5EF4-FFF2-40B4-BE49-F238E27FC236}">
              <a16:creationId xmlns:a16="http://schemas.microsoft.com/office/drawing/2014/main" id="{AA7F0F11-F34B-884A-81FD-BF8E2D7B9648}"/>
            </a:ext>
          </a:extLst>
        </xdr:cNvPr>
        <xdr:cNvSpPr txBox="1"/>
      </xdr:nvSpPr>
      <xdr:spPr>
        <a:xfrm>
          <a:off x="596900" y="939800"/>
          <a:ext cx="8991600" cy="5207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GB" sz="2800">
              <a:solidFill>
                <a:schemeClr val="tx1"/>
              </a:solidFill>
              <a:latin typeface="Calibri" panose="020F0502020204030204" pitchFamily="34" charset="0"/>
              <a:cs typeface="Calibri" panose="020F0502020204030204" pitchFamily="34" charset="0"/>
            </a:rPr>
            <a:t>Eclipse Predictor (analysing sun-earth-moon and nodes)</a:t>
          </a:r>
        </a:p>
      </xdr:txBody>
    </xdr:sp>
    <xdr:clientData/>
  </xdr:twoCellAnchor>
  <xdr:twoCellAnchor>
    <xdr:from>
      <xdr:col>7</xdr:col>
      <xdr:colOff>431800</xdr:colOff>
      <xdr:row>44</xdr:row>
      <xdr:rowOff>114300</xdr:rowOff>
    </xdr:from>
    <xdr:to>
      <xdr:col>8</xdr:col>
      <xdr:colOff>582706</xdr:colOff>
      <xdr:row>51</xdr:row>
      <xdr:rowOff>177053</xdr:rowOff>
    </xdr:to>
    <xdr:graphicFrame macro="">
      <xdr:nvGraphicFramePr>
        <xdr:cNvPr id="5" name="Chart 4">
          <a:extLst>
            <a:ext uri="{FF2B5EF4-FFF2-40B4-BE49-F238E27FC236}">
              <a16:creationId xmlns:a16="http://schemas.microsoft.com/office/drawing/2014/main" id="{55A1F926-D48E-DE4F-A6B7-47E31A9F73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12699</xdr:colOff>
      <xdr:row>3</xdr:row>
      <xdr:rowOff>12700</xdr:rowOff>
    </xdr:from>
    <xdr:to>
      <xdr:col>14</xdr:col>
      <xdr:colOff>812950</xdr:colOff>
      <xdr:row>34</xdr:row>
      <xdr:rowOff>190500</xdr:rowOff>
    </xdr:to>
    <xdr:pic>
      <xdr:nvPicPr>
        <xdr:cNvPr id="2" name="Picture 1" descr="Illustration of lunar nodes with Sun, Earth, and Moon">
          <a:extLst>
            <a:ext uri="{FF2B5EF4-FFF2-40B4-BE49-F238E27FC236}">
              <a16:creationId xmlns:a16="http://schemas.microsoft.com/office/drawing/2014/main" id="{9D64C27C-1F5F-2EA3-FD12-C3FAF6AA63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199" y="622300"/>
          <a:ext cx="11531751" cy="6477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304800</xdr:colOff>
      <xdr:row>36</xdr:row>
      <xdr:rowOff>50800</xdr:rowOff>
    </xdr:from>
    <xdr:to>
      <xdr:col>12</xdr:col>
      <xdr:colOff>495300</xdr:colOff>
      <xdr:row>74</xdr:row>
      <xdr:rowOff>88900</xdr:rowOff>
    </xdr:to>
    <xdr:pic>
      <xdr:nvPicPr>
        <xdr:cNvPr id="4" name="Picture 3">
          <a:hlinkClick xmlns:r="http://schemas.openxmlformats.org/officeDocument/2006/relationships" r:id="rId2"/>
          <a:extLst>
            <a:ext uri="{FF2B5EF4-FFF2-40B4-BE49-F238E27FC236}">
              <a16:creationId xmlns:a16="http://schemas.microsoft.com/office/drawing/2014/main" id="{EF1BC692-8514-2608-E2A7-9FA39B63E7B7}"/>
            </a:ext>
          </a:extLst>
        </xdr:cNvPr>
        <xdr:cNvPicPr>
          <a:picLocks noChangeAspect="1"/>
        </xdr:cNvPicPr>
      </xdr:nvPicPr>
      <xdr:blipFill>
        <a:blip xmlns:r="http://schemas.openxmlformats.org/officeDocument/2006/relationships" r:embed="rId3"/>
        <a:stretch>
          <a:fillRect/>
        </a:stretch>
      </xdr:blipFill>
      <xdr:spPr>
        <a:xfrm>
          <a:off x="2781300" y="7366000"/>
          <a:ext cx="7620000" cy="7759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anssassenburg/Dropbox/X_Private/06_Hobbies/1%20-%20Astronomy/Study/Programs/ORBIT%20(HS,%20V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ar System"/>
      <sheetName val="Definitions"/>
      <sheetName val="Calculations"/>
      <sheetName val="Graphical Data"/>
      <sheetName val="Conversion"/>
      <sheetName val="Clock"/>
    </sheetNames>
    <sheetDataSet>
      <sheetData sheetId="0" refreshError="1"/>
      <sheetData sheetId="1">
        <row r="8">
          <cell r="C8">
            <v>86400</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astronomy-morsels.ch/" TargetMode="External"/><Relationship Id="rId1" Type="http://schemas.openxmlformats.org/officeDocument/2006/relationships/hyperlink" Target="mailto:anton@astronomy-morsels.ch?subject=Eclipse%20Dat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E5D51-16A8-314B-BA10-7F2FF05710A7}">
  <dimension ref="A2:L43"/>
  <sheetViews>
    <sheetView showGridLines="0" tabSelected="1" workbookViewId="0">
      <selection activeCell="A3" sqref="A3"/>
    </sheetView>
  </sheetViews>
  <sheetFormatPr baseColWidth="10" defaultRowHeight="16" x14ac:dyDescent="0.2"/>
  <cols>
    <col min="1" max="12" width="10.83203125" style="175"/>
  </cols>
  <sheetData>
    <row r="2" spans="2:11" ht="15" customHeight="1" x14ac:dyDescent="0.2"/>
    <row r="3" spans="2:11" ht="16" customHeight="1" x14ac:dyDescent="0.2">
      <c r="B3" s="188" t="s">
        <v>129</v>
      </c>
      <c r="C3" s="188"/>
      <c r="D3" s="188"/>
      <c r="E3" s="188"/>
      <c r="F3" s="188"/>
      <c r="G3" s="188"/>
      <c r="H3" s="188"/>
      <c r="I3" s="188"/>
      <c r="J3" s="188"/>
      <c r="K3" s="188"/>
    </row>
    <row r="4" spans="2:11" ht="16" customHeight="1" x14ac:dyDescent="0.2">
      <c r="B4" s="188"/>
      <c r="C4" s="188"/>
      <c r="D4" s="188"/>
      <c r="E4" s="188"/>
      <c r="F4" s="188"/>
      <c r="G4" s="188"/>
      <c r="H4" s="188"/>
      <c r="I4" s="188"/>
      <c r="J4" s="188"/>
      <c r="K4" s="188"/>
    </row>
    <row r="5" spans="2:11" ht="16" customHeight="1" x14ac:dyDescent="0.2">
      <c r="B5" s="188"/>
      <c r="C5" s="188"/>
      <c r="D5" s="188"/>
      <c r="E5" s="188"/>
      <c r="F5" s="188"/>
      <c r="G5" s="188"/>
      <c r="H5" s="188"/>
      <c r="I5" s="188"/>
      <c r="J5" s="188"/>
      <c r="K5" s="188"/>
    </row>
    <row r="6" spans="2:11" ht="16" customHeight="1" x14ac:dyDescent="0.2">
      <c r="B6" s="188"/>
      <c r="C6" s="188"/>
      <c r="D6" s="188"/>
      <c r="E6" s="188"/>
      <c r="F6" s="188"/>
      <c r="G6" s="188"/>
      <c r="H6" s="188"/>
      <c r="I6" s="188"/>
      <c r="J6" s="188"/>
      <c r="K6" s="188"/>
    </row>
    <row r="7" spans="2:11" ht="16" customHeight="1" x14ac:dyDescent="0.2">
      <c r="B7" s="188"/>
      <c r="C7" s="188"/>
      <c r="D7" s="188"/>
      <c r="E7" s="188"/>
      <c r="F7" s="188"/>
      <c r="G7" s="188"/>
      <c r="H7" s="188"/>
      <c r="I7" s="188"/>
      <c r="J7" s="188"/>
      <c r="K7" s="188"/>
    </row>
    <row r="8" spans="2:11" ht="16" customHeight="1" x14ac:dyDescent="0.2">
      <c r="B8" s="188"/>
      <c r="C8" s="188"/>
      <c r="D8" s="188"/>
      <c r="E8" s="188"/>
      <c r="F8" s="188"/>
      <c r="G8" s="188"/>
      <c r="H8" s="188"/>
      <c r="I8" s="188"/>
      <c r="J8" s="188"/>
      <c r="K8" s="188"/>
    </row>
    <row r="9" spans="2:11" ht="16" customHeight="1" x14ac:dyDescent="0.2">
      <c r="B9" s="188"/>
      <c r="C9" s="188"/>
      <c r="D9" s="188"/>
      <c r="E9" s="188"/>
      <c r="F9" s="188"/>
      <c r="G9" s="188"/>
      <c r="H9" s="188"/>
      <c r="I9" s="188"/>
      <c r="J9" s="188"/>
      <c r="K9" s="188"/>
    </row>
    <row r="13" spans="2:11" ht="19" x14ac:dyDescent="0.25">
      <c r="D13" s="176" t="s">
        <v>126</v>
      </c>
      <c r="E13" s="177"/>
      <c r="F13" s="178"/>
      <c r="G13" s="178"/>
      <c r="H13" s="178"/>
      <c r="I13" s="179" t="s">
        <v>73</v>
      </c>
    </row>
    <row r="14" spans="2:11" ht="19" x14ac:dyDescent="0.25">
      <c r="D14" s="180"/>
      <c r="E14" s="181"/>
      <c r="F14" s="182"/>
      <c r="G14" s="182"/>
      <c r="H14" s="182"/>
      <c r="I14" s="183"/>
    </row>
    <row r="15" spans="2:11" ht="19" x14ac:dyDescent="0.25">
      <c r="D15" s="184" t="s">
        <v>127</v>
      </c>
      <c r="E15" s="185"/>
      <c r="F15" s="186"/>
      <c r="G15" s="186"/>
      <c r="H15" s="186"/>
      <c r="I15" s="187" t="s">
        <v>74</v>
      </c>
    </row>
    <row r="41" spans="2:11" x14ac:dyDescent="0.2">
      <c r="B41" s="189" t="s">
        <v>76</v>
      </c>
      <c r="C41" s="190"/>
      <c r="D41" s="190"/>
      <c r="E41" s="190"/>
      <c r="F41" s="190"/>
      <c r="G41" s="190"/>
      <c r="H41" s="190"/>
      <c r="I41" s="190"/>
      <c r="J41" s="190"/>
      <c r="K41" s="191"/>
    </row>
    <row r="42" spans="2:11" x14ac:dyDescent="0.2">
      <c r="B42" s="192" t="s">
        <v>77</v>
      </c>
      <c r="C42" s="193"/>
      <c r="D42" s="193"/>
      <c r="E42" s="193"/>
      <c r="F42" s="193"/>
      <c r="G42" s="193"/>
      <c r="H42" s="193"/>
      <c r="I42" s="193"/>
      <c r="J42" s="193"/>
      <c r="K42" s="194"/>
    </row>
    <row r="43" spans="2:11" x14ac:dyDescent="0.2">
      <c r="B43" s="195" t="s">
        <v>78</v>
      </c>
      <c r="C43" s="196"/>
      <c r="D43" s="196"/>
      <c r="E43" s="196"/>
      <c r="F43" s="196"/>
      <c r="G43" s="196"/>
      <c r="H43" s="196"/>
      <c r="I43" s="196"/>
      <c r="J43" s="196"/>
      <c r="K43" s="197"/>
    </row>
  </sheetData>
  <sheetProtection sheet="1" objects="1" scenarios="1"/>
  <mergeCells count="4">
    <mergeCell ref="B3:K9"/>
    <mergeCell ref="B41:K41"/>
    <mergeCell ref="B42:K42"/>
    <mergeCell ref="B43:K43"/>
  </mergeCells>
  <hyperlinks>
    <hyperlink ref="I13" r:id="rId1" xr:uid="{E8A2B39B-C58A-BB43-B0B6-871E44D8DACA}"/>
    <hyperlink ref="B41" r:id="rId2" display="http://www.astronomy-morsels.ch/" xr:uid="{8756813F-2B12-604C-9D32-05533F40B7C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694E5-967A-0143-A30F-5B35FA31452F}">
  <dimension ref="A2:T143"/>
  <sheetViews>
    <sheetView showGridLines="0" workbookViewId="0">
      <selection activeCell="B5" sqref="B5"/>
    </sheetView>
  </sheetViews>
  <sheetFormatPr baseColWidth="10" defaultColWidth="10.83203125" defaultRowHeight="16" x14ac:dyDescent="0.2"/>
  <cols>
    <col min="1" max="1" width="5.83203125" style="31" customWidth="1"/>
    <col min="2" max="2" width="20.83203125" style="30" customWidth="1"/>
    <col min="3" max="3" width="17.1640625" style="30" customWidth="1"/>
    <col min="4" max="4" width="10.83203125" style="30"/>
    <col min="5" max="5" width="15.6640625" style="30" customWidth="1"/>
    <col min="6" max="7" width="15.83203125" style="30" customWidth="1"/>
    <col min="8" max="8" width="17.6640625" style="30" customWidth="1"/>
    <col min="9" max="14" width="15.6640625" style="30" customWidth="1"/>
    <col min="15" max="15" width="3.33203125" style="30" customWidth="1"/>
    <col min="16" max="16" width="3.6640625" style="30" customWidth="1"/>
    <col min="17" max="19" width="15.83203125" style="30" customWidth="1"/>
    <col min="20" max="20" width="16.33203125" style="29" customWidth="1"/>
    <col min="21" max="16384" width="10.83203125" style="29"/>
  </cols>
  <sheetData>
    <row r="2" spans="2:17" ht="19" x14ac:dyDescent="0.25">
      <c r="B2" s="174" t="s">
        <v>125</v>
      </c>
    </row>
    <row r="5" spans="2:17" x14ac:dyDescent="0.2">
      <c r="C5" s="93" t="s">
        <v>75</v>
      </c>
    </row>
    <row r="6" spans="2:17" x14ac:dyDescent="0.2">
      <c r="B6" s="92" t="s">
        <v>128</v>
      </c>
      <c r="C6" s="91">
        <f>E6/100</f>
        <v>0</v>
      </c>
      <c r="F6" s="90"/>
    </row>
    <row r="8" spans="2:17" x14ac:dyDescent="0.2">
      <c r="J8" s="51" t="s">
        <v>5</v>
      </c>
      <c r="K8" s="89" t="s">
        <v>2</v>
      </c>
      <c r="L8" s="89" t="s">
        <v>6</v>
      </c>
      <c r="M8" s="51" t="s">
        <v>7</v>
      </c>
      <c r="N8" s="50" t="s">
        <v>8</v>
      </c>
    </row>
    <row r="9" spans="2:17" x14ac:dyDescent="0.2">
      <c r="J9" s="81" t="s">
        <v>0</v>
      </c>
      <c r="K9" s="80">
        <f t="shared" ref="K9:K14" si="0">E66</f>
        <v>0</v>
      </c>
      <c r="L9" s="79" t="str">
        <f t="shared" ref="L9:L14" si="1">IF(K9&lt;90,"Q1",IF(K9&lt;180,"Q2",IF(K9&lt;270,"Q3","Q4")))</f>
        <v>Q1</v>
      </c>
      <c r="M9" s="201" t="s">
        <v>11</v>
      </c>
      <c r="N9" s="198">
        <f>MIN(MOD(K9-K10+360,180),MOD(K10-K9+360,180))</f>
        <v>0</v>
      </c>
      <c r="Q9" s="167"/>
    </row>
    <row r="10" spans="2:17" x14ac:dyDescent="0.2">
      <c r="C10" s="30">
        <v>0</v>
      </c>
      <c r="J10" s="88" t="s">
        <v>1</v>
      </c>
      <c r="K10" s="83">
        <f t="shared" si="0"/>
        <v>0</v>
      </c>
      <c r="L10" s="82" t="str">
        <f t="shared" si="1"/>
        <v>Q1</v>
      </c>
      <c r="M10" s="202"/>
      <c r="N10" s="199"/>
    </row>
    <row r="11" spans="2:17" x14ac:dyDescent="0.2">
      <c r="J11" s="87" t="s">
        <v>14</v>
      </c>
      <c r="K11" s="86">
        <f t="shared" si="0"/>
        <v>0</v>
      </c>
      <c r="L11" s="85" t="str">
        <f t="shared" si="1"/>
        <v>Q1</v>
      </c>
      <c r="M11" s="203" t="s">
        <v>15</v>
      </c>
      <c r="N11" s="200">
        <f>MIN(MOD(K10-K11+360,180),MOD(K11-K10+360,180))</f>
        <v>0</v>
      </c>
    </row>
    <row r="12" spans="2:17" x14ac:dyDescent="0.2">
      <c r="J12" s="84" t="s">
        <v>16</v>
      </c>
      <c r="K12" s="83">
        <f t="shared" si="0"/>
        <v>180</v>
      </c>
      <c r="L12" s="82" t="str">
        <f t="shared" si="1"/>
        <v>Q3</v>
      </c>
      <c r="M12" s="204"/>
      <c r="N12" s="199"/>
    </row>
    <row r="13" spans="2:17" x14ac:dyDescent="0.2">
      <c r="J13" s="81" t="s">
        <v>22</v>
      </c>
      <c r="K13" s="80">
        <f t="shared" si="0"/>
        <v>0</v>
      </c>
      <c r="L13" s="79" t="str">
        <f t="shared" si="1"/>
        <v>Q1</v>
      </c>
      <c r="M13" s="203" t="s">
        <v>123</v>
      </c>
      <c r="N13" s="198">
        <f>MIN(MOD(K10-K13+360,180),MOD(K13-K10+360,180))</f>
        <v>0</v>
      </c>
    </row>
    <row r="14" spans="2:17" x14ac:dyDescent="0.2">
      <c r="J14" s="78" t="s">
        <v>23</v>
      </c>
      <c r="K14" s="77">
        <f t="shared" si="0"/>
        <v>180</v>
      </c>
      <c r="L14" s="76" t="str">
        <f t="shared" si="1"/>
        <v>Q3</v>
      </c>
      <c r="M14" s="205"/>
      <c r="N14" s="211"/>
    </row>
    <row r="16" spans="2:17" x14ac:dyDescent="0.2">
      <c r="M16" s="220">
        <v>1</v>
      </c>
      <c r="N16" s="221"/>
      <c r="O16" s="1" t="s">
        <v>97</v>
      </c>
    </row>
    <row r="17" spans="1:20" x14ac:dyDescent="0.2">
      <c r="M17" s="222" t="s">
        <v>24</v>
      </c>
      <c r="N17" s="223"/>
    </row>
    <row r="18" spans="1:20" x14ac:dyDescent="0.2">
      <c r="M18" s="75" t="s">
        <v>25</v>
      </c>
      <c r="N18" s="74" t="s">
        <v>26</v>
      </c>
    </row>
    <row r="19" spans="1:20" x14ac:dyDescent="0.2">
      <c r="J19" s="213" t="s">
        <v>27</v>
      </c>
      <c r="K19" s="213"/>
      <c r="L19" s="214"/>
      <c r="M19" s="73" t="str">
        <f>IF(N9&lt;M16,IF(POWER(C79,2)+POWER(D79,2)&lt;POWER(C83,2)+POWER(D83,2),"N","Y"),"N")</f>
        <v>Y</v>
      </c>
      <c r="N19" s="72" t="str">
        <f>IF(N9&lt;M16,IF(POWER(C79,2)+POWER(D79,2)&lt;POWER(C83,2)+POWER(D83,2),"Y","N"),"N")</f>
        <v>N</v>
      </c>
      <c r="P19" s="217" t="s">
        <v>28</v>
      </c>
    </row>
    <row r="20" spans="1:20" s="32" customFormat="1" x14ac:dyDescent="0.2">
      <c r="A20" s="30"/>
      <c r="B20" s="30"/>
      <c r="C20" s="30"/>
      <c r="D20" s="30"/>
      <c r="E20" s="30"/>
      <c r="F20" s="30"/>
      <c r="G20" s="30"/>
      <c r="H20" s="30"/>
      <c r="I20" s="30"/>
      <c r="J20" s="71">
        <f>15+(23/60)</f>
        <v>15.383333333333333</v>
      </c>
      <c r="K20" s="70" t="s">
        <v>29</v>
      </c>
      <c r="L20" s="69" t="str">
        <f>IF(N11&lt;J20,"Y","N")</f>
        <v>Y</v>
      </c>
      <c r="M20" s="61" t="str">
        <f>IF(AND(L20="Y",M19="Y"),"Solar eclipse","-")</f>
        <v>Solar eclipse</v>
      </c>
      <c r="N20" s="62" t="s">
        <v>17</v>
      </c>
      <c r="O20" s="226" t="str">
        <f>IF(AND(N19="Y",N24="Y"),"Y","N")</f>
        <v>N</v>
      </c>
      <c r="P20" s="218"/>
      <c r="Q20" s="30"/>
      <c r="R20" s="30"/>
      <c r="S20" s="30"/>
      <c r="T20" s="29"/>
    </row>
    <row r="21" spans="1:20" s="32" customFormat="1" ht="16" customHeight="1" x14ac:dyDescent="0.2">
      <c r="A21" s="30"/>
      <c r="B21" s="30"/>
      <c r="C21" s="30"/>
      <c r="D21" s="30"/>
      <c r="E21" s="30"/>
      <c r="F21" s="30"/>
      <c r="G21" s="30"/>
      <c r="H21" s="30"/>
      <c r="I21" s="30"/>
      <c r="J21" s="68">
        <f>18 +(35/60)</f>
        <v>18.583333333333332</v>
      </c>
      <c r="K21" s="67" t="s">
        <v>30</v>
      </c>
      <c r="L21" s="66" t="str">
        <f>IF(N11&lt;J21,"Y","N")</f>
        <v>Y</v>
      </c>
      <c r="M21" s="56" t="str">
        <f>IF(AND(M20="-",L21="Y",M19="Y"),"Solar eclipse?","-")</f>
        <v>-</v>
      </c>
      <c r="N21" s="57" t="s">
        <v>17</v>
      </c>
      <c r="O21" s="227"/>
      <c r="P21" s="218"/>
      <c r="Q21" s="30"/>
      <c r="R21" s="30"/>
      <c r="S21" s="30"/>
      <c r="T21" s="29"/>
    </row>
    <row r="22" spans="1:20" s="32" customFormat="1" x14ac:dyDescent="0.2">
      <c r="A22" s="30"/>
      <c r="B22" s="30"/>
      <c r="C22" s="30"/>
      <c r="D22" s="30"/>
      <c r="E22" s="30"/>
      <c r="F22" s="30"/>
      <c r="G22" s="30"/>
      <c r="H22" s="30"/>
      <c r="I22" s="30"/>
      <c r="J22" s="65">
        <f>9 + (30/60)</f>
        <v>9.5</v>
      </c>
      <c r="K22" s="64" t="s">
        <v>29</v>
      </c>
      <c r="L22" s="63" t="str">
        <f>IF(N11&lt;J22,"Y","N")</f>
        <v>Y</v>
      </c>
      <c r="M22" s="62" t="s">
        <v>17</v>
      </c>
      <c r="N22" s="61" t="str">
        <f>IF(AND(L22="Y",N19="Y"),"Lunar eclipse","-")</f>
        <v>-</v>
      </c>
      <c r="O22" s="227"/>
      <c r="P22" s="218"/>
      <c r="Q22" s="30"/>
      <c r="R22" s="30"/>
      <c r="S22" s="30"/>
      <c r="T22" s="29"/>
    </row>
    <row r="23" spans="1:20" s="32" customFormat="1" x14ac:dyDescent="0.2">
      <c r="A23" s="30"/>
      <c r="B23" s="30"/>
      <c r="C23" s="30"/>
      <c r="D23" s="30"/>
      <c r="E23" s="30"/>
      <c r="F23" s="30"/>
      <c r="G23" s="30"/>
      <c r="H23" s="30"/>
      <c r="I23" s="30"/>
      <c r="J23" s="60">
        <f>12 +(15/60)</f>
        <v>12.25</v>
      </c>
      <c r="K23" s="59" t="s">
        <v>30</v>
      </c>
      <c r="L23" s="58" t="str">
        <f>IF(N11&lt;J23,"Y","N")</f>
        <v>Y</v>
      </c>
      <c r="M23" s="57" t="s">
        <v>17</v>
      </c>
      <c r="N23" s="56" t="str">
        <f>IF(AND(N22="-",L23="Y",N19="Y"),"Lunar eclipse?","-")</f>
        <v>-</v>
      </c>
      <c r="O23" s="228"/>
      <c r="P23" s="218"/>
      <c r="Q23" s="30"/>
      <c r="R23" s="30"/>
      <c r="S23" s="30"/>
      <c r="T23" s="29"/>
    </row>
    <row r="24" spans="1:20" s="32" customFormat="1" x14ac:dyDescent="0.2">
      <c r="A24" s="30"/>
      <c r="B24" s="30"/>
      <c r="C24" s="30"/>
      <c r="D24" s="30"/>
      <c r="E24" s="30"/>
      <c r="F24" s="30"/>
      <c r="G24" s="30"/>
      <c r="H24" s="30"/>
      <c r="I24" s="30"/>
      <c r="J24" s="215" t="s">
        <v>31</v>
      </c>
      <c r="K24" s="215"/>
      <c r="L24" s="216"/>
      <c r="M24" s="55" t="str">
        <f>IF(N13&lt;M27,IF(POWER(C79,2)+POWER(D79,2)&lt;POWER(C92,2)+POWER(D92,2),"N","Y"),"N")</f>
        <v>N</v>
      </c>
      <c r="N24" s="54" t="str">
        <f>IF(N13&lt;M27,IF(POWER(C79,2)+POWER(D79,2)&lt;POWER(C92,2)+POWER(D92,2),"Y","N"),"N")</f>
        <v>Y</v>
      </c>
      <c r="O24" s="30"/>
      <c r="P24" s="219"/>
      <c r="Q24" s="30"/>
      <c r="R24" s="30"/>
      <c r="S24" s="30"/>
      <c r="T24" s="29"/>
    </row>
    <row r="25" spans="1:20" s="32" customFormat="1" x14ac:dyDescent="0.2">
      <c r="A25" s="30"/>
      <c r="B25" s="30"/>
      <c r="C25" s="30"/>
      <c r="D25" s="30"/>
      <c r="E25" s="30"/>
      <c r="F25" s="30"/>
      <c r="G25" s="30"/>
      <c r="H25" s="30"/>
      <c r="I25" s="30"/>
      <c r="J25" s="30"/>
      <c r="K25" s="30"/>
      <c r="L25" s="30"/>
      <c r="M25" s="53" t="s">
        <v>32</v>
      </c>
      <c r="N25" s="52" t="s">
        <v>33</v>
      </c>
      <c r="O25" s="30"/>
      <c r="P25" s="30"/>
      <c r="Q25" s="30"/>
      <c r="R25" s="30"/>
      <c r="S25" s="30"/>
      <c r="T25" s="29"/>
    </row>
    <row r="26" spans="1:20" s="32" customFormat="1" x14ac:dyDescent="0.2">
      <c r="A26" s="30"/>
      <c r="B26" s="30"/>
      <c r="C26" s="30"/>
      <c r="D26" s="30"/>
      <c r="E26" s="30"/>
      <c r="F26" s="30"/>
      <c r="G26" s="30"/>
      <c r="H26" s="30"/>
      <c r="I26" s="30"/>
      <c r="J26" s="30"/>
      <c r="K26" s="30"/>
      <c r="L26" s="30"/>
      <c r="M26" s="224" t="s">
        <v>34</v>
      </c>
      <c r="N26" s="225"/>
      <c r="O26" s="30"/>
      <c r="P26" s="30"/>
      <c r="Q26" s="30"/>
      <c r="R26" s="30"/>
      <c r="S26" s="30"/>
      <c r="T26" s="29"/>
    </row>
    <row r="27" spans="1:20" s="32" customFormat="1" x14ac:dyDescent="0.2">
      <c r="A27" s="30"/>
      <c r="B27" s="30"/>
      <c r="C27" s="30"/>
      <c r="D27" s="30"/>
      <c r="E27" s="30"/>
      <c r="F27" s="30"/>
      <c r="G27" s="30"/>
      <c r="H27" s="30"/>
      <c r="I27" s="30"/>
      <c r="J27" s="30"/>
      <c r="K27" s="30"/>
      <c r="L27" s="30"/>
      <c r="M27" s="220">
        <v>5</v>
      </c>
      <c r="N27" s="221"/>
      <c r="O27" s="1" t="s">
        <v>98</v>
      </c>
      <c r="P27" s="30"/>
      <c r="Q27" s="30"/>
      <c r="R27" s="30"/>
      <c r="S27" s="30"/>
      <c r="T27" s="29"/>
    </row>
    <row r="31" spans="1:20" x14ac:dyDescent="0.2">
      <c r="J31" s="209" t="s">
        <v>122</v>
      </c>
      <c r="K31" s="210"/>
      <c r="M31" s="209" t="s">
        <v>121</v>
      </c>
      <c r="N31" s="210"/>
    </row>
    <row r="32" spans="1:20" x14ac:dyDescent="0.2">
      <c r="J32" s="48" t="s">
        <v>120</v>
      </c>
      <c r="K32" s="2">
        <v>1</v>
      </c>
      <c r="M32" s="48" t="s">
        <v>119</v>
      </c>
      <c r="N32" s="2">
        <v>1</v>
      </c>
    </row>
    <row r="33" spans="10:14" x14ac:dyDescent="0.2">
      <c r="J33" s="49" t="s">
        <v>115</v>
      </c>
      <c r="K33" s="166">
        <v>30</v>
      </c>
      <c r="M33" s="49" t="s">
        <v>116</v>
      </c>
      <c r="N33" s="166">
        <v>150</v>
      </c>
    </row>
    <row r="34" spans="10:14" x14ac:dyDescent="0.2">
      <c r="J34" s="48" t="s">
        <v>35</v>
      </c>
      <c r="K34" s="2">
        <v>0</v>
      </c>
      <c r="L34" s="42" t="s">
        <v>36</v>
      </c>
      <c r="M34" s="48" t="s">
        <v>35</v>
      </c>
      <c r="N34" s="2">
        <v>0</v>
      </c>
    </row>
    <row r="35" spans="10:14" x14ac:dyDescent="0.2">
      <c r="J35" s="47" t="s">
        <v>37</v>
      </c>
      <c r="K35" s="2">
        <f>-N45*0.866025</f>
        <v>-1.7320500000000001</v>
      </c>
      <c r="M35" s="47" t="s">
        <v>37</v>
      </c>
      <c r="N35" s="2">
        <f>N45*0.866025</f>
        <v>1.7320500000000001</v>
      </c>
    </row>
    <row r="36" spans="10:14" x14ac:dyDescent="0.2">
      <c r="J36" s="48" t="s">
        <v>38</v>
      </c>
      <c r="K36" s="2">
        <f>-N45/2</f>
        <v>-1</v>
      </c>
      <c r="M36" s="48" t="s">
        <v>38</v>
      </c>
      <c r="N36" s="2">
        <f>-N45/2</f>
        <v>-1</v>
      </c>
    </row>
    <row r="37" spans="10:14" x14ac:dyDescent="0.2">
      <c r="J37" s="47" t="s">
        <v>39</v>
      </c>
      <c r="K37" s="3">
        <v>365.24219099999999</v>
      </c>
      <c r="L37" s="42" t="s">
        <v>40</v>
      </c>
      <c r="M37" s="47" t="s">
        <v>41</v>
      </c>
      <c r="N37" s="3">
        <v>27.321661553999999</v>
      </c>
    </row>
    <row r="38" spans="10:14" x14ac:dyDescent="0.2">
      <c r="J38" s="46" t="s">
        <v>42</v>
      </c>
      <c r="K38" s="45">
        <f>1/K37</f>
        <v>2.737909323296114E-3</v>
      </c>
      <c r="M38" s="46" t="s">
        <v>43</v>
      </c>
      <c r="N38" s="45">
        <f>1/N37</f>
        <v>3.6600995075777007E-2</v>
      </c>
    </row>
    <row r="40" spans="10:14" x14ac:dyDescent="0.2">
      <c r="J40" s="51" t="s">
        <v>44</v>
      </c>
      <c r="K40" s="50"/>
      <c r="M40" s="209" t="s">
        <v>118</v>
      </c>
      <c r="N40" s="210"/>
    </row>
    <row r="41" spans="10:14" x14ac:dyDescent="0.2">
      <c r="J41" s="48" t="s">
        <v>45</v>
      </c>
      <c r="K41" s="2">
        <v>1.5</v>
      </c>
      <c r="M41" s="48" t="s">
        <v>117</v>
      </c>
      <c r="N41" s="2">
        <v>1</v>
      </c>
    </row>
    <row r="42" spans="10:14" x14ac:dyDescent="0.2">
      <c r="J42" s="49" t="s">
        <v>116</v>
      </c>
      <c r="K42" s="166">
        <v>0</v>
      </c>
      <c r="M42" s="49" t="s">
        <v>115</v>
      </c>
      <c r="N42" s="166">
        <v>90</v>
      </c>
    </row>
    <row r="43" spans="10:14" x14ac:dyDescent="0.2">
      <c r="J43" s="48" t="s">
        <v>35</v>
      </c>
      <c r="K43" s="2">
        <v>0</v>
      </c>
      <c r="M43" s="48" t="s">
        <v>35</v>
      </c>
      <c r="N43" s="2">
        <v>0</v>
      </c>
    </row>
    <row r="44" spans="10:14" x14ac:dyDescent="0.2">
      <c r="J44" s="47" t="s">
        <v>37</v>
      </c>
      <c r="K44" s="2">
        <v>0</v>
      </c>
      <c r="M44" s="47" t="s">
        <v>37</v>
      </c>
      <c r="N44" s="2">
        <v>0</v>
      </c>
    </row>
    <row r="45" spans="10:14" x14ac:dyDescent="0.2">
      <c r="J45" s="48" t="s">
        <v>38</v>
      </c>
      <c r="K45" s="2">
        <v>0</v>
      </c>
      <c r="M45" s="48" t="s">
        <v>38</v>
      </c>
      <c r="N45" s="2">
        <v>2</v>
      </c>
    </row>
    <row r="46" spans="10:14" x14ac:dyDescent="0.2">
      <c r="J46" s="47" t="s">
        <v>46</v>
      </c>
      <c r="K46" s="3">
        <v>25.325379999999999</v>
      </c>
      <c r="M46" s="47" t="s">
        <v>46</v>
      </c>
      <c r="N46" s="3">
        <v>25.621600000000001</v>
      </c>
    </row>
    <row r="47" spans="10:14" x14ac:dyDescent="0.2">
      <c r="J47" s="46" t="s">
        <v>47</v>
      </c>
      <c r="K47" s="45">
        <f>1/K46</f>
        <v>3.9486080761670705E-2</v>
      </c>
      <c r="M47" s="46" t="s">
        <v>47</v>
      </c>
      <c r="N47" s="45">
        <f>1/N46</f>
        <v>3.9029568801323883E-2</v>
      </c>
    </row>
    <row r="53" spans="1:20" x14ac:dyDescent="0.2">
      <c r="H53" s="212"/>
      <c r="I53" s="212"/>
    </row>
    <row r="54" spans="1:20" x14ac:dyDescent="0.2">
      <c r="H54" s="212"/>
      <c r="I54" s="212"/>
    </row>
    <row r="56" spans="1:20" x14ac:dyDescent="0.2">
      <c r="C56" s="44" t="s">
        <v>48</v>
      </c>
      <c r="D56" s="43">
        <f>N38-K38</f>
        <v>3.3863085752480891E-2</v>
      </c>
      <c r="F56" s="44" t="s">
        <v>49</v>
      </c>
      <c r="G56" s="43">
        <f>K47-K38</f>
        <v>3.674817143837459E-2</v>
      </c>
      <c r="I56" s="44" t="s">
        <v>50</v>
      </c>
      <c r="J56" s="43">
        <f>N47-K38</f>
        <v>3.6291659478027767E-2</v>
      </c>
      <c r="L56" s="44" t="s">
        <v>51</v>
      </c>
      <c r="M56" s="43">
        <f>K47-N38</f>
        <v>2.8850856858936985E-3</v>
      </c>
    </row>
    <row r="57" spans="1:20" s="32" customFormat="1" x14ac:dyDescent="0.2">
      <c r="A57" s="30"/>
      <c r="B57" s="42" t="s">
        <v>52</v>
      </c>
      <c r="C57" s="41" t="s">
        <v>53</v>
      </c>
      <c r="D57" s="40">
        <f>1/D56</f>
        <v>29.530681501071932</v>
      </c>
      <c r="E57" s="42" t="s">
        <v>54</v>
      </c>
      <c r="F57" s="41" t="s">
        <v>55</v>
      </c>
      <c r="G57" s="40">
        <f>1/G56</f>
        <v>27.212238347068926</v>
      </c>
      <c r="H57" s="42" t="s">
        <v>56</v>
      </c>
      <c r="I57" s="41" t="s">
        <v>57</v>
      </c>
      <c r="J57" s="40">
        <f>1/J56</f>
        <v>27.554540475214004</v>
      </c>
      <c r="K57" s="42" t="s">
        <v>58</v>
      </c>
      <c r="L57" s="41" t="s">
        <v>59</v>
      </c>
      <c r="M57" s="40">
        <f>1/M56</f>
        <v>346.61015611750713</v>
      </c>
      <c r="N57" s="30"/>
      <c r="O57" s="30"/>
      <c r="P57" s="30"/>
      <c r="Q57" s="30"/>
      <c r="R57" s="30"/>
      <c r="S57" s="30"/>
      <c r="T57" s="29"/>
    </row>
    <row r="58" spans="1:20" s="32" customFormat="1" x14ac:dyDescent="0.2">
      <c r="A58" s="30"/>
      <c r="B58" s="30"/>
      <c r="C58" s="39" t="s">
        <v>60</v>
      </c>
      <c r="D58" s="38">
        <f>D57/2</f>
        <v>14.765340750535966</v>
      </c>
      <c r="E58" s="30"/>
      <c r="F58" s="39" t="s">
        <v>61</v>
      </c>
      <c r="G58" s="38">
        <f>G57/2</f>
        <v>13.606119173534463</v>
      </c>
      <c r="H58" s="30"/>
      <c r="I58" s="39" t="s">
        <v>62</v>
      </c>
      <c r="J58" s="38">
        <f>J57/2</f>
        <v>13.777270237607002</v>
      </c>
      <c r="K58" s="30"/>
      <c r="L58" s="39" t="s">
        <v>63</v>
      </c>
      <c r="M58" s="38">
        <f>M57/2</f>
        <v>173.30507805875357</v>
      </c>
      <c r="N58" s="30"/>
      <c r="O58" s="30"/>
      <c r="P58" s="30"/>
      <c r="Q58" s="30"/>
      <c r="R58" s="30"/>
      <c r="S58" s="30"/>
      <c r="T58" s="29"/>
    </row>
    <row r="60" spans="1:20" s="35" customFormat="1" x14ac:dyDescent="0.2">
      <c r="A60" s="37"/>
      <c r="B60" s="36"/>
      <c r="C60" s="36"/>
      <c r="D60" s="36"/>
      <c r="E60" s="36"/>
      <c r="F60" s="36"/>
      <c r="G60" s="36"/>
      <c r="H60" s="36"/>
      <c r="I60" s="36"/>
      <c r="J60" s="36"/>
      <c r="K60" s="36"/>
      <c r="L60" s="36"/>
      <c r="M60" s="36"/>
      <c r="N60" s="36"/>
      <c r="O60" s="36"/>
      <c r="P60" s="36"/>
      <c r="Q60" s="36"/>
      <c r="R60" s="36"/>
      <c r="S60" s="36"/>
    </row>
    <row r="62" spans="1:20" ht="16" customHeight="1" x14ac:dyDescent="0.2">
      <c r="B62" s="34" t="s">
        <v>64</v>
      </c>
    </row>
    <row r="63" spans="1:20" ht="16" customHeight="1" x14ac:dyDescent="0.2"/>
    <row r="64" spans="1:20" ht="16" customHeight="1" x14ac:dyDescent="0.2">
      <c r="B64" s="94"/>
      <c r="C64" s="206" t="s">
        <v>65</v>
      </c>
      <c r="D64" s="207"/>
      <c r="E64" s="207"/>
      <c r="F64" s="208"/>
      <c r="H64" s="147"/>
      <c r="I64" s="94"/>
      <c r="J64" s="161" t="s">
        <v>114</v>
      </c>
      <c r="K64" s="162"/>
      <c r="L64" s="161" t="s">
        <v>113</v>
      </c>
      <c r="M64" s="94"/>
      <c r="N64" s="161" t="s">
        <v>112</v>
      </c>
      <c r="P64" s="33"/>
    </row>
    <row r="65" spans="1:20" ht="16" customHeight="1" x14ac:dyDescent="0.2">
      <c r="B65" s="95" t="s">
        <v>66</v>
      </c>
      <c r="C65" s="96" t="s">
        <v>17</v>
      </c>
      <c r="D65" s="97" t="s">
        <v>67</v>
      </c>
      <c r="E65" s="97" t="s">
        <v>68</v>
      </c>
      <c r="F65" s="98" t="s">
        <v>69</v>
      </c>
      <c r="H65" s="144" t="s">
        <v>68</v>
      </c>
      <c r="I65" s="96" t="s">
        <v>17</v>
      </c>
      <c r="J65" s="98" t="s">
        <v>67</v>
      </c>
      <c r="K65" s="96" t="s">
        <v>17</v>
      </c>
      <c r="L65" s="98" t="s">
        <v>67</v>
      </c>
      <c r="M65" s="96" t="s">
        <v>17</v>
      </c>
      <c r="N65" s="98" t="s">
        <v>67</v>
      </c>
    </row>
    <row r="66" spans="1:20" ht="16" customHeight="1" x14ac:dyDescent="0.2">
      <c r="B66" s="99" t="s">
        <v>0</v>
      </c>
      <c r="C66" s="100">
        <f>K35+K32*COS(2*PI()*(C6+K34)/K37)</f>
        <v>-0.73205000000000009</v>
      </c>
      <c r="D66" s="101">
        <f>K36+K32*SIN(2*PI()*(C6+K34)/K37)</f>
        <v>-1</v>
      </c>
      <c r="E66" s="102">
        <f>360*MOD(C6+K34,K37)/K37</f>
        <v>0</v>
      </c>
      <c r="F66" s="103">
        <f>(E66/360)*K37</f>
        <v>0</v>
      </c>
      <c r="H66" s="147">
        <v>0</v>
      </c>
      <c r="I66" s="163">
        <f t="shared" ref="I66:I97" si="2">$K$35+$K$32*COS(RADIANS(H66))</f>
        <v>-0.73205000000000009</v>
      </c>
      <c r="J66" s="149">
        <f t="shared" ref="J66:J97" si="3">$K$36+$K$32*SIN(RADIANS(H66))</f>
        <v>-1</v>
      </c>
      <c r="K66" s="156">
        <f t="shared" ref="K66:K97" si="4">$N$35+$N$32*COS(RADIANS(H66))</f>
        <v>2.7320500000000001</v>
      </c>
      <c r="L66" s="157">
        <f t="shared" ref="L66:L97" si="5">$N$36+$N$32*SIN(RADIANS(H66))</f>
        <v>-1</v>
      </c>
      <c r="M66" s="156">
        <f t="shared" ref="M66:M97" si="6">$N$44+$N$41*COS(RADIANS(H66))</f>
        <v>1</v>
      </c>
      <c r="N66" s="157">
        <f t="shared" ref="N66:N97" si="7">$N$45+$N$41*SIN(RADIANS(H66))</f>
        <v>2</v>
      </c>
    </row>
    <row r="67" spans="1:20" ht="16" customHeight="1" x14ac:dyDescent="0.2">
      <c r="B67" s="104" t="s">
        <v>1</v>
      </c>
      <c r="C67" s="105">
        <f>N35+N32*COS(2*PI()*(C6+N34)/N37)</f>
        <v>2.7320500000000001</v>
      </c>
      <c r="D67" s="106">
        <f>N36+N32*SIN(2*PI()*(C6+N34)/N37)</f>
        <v>-1</v>
      </c>
      <c r="E67" s="107">
        <f>360*MOD(C6+N34,N37)/N37</f>
        <v>0</v>
      </c>
      <c r="F67" s="108">
        <f>(E67/360)*N37</f>
        <v>0</v>
      </c>
      <c r="H67" s="155">
        <f t="shared" ref="H67:H98" si="8">H66+5</f>
        <v>5</v>
      </c>
      <c r="I67" s="164">
        <f t="shared" si="2"/>
        <v>-0.73585530190825454</v>
      </c>
      <c r="J67" s="157">
        <f t="shared" si="3"/>
        <v>-0.91284425725234186</v>
      </c>
      <c r="K67" s="156">
        <f t="shared" si="4"/>
        <v>2.7282446980917454</v>
      </c>
      <c r="L67" s="157">
        <f t="shared" si="5"/>
        <v>-0.91284425725234186</v>
      </c>
      <c r="M67" s="156">
        <f t="shared" si="6"/>
        <v>0.99619469809174555</v>
      </c>
      <c r="N67" s="157">
        <f t="shared" si="7"/>
        <v>2.0871557427476581</v>
      </c>
    </row>
    <row r="68" spans="1:20" ht="16" customHeight="1" x14ac:dyDescent="0.2">
      <c r="B68" s="109" t="s">
        <v>70</v>
      </c>
      <c r="C68" s="110">
        <f>K44+$K$41*COS(2*PI()*(C6+K43)/K46)</f>
        <v>1.5</v>
      </c>
      <c r="D68" s="111">
        <f>K45+$K$41*SIN(2*PI()*(C6+K43)/K46)</f>
        <v>0</v>
      </c>
      <c r="E68" s="112">
        <f>360*MOD(C6+K43,K46)/K46</f>
        <v>0</v>
      </c>
      <c r="F68" s="113">
        <f>(E68/360)*K46</f>
        <v>0</v>
      </c>
      <c r="H68" s="155">
        <f t="shared" si="8"/>
        <v>10</v>
      </c>
      <c r="I68" s="164">
        <f t="shared" si="2"/>
        <v>-0.74724224698779207</v>
      </c>
      <c r="J68" s="157">
        <f t="shared" si="3"/>
        <v>-0.8263518223330697</v>
      </c>
      <c r="K68" s="156">
        <f t="shared" si="4"/>
        <v>2.7168577530122082</v>
      </c>
      <c r="L68" s="157">
        <f t="shared" si="5"/>
        <v>-0.8263518223330697</v>
      </c>
      <c r="M68" s="156">
        <f t="shared" si="6"/>
        <v>0.98480775301220802</v>
      </c>
      <c r="N68" s="157">
        <f t="shared" si="7"/>
        <v>2.1736481776669305</v>
      </c>
    </row>
    <row r="69" spans="1:20" ht="16" customHeight="1" x14ac:dyDescent="0.2">
      <c r="B69" s="114" t="s">
        <v>71</v>
      </c>
      <c r="C69" s="115"/>
      <c r="D69" s="116"/>
      <c r="E69" s="117">
        <f>360*MOD(C6+K43+K46/2,K46)/K46</f>
        <v>180</v>
      </c>
      <c r="F69" s="118">
        <f>(E69/360)*K46</f>
        <v>12.66269</v>
      </c>
      <c r="H69" s="155">
        <f t="shared" si="8"/>
        <v>15</v>
      </c>
      <c r="I69" s="164">
        <f t="shared" si="2"/>
        <v>-0.76612417371093178</v>
      </c>
      <c r="J69" s="157">
        <f t="shared" si="3"/>
        <v>-0.74118095489747926</v>
      </c>
      <c r="K69" s="156">
        <f t="shared" si="4"/>
        <v>2.6979758262890683</v>
      </c>
      <c r="L69" s="157">
        <f t="shared" si="5"/>
        <v>-0.74118095489747926</v>
      </c>
      <c r="M69" s="156">
        <f t="shared" si="6"/>
        <v>0.96592582628906831</v>
      </c>
      <c r="N69" s="157">
        <f t="shared" si="7"/>
        <v>2.2588190451025207</v>
      </c>
    </row>
    <row r="70" spans="1:20" ht="16" customHeight="1" x14ac:dyDescent="0.2">
      <c r="B70" s="95" t="s">
        <v>22</v>
      </c>
      <c r="C70" s="110">
        <f>N44+N41*COS(2*PI()*(C6+N43)/N46)</f>
        <v>1</v>
      </c>
      <c r="D70" s="111">
        <f>N45+N41*SIN(2*PI()*(C6+N43)/N46)</f>
        <v>2</v>
      </c>
      <c r="E70" s="112">
        <f>360*MOD(C6+N43,N46)/N46</f>
        <v>0</v>
      </c>
      <c r="F70" s="113">
        <f>(E70/360)*N46</f>
        <v>0</v>
      </c>
      <c r="H70" s="155">
        <f t="shared" si="8"/>
        <v>20</v>
      </c>
      <c r="I70" s="164">
        <f t="shared" si="2"/>
        <v>-0.79235737921409166</v>
      </c>
      <c r="J70" s="157">
        <f t="shared" si="3"/>
        <v>-0.65797985667433134</v>
      </c>
      <c r="K70" s="156">
        <f t="shared" si="4"/>
        <v>2.6717426207859085</v>
      </c>
      <c r="L70" s="157">
        <f t="shared" si="5"/>
        <v>-0.65797985667433134</v>
      </c>
      <c r="M70" s="156">
        <f t="shared" si="6"/>
        <v>0.93969262078590843</v>
      </c>
      <c r="N70" s="157">
        <f t="shared" si="7"/>
        <v>2.3420201433256689</v>
      </c>
    </row>
    <row r="71" spans="1:20" s="32" customFormat="1" ht="16" customHeight="1" x14ac:dyDescent="0.2">
      <c r="A71" s="30"/>
      <c r="B71" s="96" t="s">
        <v>23</v>
      </c>
      <c r="C71" s="119"/>
      <c r="D71" s="120"/>
      <c r="E71" s="121">
        <f>360*MOD(C6+N43+N46/2,N46)/N46</f>
        <v>180</v>
      </c>
      <c r="F71" s="122">
        <f>(E71/360)*N46</f>
        <v>12.8108</v>
      </c>
      <c r="G71" s="30"/>
      <c r="H71" s="155">
        <f t="shared" si="8"/>
        <v>25</v>
      </c>
      <c r="I71" s="164">
        <f t="shared" si="2"/>
        <v>-0.82574221296335015</v>
      </c>
      <c r="J71" s="157">
        <f t="shared" si="3"/>
        <v>-0.5773817382593005</v>
      </c>
      <c r="K71" s="156">
        <f t="shared" si="4"/>
        <v>2.6383577870366501</v>
      </c>
      <c r="L71" s="157">
        <f t="shared" si="5"/>
        <v>-0.5773817382593005</v>
      </c>
      <c r="M71" s="156">
        <f t="shared" si="6"/>
        <v>0.90630778703664994</v>
      </c>
      <c r="N71" s="157">
        <f t="shared" si="7"/>
        <v>2.4226182617406993</v>
      </c>
      <c r="O71" s="30"/>
      <c r="P71" s="30"/>
      <c r="Q71" s="30"/>
      <c r="R71" s="30"/>
      <c r="S71" s="30"/>
      <c r="T71" s="29"/>
    </row>
    <row r="72" spans="1:20" s="32" customFormat="1" ht="16" customHeight="1" x14ac:dyDescent="0.2">
      <c r="A72" s="30"/>
      <c r="B72" s="30"/>
      <c r="C72" s="30"/>
      <c r="D72" s="30"/>
      <c r="E72" s="30"/>
      <c r="F72" s="30"/>
      <c r="G72" s="30"/>
      <c r="H72" s="155">
        <f t="shared" si="8"/>
        <v>30</v>
      </c>
      <c r="I72" s="164">
        <f t="shared" si="2"/>
        <v>-0.86602459621556138</v>
      </c>
      <c r="J72" s="157">
        <f t="shared" si="3"/>
        <v>-0.5</v>
      </c>
      <c r="K72" s="156">
        <f t="shared" si="4"/>
        <v>2.5980754037844389</v>
      </c>
      <c r="L72" s="157">
        <f t="shared" si="5"/>
        <v>-0.5</v>
      </c>
      <c r="M72" s="156">
        <f t="shared" si="6"/>
        <v>0.86602540378443871</v>
      </c>
      <c r="N72" s="157">
        <f t="shared" si="7"/>
        <v>2.5</v>
      </c>
      <c r="O72" s="30"/>
      <c r="P72" s="30"/>
      <c r="Q72" s="30"/>
      <c r="R72" s="30"/>
      <c r="S72" s="30"/>
      <c r="T72" s="29"/>
    </row>
    <row r="73" spans="1:20" s="32" customFormat="1" ht="16" customHeight="1" x14ac:dyDescent="0.2">
      <c r="A73" s="30"/>
      <c r="B73" s="94" t="s">
        <v>111</v>
      </c>
      <c r="C73" s="94"/>
      <c r="D73" s="123"/>
      <c r="E73" s="123"/>
      <c r="F73" s="124">
        <f>C6/D57</f>
        <v>0</v>
      </c>
      <c r="G73" s="30"/>
      <c r="H73" s="155">
        <f t="shared" si="8"/>
        <v>35</v>
      </c>
      <c r="I73" s="164">
        <f t="shared" si="2"/>
        <v>-0.91289795571100829</v>
      </c>
      <c r="J73" s="157">
        <f t="shared" si="3"/>
        <v>-0.42642356364895395</v>
      </c>
      <c r="K73" s="156">
        <f t="shared" si="4"/>
        <v>2.551202044288992</v>
      </c>
      <c r="L73" s="157">
        <f t="shared" si="5"/>
        <v>-0.42642356364895395</v>
      </c>
      <c r="M73" s="156">
        <f t="shared" si="6"/>
        <v>0.8191520442889918</v>
      </c>
      <c r="N73" s="157">
        <f t="shared" si="7"/>
        <v>2.573576436351046</v>
      </c>
      <c r="O73" s="30"/>
      <c r="P73" s="30"/>
      <c r="Q73" s="30"/>
      <c r="R73" s="30"/>
      <c r="S73" s="30"/>
      <c r="T73" s="29"/>
    </row>
    <row r="74" spans="1:20" s="32" customFormat="1" ht="16" customHeight="1" x14ac:dyDescent="0.2">
      <c r="A74" s="30"/>
      <c r="B74" s="125" t="s">
        <v>110</v>
      </c>
      <c r="C74" s="126"/>
      <c r="D74" s="127"/>
      <c r="E74" s="127"/>
      <c r="F74" s="128">
        <f>C6/G57</f>
        <v>0</v>
      </c>
      <c r="G74" s="30"/>
      <c r="H74" s="155">
        <f t="shared" si="8"/>
        <v>40</v>
      </c>
      <c r="I74" s="164">
        <f t="shared" si="2"/>
        <v>-0.96600555688102208</v>
      </c>
      <c r="J74" s="157">
        <f t="shared" si="3"/>
        <v>-0.35721239031346075</v>
      </c>
      <c r="K74" s="156">
        <f t="shared" si="4"/>
        <v>2.498094443118978</v>
      </c>
      <c r="L74" s="157">
        <f t="shared" si="5"/>
        <v>-0.35721239031346075</v>
      </c>
      <c r="M74" s="156">
        <f t="shared" si="6"/>
        <v>0.76604444311897801</v>
      </c>
      <c r="N74" s="157">
        <f t="shared" si="7"/>
        <v>2.6427876096865393</v>
      </c>
      <c r="O74" s="30"/>
      <c r="P74" s="30"/>
      <c r="Q74" s="30"/>
      <c r="R74" s="30"/>
      <c r="S74" s="30"/>
      <c r="T74" s="29"/>
    </row>
    <row r="75" spans="1:20" s="32" customFormat="1" ht="16" customHeight="1" x14ac:dyDescent="0.2">
      <c r="A75" s="30"/>
      <c r="B75" s="119" t="s">
        <v>109</v>
      </c>
      <c r="C75" s="119"/>
      <c r="D75" s="120"/>
      <c r="E75" s="120"/>
      <c r="F75" s="129">
        <f>C6/J57</f>
        <v>0</v>
      </c>
      <c r="G75" s="30"/>
      <c r="H75" s="155">
        <f t="shared" si="8"/>
        <v>45</v>
      </c>
      <c r="I75" s="164">
        <f t="shared" si="2"/>
        <v>-1.0249432188134526</v>
      </c>
      <c r="J75" s="157">
        <f t="shared" si="3"/>
        <v>-0.29289321881345254</v>
      </c>
      <c r="K75" s="156">
        <f t="shared" si="4"/>
        <v>2.4391567811865476</v>
      </c>
      <c r="L75" s="157">
        <f t="shared" si="5"/>
        <v>-0.29289321881345254</v>
      </c>
      <c r="M75" s="156">
        <f t="shared" si="6"/>
        <v>0.70710678118654757</v>
      </c>
      <c r="N75" s="157">
        <f t="shared" si="7"/>
        <v>2.7071067811865475</v>
      </c>
      <c r="O75" s="30"/>
      <c r="P75" s="30"/>
      <c r="Q75" s="30"/>
      <c r="R75" s="30"/>
      <c r="S75" s="30"/>
      <c r="T75" s="29"/>
    </row>
    <row r="76" spans="1:20" s="32" customFormat="1" ht="16" customHeight="1" x14ac:dyDescent="0.2">
      <c r="A76" s="30"/>
      <c r="B76" s="30"/>
      <c r="C76" s="30"/>
      <c r="D76" s="30"/>
      <c r="E76" s="30"/>
      <c r="F76" s="30"/>
      <c r="G76" s="30"/>
      <c r="H76" s="155">
        <f t="shared" si="8"/>
        <v>50</v>
      </c>
      <c r="I76" s="164">
        <f t="shared" si="2"/>
        <v>-1.0892623903134608</v>
      </c>
      <c r="J76" s="157">
        <f t="shared" si="3"/>
        <v>-0.23395555688102199</v>
      </c>
      <c r="K76" s="156">
        <f t="shared" si="4"/>
        <v>2.3748376096865393</v>
      </c>
      <c r="L76" s="157">
        <f t="shared" si="5"/>
        <v>-0.23395555688102199</v>
      </c>
      <c r="M76" s="156">
        <f t="shared" si="6"/>
        <v>0.64278760968653936</v>
      </c>
      <c r="N76" s="157">
        <f t="shared" si="7"/>
        <v>2.7660444431189779</v>
      </c>
      <c r="O76" s="30"/>
      <c r="P76" s="30"/>
      <c r="Q76" s="30"/>
      <c r="R76" s="30"/>
      <c r="S76" s="30"/>
      <c r="T76" s="29"/>
    </row>
    <row r="77" spans="1:20" s="32" customFormat="1" ht="16" customHeight="1" x14ac:dyDescent="0.2">
      <c r="A77" s="30"/>
      <c r="B77" s="130"/>
      <c r="C77" s="131" t="s">
        <v>72</v>
      </c>
      <c r="D77" s="132"/>
      <c r="E77" s="30"/>
      <c r="F77" s="30"/>
      <c r="G77" s="30"/>
      <c r="H77" s="155">
        <f t="shared" si="8"/>
        <v>55</v>
      </c>
      <c r="I77" s="164">
        <f t="shared" si="2"/>
        <v>-1.158473563648954</v>
      </c>
      <c r="J77" s="157">
        <f t="shared" si="3"/>
        <v>-0.1808479557110082</v>
      </c>
      <c r="K77" s="156">
        <f t="shared" si="4"/>
        <v>2.3056264363510461</v>
      </c>
      <c r="L77" s="157">
        <f t="shared" si="5"/>
        <v>-0.1808479557110082</v>
      </c>
      <c r="M77" s="156">
        <f t="shared" si="6"/>
        <v>0.57357643635104616</v>
      </c>
      <c r="N77" s="157">
        <f t="shared" si="7"/>
        <v>2.8191520442889919</v>
      </c>
      <c r="O77" s="30"/>
      <c r="P77" s="30"/>
      <c r="Q77" s="30"/>
      <c r="R77" s="30"/>
      <c r="S77" s="30"/>
      <c r="T77" s="29"/>
    </row>
    <row r="78" spans="1:20" s="32" customFormat="1" ht="16" customHeight="1" x14ac:dyDescent="0.2">
      <c r="A78" s="30"/>
      <c r="B78" s="133" t="s">
        <v>108</v>
      </c>
      <c r="C78" s="134">
        <f>K35</f>
        <v>-1.7320500000000001</v>
      </c>
      <c r="D78" s="135">
        <f>K36</f>
        <v>-1</v>
      </c>
      <c r="E78" s="30"/>
      <c r="F78" s="30"/>
      <c r="G78" s="30"/>
      <c r="H78" s="155">
        <f t="shared" si="8"/>
        <v>60</v>
      </c>
      <c r="I78" s="164">
        <f t="shared" si="2"/>
        <v>-1.2320500000000001</v>
      </c>
      <c r="J78" s="157">
        <f t="shared" si="3"/>
        <v>-0.1339745962155614</v>
      </c>
      <c r="K78" s="156">
        <f t="shared" si="4"/>
        <v>2.2320500000000001</v>
      </c>
      <c r="L78" s="157">
        <f t="shared" si="5"/>
        <v>-0.1339745962155614</v>
      </c>
      <c r="M78" s="156">
        <f t="shared" si="6"/>
        <v>0.50000000000000011</v>
      </c>
      <c r="N78" s="157">
        <f t="shared" si="7"/>
        <v>2.8660254037844384</v>
      </c>
      <c r="O78" s="30"/>
      <c r="P78" s="30"/>
      <c r="Q78" s="30"/>
      <c r="R78" s="30"/>
      <c r="S78" s="30"/>
      <c r="T78" s="29"/>
    </row>
    <row r="79" spans="1:20" s="32" customFormat="1" ht="16" customHeight="1" x14ac:dyDescent="0.2">
      <c r="A79" s="30"/>
      <c r="B79" s="136" t="s">
        <v>107</v>
      </c>
      <c r="C79" s="137">
        <f>K35+N45*COS(2*PI()*(K33+E66-E67)/360)</f>
        <v>8.0756887732569282E-7</v>
      </c>
      <c r="D79" s="138">
        <f>K36+N45*SIN(2*PI()*(K33+E66-E67+360)/360)</f>
        <v>0</v>
      </c>
      <c r="E79" s="30"/>
      <c r="F79" s="30"/>
      <c r="G79" s="30"/>
      <c r="H79" s="155">
        <f t="shared" si="8"/>
        <v>65</v>
      </c>
      <c r="I79" s="164">
        <f t="shared" si="2"/>
        <v>-1.3094317382593006</v>
      </c>
      <c r="J79" s="157">
        <f t="shared" si="3"/>
        <v>-9.3692212963350063E-2</v>
      </c>
      <c r="K79" s="156">
        <f t="shared" si="4"/>
        <v>2.1546682617406994</v>
      </c>
      <c r="L79" s="157">
        <f t="shared" si="5"/>
        <v>-9.3692212963350063E-2</v>
      </c>
      <c r="M79" s="156">
        <f t="shared" si="6"/>
        <v>0.42261826174069944</v>
      </c>
      <c r="N79" s="157">
        <f t="shared" si="7"/>
        <v>2.90630778703665</v>
      </c>
      <c r="O79" s="30"/>
      <c r="P79" s="30"/>
      <c r="Q79" s="30"/>
      <c r="R79" s="30"/>
      <c r="S79" s="30"/>
      <c r="T79" s="29"/>
    </row>
    <row r="80" spans="1:20" s="32" customFormat="1" ht="16" customHeight="1" x14ac:dyDescent="0.2">
      <c r="A80" s="30"/>
      <c r="B80" s="136" t="str">
        <f>B78</f>
        <v>Origin-EM</v>
      </c>
      <c r="C80" s="137">
        <f>C78</f>
        <v>-1.7320500000000001</v>
      </c>
      <c r="D80" s="138">
        <f>D78</f>
        <v>-1</v>
      </c>
      <c r="E80" s="30"/>
      <c r="F80" s="30"/>
      <c r="G80" s="30"/>
      <c r="H80" s="155">
        <f t="shared" si="8"/>
        <v>70</v>
      </c>
      <c r="I80" s="164">
        <f t="shared" si="2"/>
        <v>-1.3900298566743312</v>
      </c>
      <c r="J80" s="157">
        <f t="shared" si="3"/>
        <v>-6.0307379214091683E-2</v>
      </c>
      <c r="K80" s="156">
        <f t="shared" si="4"/>
        <v>2.074070143325669</v>
      </c>
      <c r="L80" s="157">
        <f t="shared" si="5"/>
        <v>-6.0307379214091683E-2</v>
      </c>
      <c r="M80" s="156">
        <f t="shared" si="6"/>
        <v>0.34202014332566882</v>
      </c>
      <c r="N80" s="157">
        <f t="shared" si="7"/>
        <v>2.9396926207859084</v>
      </c>
      <c r="O80" s="30"/>
      <c r="P80" s="30"/>
      <c r="Q80" s="30"/>
      <c r="R80" s="30"/>
      <c r="S80" s="30"/>
      <c r="T80" s="29"/>
    </row>
    <row r="81" spans="1:20" s="32" customFormat="1" ht="16" customHeight="1" x14ac:dyDescent="0.2">
      <c r="A81" s="30"/>
      <c r="B81" s="114" t="s">
        <v>106</v>
      </c>
      <c r="C81" s="139">
        <f>K35-N45*COS(2*PI()*(K33+E66-E67)/360)</f>
        <v>-3.4641008075688777</v>
      </c>
      <c r="D81" s="140">
        <f>K36-N45*SIN(2*PI()*(K33+E66-E67+360)/360)</f>
        <v>-1.9999999999999987</v>
      </c>
      <c r="E81" s="30"/>
      <c r="F81" s="30"/>
      <c r="G81" s="30"/>
      <c r="H81" s="155">
        <f t="shared" si="8"/>
        <v>75</v>
      </c>
      <c r="I81" s="164">
        <f t="shared" si="2"/>
        <v>-1.4732309548974794</v>
      </c>
      <c r="J81" s="157">
        <f t="shared" si="3"/>
        <v>-3.4074173710931688E-2</v>
      </c>
      <c r="K81" s="156">
        <f t="shared" si="4"/>
        <v>1.9908690451025208</v>
      </c>
      <c r="L81" s="157">
        <f t="shared" si="5"/>
        <v>-3.4074173710931688E-2</v>
      </c>
      <c r="M81" s="156">
        <f t="shared" si="6"/>
        <v>0.25881904510252074</v>
      </c>
      <c r="N81" s="157">
        <f t="shared" si="7"/>
        <v>2.9659258262890682</v>
      </c>
      <c r="O81" s="30"/>
      <c r="P81" s="30"/>
      <c r="Q81" s="30"/>
      <c r="R81" s="30"/>
      <c r="S81" s="30"/>
      <c r="T81" s="29"/>
    </row>
    <row r="82" spans="1:20" s="32" customFormat="1" ht="16" customHeight="1" x14ac:dyDescent="0.2">
      <c r="A82" s="30"/>
      <c r="B82" s="109" t="s">
        <v>105</v>
      </c>
      <c r="C82" s="141">
        <f>N35</f>
        <v>1.7320500000000001</v>
      </c>
      <c r="D82" s="142">
        <f>N36</f>
        <v>-1</v>
      </c>
      <c r="E82" s="30"/>
      <c r="F82" s="30"/>
      <c r="G82" s="30"/>
      <c r="H82" s="155">
        <f t="shared" si="8"/>
        <v>80</v>
      </c>
      <c r="I82" s="164">
        <f t="shared" si="2"/>
        <v>-1.5584018223330696</v>
      </c>
      <c r="J82" s="157">
        <f t="shared" si="3"/>
        <v>-1.519224698779198E-2</v>
      </c>
      <c r="K82" s="156">
        <f t="shared" si="4"/>
        <v>1.9056981776669306</v>
      </c>
      <c r="L82" s="157">
        <f t="shared" si="5"/>
        <v>-1.519224698779198E-2</v>
      </c>
      <c r="M82" s="156">
        <f t="shared" si="6"/>
        <v>0.17364817766693041</v>
      </c>
      <c r="N82" s="157">
        <f t="shared" si="7"/>
        <v>2.9848077530122081</v>
      </c>
      <c r="O82" s="30"/>
      <c r="P82" s="30"/>
      <c r="Q82" s="30"/>
      <c r="R82" s="30"/>
      <c r="S82" s="30"/>
      <c r="T82" s="29"/>
    </row>
    <row r="83" spans="1:20" s="32" customFormat="1" ht="16" customHeight="1" x14ac:dyDescent="0.2">
      <c r="A83" s="30"/>
      <c r="B83" s="136" t="s">
        <v>104</v>
      </c>
      <c r="C83" s="137">
        <f>N35+N45*COS(2*PI()*(N33+E67-E68)/360)</f>
        <v>-8.0756887732569282E-7</v>
      </c>
      <c r="D83" s="138">
        <f>N36+N45*SIN(2*PI()*(N33+E67-E68)/360)</f>
        <v>0</v>
      </c>
      <c r="E83" s="30"/>
      <c r="F83" s="30"/>
      <c r="G83" s="30"/>
      <c r="H83" s="155">
        <f t="shared" si="8"/>
        <v>85</v>
      </c>
      <c r="I83" s="164">
        <f t="shared" si="2"/>
        <v>-1.644894257252342</v>
      </c>
      <c r="J83" s="157">
        <f t="shared" si="3"/>
        <v>-3.8053019082544548E-3</v>
      </c>
      <c r="K83" s="156">
        <f t="shared" si="4"/>
        <v>1.8192057427476582</v>
      </c>
      <c r="L83" s="157">
        <f t="shared" si="5"/>
        <v>-3.8053019082544548E-3</v>
      </c>
      <c r="M83" s="156">
        <f t="shared" si="6"/>
        <v>8.7155742747658138E-2</v>
      </c>
      <c r="N83" s="157">
        <f t="shared" si="7"/>
        <v>2.9961946980917453</v>
      </c>
      <c r="O83" s="30"/>
      <c r="P83" s="30"/>
      <c r="Q83" s="30"/>
      <c r="R83" s="30"/>
      <c r="S83" s="30"/>
      <c r="T83" s="29"/>
    </row>
    <row r="84" spans="1:20" s="32" customFormat="1" ht="16" customHeight="1" x14ac:dyDescent="0.2">
      <c r="A84" s="30"/>
      <c r="B84" s="136" t="str">
        <f>B82</f>
        <v>Origin-MN</v>
      </c>
      <c r="C84" s="137">
        <f>C82</f>
        <v>1.7320500000000001</v>
      </c>
      <c r="D84" s="138">
        <f>D82</f>
        <v>-1</v>
      </c>
      <c r="E84" s="30"/>
      <c r="F84" s="30"/>
      <c r="G84" s="30"/>
      <c r="H84" s="155">
        <f t="shared" si="8"/>
        <v>90</v>
      </c>
      <c r="I84" s="164">
        <f t="shared" si="2"/>
        <v>-1.7320500000000001</v>
      </c>
      <c r="J84" s="157">
        <f t="shared" si="3"/>
        <v>0</v>
      </c>
      <c r="K84" s="156">
        <f t="shared" si="4"/>
        <v>1.7320500000000001</v>
      </c>
      <c r="L84" s="157">
        <f t="shared" si="5"/>
        <v>0</v>
      </c>
      <c r="M84" s="156">
        <f t="shared" si="6"/>
        <v>6.1257422745431001E-17</v>
      </c>
      <c r="N84" s="157">
        <f t="shared" si="7"/>
        <v>3</v>
      </c>
      <c r="O84" s="30"/>
      <c r="P84" s="30"/>
      <c r="Q84" s="30"/>
      <c r="R84" s="30"/>
      <c r="S84" s="30"/>
      <c r="T84" s="29"/>
    </row>
    <row r="85" spans="1:20" s="32" customFormat="1" ht="16" customHeight="1" x14ac:dyDescent="0.2">
      <c r="A85" s="30"/>
      <c r="B85" s="114" t="s">
        <v>103</v>
      </c>
      <c r="C85" s="139">
        <f>N35-N45*COS(2*PI()*(N33+E67-E68)/360)</f>
        <v>3.4641008075688777</v>
      </c>
      <c r="D85" s="140">
        <f>N36-N45*SIN(2*PI()*(N33+E67-E68)/360)</f>
        <v>-2</v>
      </c>
      <c r="E85" s="30"/>
      <c r="F85" s="30"/>
      <c r="G85" s="30"/>
      <c r="H85" s="155">
        <f t="shared" si="8"/>
        <v>95</v>
      </c>
      <c r="I85" s="164">
        <f t="shared" si="2"/>
        <v>-1.8192057427476582</v>
      </c>
      <c r="J85" s="157">
        <f t="shared" si="3"/>
        <v>-3.8053019082544548E-3</v>
      </c>
      <c r="K85" s="156">
        <f t="shared" si="4"/>
        <v>1.644894257252342</v>
      </c>
      <c r="L85" s="157">
        <f t="shared" si="5"/>
        <v>-3.8053019082544548E-3</v>
      </c>
      <c r="M85" s="156">
        <f t="shared" si="6"/>
        <v>-8.7155742747658235E-2</v>
      </c>
      <c r="N85" s="157">
        <f t="shared" si="7"/>
        <v>2.9961946980917453</v>
      </c>
      <c r="O85" s="30"/>
      <c r="P85" s="30"/>
      <c r="Q85" s="30"/>
      <c r="R85" s="30"/>
      <c r="S85" s="30"/>
      <c r="T85" s="29"/>
    </row>
    <row r="86" spans="1:20" s="32" customFormat="1" ht="16" customHeight="1" x14ac:dyDescent="0.2">
      <c r="A86" s="30"/>
      <c r="B86" s="136" t="s">
        <v>101</v>
      </c>
      <c r="C86" s="143">
        <f>N44</f>
        <v>0</v>
      </c>
      <c r="D86" s="138">
        <f>N45</f>
        <v>2</v>
      </c>
      <c r="E86" s="30"/>
      <c r="F86" s="30"/>
      <c r="G86" s="30"/>
      <c r="H86" s="155">
        <f t="shared" si="8"/>
        <v>100</v>
      </c>
      <c r="I86" s="164">
        <f t="shared" si="2"/>
        <v>-1.9056981776669304</v>
      </c>
      <c r="J86" s="157">
        <f t="shared" si="3"/>
        <v>-1.519224698779198E-2</v>
      </c>
      <c r="K86" s="156">
        <f t="shared" si="4"/>
        <v>1.5584018223330698</v>
      </c>
      <c r="L86" s="157">
        <f t="shared" si="5"/>
        <v>-1.519224698779198E-2</v>
      </c>
      <c r="M86" s="156">
        <f t="shared" si="6"/>
        <v>-0.1736481776669303</v>
      </c>
      <c r="N86" s="157">
        <f t="shared" si="7"/>
        <v>2.9848077530122081</v>
      </c>
      <c r="O86" s="30"/>
      <c r="P86" s="30"/>
      <c r="Q86" s="30"/>
      <c r="R86" s="30"/>
      <c r="S86" s="30"/>
      <c r="T86" s="29"/>
    </row>
    <row r="87" spans="1:20" s="32" customFormat="1" ht="16" customHeight="1" x14ac:dyDescent="0.2">
      <c r="A87" s="30"/>
      <c r="B87" s="136" t="s">
        <v>102</v>
      </c>
      <c r="C87" s="143">
        <f>N44+N45*COS(2*PI()*(N42+E70-E67)/360)</f>
        <v>1.22514845490862E-16</v>
      </c>
      <c r="D87" s="138">
        <f>N45+N45*SIN(2*PI()*(N42+E70-E67)/360)</f>
        <v>4</v>
      </c>
      <c r="E87" s="30"/>
      <c r="F87" s="30"/>
      <c r="G87" s="30"/>
      <c r="H87" s="155">
        <f t="shared" si="8"/>
        <v>105</v>
      </c>
      <c r="I87" s="164">
        <f t="shared" si="2"/>
        <v>-1.9908690451025208</v>
      </c>
      <c r="J87" s="157">
        <f t="shared" si="3"/>
        <v>-3.4074173710931688E-2</v>
      </c>
      <c r="K87" s="156">
        <f t="shared" si="4"/>
        <v>1.4732309548974794</v>
      </c>
      <c r="L87" s="157">
        <f t="shared" si="5"/>
        <v>-3.4074173710931688E-2</v>
      </c>
      <c r="M87" s="156">
        <f t="shared" si="6"/>
        <v>-0.25881904510252085</v>
      </c>
      <c r="N87" s="157">
        <f t="shared" si="7"/>
        <v>2.9659258262890682</v>
      </c>
      <c r="O87" s="30"/>
      <c r="P87" s="30"/>
      <c r="Q87" s="30"/>
      <c r="R87" s="30"/>
      <c r="S87" s="30"/>
      <c r="T87" s="29"/>
    </row>
    <row r="88" spans="1:20" s="32" customFormat="1" ht="16" customHeight="1" x14ac:dyDescent="0.2">
      <c r="A88" s="30"/>
      <c r="B88" s="136" t="s">
        <v>101</v>
      </c>
      <c r="C88" s="143">
        <f>C86</f>
        <v>0</v>
      </c>
      <c r="D88" s="138">
        <f>D86</f>
        <v>2</v>
      </c>
      <c r="E88" s="30"/>
      <c r="F88" s="30"/>
      <c r="G88" s="30"/>
      <c r="H88" s="155">
        <f t="shared" si="8"/>
        <v>110</v>
      </c>
      <c r="I88" s="164">
        <f t="shared" si="2"/>
        <v>-2.074070143325669</v>
      </c>
      <c r="J88" s="157">
        <f t="shared" si="3"/>
        <v>-6.0307379214091572E-2</v>
      </c>
      <c r="K88" s="156">
        <f t="shared" si="4"/>
        <v>1.3900298566743314</v>
      </c>
      <c r="L88" s="157">
        <f t="shared" si="5"/>
        <v>-6.0307379214091572E-2</v>
      </c>
      <c r="M88" s="156">
        <f t="shared" si="6"/>
        <v>-0.34202014332566871</v>
      </c>
      <c r="N88" s="157">
        <f t="shared" si="7"/>
        <v>2.9396926207859084</v>
      </c>
      <c r="O88" s="30"/>
      <c r="P88" s="30"/>
      <c r="Q88" s="30"/>
      <c r="R88" s="30"/>
      <c r="S88" s="30"/>
      <c r="T88" s="29"/>
    </row>
    <row r="89" spans="1:20" s="32" customFormat="1" ht="16" customHeight="1" x14ac:dyDescent="0.2">
      <c r="A89" s="30"/>
      <c r="B89" s="144" t="s">
        <v>100</v>
      </c>
      <c r="C89" s="145">
        <f>N44-N45*COS(2*PI()*(N42+E70-E67)/360)</f>
        <v>-1.22514845490862E-16</v>
      </c>
      <c r="D89" s="146">
        <f>N45-N45*SIN(2*PI()*(N42+E70-E67)/360)</f>
        <v>0</v>
      </c>
      <c r="E89" s="30"/>
      <c r="F89" s="30"/>
      <c r="G89" s="30"/>
      <c r="H89" s="155">
        <f t="shared" si="8"/>
        <v>115</v>
      </c>
      <c r="I89" s="164">
        <f t="shared" si="2"/>
        <v>-2.1546682617406994</v>
      </c>
      <c r="J89" s="157">
        <f t="shared" si="3"/>
        <v>-9.3692212963349952E-2</v>
      </c>
      <c r="K89" s="156">
        <f t="shared" si="4"/>
        <v>1.3094317382593008</v>
      </c>
      <c r="L89" s="157">
        <f t="shared" si="5"/>
        <v>-9.3692212963349952E-2</v>
      </c>
      <c r="M89" s="156">
        <f t="shared" si="6"/>
        <v>-0.42261826174069933</v>
      </c>
      <c r="N89" s="157">
        <f t="shared" si="7"/>
        <v>2.90630778703665</v>
      </c>
      <c r="O89" s="30"/>
      <c r="P89" s="30"/>
      <c r="Q89" s="30"/>
      <c r="R89" s="30"/>
      <c r="S89" s="30"/>
      <c r="T89" s="29"/>
    </row>
    <row r="90" spans="1:20" s="32" customFormat="1" ht="16" customHeight="1" x14ac:dyDescent="0.2">
      <c r="A90" s="30"/>
      <c r="B90" s="30"/>
      <c r="C90" s="30"/>
      <c r="D90" s="30"/>
      <c r="E90" s="30"/>
      <c r="F90" s="30"/>
      <c r="G90" s="30"/>
      <c r="H90" s="155">
        <f t="shared" si="8"/>
        <v>120</v>
      </c>
      <c r="I90" s="164">
        <f t="shared" si="2"/>
        <v>-2.2320500000000001</v>
      </c>
      <c r="J90" s="157">
        <f t="shared" si="3"/>
        <v>-0.13397459621556129</v>
      </c>
      <c r="K90" s="156">
        <f t="shared" si="4"/>
        <v>1.2320500000000003</v>
      </c>
      <c r="L90" s="157">
        <f t="shared" si="5"/>
        <v>-0.13397459621556129</v>
      </c>
      <c r="M90" s="156">
        <f t="shared" si="6"/>
        <v>-0.49999999999999978</v>
      </c>
      <c r="N90" s="157">
        <f t="shared" si="7"/>
        <v>2.8660254037844388</v>
      </c>
      <c r="O90" s="30"/>
      <c r="P90" s="30"/>
      <c r="Q90" s="30"/>
      <c r="R90" s="30"/>
      <c r="S90" s="30"/>
      <c r="T90" s="29"/>
    </row>
    <row r="91" spans="1:20" s="32" customFormat="1" ht="16" customHeight="1" x14ac:dyDescent="0.2">
      <c r="A91" s="30"/>
      <c r="B91" s="147" t="s">
        <v>99</v>
      </c>
      <c r="C91" s="148">
        <v>0</v>
      </c>
      <c r="D91" s="149">
        <v>0</v>
      </c>
      <c r="E91" s="30"/>
      <c r="F91" s="30"/>
      <c r="G91" s="30"/>
      <c r="H91" s="155">
        <f t="shared" si="8"/>
        <v>125</v>
      </c>
      <c r="I91" s="164">
        <f t="shared" si="2"/>
        <v>-2.3056264363510461</v>
      </c>
      <c r="J91" s="157">
        <f t="shared" si="3"/>
        <v>-0.18084795571100831</v>
      </c>
      <c r="K91" s="156">
        <f t="shared" si="4"/>
        <v>1.158473563648954</v>
      </c>
      <c r="L91" s="157">
        <f t="shared" si="5"/>
        <v>-0.18084795571100831</v>
      </c>
      <c r="M91" s="156">
        <f t="shared" si="6"/>
        <v>-0.57357643635104616</v>
      </c>
      <c r="N91" s="157">
        <f t="shared" si="7"/>
        <v>2.8191520442889919</v>
      </c>
      <c r="O91" s="30"/>
      <c r="P91" s="30"/>
      <c r="Q91" s="30"/>
      <c r="R91" s="30"/>
      <c r="S91" s="30"/>
      <c r="T91" s="29"/>
    </row>
    <row r="92" spans="1:20" s="32" customFormat="1" ht="16" customHeight="1" x14ac:dyDescent="0.2">
      <c r="A92" s="30"/>
      <c r="B92" s="150" t="str">
        <f>B78</f>
        <v>Origin-EM</v>
      </c>
      <c r="C92" s="151">
        <f>C78</f>
        <v>-1.7320500000000001</v>
      </c>
      <c r="D92" s="152">
        <f>D78</f>
        <v>-1</v>
      </c>
      <c r="E92" s="30"/>
      <c r="F92" s="30"/>
      <c r="G92" s="30"/>
      <c r="H92" s="155">
        <f t="shared" si="8"/>
        <v>130</v>
      </c>
      <c r="I92" s="164">
        <f t="shared" si="2"/>
        <v>-2.3748376096865393</v>
      </c>
      <c r="J92" s="157">
        <f t="shared" si="3"/>
        <v>-0.23395555688102199</v>
      </c>
      <c r="K92" s="156">
        <f t="shared" si="4"/>
        <v>1.0892623903134608</v>
      </c>
      <c r="L92" s="157">
        <f t="shared" si="5"/>
        <v>-0.23395555688102199</v>
      </c>
      <c r="M92" s="156">
        <f t="shared" si="6"/>
        <v>-0.64278760968653936</v>
      </c>
      <c r="N92" s="157">
        <f t="shared" si="7"/>
        <v>2.7660444431189779</v>
      </c>
      <c r="O92" s="30"/>
      <c r="P92" s="30"/>
      <c r="Q92" s="30"/>
      <c r="R92" s="30"/>
      <c r="S92" s="30"/>
      <c r="T92" s="29"/>
    </row>
    <row r="93" spans="1:20" s="32" customFormat="1" ht="16" customHeight="1" x14ac:dyDescent="0.2">
      <c r="A93" s="30"/>
      <c r="B93" s="153" t="str">
        <f>B91</f>
        <v>Origin</v>
      </c>
      <c r="C93" s="111">
        <f>C91</f>
        <v>0</v>
      </c>
      <c r="D93" s="154">
        <f>D91</f>
        <v>0</v>
      </c>
      <c r="E93" s="30"/>
      <c r="F93" s="30"/>
      <c r="G93" s="30"/>
      <c r="H93" s="155">
        <f t="shared" si="8"/>
        <v>135</v>
      </c>
      <c r="I93" s="164">
        <f t="shared" si="2"/>
        <v>-2.4391567811865476</v>
      </c>
      <c r="J93" s="157">
        <f t="shared" si="3"/>
        <v>-0.29289321881345243</v>
      </c>
      <c r="K93" s="156">
        <f t="shared" si="4"/>
        <v>1.0249432188134526</v>
      </c>
      <c r="L93" s="157">
        <f t="shared" si="5"/>
        <v>-0.29289321881345243</v>
      </c>
      <c r="M93" s="156">
        <f t="shared" si="6"/>
        <v>-0.70710678118654746</v>
      </c>
      <c r="N93" s="157">
        <f t="shared" si="7"/>
        <v>2.7071067811865475</v>
      </c>
      <c r="O93" s="30"/>
      <c r="P93" s="30"/>
      <c r="Q93" s="30"/>
      <c r="R93" s="30"/>
      <c r="S93" s="30"/>
      <c r="T93" s="29"/>
    </row>
    <row r="94" spans="1:20" s="32" customFormat="1" ht="16" customHeight="1" x14ac:dyDescent="0.2">
      <c r="A94" s="30"/>
      <c r="B94" s="150" t="str">
        <f>B82</f>
        <v>Origin-MN</v>
      </c>
      <c r="C94" s="151">
        <f>C82</f>
        <v>1.7320500000000001</v>
      </c>
      <c r="D94" s="152">
        <f>D82</f>
        <v>-1</v>
      </c>
      <c r="E94" s="30"/>
      <c r="F94" s="30"/>
      <c r="G94" s="30"/>
      <c r="H94" s="155">
        <f t="shared" si="8"/>
        <v>140</v>
      </c>
      <c r="I94" s="164">
        <f t="shared" si="2"/>
        <v>-2.498094443118978</v>
      </c>
      <c r="J94" s="157">
        <f t="shared" si="3"/>
        <v>-0.35721239031346053</v>
      </c>
      <c r="K94" s="156">
        <f t="shared" si="4"/>
        <v>0.96600555688102219</v>
      </c>
      <c r="L94" s="157">
        <f t="shared" si="5"/>
        <v>-0.35721239031346053</v>
      </c>
      <c r="M94" s="156">
        <f t="shared" si="6"/>
        <v>-0.7660444431189779</v>
      </c>
      <c r="N94" s="157">
        <f t="shared" si="7"/>
        <v>2.6427876096865397</v>
      </c>
      <c r="O94" s="30"/>
      <c r="P94" s="30"/>
      <c r="Q94" s="30"/>
      <c r="R94" s="30"/>
      <c r="S94" s="30"/>
      <c r="T94" s="29"/>
    </row>
    <row r="95" spans="1:20" s="32" customFormat="1" ht="16" customHeight="1" x14ac:dyDescent="0.2">
      <c r="A95" s="30"/>
      <c r="B95" s="155" t="str">
        <f>B91</f>
        <v>Origin</v>
      </c>
      <c r="C95" s="156">
        <f>C93</f>
        <v>0</v>
      </c>
      <c r="D95" s="157">
        <f>D93</f>
        <v>0</v>
      </c>
      <c r="E95" s="30"/>
      <c r="F95" s="30"/>
      <c r="G95" s="30"/>
      <c r="H95" s="155">
        <f t="shared" si="8"/>
        <v>145</v>
      </c>
      <c r="I95" s="164">
        <f t="shared" si="2"/>
        <v>-2.551202044288992</v>
      </c>
      <c r="J95" s="157">
        <f t="shared" si="3"/>
        <v>-0.42642356364895406</v>
      </c>
      <c r="K95" s="156">
        <f t="shared" si="4"/>
        <v>0.91289795571100818</v>
      </c>
      <c r="L95" s="157">
        <f t="shared" si="5"/>
        <v>-0.42642356364895406</v>
      </c>
      <c r="M95" s="156">
        <f t="shared" si="6"/>
        <v>-0.81915204428899191</v>
      </c>
      <c r="N95" s="157">
        <f t="shared" si="7"/>
        <v>2.573576436351046</v>
      </c>
      <c r="O95" s="30"/>
      <c r="P95" s="30"/>
      <c r="Q95" s="30"/>
      <c r="R95" s="30"/>
      <c r="S95" s="30"/>
      <c r="T95" s="29"/>
    </row>
    <row r="96" spans="1:20" s="32" customFormat="1" ht="16" customHeight="1" x14ac:dyDescent="0.2">
      <c r="A96" s="30"/>
      <c r="B96" s="158" t="str">
        <f>B86</f>
        <v>Origin-PM</v>
      </c>
      <c r="C96" s="159">
        <f>C86</f>
        <v>0</v>
      </c>
      <c r="D96" s="160">
        <f>D86</f>
        <v>2</v>
      </c>
      <c r="E96" s="30"/>
      <c r="F96" s="30"/>
      <c r="G96" s="30"/>
      <c r="H96" s="155">
        <f t="shared" si="8"/>
        <v>150</v>
      </c>
      <c r="I96" s="164">
        <f t="shared" si="2"/>
        <v>-2.5980754037844389</v>
      </c>
      <c r="J96" s="157">
        <f t="shared" si="3"/>
        <v>-0.5</v>
      </c>
      <c r="K96" s="156">
        <f t="shared" si="4"/>
        <v>0.86602459621556138</v>
      </c>
      <c r="L96" s="157">
        <f t="shared" si="5"/>
        <v>-0.5</v>
      </c>
      <c r="M96" s="156">
        <f t="shared" si="6"/>
        <v>-0.86602540378443871</v>
      </c>
      <c r="N96" s="157">
        <f t="shared" si="7"/>
        <v>2.5</v>
      </c>
      <c r="O96" s="30"/>
      <c r="P96" s="30"/>
      <c r="Q96" s="30"/>
      <c r="R96" s="30"/>
      <c r="S96" s="30"/>
      <c r="T96" s="29"/>
    </row>
    <row r="97" spans="1:20" s="32" customFormat="1" ht="16" customHeight="1" x14ac:dyDescent="0.2">
      <c r="A97" s="30"/>
      <c r="B97" s="30"/>
      <c r="C97" s="30"/>
      <c r="D97" s="30"/>
      <c r="E97" s="30"/>
      <c r="F97" s="30"/>
      <c r="G97" s="30"/>
      <c r="H97" s="155">
        <f t="shared" si="8"/>
        <v>155</v>
      </c>
      <c r="I97" s="164">
        <f t="shared" si="2"/>
        <v>-2.6383577870366501</v>
      </c>
      <c r="J97" s="157">
        <f t="shared" si="3"/>
        <v>-0.5773817382593005</v>
      </c>
      <c r="K97" s="156">
        <f t="shared" si="4"/>
        <v>0.82574221296335015</v>
      </c>
      <c r="L97" s="157">
        <f t="shared" si="5"/>
        <v>-0.5773817382593005</v>
      </c>
      <c r="M97" s="156">
        <f t="shared" si="6"/>
        <v>-0.90630778703664994</v>
      </c>
      <c r="N97" s="157">
        <f t="shared" si="7"/>
        <v>2.4226182617406993</v>
      </c>
      <c r="O97" s="30"/>
      <c r="P97" s="30"/>
      <c r="Q97" s="30"/>
      <c r="R97" s="30"/>
      <c r="S97" s="30"/>
      <c r="T97" s="29"/>
    </row>
    <row r="98" spans="1:20" s="32" customFormat="1" ht="16" customHeight="1" x14ac:dyDescent="0.2">
      <c r="A98" s="30"/>
      <c r="B98" s="30"/>
      <c r="C98" s="30"/>
      <c r="D98" s="30"/>
      <c r="E98" s="30"/>
      <c r="F98" s="30"/>
      <c r="G98" s="30"/>
      <c r="H98" s="155">
        <f t="shared" si="8"/>
        <v>160</v>
      </c>
      <c r="I98" s="164">
        <f t="shared" ref="I98:I129" si="9">$K$35+$K$32*COS(RADIANS(H98))</f>
        <v>-2.6717426207859085</v>
      </c>
      <c r="J98" s="157">
        <f t="shared" ref="J98:J129" si="10">$K$36+$K$32*SIN(RADIANS(H98))</f>
        <v>-0.65797985667433112</v>
      </c>
      <c r="K98" s="156">
        <f t="shared" ref="K98:K129" si="11">$N$35+$N$32*COS(RADIANS(H98))</f>
        <v>0.79235737921409177</v>
      </c>
      <c r="L98" s="157">
        <f t="shared" ref="L98:L129" si="12">$N$36+$N$32*SIN(RADIANS(H98))</f>
        <v>-0.65797985667433112</v>
      </c>
      <c r="M98" s="156">
        <f t="shared" ref="M98:M129" si="13">$N$44+$N$41*COS(RADIANS(H98))</f>
        <v>-0.93969262078590832</v>
      </c>
      <c r="N98" s="157">
        <f t="shared" ref="N98:N129" si="14">$N$45+$N$41*SIN(RADIANS(H98))</f>
        <v>2.3420201433256689</v>
      </c>
      <c r="O98" s="30"/>
      <c r="P98" s="30"/>
      <c r="Q98" s="30"/>
      <c r="R98" s="30"/>
      <c r="S98" s="30"/>
      <c r="T98" s="29"/>
    </row>
    <row r="99" spans="1:20" s="32" customFormat="1" ht="16" customHeight="1" x14ac:dyDescent="0.2">
      <c r="A99" s="30"/>
      <c r="B99" s="30"/>
      <c r="C99" s="30"/>
      <c r="D99" s="30"/>
      <c r="E99" s="30"/>
      <c r="F99" s="30"/>
      <c r="G99" s="30"/>
      <c r="H99" s="155">
        <f t="shared" ref="H99:H130" si="15">H98+5</f>
        <v>165</v>
      </c>
      <c r="I99" s="164">
        <f t="shared" si="9"/>
        <v>-2.6979758262890683</v>
      </c>
      <c r="J99" s="157">
        <f t="shared" si="10"/>
        <v>-0.74118095489747904</v>
      </c>
      <c r="K99" s="156">
        <f t="shared" si="11"/>
        <v>0.76612417371093189</v>
      </c>
      <c r="L99" s="157">
        <f t="shared" si="12"/>
        <v>-0.74118095489747904</v>
      </c>
      <c r="M99" s="156">
        <f t="shared" si="13"/>
        <v>-0.9659258262890682</v>
      </c>
      <c r="N99" s="157">
        <f t="shared" si="14"/>
        <v>2.2588190451025212</v>
      </c>
      <c r="O99" s="30"/>
      <c r="P99" s="30"/>
      <c r="Q99" s="30"/>
      <c r="R99" s="30"/>
      <c r="S99" s="30"/>
      <c r="T99" s="29"/>
    </row>
    <row r="100" spans="1:20" s="32" customFormat="1" ht="16" customHeight="1" x14ac:dyDescent="0.2">
      <c r="A100" s="30"/>
      <c r="B100" s="30"/>
      <c r="C100" s="30"/>
      <c r="D100" s="30"/>
      <c r="E100" s="30"/>
      <c r="F100" s="30"/>
      <c r="G100" s="30"/>
      <c r="H100" s="155">
        <f t="shared" si="15"/>
        <v>170</v>
      </c>
      <c r="I100" s="164">
        <f t="shared" si="9"/>
        <v>-2.7168577530122082</v>
      </c>
      <c r="J100" s="157">
        <f t="shared" si="10"/>
        <v>-0.8263518223330697</v>
      </c>
      <c r="K100" s="156">
        <f t="shared" si="11"/>
        <v>0.74724224698779207</v>
      </c>
      <c r="L100" s="157">
        <f t="shared" si="12"/>
        <v>-0.8263518223330697</v>
      </c>
      <c r="M100" s="156">
        <f t="shared" si="13"/>
        <v>-0.98480775301220802</v>
      </c>
      <c r="N100" s="157">
        <f t="shared" si="14"/>
        <v>2.1736481776669301</v>
      </c>
      <c r="O100" s="30"/>
      <c r="P100" s="30"/>
      <c r="Q100" s="30"/>
      <c r="R100" s="30"/>
      <c r="S100" s="30"/>
      <c r="T100" s="29"/>
    </row>
    <row r="101" spans="1:20" s="32" customFormat="1" ht="16" customHeight="1" x14ac:dyDescent="0.2">
      <c r="A101" s="30"/>
      <c r="B101" s="30"/>
      <c r="C101" s="30"/>
      <c r="D101" s="30"/>
      <c r="E101" s="30"/>
      <c r="F101" s="30"/>
      <c r="G101" s="30"/>
      <c r="H101" s="155">
        <f t="shared" si="15"/>
        <v>175</v>
      </c>
      <c r="I101" s="164">
        <f t="shared" si="9"/>
        <v>-2.7282446980917454</v>
      </c>
      <c r="J101" s="157">
        <f t="shared" si="10"/>
        <v>-0.91284425725234186</v>
      </c>
      <c r="K101" s="156">
        <f t="shared" si="11"/>
        <v>0.73585530190825454</v>
      </c>
      <c r="L101" s="157">
        <f t="shared" si="12"/>
        <v>-0.91284425725234186</v>
      </c>
      <c r="M101" s="156">
        <f t="shared" si="13"/>
        <v>-0.99619469809174555</v>
      </c>
      <c r="N101" s="157">
        <f t="shared" si="14"/>
        <v>2.0871557427476581</v>
      </c>
      <c r="O101" s="30"/>
      <c r="P101" s="30"/>
      <c r="Q101" s="30"/>
      <c r="R101" s="30"/>
      <c r="S101" s="30"/>
      <c r="T101" s="29"/>
    </row>
    <row r="102" spans="1:20" s="32" customFormat="1" ht="16" customHeight="1" x14ac:dyDescent="0.2">
      <c r="A102" s="30"/>
      <c r="B102" s="30"/>
      <c r="C102" s="30"/>
      <c r="D102" s="30"/>
      <c r="E102" s="30"/>
      <c r="F102" s="30"/>
      <c r="G102" s="30"/>
      <c r="H102" s="155">
        <f t="shared" si="15"/>
        <v>180</v>
      </c>
      <c r="I102" s="164">
        <f t="shared" si="9"/>
        <v>-2.7320500000000001</v>
      </c>
      <c r="J102" s="157">
        <f t="shared" si="10"/>
        <v>-0.99999999999999989</v>
      </c>
      <c r="K102" s="156">
        <f t="shared" si="11"/>
        <v>0.73205000000000009</v>
      </c>
      <c r="L102" s="157">
        <f t="shared" si="12"/>
        <v>-0.99999999999999989</v>
      </c>
      <c r="M102" s="156">
        <f t="shared" si="13"/>
        <v>-1</v>
      </c>
      <c r="N102" s="157">
        <f t="shared" si="14"/>
        <v>2</v>
      </c>
      <c r="O102" s="30"/>
      <c r="P102" s="30"/>
      <c r="Q102" s="30"/>
      <c r="R102" s="30"/>
      <c r="S102" s="30"/>
      <c r="T102" s="29"/>
    </row>
    <row r="103" spans="1:20" s="32" customFormat="1" ht="16" customHeight="1" x14ac:dyDescent="0.2">
      <c r="A103" s="30"/>
      <c r="B103" s="30"/>
      <c r="C103" s="30"/>
      <c r="D103" s="30"/>
      <c r="E103" s="30"/>
      <c r="F103" s="30"/>
      <c r="G103" s="30"/>
      <c r="H103" s="155">
        <f t="shared" si="15"/>
        <v>185</v>
      </c>
      <c r="I103" s="164">
        <f t="shared" si="9"/>
        <v>-2.7282446980917454</v>
      </c>
      <c r="J103" s="157">
        <f t="shared" si="10"/>
        <v>-1.0871557427476579</v>
      </c>
      <c r="K103" s="156">
        <f t="shared" si="11"/>
        <v>0.73585530190825454</v>
      </c>
      <c r="L103" s="157">
        <f t="shared" si="12"/>
        <v>-1.0871557427476579</v>
      </c>
      <c r="M103" s="156">
        <f t="shared" si="13"/>
        <v>-0.99619469809174555</v>
      </c>
      <c r="N103" s="157">
        <f t="shared" si="14"/>
        <v>1.9128442572523421</v>
      </c>
      <c r="O103" s="30"/>
      <c r="P103" s="30"/>
      <c r="Q103" s="30"/>
      <c r="R103" s="30"/>
      <c r="S103" s="30"/>
      <c r="T103" s="29"/>
    </row>
    <row r="104" spans="1:20" s="32" customFormat="1" ht="16" customHeight="1" x14ac:dyDescent="0.2">
      <c r="A104" s="30"/>
      <c r="B104" s="30"/>
      <c r="C104" s="30"/>
      <c r="D104" s="30"/>
      <c r="E104" s="30"/>
      <c r="F104" s="30"/>
      <c r="G104" s="30"/>
      <c r="H104" s="155">
        <f t="shared" si="15"/>
        <v>190</v>
      </c>
      <c r="I104" s="164">
        <f t="shared" si="9"/>
        <v>-2.7168577530122082</v>
      </c>
      <c r="J104" s="157">
        <f t="shared" si="10"/>
        <v>-1.1736481776669305</v>
      </c>
      <c r="K104" s="156">
        <f t="shared" si="11"/>
        <v>0.74724224698779207</v>
      </c>
      <c r="L104" s="157">
        <f t="shared" si="12"/>
        <v>-1.1736481776669305</v>
      </c>
      <c r="M104" s="156">
        <f t="shared" si="13"/>
        <v>-0.98480775301220802</v>
      </c>
      <c r="N104" s="157">
        <f t="shared" si="14"/>
        <v>1.8263518223330695</v>
      </c>
      <c r="O104" s="30"/>
      <c r="P104" s="30"/>
      <c r="Q104" s="30"/>
      <c r="R104" s="30"/>
      <c r="S104" s="30"/>
      <c r="T104" s="29"/>
    </row>
    <row r="105" spans="1:20" s="32" customFormat="1" ht="16" customHeight="1" x14ac:dyDescent="0.2">
      <c r="A105" s="30"/>
      <c r="B105" s="30"/>
      <c r="C105" s="30"/>
      <c r="D105" s="30"/>
      <c r="E105" s="30"/>
      <c r="F105" s="30"/>
      <c r="G105" s="30"/>
      <c r="H105" s="155">
        <f t="shared" si="15"/>
        <v>195</v>
      </c>
      <c r="I105" s="164">
        <f t="shared" si="9"/>
        <v>-2.6979758262890683</v>
      </c>
      <c r="J105" s="157">
        <f t="shared" si="10"/>
        <v>-1.2588190451025207</v>
      </c>
      <c r="K105" s="156">
        <f t="shared" si="11"/>
        <v>0.76612417371093178</v>
      </c>
      <c r="L105" s="157">
        <f t="shared" si="12"/>
        <v>-1.2588190451025207</v>
      </c>
      <c r="M105" s="156">
        <f t="shared" si="13"/>
        <v>-0.96592582628906831</v>
      </c>
      <c r="N105" s="157">
        <f t="shared" si="14"/>
        <v>1.7411809548974793</v>
      </c>
      <c r="O105" s="30"/>
      <c r="P105" s="30"/>
      <c r="Q105" s="30"/>
      <c r="R105" s="30"/>
      <c r="S105" s="30"/>
      <c r="T105" s="29"/>
    </row>
    <row r="106" spans="1:20" s="32" customFormat="1" ht="16" customHeight="1" x14ac:dyDescent="0.2">
      <c r="A106" s="30"/>
      <c r="B106" s="30"/>
      <c r="C106" s="30"/>
      <c r="D106" s="30"/>
      <c r="E106" s="30"/>
      <c r="F106" s="30"/>
      <c r="G106" s="30"/>
      <c r="H106" s="155">
        <f t="shared" si="15"/>
        <v>200</v>
      </c>
      <c r="I106" s="164">
        <f t="shared" si="9"/>
        <v>-2.6717426207859085</v>
      </c>
      <c r="J106" s="157">
        <f t="shared" si="10"/>
        <v>-1.3420201433256687</v>
      </c>
      <c r="K106" s="156">
        <f t="shared" si="11"/>
        <v>0.79235737921409166</v>
      </c>
      <c r="L106" s="157">
        <f t="shared" si="12"/>
        <v>-1.3420201433256687</v>
      </c>
      <c r="M106" s="156">
        <f t="shared" si="13"/>
        <v>-0.93969262078590843</v>
      </c>
      <c r="N106" s="157">
        <f t="shared" si="14"/>
        <v>1.6579798566743313</v>
      </c>
      <c r="O106" s="30"/>
      <c r="P106" s="30"/>
      <c r="Q106" s="30"/>
      <c r="R106" s="30"/>
      <c r="S106" s="30"/>
      <c r="T106" s="29"/>
    </row>
    <row r="107" spans="1:20" s="32" customFormat="1" ht="16" customHeight="1" x14ac:dyDescent="0.2">
      <c r="A107" s="30"/>
      <c r="B107" s="30"/>
      <c r="C107" s="30"/>
      <c r="D107" s="30"/>
      <c r="E107" s="30"/>
      <c r="F107" s="30"/>
      <c r="G107" s="30"/>
      <c r="H107" s="155">
        <f t="shared" si="15"/>
        <v>205</v>
      </c>
      <c r="I107" s="164">
        <f t="shared" si="9"/>
        <v>-2.6383577870366501</v>
      </c>
      <c r="J107" s="157">
        <f t="shared" si="10"/>
        <v>-1.4226182617406993</v>
      </c>
      <c r="K107" s="156">
        <f t="shared" si="11"/>
        <v>0.82574221296335004</v>
      </c>
      <c r="L107" s="157">
        <f t="shared" si="12"/>
        <v>-1.4226182617406993</v>
      </c>
      <c r="M107" s="156">
        <f t="shared" si="13"/>
        <v>-0.90630778703665005</v>
      </c>
      <c r="N107" s="157">
        <f t="shared" si="14"/>
        <v>1.5773817382593007</v>
      </c>
      <c r="O107" s="30"/>
      <c r="P107" s="30"/>
      <c r="Q107" s="30"/>
      <c r="R107" s="30"/>
      <c r="S107" s="30"/>
      <c r="T107" s="29"/>
    </row>
    <row r="108" spans="1:20" s="32" customFormat="1" ht="16" customHeight="1" x14ac:dyDescent="0.2">
      <c r="A108" s="30"/>
      <c r="B108" s="30"/>
      <c r="C108" s="30"/>
      <c r="D108" s="30"/>
      <c r="E108" s="30"/>
      <c r="F108" s="30"/>
      <c r="G108" s="30"/>
      <c r="H108" s="155">
        <f t="shared" si="15"/>
        <v>210</v>
      </c>
      <c r="I108" s="164">
        <f t="shared" si="9"/>
        <v>-2.5980754037844385</v>
      </c>
      <c r="J108" s="157">
        <f t="shared" si="10"/>
        <v>-1.5</v>
      </c>
      <c r="K108" s="156">
        <f t="shared" si="11"/>
        <v>0.86602459621556149</v>
      </c>
      <c r="L108" s="157">
        <f t="shared" si="12"/>
        <v>-1.5</v>
      </c>
      <c r="M108" s="156">
        <f t="shared" si="13"/>
        <v>-0.8660254037844386</v>
      </c>
      <c r="N108" s="157">
        <f t="shared" si="14"/>
        <v>1.5</v>
      </c>
      <c r="O108" s="30"/>
      <c r="P108" s="30"/>
      <c r="Q108" s="30"/>
      <c r="R108" s="30"/>
      <c r="S108" s="30"/>
      <c r="T108" s="29"/>
    </row>
    <row r="109" spans="1:20" s="32" customFormat="1" ht="16" customHeight="1" x14ac:dyDescent="0.2">
      <c r="A109" s="30"/>
      <c r="B109" s="30"/>
      <c r="C109" s="30"/>
      <c r="D109" s="30"/>
      <c r="E109" s="30"/>
      <c r="F109" s="30"/>
      <c r="G109" s="30"/>
      <c r="H109" s="155">
        <f t="shared" si="15"/>
        <v>215</v>
      </c>
      <c r="I109" s="164">
        <f t="shared" si="9"/>
        <v>-2.551202044288992</v>
      </c>
      <c r="J109" s="157">
        <f t="shared" si="10"/>
        <v>-1.573576436351046</v>
      </c>
      <c r="K109" s="156">
        <f t="shared" si="11"/>
        <v>0.91289795571100829</v>
      </c>
      <c r="L109" s="157">
        <f t="shared" si="12"/>
        <v>-1.573576436351046</v>
      </c>
      <c r="M109" s="156">
        <f t="shared" si="13"/>
        <v>-0.8191520442889918</v>
      </c>
      <c r="N109" s="157">
        <f t="shared" si="14"/>
        <v>1.426423563648954</v>
      </c>
      <c r="O109" s="30"/>
      <c r="P109" s="30"/>
      <c r="Q109" s="30"/>
      <c r="R109" s="30"/>
      <c r="S109" s="30"/>
      <c r="T109" s="29"/>
    </row>
    <row r="110" spans="1:20" s="32" customFormat="1" ht="16" customHeight="1" x14ac:dyDescent="0.2">
      <c r="A110" s="30"/>
      <c r="B110" s="30"/>
      <c r="C110" s="30"/>
      <c r="D110" s="30"/>
      <c r="E110" s="30"/>
      <c r="F110" s="30"/>
      <c r="G110" s="30"/>
      <c r="H110" s="155">
        <f t="shared" si="15"/>
        <v>220</v>
      </c>
      <c r="I110" s="164">
        <f t="shared" si="9"/>
        <v>-2.498094443118978</v>
      </c>
      <c r="J110" s="157">
        <f t="shared" si="10"/>
        <v>-1.6427876096865393</v>
      </c>
      <c r="K110" s="156">
        <f t="shared" si="11"/>
        <v>0.96600555688102208</v>
      </c>
      <c r="L110" s="157">
        <f t="shared" si="12"/>
        <v>-1.6427876096865393</v>
      </c>
      <c r="M110" s="156">
        <f t="shared" si="13"/>
        <v>-0.76604444311897801</v>
      </c>
      <c r="N110" s="157">
        <f t="shared" si="14"/>
        <v>1.3572123903134607</v>
      </c>
      <c r="O110" s="30"/>
      <c r="P110" s="30"/>
      <c r="Q110" s="30"/>
      <c r="R110" s="30"/>
      <c r="S110" s="30"/>
      <c r="T110" s="29"/>
    </row>
    <row r="111" spans="1:20" s="32" customFormat="1" ht="16" customHeight="1" x14ac:dyDescent="0.2">
      <c r="A111" s="30"/>
      <c r="B111" s="30"/>
      <c r="C111" s="30"/>
      <c r="D111" s="30"/>
      <c r="E111" s="30"/>
      <c r="F111" s="30"/>
      <c r="G111" s="30"/>
      <c r="H111" s="155">
        <f t="shared" si="15"/>
        <v>225</v>
      </c>
      <c r="I111" s="164">
        <f t="shared" si="9"/>
        <v>-2.439156781186548</v>
      </c>
      <c r="J111" s="157">
        <f t="shared" si="10"/>
        <v>-1.7071067811865475</v>
      </c>
      <c r="K111" s="156">
        <f t="shared" si="11"/>
        <v>1.0249432188134524</v>
      </c>
      <c r="L111" s="157">
        <f t="shared" si="12"/>
        <v>-1.7071067811865475</v>
      </c>
      <c r="M111" s="156">
        <f t="shared" si="13"/>
        <v>-0.70710678118654768</v>
      </c>
      <c r="N111" s="157">
        <f t="shared" si="14"/>
        <v>1.2928932188134525</v>
      </c>
      <c r="O111" s="30"/>
      <c r="P111" s="30"/>
      <c r="Q111" s="30"/>
      <c r="R111" s="30"/>
      <c r="S111" s="30"/>
      <c r="T111" s="29"/>
    </row>
    <row r="112" spans="1:20" s="32" customFormat="1" ht="16" customHeight="1" x14ac:dyDescent="0.2">
      <c r="A112" s="30"/>
      <c r="B112" s="30"/>
      <c r="C112" s="30"/>
      <c r="D112" s="30"/>
      <c r="E112" s="30"/>
      <c r="F112" s="30"/>
      <c r="G112" s="30"/>
      <c r="H112" s="155">
        <f t="shared" si="15"/>
        <v>230</v>
      </c>
      <c r="I112" s="164">
        <f t="shared" si="9"/>
        <v>-2.3748376096865398</v>
      </c>
      <c r="J112" s="157">
        <f t="shared" si="10"/>
        <v>-1.7660444431189779</v>
      </c>
      <c r="K112" s="156">
        <f t="shared" si="11"/>
        <v>1.0892623903134606</v>
      </c>
      <c r="L112" s="157">
        <f t="shared" si="12"/>
        <v>-1.7660444431189779</v>
      </c>
      <c r="M112" s="156">
        <f t="shared" si="13"/>
        <v>-0.64278760968653947</v>
      </c>
      <c r="N112" s="157">
        <f t="shared" si="14"/>
        <v>1.2339555568810221</v>
      </c>
      <c r="O112" s="30"/>
      <c r="P112" s="30"/>
      <c r="Q112" s="30"/>
      <c r="R112" s="30"/>
      <c r="S112" s="30"/>
      <c r="T112" s="29"/>
    </row>
    <row r="113" spans="1:20" s="32" customFormat="1" ht="16" customHeight="1" x14ac:dyDescent="0.2">
      <c r="A113" s="30"/>
      <c r="B113" s="30"/>
      <c r="C113" s="30"/>
      <c r="D113" s="30"/>
      <c r="E113" s="30"/>
      <c r="F113" s="30"/>
      <c r="G113" s="30"/>
      <c r="H113" s="155">
        <f t="shared" si="15"/>
        <v>235</v>
      </c>
      <c r="I113" s="164">
        <f t="shared" si="9"/>
        <v>-2.3056264363510466</v>
      </c>
      <c r="J113" s="157">
        <f t="shared" si="10"/>
        <v>-1.8191520442889915</v>
      </c>
      <c r="K113" s="156">
        <f t="shared" si="11"/>
        <v>1.1584735636489536</v>
      </c>
      <c r="L113" s="157">
        <f t="shared" si="12"/>
        <v>-1.8191520442889915</v>
      </c>
      <c r="M113" s="156">
        <f t="shared" si="13"/>
        <v>-0.57357643635104638</v>
      </c>
      <c r="N113" s="157">
        <f t="shared" si="14"/>
        <v>1.1808479557110085</v>
      </c>
      <c r="O113" s="30"/>
      <c r="P113" s="30"/>
      <c r="Q113" s="30"/>
      <c r="R113" s="30"/>
      <c r="S113" s="30"/>
      <c r="T113" s="29"/>
    </row>
    <row r="114" spans="1:20" s="32" customFormat="1" ht="16" customHeight="1" x14ac:dyDescent="0.2">
      <c r="A114" s="30"/>
      <c r="B114" s="30"/>
      <c r="C114" s="30"/>
      <c r="D114" s="30"/>
      <c r="E114" s="30"/>
      <c r="F114" s="30"/>
      <c r="G114" s="30"/>
      <c r="H114" s="155">
        <f t="shared" si="15"/>
        <v>240</v>
      </c>
      <c r="I114" s="164">
        <f t="shared" si="9"/>
        <v>-2.2320500000000005</v>
      </c>
      <c r="J114" s="157">
        <f t="shared" si="10"/>
        <v>-1.8660254037844384</v>
      </c>
      <c r="K114" s="156">
        <f t="shared" si="11"/>
        <v>1.2320499999999996</v>
      </c>
      <c r="L114" s="157">
        <f t="shared" si="12"/>
        <v>-1.8660254037844384</v>
      </c>
      <c r="M114" s="156">
        <f t="shared" si="13"/>
        <v>-0.50000000000000044</v>
      </c>
      <c r="N114" s="157">
        <f t="shared" si="14"/>
        <v>1.1339745962155616</v>
      </c>
      <c r="O114" s="30"/>
      <c r="P114" s="30"/>
      <c r="Q114" s="30"/>
      <c r="R114" s="30"/>
      <c r="S114" s="30"/>
      <c r="T114" s="29"/>
    </row>
    <row r="115" spans="1:20" s="32" customFormat="1" ht="16" customHeight="1" x14ac:dyDescent="0.2">
      <c r="A115" s="30"/>
      <c r="B115" s="30"/>
      <c r="C115" s="30"/>
      <c r="D115" s="30"/>
      <c r="E115" s="30"/>
      <c r="F115" s="30"/>
      <c r="G115" s="30"/>
      <c r="H115" s="155">
        <f t="shared" si="15"/>
        <v>245</v>
      </c>
      <c r="I115" s="164">
        <f t="shared" si="9"/>
        <v>-2.1546682617406994</v>
      </c>
      <c r="J115" s="157">
        <f t="shared" si="10"/>
        <v>-1.90630778703665</v>
      </c>
      <c r="K115" s="156">
        <f t="shared" si="11"/>
        <v>1.3094317382593008</v>
      </c>
      <c r="L115" s="157">
        <f t="shared" si="12"/>
        <v>-1.90630778703665</v>
      </c>
      <c r="M115" s="156">
        <f t="shared" si="13"/>
        <v>-0.42261826174069916</v>
      </c>
      <c r="N115" s="157">
        <f t="shared" si="14"/>
        <v>1.09369221296335</v>
      </c>
      <c r="O115" s="30"/>
      <c r="P115" s="30"/>
      <c r="Q115" s="30"/>
      <c r="R115" s="30"/>
      <c r="S115" s="30"/>
      <c r="T115" s="29"/>
    </row>
    <row r="116" spans="1:20" s="32" customFormat="1" ht="16" customHeight="1" x14ac:dyDescent="0.2">
      <c r="A116" s="30"/>
      <c r="B116" s="30"/>
      <c r="C116" s="30"/>
      <c r="D116" s="30"/>
      <c r="E116" s="30"/>
      <c r="F116" s="30"/>
      <c r="G116" s="30"/>
      <c r="H116" s="155">
        <f t="shared" si="15"/>
        <v>250</v>
      </c>
      <c r="I116" s="164">
        <f t="shared" si="9"/>
        <v>-2.0740701433256685</v>
      </c>
      <c r="J116" s="157">
        <f t="shared" si="10"/>
        <v>-1.9396926207859084</v>
      </c>
      <c r="K116" s="156">
        <f t="shared" si="11"/>
        <v>1.3900298566743317</v>
      </c>
      <c r="L116" s="157">
        <f t="shared" si="12"/>
        <v>-1.9396926207859084</v>
      </c>
      <c r="M116" s="156">
        <f t="shared" si="13"/>
        <v>-0.34202014332566855</v>
      </c>
      <c r="N116" s="157">
        <f t="shared" si="14"/>
        <v>1.0603073792140916</v>
      </c>
      <c r="O116" s="30"/>
      <c r="P116" s="30"/>
      <c r="Q116" s="30"/>
      <c r="R116" s="30"/>
      <c r="S116" s="30"/>
      <c r="T116" s="29"/>
    </row>
    <row r="117" spans="1:20" s="32" customFormat="1" ht="16" customHeight="1" x14ac:dyDescent="0.2">
      <c r="A117" s="30"/>
      <c r="B117" s="30"/>
      <c r="C117" s="30"/>
      <c r="D117" s="30"/>
      <c r="E117" s="30"/>
      <c r="F117" s="30"/>
      <c r="G117" s="30"/>
      <c r="H117" s="155">
        <f t="shared" si="15"/>
        <v>255</v>
      </c>
      <c r="I117" s="164">
        <f t="shared" si="9"/>
        <v>-1.9908690451025208</v>
      </c>
      <c r="J117" s="157">
        <f t="shared" si="10"/>
        <v>-1.9659258262890682</v>
      </c>
      <c r="K117" s="156">
        <f t="shared" si="11"/>
        <v>1.4732309548974794</v>
      </c>
      <c r="L117" s="157">
        <f t="shared" si="12"/>
        <v>-1.9659258262890682</v>
      </c>
      <c r="M117" s="156">
        <f t="shared" si="13"/>
        <v>-0.25881904510252063</v>
      </c>
      <c r="N117" s="157">
        <f t="shared" si="14"/>
        <v>1.0340741737109318</v>
      </c>
      <c r="O117" s="30"/>
      <c r="P117" s="30"/>
      <c r="Q117" s="30"/>
      <c r="R117" s="30"/>
      <c r="S117" s="30"/>
      <c r="T117" s="29"/>
    </row>
    <row r="118" spans="1:20" s="32" customFormat="1" ht="16" customHeight="1" x14ac:dyDescent="0.2">
      <c r="A118" s="30"/>
      <c r="B118" s="30"/>
      <c r="C118" s="30"/>
      <c r="D118" s="30"/>
      <c r="E118" s="30"/>
      <c r="F118" s="30"/>
      <c r="G118" s="30"/>
      <c r="H118" s="155">
        <f t="shared" si="15"/>
        <v>260</v>
      </c>
      <c r="I118" s="164">
        <f t="shared" si="9"/>
        <v>-1.9056981776669304</v>
      </c>
      <c r="J118" s="157">
        <f t="shared" si="10"/>
        <v>-1.9848077530122081</v>
      </c>
      <c r="K118" s="156">
        <f t="shared" si="11"/>
        <v>1.5584018223330698</v>
      </c>
      <c r="L118" s="157">
        <f t="shared" si="12"/>
        <v>-1.9848077530122081</v>
      </c>
      <c r="M118" s="156">
        <f t="shared" si="13"/>
        <v>-0.17364817766693033</v>
      </c>
      <c r="N118" s="157">
        <f t="shared" si="14"/>
        <v>1.0151922469877919</v>
      </c>
      <c r="O118" s="30"/>
      <c r="P118" s="30"/>
      <c r="Q118" s="30"/>
      <c r="R118" s="30"/>
      <c r="S118" s="30"/>
      <c r="T118" s="29"/>
    </row>
    <row r="119" spans="1:20" s="32" customFormat="1" ht="16" customHeight="1" x14ac:dyDescent="0.2">
      <c r="A119" s="30"/>
      <c r="B119" s="30"/>
      <c r="C119" s="30"/>
      <c r="D119" s="30"/>
      <c r="E119" s="30"/>
      <c r="F119" s="30"/>
      <c r="G119" s="30"/>
      <c r="H119" s="155">
        <f t="shared" si="15"/>
        <v>265</v>
      </c>
      <c r="I119" s="164">
        <f t="shared" si="9"/>
        <v>-1.8192057427476582</v>
      </c>
      <c r="J119" s="157">
        <f t="shared" si="10"/>
        <v>-1.9961946980917455</v>
      </c>
      <c r="K119" s="156">
        <f t="shared" si="11"/>
        <v>1.644894257252342</v>
      </c>
      <c r="L119" s="157">
        <f t="shared" si="12"/>
        <v>-1.9961946980917455</v>
      </c>
      <c r="M119" s="156">
        <f t="shared" si="13"/>
        <v>-8.7155742747658249E-2</v>
      </c>
      <c r="N119" s="157">
        <f t="shared" si="14"/>
        <v>1.0038053019082545</v>
      </c>
      <c r="O119" s="30"/>
      <c r="P119" s="30"/>
      <c r="Q119" s="30"/>
      <c r="R119" s="30"/>
      <c r="S119" s="30"/>
      <c r="T119" s="29"/>
    </row>
    <row r="120" spans="1:20" s="32" customFormat="1" ht="16" customHeight="1" x14ac:dyDescent="0.2">
      <c r="A120" s="30"/>
      <c r="B120" s="30"/>
      <c r="C120" s="30"/>
      <c r="D120" s="30"/>
      <c r="E120" s="30"/>
      <c r="F120" s="30"/>
      <c r="G120" s="30"/>
      <c r="H120" s="155">
        <f t="shared" si="15"/>
        <v>270</v>
      </c>
      <c r="I120" s="164">
        <f t="shared" si="9"/>
        <v>-1.7320500000000003</v>
      </c>
      <c r="J120" s="157">
        <f t="shared" si="10"/>
        <v>-2</v>
      </c>
      <c r="K120" s="156">
        <f t="shared" si="11"/>
        <v>1.7320499999999999</v>
      </c>
      <c r="L120" s="157">
        <f t="shared" si="12"/>
        <v>-2</v>
      </c>
      <c r="M120" s="156">
        <f t="shared" si="13"/>
        <v>-1.83772268236293E-16</v>
      </c>
      <c r="N120" s="157">
        <f t="shared" si="14"/>
        <v>1</v>
      </c>
      <c r="O120" s="30"/>
      <c r="P120" s="30"/>
      <c r="Q120" s="30"/>
      <c r="R120" s="30"/>
      <c r="S120" s="30"/>
      <c r="T120" s="29"/>
    </row>
    <row r="121" spans="1:20" s="32" customFormat="1" ht="16" customHeight="1" x14ac:dyDescent="0.2">
      <c r="A121" s="30"/>
      <c r="B121" s="30"/>
      <c r="C121" s="30"/>
      <c r="D121" s="30"/>
      <c r="E121" s="30"/>
      <c r="F121" s="30"/>
      <c r="G121" s="30"/>
      <c r="H121" s="155">
        <f t="shared" si="15"/>
        <v>275</v>
      </c>
      <c r="I121" s="164">
        <f t="shared" si="9"/>
        <v>-1.6448942572523422</v>
      </c>
      <c r="J121" s="157">
        <f t="shared" si="10"/>
        <v>-1.9961946980917455</v>
      </c>
      <c r="K121" s="156">
        <f t="shared" si="11"/>
        <v>1.819205742747658</v>
      </c>
      <c r="L121" s="157">
        <f t="shared" si="12"/>
        <v>-1.9961946980917455</v>
      </c>
      <c r="M121" s="156">
        <f t="shared" si="13"/>
        <v>8.7155742747657888E-2</v>
      </c>
      <c r="N121" s="157">
        <f t="shared" si="14"/>
        <v>1.0038053019082545</v>
      </c>
      <c r="O121" s="30"/>
      <c r="P121" s="30"/>
      <c r="Q121" s="30"/>
      <c r="R121" s="30"/>
      <c r="S121" s="30"/>
      <c r="T121" s="29"/>
    </row>
    <row r="122" spans="1:20" s="32" customFormat="1" ht="16" customHeight="1" x14ac:dyDescent="0.2">
      <c r="A122" s="30"/>
      <c r="B122" s="30"/>
      <c r="C122" s="30"/>
      <c r="D122" s="30"/>
      <c r="E122" s="30"/>
      <c r="F122" s="30"/>
      <c r="G122" s="30"/>
      <c r="H122" s="155">
        <f t="shared" si="15"/>
        <v>280</v>
      </c>
      <c r="I122" s="164">
        <f t="shared" si="9"/>
        <v>-1.55840182233307</v>
      </c>
      <c r="J122" s="157">
        <f t="shared" si="10"/>
        <v>-1.9848077530122081</v>
      </c>
      <c r="K122" s="156">
        <f t="shared" si="11"/>
        <v>1.9056981776669302</v>
      </c>
      <c r="L122" s="157">
        <f t="shared" si="12"/>
        <v>-1.9848077530122081</v>
      </c>
      <c r="M122" s="156">
        <f t="shared" si="13"/>
        <v>0.17364817766692997</v>
      </c>
      <c r="N122" s="157">
        <f t="shared" si="14"/>
        <v>1.0151922469877919</v>
      </c>
      <c r="O122" s="30"/>
      <c r="P122" s="30"/>
      <c r="Q122" s="30"/>
      <c r="R122" s="30"/>
      <c r="S122" s="30"/>
      <c r="T122" s="29"/>
    </row>
    <row r="123" spans="1:20" s="32" customFormat="1" ht="16" customHeight="1" x14ac:dyDescent="0.2">
      <c r="A123" s="30"/>
      <c r="B123" s="30"/>
      <c r="C123" s="30"/>
      <c r="D123" s="30"/>
      <c r="E123" s="30"/>
      <c r="F123" s="30"/>
      <c r="G123" s="30"/>
      <c r="H123" s="155">
        <f t="shared" si="15"/>
        <v>285</v>
      </c>
      <c r="I123" s="164">
        <f t="shared" si="9"/>
        <v>-1.4732309548974798</v>
      </c>
      <c r="J123" s="157">
        <f t="shared" si="10"/>
        <v>-1.9659258262890684</v>
      </c>
      <c r="K123" s="156">
        <f t="shared" si="11"/>
        <v>1.9908690451025204</v>
      </c>
      <c r="L123" s="157">
        <f t="shared" si="12"/>
        <v>-1.9659258262890684</v>
      </c>
      <c r="M123" s="156">
        <f t="shared" si="13"/>
        <v>0.2588190451025203</v>
      </c>
      <c r="N123" s="157">
        <f t="shared" si="14"/>
        <v>1.0340741737109316</v>
      </c>
      <c r="O123" s="30"/>
      <c r="P123" s="30"/>
      <c r="Q123" s="30"/>
      <c r="R123" s="30"/>
      <c r="S123" s="30"/>
      <c r="T123" s="29"/>
    </row>
    <row r="124" spans="1:20" s="32" customFormat="1" ht="16" customHeight="1" x14ac:dyDescent="0.2">
      <c r="A124" s="30"/>
      <c r="B124" s="30"/>
      <c r="C124" s="30"/>
      <c r="D124" s="30"/>
      <c r="E124" s="30"/>
      <c r="F124" s="30"/>
      <c r="G124" s="30"/>
      <c r="H124" s="155">
        <f t="shared" si="15"/>
        <v>290</v>
      </c>
      <c r="I124" s="164">
        <f t="shared" si="9"/>
        <v>-1.3900298566743312</v>
      </c>
      <c r="J124" s="157">
        <f t="shared" si="10"/>
        <v>-1.9396926207859084</v>
      </c>
      <c r="K124" s="156">
        <f t="shared" si="11"/>
        <v>2.074070143325669</v>
      </c>
      <c r="L124" s="157">
        <f t="shared" si="12"/>
        <v>-1.9396926207859084</v>
      </c>
      <c r="M124" s="156">
        <f t="shared" si="13"/>
        <v>0.34202014332566899</v>
      </c>
      <c r="N124" s="157">
        <f t="shared" si="14"/>
        <v>1.0603073792140916</v>
      </c>
      <c r="O124" s="30"/>
      <c r="P124" s="30"/>
      <c r="Q124" s="30"/>
      <c r="R124" s="30"/>
      <c r="S124" s="30"/>
      <c r="T124" s="29"/>
    </row>
    <row r="125" spans="1:20" s="32" customFormat="1" ht="16" customHeight="1" x14ac:dyDescent="0.2">
      <c r="A125" s="30"/>
      <c r="B125" s="30"/>
      <c r="C125" s="30"/>
      <c r="D125" s="30"/>
      <c r="E125" s="30"/>
      <c r="F125" s="30"/>
      <c r="G125" s="30"/>
      <c r="H125" s="155">
        <f t="shared" si="15"/>
        <v>295</v>
      </c>
      <c r="I125" s="164">
        <f t="shared" si="9"/>
        <v>-1.3094317382593004</v>
      </c>
      <c r="J125" s="157">
        <f t="shared" si="10"/>
        <v>-1.90630778703665</v>
      </c>
      <c r="K125" s="156">
        <f t="shared" si="11"/>
        <v>2.1546682617406998</v>
      </c>
      <c r="L125" s="157">
        <f t="shared" si="12"/>
        <v>-1.90630778703665</v>
      </c>
      <c r="M125" s="156">
        <f t="shared" si="13"/>
        <v>0.42261826174069961</v>
      </c>
      <c r="N125" s="157">
        <f t="shared" si="14"/>
        <v>1.09369221296335</v>
      </c>
      <c r="O125" s="30"/>
      <c r="P125" s="30"/>
      <c r="Q125" s="30"/>
      <c r="R125" s="30"/>
      <c r="S125" s="30"/>
      <c r="T125" s="29"/>
    </row>
    <row r="126" spans="1:20" s="32" customFormat="1" ht="16" customHeight="1" x14ac:dyDescent="0.2">
      <c r="A126" s="30"/>
      <c r="B126" s="30"/>
      <c r="C126" s="30"/>
      <c r="D126" s="30"/>
      <c r="E126" s="30"/>
      <c r="F126" s="30"/>
      <c r="G126" s="30"/>
      <c r="H126" s="155">
        <f t="shared" si="15"/>
        <v>300</v>
      </c>
      <c r="I126" s="164">
        <f t="shared" si="9"/>
        <v>-1.2320500000000001</v>
      </c>
      <c r="J126" s="157">
        <f t="shared" si="10"/>
        <v>-1.8660254037844386</v>
      </c>
      <c r="K126" s="156">
        <f t="shared" si="11"/>
        <v>2.2320500000000001</v>
      </c>
      <c r="L126" s="157">
        <f t="shared" si="12"/>
        <v>-1.8660254037844386</v>
      </c>
      <c r="M126" s="156">
        <f t="shared" si="13"/>
        <v>0.50000000000000011</v>
      </c>
      <c r="N126" s="157">
        <f t="shared" si="14"/>
        <v>1.1339745962155614</v>
      </c>
      <c r="O126" s="30"/>
      <c r="P126" s="30"/>
      <c r="Q126" s="30"/>
      <c r="R126" s="30"/>
      <c r="S126" s="30"/>
      <c r="T126" s="29"/>
    </row>
    <row r="127" spans="1:20" s="32" customFormat="1" ht="16" customHeight="1" x14ac:dyDescent="0.2">
      <c r="A127" s="30"/>
      <c r="B127" s="30"/>
      <c r="C127" s="30"/>
      <c r="D127" s="30"/>
      <c r="E127" s="30"/>
      <c r="F127" s="30"/>
      <c r="G127" s="30"/>
      <c r="H127" s="155">
        <f t="shared" si="15"/>
        <v>305</v>
      </c>
      <c r="I127" s="164">
        <f t="shared" si="9"/>
        <v>-1.158473563648954</v>
      </c>
      <c r="J127" s="157">
        <f t="shared" si="10"/>
        <v>-1.8191520442889919</v>
      </c>
      <c r="K127" s="156">
        <f t="shared" si="11"/>
        <v>2.3056264363510461</v>
      </c>
      <c r="L127" s="157">
        <f t="shared" si="12"/>
        <v>-1.8191520442889919</v>
      </c>
      <c r="M127" s="156">
        <f t="shared" si="13"/>
        <v>0.57357643635104605</v>
      </c>
      <c r="N127" s="157">
        <f t="shared" si="14"/>
        <v>1.1808479557110081</v>
      </c>
      <c r="O127" s="30"/>
      <c r="P127" s="30"/>
      <c r="Q127" s="30"/>
      <c r="R127" s="30"/>
      <c r="S127" s="30"/>
      <c r="T127" s="29"/>
    </row>
    <row r="128" spans="1:20" s="32" customFormat="1" ht="16" customHeight="1" x14ac:dyDescent="0.2">
      <c r="A128" s="30"/>
      <c r="B128" s="30"/>
      <c r="C128" s="30"/>
      <c r="D128" s="30"/>
      <c r="E128" s="30"/>
      <c r="F128" s="30"/>
      <c r="G128" s="30"/>
      <c r="H128" s="155">
        <f t="shared" si="15"/>
        <v>310</v>
      </c>
      <c r="I128" s="164">
        <f t="shared" si="9"/>
        <v>-1.0892623903134608</v>
      </c>
      <c r="J128" s="157">
        <f t="shared" si="10"/>
        <v>-1.7660444431189781</v>
      </c>
      <c r="K128" s="156">
        <f t="shared" si="11"/>
        <v>2.3748376096865393</v>
      </c>
      <c r="L128" s="157">
        <f t="shared" si="12"/>
        <v>-1.7660444431189781</v>
      </c>
      <c r="M128" s="156">
        <f t="shared" si="13"/>
        <v>0.64278760968653925</v>
      </c>
      <c r="N128" s="157">
        <f t="shared" si="14"/>
        <v>1.2339555568810219</v>
      </c>
      <c r="O128" s="30"/>
      <c r="P128" s="30"/>
      <c r="Q128" s="30"/>
      <c r="R128" s="30"/>
      <c r="S128" s="30"/>
      <c r="T128" s="29"/>
    </row>
    <row r="129" spans="1:20" s="32" customFormat="1" ht="16" customHeight="1" x14ac:dyDescent="0.2">
      <c r="A129" s="30"/>
      <c r="B129" s="30"/>
      <c r="C129" s="30"/>
      <c r="D129" s="30"/>
      <c r="E129" s="30"/>
      <c r="F129" s="30"/>
      <c r="G129" s="30"/>
      <c r="H129" s="155">
        <f t="shared" si="15"/>
        <v>315</v>
      </c>
      <c r="I129" s="164">
        <f t="shared" si="9"/>
        <v>-1.0249432188134526</v>
      </c>
      <c r="J129" s="157">
        <f t="shared" si="10"/>
        <v>-1.7071067811865477</v>
      </c>
      <c r="K129" s="156">
        <f t="shared" si="11"/>
        <v>2.4391567811865476</v>
      </c>
      <c r="L129" s="157">
        <f t="shared" si="12"/>
        <v>-1.7071067811865477</v>
      </c>
      <c r="M129" s="156">
        <f t="shared" si="13"/>
        <v>0.70710678118654735</v>
      </c>
      <c r="N129" s="157">
        <f t="shared" si="14"/>
        <v>1.2928932188134523</v>
      </c>
      <c r="O129" s="30"/>
      <c r="P129" s="30"/>
      <c r="Q129" s="30"/>
      <c r="R129" s="30"/>
      <c r="S129" s="30"/>
      <c r="T129" s="29"/>
    </row>
    <row r="130" spans="1:20" s="32" customFormat="1" ht="16" customHeight="1" x14ac:dyDescent="0.2">
      <c r="A130" s="30"/>
      <c r="B130" s="30"/>
      <c r="C130" s="30"/>
      <c r="D130" s="30"/>
      <c r="E130" s="30"/>
      <c r="F130" s="30"/>
      <c r="G130" s="30"/>
      <c r="H130" s="155">
        <f t="shared" si="15"/>
        <v>320</v>
      </c>
      <c r="I130" s="164">
        <f t="shared" ref="I130:I138" si="16">$K$35+$K$32*COS(RADIANS(H130))</f>
        <v>-0.9660055568810223</v>
      </c>
      <c r="J130" s="157">
        <f t="shared" ref="J130:J138" si="17">$K$36+$K$32*SIN(RADIANS(H130))</f>
        <v>-1.6427876096865397</v>
      </c>
      <c r="K130" s="156">
        <f t="shared" ref="K130:K138" si="18">$N$35+$N$32*COS(RADIANS(H130))</f>
        <v>2.498094443118978</v>
      </c>
      <c r="L130" s="157">
        <f t="shared" ref="L130:L138" si="19">$N$36+$N$32*SIN(RADIANS(H130))</f>
        <v>-1.6427876096865397</v>
      </c>
      <c r="M130" s="156">
        <f t="shared" ref="M130:M138" si="20">$N$44+$N$41*COS(RADIANS(H130))</f>
        <v>0.76604444311897779</v>
      </c>
      <c r="N130" s="157">
        <f t="shared" ref="N130:N138" si="21">$N$45+$N$41*SIN(RADIANS(H130))</f>
        <v>1.3572123903134603</v>
      </c>
      <c r="O130" s="30"/>
      <c r="P130" s="30"/>
      <c r="Q130" s="30"/>
      <c r="R130" s="30"/>
      <c r="S130" s="30"/>
      <c r="T130" s="29"/>
    </row>
    <row r="131" spans="1:20" s="32" customFormat="1" ht="16" customHeight="1" x14ac:dyDescent="0.2">
      <c r="A131" s="30"/>
      <c r="B131" s="30"/>
      <c r="C131" s="30"/>
      <c r="D131" s="30"/>
      <c r="E131" s="30"/>
      <c r="F131" s="30"/>
      <c r="G131" s="30"/>
      <c r="H131" s="155">
        <f t="shared" ref="H131:H138" si="22">H130+5</f>
        <v>325</v>
      </c>
      <c r="I131" s="164">
        <f t="shared" si="16"/>
        <v>-0.91289795571100851</v>
      </c>
      <c r="J131" s="157">
        <f t="shared" si="17"/>
        <v>-1.5735764363510465</v>
      </c>
      <c r="K131" s="156">
        <f t="shared" si="18"/>
        <v>2.5512020442889916</v>
      </c>
      <c r="L131" s="157">
        <f t="shared" si="19"/>
        <v>-1.5735764363510465</v>
      </c>
      <c r="M131" s="156">
        <f t="shared" si="20"/>
        <v>0.81915204428899158</v>
      </c>
      <c r="N131" s="157">
        <f t="shared" si="21"/>
        <v>1.4264235636489535</v>
      </c>
      <c r="O131" s="30"/>
      <c r="P131" s="30"/>
      <c r="Q131" s="30"/>
      <c r="R131" s="30"/>
      <c r="S131" s="30"/>
      <c r="T131" s="29"/>
    </row>
    <row r="132" spans="1:20" s="32" customFormat="1" ht="16" customHeight="1" x14ac:dyDescent="0.2">
      <c r="A132" s="30"/>
      <c r="B132" s="30"/>
      <c r="C132" s="30"/>
      <c r="D132" s="30"/>
      <c r="E132" s="30"/>
      <c r="F132" s="30"/>
      <c r="G132" s="30"/>
      <c r="H132" s="155">
        <f t="shared" si="22"/>
        <v>330</v>
      </c>
      <c r="I132" s="164">
        <f t="shared" si="16"/>
        <v>-0.86602459621556171</v>
      </c>
      <c r="J132" s="157">
        <f t="shared" si="17"/>
        <v>-1.5000000000000004</v>
      </c>
      <c r="K132" s="156">
        <f t="shared" si="18"/>
        <v>2.5980754037844385</v>
      </c>
      <c r="L132" s="157">
        <f t="shared" si="19"/>
        <v>-1.5000000000000004</v>
      </c>
      <c r="M132" s="156">
        <f t="shared" si="20"/>
        <v>0.86602540378443837</v>
      </c>
      <c r="N132" s="157">
        <f t="shared" si="21"/>
        <v>1.4999999999999996</v>
      </c>
      <c r="O132" s="30"/>
      <c r="P132" s="30"/>
      <c r="Q132" s="30"/>
      <c r="R132" s="30"/>
      <c r="S132" s="30"/>
      <c r="T132" s="29"/>
    </row>
    <row r="133" spans="1:20" s="32" customFormat="1" ht="16" customHeight="1" x14ac:dyDescent="0.2">
      <c r="A133" s="30"/>
      <c r="B133" s="30"/>
      <c r="C133" s="30"/>
      <c r="D133" s="30"/>
      <c r="E133" s="30"/>
      <c r="F133" s="30"/>
      <c r="G133" s="30"/>
      <c r="H133" s="155">
        <f t="shared" si="22"/>
        <v>335</v>
      </c>
      <c r="I133" s="164">
        <f t="shared" si="16"/>
        <v>-0.82574221296335004</v>
      </c>
      <c r="J133" s="157">
        <f t="shared" si="17"/>
        <v>-1.4226182617406993</v>
      </c>
      <c r="K133" s="156">
        <f t="shared" si="18"/>
        <v>2.6383577870366501</v>
      </c>
      <c r="L133" s="157">
        <f t="shared" si="19"/>
        <v>-1.4226182617406993</v>
      </c>
      <c r="M133" s="156">
        <f t="shared" si="20"/>
        <v>0.90630778703665005</v>
      </c>
      <c r="N133" s="157">
        <f t="shared" si="21"/>
        <v>1.5773817382593007</v>
      </c>
      <c r="O133" s="30"/>
      <c r="P133" s="30"/>
      <c r="Q133" s="30"/>
      <c r="R133" s="30"/>
      <c r="S133" s="30"/>
      <c r="T133" s="29"/>
    </row>
    <row r="134" spans="1:20" s="32" customFormat="1" ht="16" customHeight="1" x14ac:dyDescent="0.2">
      <c r="A134" s="30"/>
      <c r="B134" s="30"/>
      <c r="C134" s="30"/>
      <c r="D134" s="30"/>
      <c r="E134" s="30"/>
      <c r="F134" s="30"/>
      <c r="G134" s="30"/>
      <c r="H134" s="155">
        <f t="shared" si="22"/>
        <v>340</v>
      </c>
      <c r="I134" s="164">
        <f t="shared" si="16"/>
        <v>-0.79235737921409166</v>
      </c>
      <c r="J134" s="157">
        <f t="shared" si="17"/>
        <v>-1.3420201433256687</v>
      </c>
      <c r="K134" s="156">
        <f t="shared" si="18"/>
        <v>2.6717426207859085</v>
      </c>
      <c r="L134" s="157">
        <f t="shared" si="19"/>
        <v>-1.3420201433256687</v>
      </c>
      <c r="M134" s="156">
        <f t="shared" si="20"/>
        <v>0.93969262078590843</v>
      </c>
      <c r="N134" s="157">
        <f t="shared" si="21"/>
        <v>1.6579798566743313</v>
      </c>
      <c r="O134" s="30"/>
      <c r="P134" s="30"/>
      <c r="Q134" s="30"/>
      <c r="R134" s="30"/>
      <c r="S134" s="30"/>
      <c r="T134" s="29"/>
    </row>
    <row r="135" spans="1:20" s="32" customFormat="1" ht="16" customHeight="1" x14ac:dyDescent="0.2">
      <c r="A135" s="30"/>
      <c r="B135" s="30"/>
      <c r="C135" s="30"/>
      <c r="D135" s="30"/>
      <c r="E135" s="30"/>
      <c r="F135" s="30"/>
      <c r="G135" s="30"/>
      <c r="H135" s="155">
        <f t="shared" si="22"/>
        <v>345</v>
      </c>
      <c r="I135" s="164">
        <f t="shared" si="16"/>
        <v>-0.76612417371093178</v>
      </c>
      <c r="J135" s="157">
        <f t="shared" si="17"/>
        <v>-1.2588190451025207</v>
      </c>
      <c r="K135" s="156">
        <f t="shared" si="18"/>
        <v>2.6979758262890683</v>
      </c>
      <c r="L135" s="157">
        <f t="shared" si="19"/>
        <v>-1.2588190451025207</v>
      </c>
      <c r="M135" s="156">
        <f t="shared" si="20"/>
        <v>0.96592582628906831</v>
      </c>
      <c r="N135" s="157">
        <f t="shared" si="21"/>
        <v>1.7411809548974793</v>
      </c>
      <c r="O135" s="30"/>
      <c r="P135" s="30"/>
      <c r="Q135" s="30"/>
      <c r="R135" s="30"/>
      <c r="S135" s="30"/>
      <c r="T135" s="29"/>
    </row>
    <row r="136" spans="1:20" s="32" customFormat="1" ht="16" customHeight="1" x14ac:dyDescent="0.2">
      <c r="A136" s="30"/>
      <c r="B136" s="30"/>
      <c r="C136" s="30"/>
      <c r="D136" s="30"/>
      <c r="E136" s="30"/>
      <c r="F136" s="30"/>
      <c r="G136" s="30"/>
      <c r="H136" s="155">
        <f t="shared" si="22"/>
        <v>350</v>
      </c>
      <c r="I136" s="164">
        <f t="shared" si="16"/>
        <v>-0.74724224698779207</v>
      </c>
      <c r="J136" s="157">
        <f t="shared" si="17"/>
        <v>-1.1736481776669303</v>
      </c>
      <c r="K136" s="156">
        <f t="shared" si="18"/>
        <v>2.7168577530122082</v>
      </c>
      <c r="L136" s="157">
        <f t="shared" si="19"/>
        <v>-1.1736481776669303</v>
      </c>
      <c r="M136" s="156">
        <f t="shared" si="20"/>
        <v>0.98480775301220802</v>
      </c>
      <c r="N136" s="157">
        <f t="shared" si="21"/>
        <v>1.8263518223330697</v>
      </c>
      <c r="O136" s="30"/>
      <c r="P136" s="30"/>
      <c r="Q136" s="30"/>
      <c r="R136" s="30"/>
      <c r="S136" s="30"/>
      <c r="T136" s="29"/>
    </row>
    <row r="137" spans="1:20" s="32" customFormat="1" ht="16" customHeight="1" x14ac:dyDescent="0.2">
      <c r="A137" s="30"/>
      <c r="B137" s="30"/>
      <c r="C137" s="30"/>
      <c r="D137" s="30"/>
      <c r="E137" s="30"/>
      <c r="F137" s="30"/>
      <c r="G137" s="30"/>
      <c r="H137" s="155">
        <f t="shared" si="22"/>
        <v>355</v>
      </c>
      <c r="I137" s="164">
        <f t="shared" si="16"/>
        <v>-0.73585530190825454</v>
      </c>
      <c r="J137" s="157">
        <f t="shared" si="17"/>
        <v>-1.0871557427476584</v>
      </c>
      <c r="K137" s="156">
        <f t="shared" si="18"/>
        <v>2.7282446980917454</v>
      </c>
      <c r="L137" s="157">
        <f t="shared" si="19"/>
        <v>-1.0871557427476584</v>
      </c>
      <c r="M137" s="156">
        <f t="shared" si="20"/>
        <v>0.99619469809174555</v>
      </c>
      <c r="N137" s="157">
        <f t="shared" si="21"/>
        <v>1.9128442572523416</v>
      </c>
      <c r="O137" s="30"/>
      <c r="P137" s="30"/>
      <c r="Q137" s="30"/>
      <c r="R137" s="30"/>
      <c r="S137" s="30"/>
      <c r="T137" s="29"/>
    </row>
    <row r="138" spans="1:20" s="32" customFormat="1" ht="16" customHeight="1" x14ac:dyDescent="0.2">
      <c r="A138" s="30"/>
      <c r="B138" s="30"/>
      <c r="C138" s="30"/>
      <c r="D138" s="30"/>
      <c r="E138" s="30"/>
      <c r="F138" s="30"/>
      <c r="G138" s="30"/>
      <c r="H138" s="158">
        <f t="shared" si="22"/>
        <v>360</v>
      </c>
      <c r="I138" s="165">
        <f t="shared" si="16"/>
        <v>-0.73205000000000009</v>
      </c>
      <c r="J138" s="160">
        <f t="shared" si="17"/>
        <v>-1.0000000000000002</v>
      </c>
      <c r="K138" s="159">
        <f t="shared" si="18"/>
        <v>2.7320500000000001</v>
      </c>
      <c r="L138" s="160">
        <f t="shared" si="19"/>
        <v>-1.0000000000000002</v>
      </c>
      <c r="M138" s="165">
        <f t="shared" si="20"/>
        <v>1</v>
      </c>
      <c r="N138" s="160">
        <f t="shared" si="21"/>
        <v>1.9999999999999998</v>
      </c>
      <c r="O138" s="30"/>
      <c r="P138" s="30"/>
      <c r="Q138" s="30"/>
      <c r="R138" s="30"/>
      <c r="S138" s="30"/>
      <c r="T138" s="29"/>
    </row>
    <row r="139" spans="1:20" ht="16" customHeight="1" x14ac:dyDescent="0.2"/>
    <row r="140" spans="1:20" ht="16" customHeight="1" x14ac:dyDescent="0.2"/>
    <row r="141" spans="1:20" ht="16" customHeight="1" x14ac:dyDescent="0.2"/>
    <row r="142" spans="1:20" ht="16" customHeight="1" x14ac:dyDescent="0.2"/>
    <row r="143" spans="1:20" ht="16" customHeight="1" x14ac:dyDescent="0.2"/>
  </sheetData>
  <sheetProtection sheet="1" objects="1" scenarios="1"/>
  <mergeCells count="20">
    <mergeCell ref="P19:P24"/>
    <mergeCell ref="M16:N16"/>
    <mergeCell ref="M27:N27"/>
    <mergeCell ref="M17:N17"/>
    <mergeCell ref="M26:N26"/>
    <mergeCell ref="O20:O23"/>
    <mergeCell ref="C64:F64"/>
    <mergeCell ref="J31:K31"/>
    <mergeCell ref="M31:N31"/>
    <mergeCell ref="M40:N40"/>
    <mergeCell ref="N13:N14"/>
    <mergeCell ref="H53:I53"/>
    <mergeCell ref="H54:I54"/>
    <mergeCell ref="J19:L19"/>
    <mergeCell ref="J24:L24"/>
    <mergeCell ref="N9:N10"/>
    <mergeCell ref="N11:N12"/>
    <mergeCell ref="M9:M10"/>
    <mergeCell ref="M11:M12"/>
    <mergeCell ref="M13:M14"/>
  </mergeCells>
  <conditionalFormatting sqref="M20:M21">
    <cfRule type="containsText" dxfId="5" priority="2" operator="containsText" text="eclipse">
      <formula>NOT(ISERROR(SEARCH("eclipse",M20)))</formula>
    </cfRule>
  </conditionalFormatting>
  <conditionalFormatting sqref="M19:N19 O20 N20:N21 L20:L22 L23:M23">
    <cfRule type="cellIs" dxfId="4" priority="5" operator="equal">
      <formula>"Y"</formula>
    </cfRule>
    <cfRule type="cellIs" dxfId="3" priority="6" operator="equal">
      <formula>"N"</formula>
    </cfRule>
  </conditionalFormatting>
  <conditionalFormatting sqref="M24:N24">
    <cfRule type="cellIs" dxfId="2" priority="3" operator="equal">
      <formula>"Y"</formula>
    </cfRule>
    <cfRule type="cellIs" dxfId="1" priority="4" operator="equal">
      <formula>"N"</formula>
    </cfRule>
  </conditionalFormatting>
  <conditionalFormatting sqref="N22:N23">
    <cfRule type="containsText" dxfId="0" priority="1" operator="containsText" text="eclipse">
      <formula>NOT(ISERROR(SEARCH("eclipse",N22)))</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4D040-E3DC-1441-ABA1-E80700E4BB40}">
  <dimension ref="A3:O209"/>
  <sheetViews>
    <sheetView showGridLines="0" workbookViewId="0">
      <selection activeCell="B5" sqref="B5"/>
    </sheetView>
  </sheetViews>
  <sheetFormatPr baseColWidth="10" defaultColWidth="11.5" defaultRowHeight="15" x14ac:dyDescent="0.2"/>
  <cols>
    <col min="1" max="2" width="11.5" style="5"/>
    <col min="3" max="5" width="11.5" style="5" customWidth="1"/>
    <col min="6" max="6" width="11.5" style="5"/>
    <col min="7" max="7" width="14.33203125" style="5" customWidth="1"/>
    <col min="8" max="15" width="11.5" style="5"/>
    <col min="16" max="16384" width="11.5" style="4"/>
  </cols>
  <sheetData>
    <row r="3" spans="2:11" ht="16" x14ac:dyDescent="0.2">
      <c r="B3" s="229" t="s">
        <v>124</v>
      </c>
      <c r="C3" s="230"/>
      <c r="D3" s="230"/>
      <c r="E3" s="230"/>
      <c r="F3" s="171">
        <f>MOD(180+'Moon Phase-Node Model'!K10-'Moon Phase-Node Model'!K9,360)</f>
        <v>180</v>
      </c>
      <c r="H3" s="16" t="s">
        <v>2</v>
      </c>
      <c r="I3" s="17" t="s">
        <v>96</v>
      </c>
      <c r="J3" s="18" t="s">
        <v>95</v>
      </c>
      <c r="K3" s="19"/>
    </row>
    <row r="4" spans="2:11" x14ac:dyDescent="0.2">
      <c r="B4" s="7" t="s">
        <v>3</v>
      </c>
      <c r="C4" s="6">
        <v>200</v>
      </c>
      <c r="D4" s="6"/>
      <c r="E4" s="6" t="s">
        <v>4</v>
      </c>
      <c r="F4" s="8">
        <f>MOD(360-Calculations!F3+180,360)</f>
        <v>0</v>
      </c>
      <c r="H4" s="20">
        <v>0</v>
      </c>
      <c r="I4" s="21" t="s">
        <v>80</v>
      </c>
      <c r="J4" s="22" t="s">
        <v>79</v>
      </c>
      <c r="K4" s="23"/>
    </row>
    <row r="5" spans="2:11" x14ac:dyDescent="0.2">
      <c r="B5" s="9" t="s">
        <v>9</v>
      </c>
      <c r="C5" s="10">
        <f>2/C4</f>
        <v>0.01</v>
      </c>
      <c r="D5" s="10"/>
      <c r="E5" s="10" t="s">
        <v>10</v>
      </c>
      <c r="F5" s="11">
        <f>COS(RADIANS(F4))</f>
        <v>1</v>
      </c>
      <c r="H5" s="20">
        <v>10</v>
      </c>
      <c r="I5" s="21" t="s">
        <v>94</v>
      </c>
      <c r="J5" s="22" t="s">
        <v>93</v>
      </c>
      <c r="K5" s="23"/>
    </row>
    <row r="6" spans="2:11" x14ac:dyDescent="0.2">
      <c r="B6" s="12"/>
      <c r="C6" s="13"/>
      <c r="D6" s="13"/>
      <c r="E6" s="13" t="s">
        <v>12</v>
      </c>
      <c r="F6" s="14">
        <f>ABS(F5)</f>
        <v>1</v>
      </c>
      <c r="H6" s="20">
        <v>80</v>
      </c>
      <c r="I6" s="21" t="s">
        <v>92</v>
      </c>
      <c r="J6" s="22" t="s">
        <v>91</v>
      </c>
      <c r="K6" s="23"/>
    </row>
    <row r="7" spans="2:11" x14ac:dyDescent="0.2">
      <c r="B7" s="9"/>
      <c r="C7" s="10"/>
      <c r="D7" s="10"/>
      <c r="E7" s="10" t="s">
        <v>13</v>
      </c>
      <c r="F7" s="15">
        <v>1</v>
      </c>
      <c r="H7" s="20">
        <v>100</v>
      </c>
      <c r="I7" s="21" t="s">
        <v>90</v>
      </c>
      <c r="J7" s="22" t="s">
        <v>89</v>
      </c>
      <c r="K7" s="23"/>
    </row>
    <row r="8" spans="2:11" x14ac:dyDescent="0.2">
      <c r="B8" s="168" t="s">
        <v>17</v>
      </c>
      <c r="C8" s="169" t="s">
        <v>18</v>
      </c>
      <c r="D8" s="169" t="s">
        <v>19</v>
      </c>
      <c r="E8" s="169" t="s">
        <v>20</v>
      </c>
      <c r="F8" s="170" t="s">
        <v>21</v>
      </c>
      <c r="H8" s="20">
        <v>170</v>
      </c>
      <c r="I8" s="21" t="s">
        <v>88</v>
      </c>
      <c r="J8" s="22" t="s">
        <v>87</v>
      </c>
      <c r="K8" s="23"/>
    </row>
    <row r="9" spans="2:11" x14ac:dyDescent="0.2">
      <c r="B9" s="172">
        <v>-1</v>
      </c>
      <c r="C9" s="13">
        <f t="shared" ref="C9:C72" si="0">IFERROR(IF(SQRT(1-(B9*B9)/($F$6*$F$6))&lt;0.05,0,SQRT(1-(B9*B9)/($F$6*$F$6))),0)</f>
        <v>0</v>
      </c>
      <c r="D9" s="13">
        <f t="shared" ref="D9:D72" si="1">CHOOSE(MATCH($F$4,degrees),IF(B9&lt;0,IFERROR(1-C9,1),0),0,0,IF(B9&gt;0,IFERROR(1-C9,1),0))</f>
        <v>1</v>
      </c>
      <c r="E9" s="13">
        <f t="shared" ref="E9:E72" si="2">CHOOSE(MATCH($F$4,degrees),IF(B9&lt;0,2*C9,2),IF(B9&lt;0,0,1-C9),IF(B9&gt;0,0,1-C9),IF(B9&gt;0,2*C9,2))</f>
        <v>0</v>
      </c>
      <c r="F9" s="14">
        <f t="shared" ref="F9:F72" si="3">CHOOSE(MATCH($F$4,degrees),IF(B9&lt;0,C9+1,2),IF(B9&lt;0,2,2*C9),IF(B9&gt;0,2,2*C9),IF(B9&gt;0,C9+1,2))</f>
        <v>1</v>
      </c>
      <c r="H9" s="20">
        <v>190</v>
      </c>
      <c r="I9" s="21" t="s">
        <v>86</v>
      </c>
      <c r="J9" s="22" t="s">
        <v>85</v>
      </c>
      <c r="K9" s="23"/>
    </row>
    <row r="10" spans="2:11" x14ac:dyDescent="0.2">
      <c r="B10" s="172">
        <f t="shared" ref="B10:B41" si="4">B9+$C$5</f>
        <v>-0.99</v>
      </c>
      <c r="C10" s="13">
        <f t="shared" si="0"/>
        <v>0.14106735979665894</v>
      </c>
      <c r="D10" s="13">
        <f t="shared" si="1"/>
        <v>0.85893264020334104</v>
      </c>
      <c r="E10" s="13">
        <f t="shared" si="2"/>
        <v>0.28213471959331787</v>
      </c>
      <c r="F10" s="14">
        <f t="shared" si="3"/>
        <v>1.141067359796659</v>
      </c>
      <c r="H10" s="20">
        <v>260</v>
      </c>
      <c r="I10" s="21" t="s">
        <v>84</v>
      </c>
      <c r="J10" s="24" t="s">
        <v>83</v>
      </c>
      <c r="K10" s="23"/>
    </row>
    <row r="11" spans="2:11" x14ac:dyDescent="0.2">
      <c r="B11" s="172">
        <f t="shared" si="4"/>
        <v>-0.98</v>
      </c>
      <c r="C11" s="13">
        <f t="shared" si="0"/>
        <v>0.1989974874213242</v>
      </c>
      <c r="D11" s="13">
        <f t="shared" si="1"/>
        <v>0.80100251257867583</v>
      </c>
      <c r="E11" s="13">
        <f t="shared" si="2"/>
        <v>0.3979949748426484</v>
      </c>
      <c r="F11" s="14">
        <f t="shared" si="3"/>
        <v>1.1989974874213243</v>
      </c>
      <c r="H11" s="20">
        <v>280</v>
      </c>
      <c r="I11" s="21" t="s">
        <v>82</v>
      </c>
      <c r="J11" s="24" t="s">
        <v>81</v>
      </c>
      <c r="K11" s="23"/>
    </row>
    <row r="12" spans="2:11" x14ac:dyDescent="0.2">
      <c r="B12" s="172">
        <f t="shared" si="4"/>
        <v>-0.97</v>
      </c>
      <c r="C12" s="13">
        <f t="shared" si="0"/>
        <v>0.24310491562286443</v>
      </c>
      <c r="D12" s="13">
        <f t="shared" si="1"/>
        <v>0.7568950843771356</v>
      </c>
      <c r="E12" s="13">
        <f t="shared" si="2"/>
        <v>0.48620983124572886</v>
      </c>
      <c r="F12" s="14">
        <f t="shared" si="3"/>
        <v>1.2431049156228644</v>
      </c>
      <c r="H12" s="25">
        <v>350</v>
      </c>
      <c r="I12" s="26" t="s">
        <v>80</v>
      </c>
      <c r="J12" s="27" t="s">
        <v>79</v>
      </c>
      <c r="K12" s="28"/>
    </row>
    <row r="13" spans="2:11" x14ac:dyDescent="0.2">
      <c r="B13" s="172">
        <f t="shared" si="4"/>
        <v>-0.96</v>
      </c>
      <c r="C13" s="13">
        <f t="shared" si="0"/>
        <v>0.28000000000000003</v>
      </c>
      <c r="D13" s="13">
        <f t="shared" si="1"/>
        <v>0.72</v>
      </c>
      <c r="E13" s="13">
        <f t="shared" si="2"/>
        <v>0.56000000000000005</v>
      </c>
      <c r="F13" s="14">
        <f t="shared" si="3"/>
        <v>1.28</v>
      </c>
    </row>
    <row r="14" spans="2:11" x14ac:dyDescent="0.2">
      <c r="B14" s="172">
        <f t="shared" si="4"/>
        <v>-0.95</v>
      </c>
      <c r="C14" s="13">
        <f t="shared" si="0"/>
        <v>0.31224989991991997</v>
      </c>
      <c r="D14" s="13">
        <f t="shared" si="1"/>
        <v>0.68775010008008008</v>
      </c>
      <c r="E14" s="13">
        <f t="shared" si="2"/>
        <v>0.62449979983983994</v>
      </c>
      <c r="F14" s="14">
        <f t="shared" si="3"/>
        <v>1.3122498999199199</v>
      </c>
    </row>
    <row r="15" spans="2:11" x14ac:dyDescent="0.2">
      <c r="B15" s="172">
        <f t="shared" si="4"/>
        <v>-0.94</v>
      </c>
      <c r="C15" s="13">
        <f t="shared" si="0"/>
        <v>0.34117444218463971</v>
      </c>
      <c r="D15" s="13">
        <f t="shared" si="1"/>
        <v>0.65882555781536034</v>
      </c>
      <c r="E15" s="13">
        <f t="shared" si="2"/>
        <v>0.68234888436927943</v>
      </c>
      <c r="F15" s="14">
        <f t="shared" si="3"/>
        <v>1.3411744421846397</v>
      </c>
    </row>
    <row r="16" spans="2:11" x14ac:dyDescent="0.2">
      <c r="B16" s="172">
        <f t="shared" si="4"/>
        <v>-0.92999999999999994</v>
      </c>
      <c r="C16" s="13">
        <f t="shared" si="0"/>
        <v>0.36755951898978229</v>
      </c>
      <c r="D16" s="13">
        <f t="shared" si="1"/>
        <v>0.63244048101021777</v>
      </c>
      <c r="E16" s="13">
        <f t="shared" si="2"/>
        <v>0.73511903797956457</v>
      </c>
      <c r="F16" s="14">
        <f t="shared" si="3"/>
        <v>1.3675595189897822</v>
      </c>
    </row>
    <row r="17" spans="2:6" x14ac:dyDescent="0.2">
      <c r="B17" s="172">
        <f t="shared" si="4"/>
        <v>-0.91999999999999993</v>
      </c>
      <c r="C17" s="13">
        <f t="shared" si="0"/>
        <v>0.39191835884530873</v>
      </c>
      <c r="D17" s="13">
        <f t="shared" si="1"/>
        <v>0.60808164115469121</v>
      </c>
      <c r="E17" s="13">
        <f t="shared" si="2"/>
        <v>0.78383671769061747</v>
      </c>
      <c r="F17" s="14">
        <f t="shared" si="3"/>
        <v>1.3919183588453088</v>
      </c>
    </row>
    <row r="18" spans="2:6" x14ac:dyDescent="0.2">
      <c r="B18" s="172">
        <f t="shared" si="4"/>
        <v>-0.90999999999999992</v>
      </c>
      <c r="C18" s="13">
        <f t="shared" si="0"/>
        <v>0.41460824883255781</v>
      </c>
      <c r="D18" s="13">
        <f t="shared" si="1"/>
        <v>0.58539175116744224</v>
      </c>
      <c r="E18" s="13">
        <f t="shared" si="2"/>
        <v>0.82921649766511563</v>
      </c>
      <c r="F18" s="14">
        <f t="shared" si="3"/>
        <v>1.4146082488325578</v>
      </c>
    </row>
    <row r="19" spans="2:6" x14ac:dyDescent="0.2">
      <c r="B19" s="172">
        <f t="shared" si="4"/>
        <v>-0.89999999999999991</v>
      </c>
      <c r="C19" s="13">
        <f t="shared" si="0"/>
        <v>0.43588989435406755</v>
      </c>
      <c r="D19" s="13">
        <f t="shared" si="1"/>
        <v>0.56411010564593245</v>
      </c>
      <c r="E19" s="13">
        <f t="shared" si="2"/>
        <v>0.87177978870813511</v>
      </c>
      <c r="F19" s="14">
        <f t="shared" si="3"/>
        <v>1.4358898943540677</v>
      </c>
    </row>
    <row r="20" spans="2:6" x14ac:dyDescent="0.2">
      <c r="B20" s="172">
        <f t="shared" si="4"/>
        <v>-0.8899999999999999</v>
      </c>
      <c r="C20" s="13">
        <f t="shared" si="0"/>
        <v>0.45596052460712011</v>
      </c>
      <c r="D20" s="13">
        <f t="shared" si="1"/>
        <v>0.54403947539287989</v>
      </c>
      <c r="E20" s="13">
        <f t="shared" si="2"/>
        <v>0.91192104921424022</v>
      </c>
      <c r="F20" s="14">
        <f t="shared" si="3"/>
        <v>1.4559605246071201</v>
      </c>
    </row>
    <row r="21" spans="2:6" x14ac:dyDescent="0.2">
      <c r="B21" s="172">
        <f t="shared" si="4"/>
        <v>-0.87999999999999989</v>
      </c>
      <c r="C21" s="13">
        <f t="shared" si="0"/>
        <v>0.47497368348151681</v>
      </c>
      <c r="D21" s="13">
        <f t="shared" si="1"/>
        <v>0.52502631651848319</v>
      </c>
      <c r="E21" s="13">
        <f t="shared" si="2"/>
        <v>0.94994736696303361</v>
      </c>
      <c r="F21" s="14">
        <f t="shared" si="3"/>
        <v>1.4749736834815168</v>
      </c>
    </row>
    <row r="22" spans="2:6" x14ac:dyDescent="0.2">
      <c r="B22" s="172">
        <f t="shared" si="4"/>
        <v>-0.86999999999999988</v>
      </c>
      <c r="C22" s="13">
        <f t="shared" si="0"/>
        <v>0.49305172142484222</v>
      </c>
      <c r="D22" s="13">
        <f t="shared" si="1"/>
        <v>0.50694827857515778</v>
      </c>
      <c r="E22" s="13">
        <f t="shared" si="2"/>
        <v>0.98610344284968443</v>
      </c>
      <c r="F22" s="14">
        <f t="shared" si="3"/>
        <v>1.4930517214248422</v>
      </c>
    </row>
    <row r="23" spans="2:6" x14ac:dyDescent="0.2">
      <c r="B23" s="172">
        <f t="shared" si="4"/>
        <v>-0.85999999999999988</v>
      </c>
      <c r="C23" s="13">
        <f t="shared" si="0"/>
        <v>0.5102940328869231</v>
      </c>
      <c r="D23" s="13">
        <f t="shared" si="1"/>
        <v>0.4897059671130769</v>
      </c>
      <c r="E23" s="13">
        <f t="shared" si="2"/>
        <v>1.0205880657738462</v>
      </c>
      <c r="F23" s="14">
        <f t="shared" si="3"/>
        <v>1.510294032886923</v>
      </c>
    </row>
    <row r="24" spans="2:6" x14ac:dyDescent="0.2">
      <c r="B24" s="172">
        <f t="shared" si="4"/>
        <v>-0.84999999999999987</v>
      </c>
      <c r="C24" s="13">
        <f t="shared" si="0"/>
        <v>0.52678268764263714</v>
      </c>
      <c r="D24" s="13">
        <f t="shared" si="1"/>
        <v>0.47321731235736286</v>
      </c>
      <c r="E24" s="13">
        <f t="shared" si="2"/>
        <v>1.0535653752852743</v>
      </c>
      <c r="F24" s="14">
        <f t="shared" si="3"/>
        <v>1.5267826876426371</v>
      </c>
    </row>
    <row r="25" spans="2:6" x14ac:dyDescent="0.2">
      <c r="B25" s="172">
        <f t="shared" si="4"/>
        <v>-0.83999999999999986</v>
      </c>
      <c r="C25" s="13">
        <f t="shared" si="0"/>
        <v>0.54258639865002167</v>
      </c>
      <c r="D25" s="13">
        <f t="shared" si="1"/>
        <v>0.45741360134997833</v>
      </c>
      <c r="E25" s="13">
        <f t="shared" si="2"/>
        <v>1.0851727973000433</v>
      </c>
      <c r="F25" s="14">
        <f t="shared" si="3"/>
        <v>1.5425863986500217</v>
      </c>
    </row>
    <row r="26" spans="2:6" x14ac:dyDescent="0.2">
      <c r="B26" s="172">
        <f t="shared" si="4"/>
        <v>-0.82999999999999985</v>
      </c>
      <c r="C26" s="13">
        <f t="shared" si="0"/>
        <v>0.55776339069537384</v>
      </c>
      <c r="D26" s="13">
        <f t="shared" si="1"/>
        <v>0.44223660930462616</v>
      </c>
      <c r="E26" s="13">
        <f t="shared" si="2"/>
        <v>1.1155267813907477</v>
      </c>
      <c r="F26" s="14">
        <f t="shared" si="3"/>
        <v>1.5577633906953738</v>
      </c>
    </row>
    <row r="27" spans="2:6" x14ac:dyDescent="0.2">
      <c r="B27" s="172">
        <f t="shared" si="4"/>
        <v>-0.81999999999999984</v>
      </c>
      <c r="C27" s="13">
        <f t="shared" si="0"/>
        <v>0.57236352085016762</v>
      </c>
      <c r="D27" s="13">
        <f t="shared" si="1"/>
        <v>0.42763647914983238</v>
      </c>
      <c r="E27" s="13">
        <f t="shared" si="2"/>
        <v>1.1447270417003352</v>
      </c>
      <c r="F27" s="14">
        <f t="shared" si="3"/>
        <v>1.5723635208501676</v>
      </c>
    </row>
    <row r="28" spans="2:6" x14ac:dyDescent="0.2">
      <c r="B28" s="172">
        <f t="shared" si="4"/>
        <v>-0.80999999999999983</v>
      </c>
      <c r="C28" s="13">
        <f t="shared" si="0"/>
        <v>0.58642987645583022</v>
      </c>
      <c r="D28" s="13">
        <f t="shared" si="1"/>
        <v>0.41357012354416978</v>
      </c>
      <c r="E28" s="13">
        <f t="shared" si="2"/>
        <v>1.1728597529116604</v>
      </c>
      <c r="F28" s="14">
        <f t="shared" si="3"/>
        <v>1.5864298764558302</v>
      </c>
    </row>
    <row r="29" spans="2:6" x14ac:dyDescent="0.2">
      <c r="B29" s="172">
        <f t="shared" si="4"/>
        <v>-0.79999999999999982</v>
      </c>
      <c r="C29" s="13">
        <f t="shared" si="0"/>
        <v>0.60000000000000031</v>
      </c>
      <c r="D29" s="13">
        <f t="shared" si="1"/>
        <v>0.39999999999999969</v>
      </c>
      <c r="E29" s="13">
        <f t="shared" si="2"/>
        <v>1.2000000000000006</v>
      </c>
      <c r="F29" s="14">
        <f t="shared" si="3"/>
        <v>1.6000000000000003</v>
      </c>
    </row>
    <row r="30" spans="2:6" x14ac:dyDescent="0.2">
      <c r="B30" s="172">
        <f t="shared" si="4"/>
        <v>-0.78999999999999981</v>
      </c>
      <c r="C30" s="13">
        <f t="shared" si="0"/>
        <v>0.61310684223877354</v>
      </c>
      <c r="D30" s="13">
        <f t="shared" si="1"/>
        <v>0.38689315776122646</v>
      </c>
      <c r="E30" s="13">
        <f t="shared" si="2"/>
        <v>1.2262136844775471</v>
      </c>
      <c r="F30" s="14">
        <f t="shared" si="3"/>
        <v>1.6131068422387735</v>
      </c>
    </row>
    <row r="31" spans="2:6" x14ac:dyDescent="0.2">
      <c r="B31" s="172">
        <f t="shared" si="4"/>
        <v>-0.7799999999999998</v>
      </c>
      <c r="C31" s="13">
        <f t="shared" si="0"/>
        <v>0.6257795138864809</v>
      </c>
      <c r="D31" s="13">
        <f t="shared" si="1"/>
        <v>0.3742204861135191</v>
      </c>
      <c r="E31" s="13">
        <f t="shared" si="2"/>
        <v>1.2515590277729618</v>
      </c>
      <c r="F31" s="14">
        <f t="shared" si="3"/>
        <v>1.625779513886481</v>
      </c>
    </row>
    <row r="32" spans="2:6" x14ac:dyDescent="0.2">
      <c r="B32" s="172">
        <f t="shared" si="4"/>
        <v>-0.7699999999999998</v>
      </c>
      <c r="C32" s="13">
        <f t="shared" si="0"/>
        <v>0.6380438856379711</v>
      </c>
      <c r="D32" s="13">
        <f t="shared" si="1"/>
        <v>0.3619561143620289</v>
      </c>
      <c r="E32" s="13">
        <f t="shared" si="2"/>
        <v>1.2760877712759422</v>
      </c>
      <c r="F32" s="14">
        <f t="shared" si="3"/>
        <v>1.6380438856379711</v>
      </c>
    </row>
    <row r="33" spans="2:6" x14ac:dyDescent="0.2">
      <c r="B33" s="172">
        <f t="shared" si="4"/>
        <v>-0.75999999999999979</v>
      </c>
      <c r="C33" s="13">
        <f t="shared" si="0"/>
        <v>0.6499230723708771</v>
      </c>
      <c r="D33" s="13">
        <f t="shared" si="1"/>
        <v>0.3500769276291229</v>
      </c>
      <c r="E33" s="13">
        <f t="shared" si="2"/>
        <v>1.2998461447417542</v>
      </c>
      <c r="F33" s="14">
        <f t="shared" si="3"/>
        <v>1.6499230723708771</v>
      </c>
    </row>
    <row r="34" spans="2:6" x14ac:dyDescent="0.2">
      <c r="B34" s="172">
        <f t="shared" si="4"/>
        <v>-0.74999999999999978</v>
      </c>
      <c r="C34" s="13">
        <f t="shared" si="0"/>
        <v>0.6614378277661479</v>
      </c>
      <c r="D34" s="13">
        <f t="shared" si="1"/>
        <v>0.3385621722338521</v>
      </c>
      <c r="E34" s="13">
        <f t="shared" si="2"/>
        <v>1.3228756555322958</v>
      </c>
      <c r="F34" s="14">
        <f t="shared" si="3"/>
        <v>1.6614378277661479</v>
      </c>
    </row>
    <row r="35" spans="2:6" x14ac:dyDescent="0.2">
      <c r="B35" s="172">
        <f t="shared" si="4"/>
        <v>-0.73999999999999977</v>
      </c>
      <c r="C35" s="13">
        <f t="shared" si="0"/>
        <v>0.67260686883200971</v>
      </c>
      <c r="D35" s="13">
        <f t="shared" si="1"/>
        <v>0.32739313116799029</v>
      </c>
      <c r="E35" s="13">
        <f t="shared" si="2"/>
        <v>1.3452137376640194</v>
      </c>
      <c r="F35" s="14">
        <f t="shared" si="3"/>
        <v>1.6726068688320097</v>
      </c>
    </row>
    <row r="36" spans="2:6" x14ac:dyDescent="0.2">
      <c r="B36" s="172">
        <f t="shared" si="4"/>
        <v>-0.72999999999999976</v>
      </c>
      <c r="C36" s="13">
        <f t="shared" si="0"/>
        <v>0.68344714499367132</v>
      </c>
      <c r="D36" s="13">
        <f t="shared" si="1"/>
        <v>0.31655285500632868</v>
      </c>
      <c r="E36" s="13">
        <f t="shared" si="2"/>
        <v>1.3668942899873426</v>
      </c>
      <c r="F36" s="14">
        <f t="shared" si="3"/>
        <v>1.6834471449936714</v>
      </c>
    </row>
    <row r="37" spans="2:6" x14ac:dyDescent="0.2">
      <c r="B37" s="172">
        <f t="shared" si="4"/>
        <v>-0.71999999999999975</v>
      </c>
      <c r="C37" s="13">
        <f t="shared" si="0"/>
        <v>0.69397406291589914</v>
      </c>
      <c r="D37" s="13">
        <f t="shared" si="1"/>
        <v>0.30602593708410086</v>
      </c>
      <c r="E37" s="13">
        <f t="shared" si="2"/>
        <v>1.3879481258317983</v>
      </c>
      <c r="F37" s="14">
        <f t="shared" si="3"/>
        <v>1.693974062915899</v>
      </c>
    </row>
    <row r="38" spans="2:6" x14ac:dyDescent="0.2">
      <c r="B38" s="172">
        <f t="shared" si="4"/>
        <v>-0.70999999999999974</v>
      </c>
      <c r="C38" s="13">
        <f t="shared" si="0"/>
        <v>0.70420167565833036</v>
      </c>
      <c r="D38" s="13">
        <f t="shared" si="1"/>
        <v>0.29579832434166964</v>
      </c>
      <c r="E38" s="13">
        <f t="shared" si="2"/>
        <v>1.4084033513166607</v>
      </c>
      <c r="F38" s="14">
        <f t="shared" si="3"/>
        <v>1.7042016756583305</v>
      </c>
    </row>
    <row r="39" spans="2:6" x14ac:dyDescent="0.2">
      <c r="B39" s="172">
        <f t="shared" si="4"/>
        <v>-0.69999999999999973</v>
      </c>
      <c r="C39" s="13">
        <f t="shared" si="0"/>
        <v>0.71414284285428531</v>
      </c>
      <c r="D39" s="13">
        <f t="shared" si="1"/>
        <v>0.28585715714571469</v>
      </c>
      <c r="E39" s="13">
        <f t="shared" si="2"/>
        <v>1.4282856857085706</v>
      </c>
      <c r="F39" s="14">
        <f t="shared" si="3"/>
        <v>1.7141428428542853</v>
      </c>
    </row>
    <row r="40" spans="2:6" x14ac:dyDescent="0.2">
      <c r="B40" s="172">
        <f t="shared" si="4"/>
        <v>-0.68999999999999972</v>
      </c>
      <c r="C40" s="13">
        <f t="shared" si="0"/>
        <v>0.72380936716790312</v>
      </c>
      <c r="D40" s="13">
        <f t="shared" si="1"/>
        <v>0.27619063283209688</v>
      </c>
      <c r="E40" s="13">
        <f t="shared" si="2"/>
        <v>1.4476187343358062</v>
      </c>
      <c r="F40" s="14">
        <f t="shared" si="3"/>
        <v>1.7238093671679031</v>
      </c>
    </row>
    <row r="41" spans="2:6" x14ac:dyDescent="0.2">
      <c r="B41" s="172">
        <f t="shared" si="4"/>
        <v>-0.67999999999999972</v>
      </c>
      <c r="C41" s="13">
        <f t="shared" si="0"/>
        <v>0.73321211119293472</v>
      </c>
      <c r="D41" s="13">
        <f t="shared" si="1"/>
        <v>0.26678788880706528</v>
      </c>
      <c r="E41" s="13">
        <f t="shared" si="2"/>
        <v>1.4664242223858694</v>
      </c>
      <c r="F41" s="14">
        <f t="shared" si="3"/>
        <v>1.7332121111929348</v>
      </c>
    </row>
    <row r="42" spans="2:6" x14ac:dyDescent="0.2">
      <c r="B42" s="172">
        <f t="shared" ref="B42:B73" si="5">B41+$C$5</f>
        <v>-0.66999999999999971</v>
      </c>
      <c r="C42" s="13">
        <f t="shared" si="0"/>
        <v>0.74236109811869877</v>
      </c>
      <c r="D42" s="13">
        <f t="shared" si="1"/>
        <v>0.25763890188130123</v>
      </c>
      <c r="E42" s="13">
        <f t="shared" si="2"/>
        <v>1.4847221962373975</v>
      </c>
      <c r="F42" s="14">
        <f t="shared" si="3"/>
        <v>1.7423610981186988</v>
      </c>
    </row>
    <row r="43" spans="2:6" x14ac:dyDescent="0.2">
      <c r="B43" s="172">
        <f t="shared" si="5"/>
        <v>-0.6599999999999997</v>
      </c>
      <c r="C43" s="13">
        <f t="shared" si="0"/>
        <v>0.75126559883971822</v>
      </c>
      <c r="D43" s="13">
        <f t="shared" si="1"/>
        <v>0.24873440116028178</v>
      </c>
      <c r="E43" s="13">
        <f t="shared" si="2"/>
        <v>1.5025311976794364</v>
      </c>
      <c r="F43" s="14">
        <f t="shared" si="3"/>
        <v>1.7512655988397183</v>
      </c>
    </row>
    <row r="44" spans="2:6" x14ac:dyDescent="0.2">
      <c r="B44" s="172">
        <f t="shared" si="5"/>
        <v>-0.64999999999999969</v>
      </c>
      <c r="C44" s="13">
        <f t="shared" si="0"/>
        <v>0.75993420767853337</v>
      </c>
      <c r="D44" s="13">
        <f t="shared" si="1"/>
        <v>0.24006579232146663</v>
      </c>
      <c r="E44" s="13">
        <f t="shared" si="2"/>
        <v>1.5198684153570667</v>
      </c>
      <c r="F44" s="14">
        <f t="shared" si="3"/>
        <v>1.7599342076785334</v>
      </c>
    </row>
    <row r="45" spans="2:6" x14ac:dyDescent="0.2">
      <c r="B45" s="172">
        <f t="shared" si="5"/>
        <v>-0.63999999999999968</v>
      </c>
      <c r="C45" s="13">
        <f t="shared" si="0"/>
        <v>0.76837490849194212</v>
      </c>
      <c r="D45" s="13">
        <f t="shared" si="1"/>
        <v>0.23162509150805788</v>
      </c>
      <c r="E45" s="13">
        <f t="shared" si="2"/>
        <v>1.5367498169838842</v>
      </c>
      <c r="F45" s="14">
        <f t="shared" si="3"/>
        <v>1.7683749084919422</v>
      </c>
    </row>
    <row r="46" spans="2:6" x14ac:dyDescent="0.2">
      <c r="B46" s="172">
        <f t="shared" si="5"/>
        <v>-0.62999999999999967</v>
      </c>
      <c r="C46" s="13">
        <f t="shared" si="0"/>
        <v>0.77659513261415725</v>
      </c>
      <c r="D46" s="13">
        <f t="shared" si="1"/>
        <v>0.22340486738584275</v>
      </c>
      <c r="E46" s="13">
        <f t="shared" si="2"/>
        <v>1.5531902652283145</v>
      </c>
      <c r="F46" s="14">
        <f t="shared" si="3"/>
        <v>1.7765951326141574</v>
      </c>
    </row>
    <row r="47" spans="2:6" x14ac:dyDescent="0.2">
      <c r="B47" s="172">
        <f t="shared" si="5"/>
        <v>-0.61999999999999966</v>
      </c>
      <c r="C47" s="13">
        <f t="shared" si="0"/>
        <v>0.78460180983732153</v>
      </c>
      <c r="D47" s="13">
        <f t="shared" si="1"/>
        <v>0.21539819016267847</v>
      </c>
      <c r="E47" s="13">
        <f t="shared" si="2"/>
        <v>1.5692036196746431</v>
      </c>
      <c r="F47" s="14">
        <f t="shared" si="3"/>
        <v>1.7846018098373215</v>
      </c>
    </row>
    <row r="48" spans="2:6" x14ac:dyDescent="0.2">
      <c r="B48" s="172">
        <f t="shared" si="5"/>
        <v>-0.60999999999999965</v>
      </c>
      <c r="C48" s="13">
        <f t="shared" si="0"/>
        <v>0.79240141342630144</v>
      </c>
      <c r="D48" s="13">
        <f t="shared" si="1"/>
        <v>0.20759858657369856</v>
      </c>
      <c r="E48" s="13">
        <f t="shared" si="2"/>
        <v>1.5848028268526029</v>
      </c>
      <c r="F48" s="14">
        <f t="shared" si="3"/>
        <v>1.7924014134263015</v>
      </c>
    </row>
    <row r="49" spans="2:6" x14ac:dyDescent="0.2">
      <c r="B49" s="172">
        <f t="shared" si="5"/>
        <v>-0.59999999999999964</v>
      </c>
      <c r="C49" s="13">
        <f t="shared" si="0"/>
        <v>0.80000000000000027</v>
      </c>
      <c r="D49" s="13">
        <f t="shared" si="1"/>
        <v>0.19999999999999973</v>
      </c>
      <c r="E49" s="13">
        <f t="shared" si="2"/>
        <v>1.6000000000000005</v>
      </c>
      <c r="F49" s="14">
        <f t="shared" si="3"/>
        <v>1.8000000000000003</v>
      </c>
    </row>
    <row r="50" spans="2:6" x14ac:dyDescent="0.2">
      <c r="B50" s="172">
        <f t="shared" si="5"/>
        <v>-0.58999999999999964</v>
      </c>
      <c r="C50" s="13">
        <f t="shared" si="0"/>
        <v>0.80740324497737825</v>
      </c>
      <c r="D50" s="13">
        <f t="shared" si="1"/>
        <v>0.19259675502262175</v>
      </c>
      <c r="E50" s="13">
        <f t="shared" si="2"/>
        <v>1.6148064899547565</v>
      </c>
      <c r="F50" s="14">
        <f t="shared" si="3"/>
        <v>1.8074032449773783</v>
      </c>
    </row>
    <row r="51" spans="2:6" x14ac:dyDescent="0.2">
      <c r="B51" s="172">
        <f t="shared" si="5"/>
        <v>-0.57999999999999963</v>
      </c>
      <c r="C51" s="13">
        <f t="shared" si="0"/>
        <v>0.81461647417665228</v>
      </c>
      <c r="D51" s="13">
        <f t="shared" si="1"/>
        <v>0.18538352582334772</v>
      </c>
      <c r="E51" s="13">
        <f t="shared" si="2"/>
        <v>1.6292329483533046</v>
      </c>
      <c r="F51" s="14">
        <f t="shared" si="3"/>
        <v>1.8146164741766522</v>
      </c>
    </row>
    <row r="52" spans="2:6" x14ac:dyDescent="0.2">
      <c r="B52" s="172">
        <f t="shared" si="5"/>
        <v>-0.56999999999999962</v>
      </c>
      <c r="C52" s="13">
        <f t="shared" si="0"/>
        <v>0.82164469206585911</v>
      </c>
      <c r="D52" s="13">
        <f t="shared" si="1"/>
        <v>0.17835530793414089</v>
      </c>
      <c r="E52" s="13">
        <f t="shared" si="2"/>
        <v>1.6432893841317182</v>
      </c>
      <c r="F52" s="14">
        <f t="shared" si="3"/>
        <v>1.8216446920658591</v>
      </c>
    </row>
    <row r="53" spans="2:6" x14ac:dyDescent="0.2">
      <c r="B53" s="172">
        <f t="shared" si="5"/>
        <v>-0.55999999999999961</v>
      </c>
      <c r="C53" s="13">
        <f t="shared" si="0"/>
        <v>0.8284926070883194</v>
      </c>
      <c r="D53" s="13">
        <f t="shared" si="1"/>
        <v>0.1715073929116806</v>
      </c>
      <c r="E53" s="13">
        <f t="shared" si="2"/>
        <v>1.6569852141766388</v>
      </c>
      <c r="F53" s="14">
        <f t="shared" si="3"/>
        <v>1.8284926070883194</v>
      </c>
    </row>
    <row r="54" spans="2:6" x14ac:dyDescent="0.2">
      <c r="B54" s="172">
        <f t="shared" si="5"/>
        <v>-0.5499999999999996</v>
      </c>
      <c r="C54" s="13">
        <f t="shared" si="0"/>
        <v>0.83516465442450361</v>
      </c>
      <c r="D54" s="13">
        <f t="shared" si="1"/>
        <v>0.16483534557549639</v>
      </c>
      <c r="E54" s="13">
        <f t="shared" si="2"/>
        <v>1.6703293088490072</v>
      </c>
      <c r="F54" s="14">
        <f t="shared" si="3"/>
        <v>1.8351646544245037</v>
      </c>
    </row>
    <row r="55" spans="2:6" x14ac:dyDescent="0.2">
      <c r="B55" s="172">
        <f t="shared" si="5"/>
        <v>-0.53999999999999959</v>
      </c>
      <c r="C55" s="13">
        <f t="shared" si="0"/>
        <v>0.84166501650003278</v>
      </c>
      <c r="D55" s="13">
        <f t="shared" si="1"/>
        <v>0.15833498349996722</v>
      </c>
      <c r="E55" s="13">
        <f t="shared" si="2"/>
        <v>1.6833300330000656</v>
      </c>
      <c r="F55" s="14">
        <f t="shared" si="3"/>
        <v>1.8416650165000328</v>
      </c>
    </row>
    <row r="56" spans="2:6" x14ac:dyDescent="0.2">
      <c r="B56" s="172">
        <f t="shared" si="5"/>
        <v>-0.52999999999999958</v>
      </c>
      <c r="C56" s="13">
        <f t="shared" si="0"/>
        <v>0.84799764150615453</v>
      </c>
      <c r="D56" s="13">
        <f t="shared" si="1"/>
        <v>0.15200235849384547</v>
      </c>
      <c r="E56" s="13">
        <f t="shared" si="2"/>
        <v>1.6959952830123091</v>
      </c>
      <c r="F56" s="14">
        <f t="shared" si="3"/>
        <v>1.8479976415061545</v>
      </c>
    </row>
    <row r="57" spans="2:6" x14ac:dyDescent="0.2">
      <c r="B57" s="172">
        <f t="shared" si="5"/>
        <v>-0.51999999999999957</v>
      </c>
      <c r="C57" s="13">
        <f t="shared" si="0"/>
        <v>0.85416626016250519</v>
      </c>
      <c r="D57" s="13">
        <f t="shared" si="1"/>
        <v>0.14583373983749481</v>
      </c>
      <c r="E57" s="13">
        <f t="shared" si="2"/>
        <v>1.7083325203250104</v>
      </c>
      <c r="F57" s="14">
        <f t="shared" si="3"/>
        <v>1.8541662601625051</v>
      </c>
    </row>
    <row r="58" spans="2:6" x14ac:dyDescent="0.2">
      <c r="B58" s="172">
        <f t="shared" si="5"/>
        <v>-0.50999999999999956</v>
      </c>
      <c r="C58" s="13">
        <f t="shared" si="0"/>
        <v>0.86017440092111574</v>
      </c>
      <c r="D58" s="13">
        <f t="shared" si="1"/>
        <v>0.13982559907888426</v>
      </c>
      <c r="E58" s="13">
        <f t="shared" si="2"/>
        <v>1.7203488018422315</v>
      </c>
      <c r="F58" s="14">
        <f t="shared" si="3"/>
        <v>1.8601744009211156</v>
      </c>
    </row>
    <row r="59" spans="2:6" x14ac:dyDescent="0.2">
      <c r="B59" s="172">
        <f t="shared" si="5"/>
        <v>-0.49999999999999956</v>
      </c>
      <c r="C59" s="13">
        <f t="shared" si="0"/>
        <v>0.86602540378443893</v>
      </c>
      <c r="D59" s="13">
        <f t="shared" si="1"/>
        <v>0.13397459621556107</v>
      </c>
      <c r="E59" s="13">
        <f t="shared" si="2"/>
        <v>1.7320508075688779</v>
      </c>
      <c r="F59" s="14">
        <f t="shared" si="3"/>
        <v>1.8660254037844388</v>
      </c>
    </row>
    <row r="60" spans="2:6" x14ac:dyDescent="0.2">
      <c r="B60" s="172">
        <f t="shared" si="5"/>
        <v>-0.48999999999999955</v>
      </c>
      <c r="C60" s="13">
        <f t="shared" si="0"/>
        <v>0.87172243288790063</v>
      </c>
      <c r="D60" s="13">
        <f t="shared" si="1"/>
        <v>0.12827756711209937</v>
      </c>
      <c r="E60" s="13">
        <f t="shared" si="2"/>
        <v>1.7434448657758013</v>
      </c>
      <c r="F60" s="14">
        <f t="shared" si="3"/>
        <v>1.8717224328879007</v>
      </c>
    </row>
    <row r="61" spans="2:6" x14ac:dyDescent="0.2">
      <c r="B61" s="172">
        <f t="shared" si="5"/>
        <v>-0.47999999999999954</v>
      </c>
      <c r="C61" s="13">
        <f t="shared" si="0"/>
        <v>0.87726848797845269</v>
      </c>
      <c r="D61" s="13">
        <f t="shared" si="1"/>
        <v>0.12273151202154731</v>
      </c>
      <c r="E61" s="13">
        <f t="shared" si="2"/>
        <v>1.7545369759569054</v>
      </c>
      <c r="F61" s="14">
        <f t="shared" si="3"/>
        <v>1.8772684879784527</v>
      </c>
    </row>
    <row r="62" spans="2:6" x14ac:dyDescent="0.2">
      <c r="B62" s="172">
        <f t="shared" si="5"/>
        <v>-0.46999999999999953</v>
      </c>
      <c r="C62" s="13">
        <f t="shared" si="0"/>
        <v>0.88266641490429465</v>
      </c>
      <c r="D62" s="13">
        <f t="shared" si="1"/>
        <v>0.11733358509570535</v>
      </c>
      <c r="E62" s="13">
        <f t="shared" si="2"/>
        <v>1.7653328298085893</v>
      </c>
      <c r="F62" s="14">
        <f t="shared" si="3"/>
        <v>1.8826664149042946</v>
      </c>
    </row>
    <row r="63" spans="2:6" x14ac:dyDescent="0.2">
      <c r="B63" s="172">
        <f t="shared" si="5"/>
        <v>-0.45999999999999952</v>
      </c>
      <c r="C63" s="13">
        <f t="shared" si="0"/>
        <v>0.88791891521692479</v>
      </c>
      <c r="D63" s="13">
        <f t="shared" si="1"/>
        <v>0.11208108478307521</v>
      </c>
      <c r="E63" s="13">
        <f t="shared" si="2"/>
        <v>1.7758378304338496</v>
      </c>
      <c r="F63" s="14">
        <f t="shared" si="3"/>
        <v>1.8879189152169249</v>
      </c>
    </row>
    <row r="64" spans="2:6" x14ac:dyDescent="0.2">
      <c r="B64" s="172">
        <f t="shared" si="5"/>
        <v>-0.44999999999999951</v>
      </c>
      <c r="C64" s="13">
        <f t="shared" si="0"/>
        <v>0.89302855497458777</v>
      </c>
      <c r="D64" s="13">
        <f t="shared" si="1"/>
        <v>0.10697144502541223</v>
      </c>
      <c r="E64" s="13">
        <f t="shared" si="2"/>
        <v>1.7860571099491755</v>
      </c>
      <c r="F64" s="14">
        <f t="shared" si="3"/>
        <v>1.8930285549745878</v>
      </c>
    </row>
    <row r="65" spans="2:6" x14ac:dyDescent="0.2">
      <c r="B65" s="172">
        <f t="shared" si="5"/>
        <v>-0.4399999999999995</v>
      </c>
      <c r="C65" s="13">
        <f t="shared" si="0"/>
        <v>0.89799777282574622</v>
      </c>
      <c r="D65" s="13">
        <f t="shared" si="1"/>
        <v>0.10200222717425378</v>
      </c>
      <c r="E65" s="13">
        <f t="shared" si="2"/>
        <v>1.7959955456514924</v>
      </c>
      <c r="F65" s="14">
        <f t="shared" si="3"/>
        <v>1.8979977728257462</v>
      </c>
    </row>
    <row r="66" spans="2:6" x14ac:dyDescent="0.2">
      <c r="B66" s="172">
        <f t="shared" si="5"/>
        <v>-0.42999999999999949</v>
      </c>
      <c r="C66" s="13">
        <f t="shared" si="0"/>
        <v>0.90282888744213341</v>
      </c>
      <c r="D66" s="13">
        <f t="shared" si="1"/>
        <v>9.717111255786659E-2</v>
      </c>
      <c r="E66" s="13">
        <f t="shared" si="2"/>
        <v>1.8056577748842668</v>
      </c>
      <c r="F66" s="14">
        <f t="shared" si="3"/>
        <v>1.9028288874421335</v>
      </c>
    </row>
    <row r="67" spans="2:6" x14ac:dyDescent="0.2">
      <c r="B67" s="172">
        <f t="shared" si="5"/>
        <v>-0.41999999999999948</v>
      </c>
      <c r="C67" s="13">
        <f t="shared" si="0"/>
        <v>0.9075241043630744</v>
      </c>
      <c r="D67" s="13">
        <f t="shared" si="1"/>
        <v>9.2475895636925598E-2</v>
      </c>
      <c r="E67" s="13">
        <f t="shared" si="2"/>
        <v>1.8150482087261488</v>
      </c>
      <c r="F67" s="14">
        <f t="shared" si="3"/>
        <v>1.9075241043630744</v>
      </c>
    </row>
    <row r="68" spans="2:6" x14ac:dyDescent="0.2">
      <c r="B68" s="172">
        <f t="shared" si="5"/>
        <v>-0.40999999999999948</v>
      </c>
      <c r="C68" s="13">
        <f t="shared" si="0"/>
        <v>0.9120855223058858</v>
      </c>
      <c r="D68" s="13">
        <f t="shared" si="1"/>
        <v>8.7914477694114201E-2</v>
      </c>
      <c r="E68" s="13">
        <f t="shared" si="2"/>
        <v>1.8241710446117716</v>
      </c>
      <c r="F68" s="14">
        <f t="shared" si="3"/>
        <v>1.9120855223058859</v>
      </c>
    </row>
    <row r="69" spans="2:6" x14ac:dyDescent="0.2">
      <c r="B69" s="172">
        <f t="shared" si="5"/>
        <v>-0.39999999999999947</v>
      </c>
      <c r="C69" s="13">
        <f t="shared" si="0"/>
        <v>0.91651513899116821</v>
      </c>
      <c r="D69" s="13">
        <f t="shared" si="1"/>
        <v>8.348486100883179E-2</v>
      </c>
      <c r="E69" s="13">
        <f t="shared" si="2"/>
        <v>1.8330302779823364</v>
      </c>
      <c r="F69" s="14">
        <f t="shared" si="3"/>
        <v>1.9165151389911683</v>
      </c>
    </row>
    <row r="70" spans="2:6" x14ac:dyDescent="0.2">
      <c r="B70" s="172">
        <f t="shared" si="5"/>
        <v>-0.38999999999999946</v>
      </c>
      <c r="C70" s="13">
        <f t="shared" si="0"/>
        <v>0.92081485652654438</v>
      </c>
      <c r="D70" s="13">
        <f t="shared" si="1"/>
        <v>7.9185143473455621E-2</v>
      </c>
      <c r="E70" s="13">
        <f t="shared" si="2"/>
        <v>1.8416297130530888</v>
      </c>
      <c r="F70" s="14">
        <f t="shared" si="3"/>
        <v>1.9208148565265444</v>
      </c>
    </row>
    <row r="71" spans="2:6" x14ac:dyDescent="0.2">
      <c r="B71" s="172">
        <f t="shared" si="5"/>
        <v>-0.37999999999999945</v>
      </c>
      <c r="C71" s="13">
        <f t="shared" si="0"/>
        <v>0.92498648638777436</v>
      </c>
      <c r="D71" s="13">
        <f t="shared" si="1"/>
        <v>7.5013513612225635E-2</v>
      </c>
      <c r="E71" s="13">
        <f t="shared" si="2"/>
        <v>1.8499729727755487</v>
      </c>
      <c r="F71" s="14">
        <f t="shared" si="3"/>
        <v>1.9249864863877744</v>
      </c>
    </row>
    <row r="72" spans="2:6" x14ac:dyDescent="0.2">
      <c r="B72" s="172">
        <f t="shared" si="5"/>
        <v>-0.36999999999999944</v>
      </c>
      <c r="C72" s="13">
        <f t="shared" si="0"/>
        <v>0.92903175403212157</v>
      </c>
      <c r="D72" s="13">
        <f t="shared" si="1"/>
        <v>7.0968245967878429E-2</v>
      </c>
      <c r="E72" s="13">
        <f t="shared" si="2"/>
        <v>1.8580635080642431</v>
      </c>
      <c r="F72" s="14">
        <f t="shared" si="3"/>
        <v>1.9290317540321216</v>
      </c>
    </row>
    <row r="73" spans="2:6" x14ac:dyDescent="0.2">
      <c r="B73" s="172">
        <f t="shared" si="5"/>
        <v>-0.35999999999999943</v>
      </c>
      <c r="C73" s="13">
        <f t="shared" ref="C73:C136" si="6">IFERROR(IF(SQRT(1-(B73*B73)/($F$6*$F$6))&lt;0.05,0,SQRT(1-(B73*B73)/($F$6*$F$6))),0)</f>
        <v>0.93295230317524824</v>
      </c>
      <c r="D73" s="13">
        <f t="shared" ref="D73:D136" si="7">CHOOSE(MATCH($F$4,degrees),IF(B73&lt;0,IFERROR(1-C73,1),0),0,0,IF(B73&gt;0,IFERROR(1-C73,1),0))</f>
        <v>6.7047696824751757E-2</v>
      </c>
      <c r="E73" s="13">
        <f t="shared" ref="E73:E136" si="8">CHOOSE(MATCH($F$4,degrees),IF(B73&lt;0,2*C73,2),IF(B73&lt;0,0,1-C73),IF(B73&gt;0,0,1-C73),IF(B73&gt;0,2*C73,2))</f>
        <v>1.8659046063504965</v>
      </c>
      <c r="F73" s="14">
        <f t="shared" ref="F73:F136" si="9">CHOOSE(MATCH($F$4,degrees),IF(B73&lt;0,C73+1,2),IF(B73&lt;0,2,2*C73),IF(B73&gt;0,2,2*C73),IF(B73&gt;0,C73+1,2))</f>
        <v>1.9329523031752482</v>
      </c>
    </row>
    <row r="74" spans="2:6" x14ac:dyDescent="0.2">
      <c r="B74" s="172">
        <f t="shared" ref="B74:B105" si="10">B73+$C$5</f>
        <v>-0.34999999999999942</v>
      </c>
      <c r="C74" s="13">
        <f t="shared" si="6"/>
        <v>0.93674969975975997</v>
      </c>
      <c r="D74" s="13">
        <f t="shared" si="7"/>
        <v>6.3250300240240032E-2</v>
      </c>
      <c r="E74" s="13">
        <f t="shared" si="8"/>
        <v>1.8734993995195199</v>
      </c>
      <c r="F74" s="14">
        <f t="shared" si="9"/>
        <v>1.93674969975976</v>
      </c>
    </row>
    <row r="75" spans="2:6" x14ac:dyDescent="0.2">
      <c r="B75" s="172">
        <f t="shared" si="10"/>
        <v>-0.33999999999999941</v>
      </c>
      <c r="C75" s="13">
        <f t="shared" si="6"/>
        <v>0.94042543564070002</v>
      </c>
      <c r="D75" s="13">
        <f t="shared" si="7"/>
        <v>5.9574564359299975E-2</v>
      </c>
      <c r="E75" s="13">
        <f t="shared" si="8"/>
        <v>1.8808508712814</v>
      </c>
      <c r="F75" s="14">
        <f t="shared" si="9"/>
        <v>1.9404254356407</v>
      </c>
    </row>
    <row r="76" spans="2:6" x14ac:dyDescent="0.2">
      <c r="B76" s="172">
        <f t="shared" si="10"/>
        <v>-0.3299999999999994</v>
      </c>
      <c r="C76" s="13">
        <f t="shared" si="6"/>
        <v>0.94398093201081157</v>
      </c>
      <c r="D76" s="13">
        <f t="shared" si="7"/>
        <v>5.6019067989188431E-2</v>
      </c>
      <c r="E76" s="13">
        <f t="shared" si="8"/>
        <v>1.8879618640216231</v>
      </c>
      <c r="F76" s="14">
        <f t="shared" si="9"/>
        <v>1.9439809320108115</v>
      </c>
    </row>
    <row r="77" spans="2:6" x14ac:dyDescent="0.2">
      <c r="B77" s="172">
        <f t="shared" si="10"/>
        <v>-0.3199999999999994</v>
      </c>
      <c r="C77" s="13">
        <f t="shared" si="6"/>
        <v>0.94741754258616107</v>
      </c>
      <c r="D77" s="13">
        <f t="shared" si="7"/>
        <v>5.2582457413838934E-2</v>
      </c>
      <c r="E77" s="13">
        <f t="shared" si="8"/>
        <v>1.8948350851723221</v>
      </c>
      <c r="F77" s="14">
        <f t="shared" si="9"/>
        <v>1.9474175425861611</v>
      </c>
    </row>
    <row r="78" spans="2:6" x14ac:dyDescent="0.2">
      <c r="B78" s="172">
        <f t="shared" si="10"/>
        <v>-0.30999999999999939</v>
      </c>
      <c r="C78" s="13">
        <f t="shared" si="6"/>
        <v>0.95073655657074652</v>
      </c>
      <c r="D78" s="13">
        <f t="shared" si="7"/>
        <v>4.9263443429253484E-2</v>
      </c>
      <c r="E78" s="13">
        <f t="shared" si="8"/>
        <v>1.901473113141493</v>
      </c>
      <c r="F78" s="14">
        <f t="shared" si="9"/>
        <v>1.9507365565707464</v>
      </c>
    </row>
    <row r="79" spans="2:6" x14ac:dyDescent="0.2">
      <c r="B79" s="172">
        <f t="shared" si="10"/>
        <v>-0.29999999999999938</v>
      </c>
      <c r="C79" s="13">
        <f t="shared" si="6"/>
        <v>0.95393920141694588</v>
      </c>
      <c r="D79" s="13">
        <f t="shared" si="7"/>
        <v>4.6060798583054119E-2</v>
      </c>
      <c r="E79" s="13">
        <f t="shared" si="8"/>
        <v>1.9078784028338918</v>
      </c>
      <c r="F79" s="14">
        <f t="shared" si="9"/>
        <v>1.9539392014169459</v>
      </c>
    </row>
    <row r="80" spans="2:6" x14ac:dyDescent="0.2">
      <c r="B80" s="172">
        <f t="shared" si="10"/>
        <v>-0.28999999999999937</v>
      </c>
      <c r="C80" s="13">
        <f t="shared" si="6"/>
        <v>0.95702664539708626</v>
      </c>
      <c r="D80" s="13">
        <f t="shared" si="7"/>
        <v>4.2973354602913738E-2</v>
      </c>
      <c r="E80" s="13">
        <f t="shared" si="8"/>
        <v>1.9140532907941725</v>
      </c>
      <c r="F80" s="14">
        <f t="shared" si="9"/>
        <v>1.9570266453970864</v>
      </c>
    </row>
    <row r="81" spans="2:6" x14ac:dyDescent="0.2">
      <c r="B81" s="172">
        <f t="shared" si="10"/>
        <v>-0.27999999999999936</v>
      </c>
      <c r="C81" s="13">
        <f t="shared" si="6"/>
        <v>0.96000000000000019</v>
      </c>
      <c r="D81" s="13">
        <f t="shared" si="7"/>
        <v>3.9999999999999813E-2</v>
      </c>
      <c r="E81" s="13">
        <f t="shared" si="8"/>
        <v>1.9200000000000004</v>
      </c>
      <c r="F81" s="14">
        <f t="shared" si="9"/>
        <v>1.9600000000000002</v>
      </c>
    </row>
    <row r="82" spans="2:6" x14ac:dyDescent="0.2">
      <c r="B82" s="172">
        <f t="shared" si="10"/>
        <v>-0.26999999999999935</v>
      </c>
      <c r="C82" s="13">
        <f t="shared" si="6"/>
        <v>0.96286032216516237</v>
      </c>
      <c r="D82" s="13">
        <f t="shared" si="7"/>
        <v>3.7139677834837626E-2</v>
      </c>
      <c r="E82" s="13">
        <f t="shared" si="8"/>
        <v>1.9257206443303247</v>
      </c>
      <c r="F82" s="14">
        <f t="shared" si="9"/>
        <v>1.9628603221651624</v>
      </c>
    </row>
    <row r="83" spans="2:6" x14ac:dyDescent="0.2">
      <c r="B83" s="172">
        <f t="shared" si="10"/>
        <v>-0.25999999999999934</v>
      </c>
      <c r="C83" s="13">
        <f t="shared" si="6"/>
        <v>0.96560861636586504</v>
      </c>
      <c r="D83" s="13">
        <f t="shared" si="7"/>
        <v>3.4391383634134964E-2</v>
      </c>
      <c r="E83" s="13">
        <f t="shared" si="8"/>
        <v>1.9312172327317301</v>
      </c>
      <c r="F83" s="14">
        <f t="shared" si="9"/>
        <v>1.965608616365865</v>
      </c>
    </row>
    <row r="84" spans="2:6" x14ac:dyDescent="0.2">
      <c r="B84" s="172">
        <f t="shared" si="10"/>
        <v>-0.24999999999999933</v>
      </c>
      <c r="C84" s="13">
        <f t="shared" si="6"/>
        <v>0.96824583655185437</v>
      </c>
      <c r="D84" s="13">
        <f t="shared" si="7"/>
        <v>3.1754163448145634E-2</v>
      </c>
      <c r="E84" s="13">
        <f t="shared" si="8"/>
        <v>1.9364916731037087</v>
      </c>
      <c r="F84" s="14">
        <f t="shared" si="9"/>
        <v>1.9682458365518545</v>
      </c>
    </row>
    <row r="85" spans="2:6" x14ac:dyDescent="0.2">
      <c r="B85" s="172">
        <f t="shared" si="10"/>
        <v>-0.23999999999999932</v>
      </c>
      <c r="C85" s="13">
        <f t="shared" si="6"/>
        <v>0.97077288796092798</v>
      </c>
      <c r="D85" s="13">
        <f t="shared" si="7"/>
        <v>2.9227112039072023E-2</v>
      </c>
      <c r="E85" s="13">
        <f t="shared" si="8"/>
        <v>1.941545775921856</v>
      </c>
      <c r="F85" s="14">
        <f t="shared" si="9"/>
        <v>1.9707728879609281</v>
      </c>
    </row>
    <row r="86" spans="2:6" x14ac:dyDescent="0.2">
      <c r="B86" s="172">
        <f t="shared" si="10"/>
        <v>-0.22999999999999932</v>
      </c>
      <c r="C86" s="13">
        <f t="shared" si="6"/>
        <v>0.97319062880814888</v>
      </c>
      <c r="D86" s="13">
        <f t="shared" si="7"/>
        <v>2.6809371191851117E-2</v>
      </c>
      <c r="E86" s="13">
        <f t="shared" si="8"/>
        <v>1.9463812576162978</v>
      </c>
      <c r="F86" s="14">
        <f t="shared" si="9"/>
        <v>1.9731906288081489</v>
      </c>
    </row>
    <row r="87" spans="2:6" x14ac:dyDescent="0.2">
      <c r="B87" s="172">
        <f t="shared" si="10"/>
        <v>-0.21999999999999931</v>
      </c>
      <c r="C87" s="13">
        <f t="shared" si="6"/>
        <v>0.97549987186057607</v>
      </c>
      <c r="D87" s="13">
        <f t="shared" si="7"/>
        <v>2.4500128139423927E-2</v>
      </c>
      <c r="E87" s="13">
        <f t="shared" si="8"/>
        <v>1.9509997437211521</v>
      </c>
      <c r="F87" s="14">
        <f t="shared" si="9"/>
        <v>1.9754998718605761</v>
      </c>
    </row>
    <row r="88" spans="2:6" x14ac:dyDescent="0.2">
      <c r="B88" s="172">
        <f t="shared" si="10"/>
        <v>-0.2099999999999993</v>
      </c>
      <c r="C88" s="13">
        <f t="shared" si="6"/>
        <v>0.97770138590471489</v>
      </c>
      <c r="D88" s="13">
        <f t="shared" si="7"/>
        <v>2.2298614095285108E-2</v>
      </c>
      <c r="E88" s="13">
        <f t="shared" si="8"/>
        <v>1.9554027718094298</v>
      </c>
      <c r="F88" s="14">
        <f t="shared" si="9"/>
        <v>1.977701385904715</v>
      </c>
    </row>
    <row r="89" spans="2:6" x14ac:dyDescent="0.2">
      <c r="B89" s="172">
        <f t="shared" si="10"/>
        <v>-0.19999999999999929</v>
      </c>
      <c r="C89" s="13">
        <f t="shared" si="6"/>
        <v>0.97979589711327142</v>
      </c>
      <c r="D89" s="13">
        <f t="shared" si="7"/>
        <v>2.0204102886728581E-2</v>
      </c>
      <c r="E89" s="13">
        <f t="shared" si="8"/>
        <v>1.9595917942265428</v>
      </c>
      <c r="F89" s="14">
        <f t="shared" si="9"/>
        <v>1.9797958971132714</v>
      </c>
    </row>
    <row r="90" spans="2:6" x14ac:dyDescent="0.2">
      <c r="B90" s="172">
        <f t="shared" si="10"/>
        <v>-0.18999999999999928</v>
      </c>
      <c r="C90" s="13">
        <f t="shared" si="6"/>
        <v>0.98178409031721448</v>
      </c>
      <c r="D90" s="13">
        <f t="shared" si="7"/>
        <v>1.8215909682785525E-2</v>
      </c>
      <c r="E90" s="13">
        <f t="shared" si="8"/>
        <v>1.963568180634429</v>
      </c>
      <c r="F90" s="14">
        <f t="shared" si="9"/>
        <v>1.9817840903172144</v>
      </c>
    </row>
    <row r="91" spans="2:6" x14ac:dyDescent="0.2">
      <c r="B91" s="172">
        <f t="shared" si="10"/>
        <v>-0.17999999999999927</v>
      </c>
      <c r="C91" s="13">
        <f t="shared" si="6"/>
        <v>0.9836666101886351</v>
      </c>
      <c r="D91" s="13">
        <f t="shared" si="7"/>
        <v>1.6333389811364896E-2</v>
      </c>
      <c r="E91" s="13">
        <f t="shared" si="8"/>
        <v>1.9673332203772702</v>
      </c>
      <c r="F91" s="14">
        <f t="shared" si="9"/>
        <v>1.9836666101886351</v>
      </c>
    </row>
    <row r="92" spans="2:6" x14ac:dyDescent="0.2">
      <c r="B92" s="172">
        <f t="shared" si="10"/>
        <v>-0.16999999999999926</v>
      </c>
      <c r="C92" s="13">
        <f t="shared" si="6"/>
        <v>0.98544406233941062</v>
      </c>
      <c r="D92" s="13">
        <f t="shared" si="7"/>
        <v>1.455593766058938E-2</v>
      </c>
      <c r="E92" s="13">
        <f t="shared" si="8"/>
        <v>1.9708881246788212</v>
      </c>
      <c r="F92" s="14">
        <f t="shared" si="9"/>
        <v>1.9854440623394107</v>
      </c>
    </row>
    <row r="93" spans="2:6" x14ac:dyDescent="0.2">
      <c r="B93" s="172">
        <f t="shared" si="10"/>
        <v>-0.15999999999999925</v>
      </c>
      <c r="C93" s="13">
        <f t="shared" si="6"/>
        <v>0.98711701434024546</v>
      </c>
      <c r="D93" s="13">
        <f t="shared" si="7"/>
        <v>1.2882985659754542E-2</v>
      </c>
      <c r="E93" s="13">
        <f t="shared" si="8"/>
        <v>1.9742340286804909</v>
      </c>
      <c r="F93" s="14">
        <f t="shared" si="9"/>
        <v>1.9871170143402455</v>
      </c>
    </row>
    <row r="94" spans="2:6" x14ac:dyDescent="0.2">
      <c r="B94" s="172">
        <f t="shared" si="10"/>
        <v>-0.14999999999999925</v>
      </c>
      <c r="C94" s="13">
        <f t="shared" si="6"/>
        <v>0.9886859966642596</v>
      </c>
      <c r="D94" s="13">
        <f t="shared" si="7"/>
        <v>1.1314003335740397E-2</v>
      </c>
      <c r="E94" s="13">
        <f t="shared" si="8"/>
        <v>1.9773719933285192</v>
      </c>
      <c r="F94" s="14">
        <f t="shared" si="9"/>
        <v>1.9886859966642596</v>
      </c>
    </row>
    <row r="95" spans="2:6" x14ac:dyDescent="0.2">
      <c r="B95" s="172">
        <f t="shared" si="10"/>
        <v>-0.13999999999999924</v>
      </c>
      <c r="C95" s="13">
        <f t="shared" si="6"/>
        <v>0.99015150355892512</v>
      </c>
      <c r="D95" s="13">
        <f t="shared" si="7"/>
        <v>9.8484964410748832E-3</v>
      </c>
      <c r="E95" s="13">
        <f t="shared" si="8"/>
        <v>1.9803030071178502</v>
      </c>
      <c r="F95" s="14">
        <f t="shared" si="9"/>
        <v>1.9901515035589252</v>
      </c>
    </row>
    <row r="96" spans="2:6" x14ac:dyDescent="0.2">
      <c r="B96" s="172">
        <f t="shared" si="10"/>
        <v>-0.12999999999999923</v>
      </c>
      <c r="C96" s="13">
        <f t="shared" si="6"/>
        <v>0.99151399384980954</v>
      </c>
      <c r="D96" s="13">
        <f t="shared" si="7"/>
        <v>8.4860061501904616E-3</v>
      </c>
      <c r="E96" s="13">
        <f t="shared" si="8"/>
        <v>1.9830279876996191</v>
      </c>
      <c r="F96" s="14">
        <f t="shared" si="9"/>
        <v>1.9915139938498094</v>
      </c>
    </row>
    <row r="97" spans="2:6" x14ac:dyDescent="0.2">
      <c r="B97" s="172">
        <f t="shared" si="10"/>
        <v>-0.11999999999999923</v>
      </c>
      <c r="C97" s="13">
        <f t="shared" si="6"/>
        <v>0.99277389167926855</v>
      </c>
      <c r="D97" s="13">
        <f t="shared" si="7"/>
        <v>7.2261083207314503E-3</v>
      </c>
      <c r="E97" s="13">
        <f t="shared" si="8"/>
        <v>1.9855477833585371</v>
      </c>
      <c r="F97" s="14">
        <f t="shared" si="9"/>
        <v>1.9927738916792685</v>
      </c>
    </row>
    <row r="98" spans="2:6" x14ac:dyDescent="0.2">
      <c r="B98" s="172">
        <f t="shared" si="10"/>
        <v>-0.10999999999999924</v>
      </c>
      <c r="C98" s="13">
        <f t="shared" si="6"/>
        <v>0.99393158718294095</v>
      </c>
      <c r="D98" s="13">
        <f t="shared" si="7"/>
        <v>6.0684128170590546E-3</v>
      </c>
      <c r="E98" s="13">
        <f t="shared" si="8"/>
        <v>1.9878631743658819</v>
      </c>
      <c r="F98" s="14">
        <f t="shared" si="9"/>
        <v>1.9939315871829408</v>
      </c>
    </row>
    <row r="99" spans="2:6" x14ac:dyDescent="0.2">
      <c r="B99" s="172">
        <f t="shared" si="10"/>
        <v>-9.9999999999999242E-2</v>
      </c>
      <c r="C99" s="13">
        <f t="shared" si="6"/>
        <v>0.99498743710661997</v>
      </c>
      <c r="D99" s="13">
        <f t="shared" si="7"/>
        <v>5.0125628933800348E-3</v>
      </c>
      <c r="E99" s="13">
        <f t="shared" si="8"/>
        <v>1.9899748742132399</v>
      </c>
      <c r="F99" s="14">
        <f t="shared" si="9"/>
        <v>1.9949874371066199</v>
      </c>
    </row>
    <row r="100" spans="2:6" x14ac:dyDescent="0.2">
      <c r="B100" s="172">
        <f t="shared" si="10"/>
        <v>-8.9999999999999247E-2</v>
      </c>
      <c r="C100" s="13">
        <f t="shared" si="6"/>
        <v>0.99594176536582701</v>
      </c>
      <c r="D100" s="13">
        <f t="shared" si="7"/>
        <v>4.0582346341729858E-3</v>
      </c>
      <c r="E100" s="13">
        <f t="shared" si="8"/>
        <v>1.991883530731654</v>
      </c>
      <c r="F100" s="14">
        <f t="shared" si="9"/>
        <v>1.9959417653658269</v>
      </c>
    </row>
    <row r="101" spans="2:6" x14ac:dyDescent="0.2">
      <c r="B101" s="172">
        <f t="shared" si="10"/>
        <v>-7.9999999999999252E-2</v>
      </c>
      <c r="C101" s="13">
        <f t="shared" si="6"/>
        <v>0.99679486355016911</v>
      </c>
      <c r="D101" s="13">
        <f t="shared" si="7"/>
        <v>3.2051364498308921E-3</v>
      </c>
      <c r="E101" s="13">
        <f t="shared" si="8"/>
        <v>1.9935897271003382</v>
      </c>
      <c r="F101" s="14">
        <f t="shared" si="9"/>
        <v>1.9967948635501691</v>
      </c>
    </row>
    <row r="102" spans="2:6" x14ac:dyDescent="0.2">
      <c r="B102" s="172">
        <f t="shared" si="10"/>
        <v>-6.9999999999999257E-2</v>
      </c>
      <c r="C102" s="13">
        <f t="shared" si="6"/>
        <v>0.99754699137434122</v>
      </c>
      <c r="D102" s="13">
        <f t="shared" si="7"/>
        <v>2.4530086256587813E-3</v>
      </c>
      <c r="E102" s="13">
        <f t="shared" si="8"/>
        <v>1.9950939827486824</v>
      </c>
      <c r="F102" s="14">
        <f t="shared" si="9"/>
        <v>1.9975469913743411</v>
      </c>
    </row>
    <row r="103" spans="2:6" x14ac:dyDescent="0.2">
      <c r="B103" s="172">
        <f t="shared" si="10"/>
        <v>-5.9999999999999255E-2</v>
      </c>
      <c r="C103" s="13">
        <f t="shared" si="6"/>
        <v>0.99819837707742243</v>
      </c>
      <c r="D103" s="13">
        <f t="shared" si="7"/>
        <v>1.8016229225775726E-3</v>
      </c>
      <c r="E103" s="13">
        <f t="shared" si="8"/>
        <v>1.9963967541548449</v>
      </c>
      <c r="F103" s="14">
        <f t="shared" si="9"/>
        <v>1.9981983770774225</v>
      </c>
    </row>
    <row r="104" spans="2:6" x14ac:dyDescent="0.2">
      <c r="B104" s="172">
        <f t="shared" si="10"/>
        <v>-4.9999999999999253E-2</v>
      </c>
      <c r="C104" s="13">
        <f t="shared" si="6"/>
        <v>0.99874921777190895</v>
      </c>
      <c r="D104" s="13">
        <f t="shared" si="7"/>
        <v>1.2507822280910519E-3</v>
      </c>
      <c r="E104" s="13">
        <f t="shared" si="8"/>
        <v>1.9974984355438179</v>
      </c>
      <c r="F104" s="14">
        <f t="shared" si="9"/>
        <v>1.9987492177719091</v>
      </c>
    </row>
    <row r="105" spans="2:6" x14ac:dyDescent="0.2">
      <c r="B105" s="172">
        <f t="shared" si="10"/>
        <v>-3.9999999999999251E-2</v>
      </c>
      <c r="C105" s="13">
        <f t="shared" si="6"/>
        <v>0.9991996797437438</v>
      </c>
      <c r="D105" s="13">
        <f t="shared" si="7"/>
        <v>8.0032025625620395E-4</v>
      </c>
      <c r="E105" s="13">
        <f t="shared" si="8"/>
        <v>1.9983993594874876</v>
      </c>
      <c r="F105" s="14">
        <f t="shared" si="9"/>
        <v>1.9991996797437439</v>
      </c>
    </row>
    <row r="106" spans="2:6" x14ac:dyDescent="0.2">
      <c r="B106" s="172">
        <f t="shared" ref="B106:B137" si="11">B105+$C$5</f>
        <v>-2.9999999999999249E-2</v>
      </c>
      <c r="C106" s="13">
        <f t="shared" si="6"/>
        <v>0.99954989870441191</v>
      </c>
      <c r="D106" s="13">
        <f t="shared" si="7"/>
        <v>4.5010129558809009E-4</v>
      </c>
      <c r="E106" s="13">
        <f t="shared" si="8"/>
        <v>1.9990997974088238</v>
      </c>
      <c r="F106" s="14">
        <f t="shared" si="9"/>
        <v>1.9995498987044118</v>
      </c>
    </row>
    <row r="107" spans="2:6" x14ac:dyDescent="0.2">
      <c r="B107" s="172">
        <f t="shared" si="11"/>
        <v>-1.9999999999999248E-2</v>
      </c>
      <c r="C107" s="13">
        <f t="shared" si="6"/>
        <v>0.99979997999599901</v>
      </c>
      <c r="D107" s="13">
        <f t="shared" si="7"/>
        <v>2.0002000400098918E-4</v>
      </c>
      <c r="E107" s="13">
        <f t="shared" si="8"/>
        <v>1.999599959991998</v>
      </c>
      <c r="F107" s="14">
        <f t="shared" si="9"/>
        <v>1.9997999799959989</v>
      </c>
    </row>
    <row r="108" spans="2:6" x14ac:dyDescent="0.2">
      <c r="B108" s="172">
        <f t="shared" si="11"/>
        <v>-9.9999999999992473E-3</v>
      </c>
      <c r="C108" s="13">
        <f t="shared" si="6"/>
        <v>0.99994999874993751</v>
      </c>
      <c r="D108" s="13">
        <f t="shared" si="7"/>
        <v>5.0001250062492453E-5</v>
      </c>
      <c r="E108" s="13">
        <f t="shared" si="8"/>
        <v>1.999899997499875</v>
      </c>
      <c r="F108" s="14">
        <f t="shared" si="9"/>
        <v>1.9999499987499374</v>
      </c>
    </row>
    <row r="109" spans="2:6" x14ac:dyDescent="0.2">
      <c r="B109" s="172">
        <f t="shared" si="11"/>
        <v>7.5286998857393428E-16</v>
      </c>
      <c r="C109" s="13">
        <f t="shared" si="6"/>
        <v>1</v>
      </c>
      <c r="D109" s="13">
        <f t="shared" si="7"/>
        <v>0</v>
      </c>
      <c r="E109" s="13">
        <f t="shared" si="8"/>
        <v>2</v>
      </c>
      <c r="F109" s="14">
        <f t="shared" si="9"/>
        <v>2</v>
      </c>
    </row>
    <row r="110" spans="2:6" x14ac:dyDescent="0.2">
      <c r="B110" s="172">
        <f t="shared" si="11"/>
        <v>1.0000000000000753E-2</v>
      </c>
      <c r="C110" s="13">
        <f t="shared" si="6"/>
        <v>0.99994999874993751</v>
      </c>
      <c r="D110" s="13">
        <f t="shared" si="7"/>
        <v>0</v>
      </c>
      <c r="E110" s="13">
        <f t="shared" si="8"/>
        <v>2</v>
      </c>
      <c r="F110" s="14">
        <f t="shared" si="9"/>
        <v>2</v>
      </c>
    </row>
    <row r="111" spans="2:6" x14ac:dyDescent="0.2">
      <c r="B111" s="172">
        <f t="shared" si="11"/>
        <v>2.0000000000000753E-2</v>
      </c>
      <c r="C111" s="13">
        <f t="shared" si="6"/>
        <v>0.99979997999599901</v>
      </c>
      <c r="D111" s="13">
        <f t="shared" si="7"/>
        <v>0</v>
      </c>
      <c r="E111" s="13">
        <f t="shared" si="8"/>
        <v>2</v>
      </c>
      <c r="F111" s="14">
        <f t="shared" si="9"/>
        <v>2</v>
      </c>
    </row>
    <row r="112" spans="2:6" x14ac:dyDescent="0.2">
      <c r="B112" s="172">
        <f t="shared" si="11"/>
        <v>3.0000000000000755E-2</v>
      </c>
      <c r="C112" s="13">
        <f t="shared" si="6"/>
        <v>0.9995498987044118</v>
      </c>
      <c r="D112" s="13">
        <f t="shared" si="7"/>
        <v>0</v>
      </c>
      <c r="E112" s="13">
        <f t="shared" si="8"/>
        <v>2</v>
      </c>
      <c r="F112" s="14">
        <f t="shared" si="9"/>
        <v>2</v>
      </c>
    </row>
    <row r="113" spans="2:6" x14ac:dyDescent="0.2">
      <c r="B113" s="172">
        <f t="shared" si="11"/>
        <v>4.0000000000000757E-2</v>
      </c>
      <c r="C113" s="13">
        <f t="shared" si="6"/>
        <v>0.99919967974374369</v>
      </c>
      <c r="D113" s="13">
        <f t="shared" si="7"/>
        <v>0</v>
      </c>
      <c r="E113" s="13">
        <f t="shared" si="8"/>
        <v>2</v>
      </c>
      <c r="F113" s="14">
        <f t="shared" si="9"/>
        <v>2</v>
      </c>
    </row>
    <row r="114" spans="2:6" x14ac:dyDescent="0.2">
      <c r="B114" s="172">
        <f t="shared" si="11"/>
        <v>5.0000000000000759E-2</v>
      </c>
      <c r="C114" s="13">
        <f t="shared" si="6"/>
        <v>0.99874921777190895</v>
      </c>
      <c r="D114" s="13">
        <f t="shared" si="7"/>
        <v>0</v>
      </c>
      <c r="E114" s="13">
        <f t="shared" si="8"/>
        <v>2</v>
      </c>
      <c r="F114" s="14">
        <f t="shared" si="9"/>
        <v>2</v>
      </c>
    </row>
    <row r="115" spans="2:6" x14ac:dyDescent="0.2">
      <c r="B115" s="172">
        <f t="shared" si="11"/>
        <v>6.0000000000000761E-2</v>
      </c>
      <c r="C115" s="13">
        <f t="shared" si="6"/>
        <v>0.99819837707742243</v>
      </c>
      <c r="D115" s="13">
        <f t="shared" si="7"/>
        <v>0</v>
      </c>
      <c r="E115" s="13">
        <f t="shared" si="8"/>
        <v>2</v>
      </c>
      <c r="F115" s="14">
        <f t="shared" si="9"/>
        <v>2</v>
      </c>
    </row>
    <row r="116" spans="2:6" x14ac:dyDescent="0.2">
      <c r="B116" s="172">
        <f t="shared" si="11"/>
        <v>7.0000000000000756E-2</v>
      </c>
      <c r="C116" s="13">
        <f t="shared" si="6"/>
        <v>0.99754699137434111</v>
      </c>
      <c r="D116" s="13">
        <f t="shared" si="7"/>
        <v>0</v>
      </c>
      <c r="E116" s="13">
        <f t="shared" si="8"/>
        <v>2</v>
      </c>
      <c r="F116" s="14">
        <f t="shared" si="9"/>
        <v>2</v>
      </c>
    </row>
    <row r="117" spans="2:6" x14ac:dyDescent="0.2">
      <c r="B117" s="172">
        <f t="shared" si="11"/>
        <v>8.0000000000000751E-2</v>
      </c>
      <c r="C117" s="13">
        <f t="shared" si="6"/>
        <v>0.996794863550169</v>
      </c>
      <c r="D117" s="13">
        <f t="shared" si="7"/>
        <v>0</v>
      </c>
      <c r="E117" s="13">
        <f t="shared" si="8"/>
        <v>2</v>
      </c>
      <c r="F117" s="14">
        <f t="shared" si="9"/>
        <v>2</v>
      </c>
    </row>
    <row r="118" spans="2:6" x14ac:dyDescent="0.2">
      <c r="B118" s="172">
        <f t="shared" si="11"/>
        <v>9.0000000000000746E-2</v>
      </c>
      <c r="C118" s="13">
        <f t="shared" si="6"/>
        <v>0.9959417653658269</v>
      </c>
      <c r="D118" s="13">
        <f t="shared" si="7"/>
        <v>0</v>
      </c>
      <c r="E118" s="13">
        <f t="shared" si="8"/>
        <v>2</v>
      </c>
      <c r="F118" s="14">
        <f t="shared" si="9"/>
        <v>2</v>
      </c>
    </row>
    <row r="119" spans="2:6" x14ac:dyDescent="0.2">
      <c r="B119" s="172">
        <f t="shared" si="11"/>
        <v>0.10000000000000074</v>
      </c>
      <c r="C119" s="13">
        <f t="shared" si="6"/>
        <v>0.99498743710661985</v>
      </c>
      <c r="D119" s="13">
        <f t="shared" si="7"/>
        <v>0</v>
      </c>
      <c r="E119" s="13">
        <f t="shared" si="8"/>
        <v>2</v>
      </c>
      <c r="F119" s="14">
        <f t="shared" si="9"/>
        <v>2</v>
      </c>
    </row>
    <row r="120" spans="2:6" x14ac:dyDescent="0.2">
      <c r="B120" s="172">
        <f t="shared" si="11"/>
        <v>0.11000000000000074</v>
      </c>
      <c r="C120" s="13">
        <f t="shared" si="6"/>
        <v>0.99393158718294083</v>
      </c>
      <c r="D120" s="13">
        <f t="shared" si="7"/>
        <v>0</v>
      </c>
      <c r="E120" s="13">
        <f t="shared" si="8"/>
        <v>2</v>
      </c>
      <c r="F120" s="14">
        <f t="shared" si="9"/>
        <v>2</v>
      </c>
    </row>
    <row r="121" spans="2:6" x14ac:dyDescent="0.2">
      <c r="B121" s="172">
        <f t="shared" si="11"/>
        <v>0.12000000000000073</v>
      </c>
      <c r="C121" s="13">
        <f t="shared" si="6"/>
        <v>0.99277389167926844</v>
      </c>
      <c r="D121" s="13">
        <f t="shared" si="7"/>
        <v>0</v>
      </c>
      <c r="E121" s="13">
        <f t="shared" si="8"/>
        <v>2</v>
      </c>
      <c r="F121" s="14">
        <f t="shared" si="9"/>
        <v>2</v>
      </c>
    </row>
    <row r="122" spans="2:6" x14ac:dyDescent="0.2">
      <c r="B122" s="172">
        <f t="shared" si="11"/>
        <v>0.13000000000000073</v>
      </c>
      <c r="C122" s="13">
        <f t="shared" si="6"/>
        <v>0.99151399384980943</v>
      </c>
      <c r="D122" s="13">
        <f t="shared" si="7"/>
        <v>0</v>
      </c>
      <c r="E122" s="13">
        <f t="shared" si="8"/>
        <v>2</v>
      </c>
      <c r="F122" s="14">
        <f t="shared" si="9"/>
        <v>2</v>
      </c>
    </row>
    <row r="123" spans="2:6" x14ac:dyDescent="0.2">
      <c r="B123" s="172">
        <f t="shared" si="11"/>
        <v>0.14000000000000073</v>
      </c>
      <c r="C123" s="13">
        <f t="shared" si="6"/>
        <v>0.99015150355892501</v>
      </c>
      <c r="D123" s="13">
        <f t="shared" si="7"/>
        <v>0</v>
      </c>
      <c r="E123" s="13">
        <f t="shared" si="8"/>
        <v>2</v>
      </c>
      <c r="F123" s="14">
        <f t="shared" si="9"/>
        <v>2</v>
      </c>
    </row>
    <row r="124" spans="2:6" x14ac:dyDescent="0.2">
      <c r="B124" s="172">
        <f t="shared" si="11"/>
        <v>0.15000000000000074</v>
      </c>
      <c r="C124" s="13">
        <f t="shared" si="6"/>
        <v>0.98868599666425938</v>
      </c>
      <c r="D124" s="13">
        <f t="shared" si="7"/>
        <v>0</v>
      </c>
      <c r="E124" s="13">
        <f t="shared" si="8"/>
        <v>2</v>
      </c>
      <c r="F124" s="14">
        <f t="shared" si="9"/>
        <v>2</v>
      </c>
    </row>
    <row r="125" spans="2:6" x14ac:dyDescent="0.2">
      <c r="B125" s="172">
        <f t="shared" si="11"/>
        <v>0.16000000000000075</v>
      </c>
      <c r="C125" s="13">
        <f t="shared" si="6"/>
        <v>0.98711701434024512</v>
      </c>
      <c r="D125" s="13">
        <f t="shared" si="7"/>
        <v>0</v>
      </c>
      <c r="E125" s="13">
        <f t="shared" si="8"/>
        <v>2</v>
      </c>
      <c r="F125" s="14">
        <f t="shared" si="9"/>
        <v>2</v>
      </c>
    </row>
    <row r="126" spans="2:6" x14ac:dyDescent="0.2">
      <c r="B126" s="172">
        <f t="shared" si="11"/>
        <v>0.17000000000000076</v>
      </c>
      <c r="C126" s="13">
        <f t="shared" si="6"/>
        <v>0.9854440623394104</v>
      </c>
      <c r="D126" s="13">
        <f t="shared" si="7"/>
        <v>0</v>
      </c>
      <c r="E126" s="13">
        <f t="shared" si="8"/>
        <v>2</v>
      </c>
      <c r="F126" s="14">
        <f t="shared" si="9"/>
        <v>2</v>
      </c>
    </row>
    <row r="127" spans="2:6" x14ac:dyDescent="0.2">
      <c r="B127" s="172">
        <f t="shared" si="11"/>
        <v>0.18000000000000077</v>
      </c>
      <c r="C127" s="13">
        <f t="shared" si="6"/>
        <v>0.98366661018863488</v>
      </c>
      <c r="D127" s="13">
        <f t="shared" si="7"/>
        <v>0</v>
      </c>
      <c r="E127" s="13">
        <f t="shared" si="8"/>
        <v>2</v>
      </c>
      <c r="F127" s="14">
        <f t="shared" si="9"/>
        <v>2</v>
      </c>
    </row>
    <row r="128" spans="2:6" x14ac:dyDescent="0.2">
      <c r="B128" s="172">
        <f t="shared" si="11"/>
        <v>0.19000000000000078</v>
      </c>
      <c r="C128" s="13">
        <f t="shared" si="6"/>
        <v>0.98178409031721414</v>
      </c>
      <c r="D128" s="13">
        <f t="shared" si="7"/>
        <v>0</v>
      </c>
      <c r="E128" s="13">
        <f t="shared" si="8"/>
        <v>2</v>
      </c>
      <c r="F128" s="14">
        <f t="shared" si="9"/>
        <v>2</v>
      </c>
    </row>
    <row r="129" spans="2:6" x14ac:dyDescent="0.2">
      <c r="B129" s="172">
        <f t="shared" si="11"/>
        <v>0.20000000000000079</v>
      </c>
      <c r="C129" s="13">
        <f t="shared" si="6"/>
        <v>0.97979589711327109</v>
      </c>
      <c r="D129" s="13">
        <f t="shared" si="7"/>
        <v>0</v>
      </c>
      <c r="E129" s="13">
        <f t="shared" si="8"/>
        <v>2</v>
      </c>
      <c r="F129" s="14">
        <f t="shared" si="9"/>
        <v>2</v>
      </c>
    </row>
    <row r="130" spans="2:6" x14ac:dyDescent="0.2">
      <c r="B130" s="172">
        <f t="shared" si="11"/>
        <v>0.2100000000000008</v>
      </c>
      <c r="C130" s="13">
        <f t="shared" si="6"/>
        <v>0.97770138590471456</v>
      </c>
      <c r="D130" s="13">
        <f t="shared" si="7"/>
        <v>0</v>
      </c>
      <c r="E130" s="13">
        <f t="shared" si="8"/>
        <v>2</v>
      </c>
      <c r="F130" s="14">
        <f t="shared" si="9"/>
        <v>2</v>
      </c>
    </row>
    <row r="131" spans="2:6" x14ac:dyDescent="0.2">
      <c r="B131" s="172">
        <f t="shared" si="11"/>
        <v>0.22000000000000081</v>
      </c>
      <c r="C131" s="13">
        <f t="shared" si="6"/>
        <v>0.97549987186057574</v>
      </c>
      <c r="D131" s="13">
        <f t="shared" si="7"/>
        <v>0</v>
      </c>
      <c r="E131" s="13">
        <f t="shared" si="8"/>
        <v>2</v>
      </c>
      <c r="F131" s="14">
        <f t="shared" si="9"/>
        <v>2</v>
      </c>
    </row>
    <row r="132" spans="2:6" x14ac:dyDescent="0.2">
      <c r="B132" s="172">
        <f t="shared" si="11"/>
        <v>0.23000000000000081</v>
      </c>
      <c r="C132" s="13">
        <f t="shared" si="6"/>
        <v>0.97319062880814855</v>
      </c>
      <c r="D132" s="13">
        <f t="shared" si="7"/>
        <v>0</v>
      </c>
      <c r="E132" s="13">
        <f t="shared" si="8"/>
        <v>2</v>
      </c>
      <c r="F132" s="14">
        <f t="shared" si="9"/>
        <v>2</v>
      </c>
    </row>
    <row r="133" spans="2:6" x14ac:dyDescent="0.2">
      <c r="B133" s="172">
        <f t="shared" si="11"/>
        <v>0.24000000000000082</v>
      </c>
      <c r="C133" s="13">
        <f t="shared" si="6"/>
        <v>0.97077288796092753</v>
      </c>
      <c r="D133" s="13">
        <f t="shared" si="7"/>
        <v>0</v>
      </c>
      <c r="E133" s="13">
        <f t="shared" si="8"/>
        <v>2</v>
      </c>
      <c r="F133" s="14">
        <f t="shared" si="9"/>
        <v>2</v>
      </c>
    </row>
    <row r="134" spans="2:6" x14ac:dyDescent="0.2">
      <c r="B134" s="172">
        <f t="shared" si="11"/>
        <v>0.25000000000000083</v>
      </c>
      <c r="C134" s="13">
        <f t="shared" si="6"/>
        <v>0.96824583655185403</v>
      </c>
      <c r="D134" s="13">
        <f t="shared" si="7"/>
        <v>0</v>
      </c>
      <c r="E134" s="13">
        <f t="shared" si="8"/>
        <v>2</v>
      </c>
      <c r="F134" s="14">
        <f t="shared" si="9"/>
        <v>2</v>
      </c>
    </row>
    <row r="135" spans="2:6" x14ac:dyDescent="0.2">
      <c r="B135" s="172">
        <f t="shared" si="11"/>
        <v>0.26000000000000084</v>
      </c>
      <c r="C135" s="13">
        <f t="shared" si="6"/>
        <v>0.96560861636586459</v>
      </c>
      <c r="D135" s="13">
        <f t="shared" si="7"/>
        <v>0</v>
      </c>
      <c r="E135" s="13">
        <f t="shared" si="8"/>
        <v>2</v>
      </c>
      <c r="F135" s="14">
        <f t="shared" si="9"/>
        <v>2</v>
      </c>
    </row>
    <row r="136" spans="2:6" x14ac:dyDescent="0.2">
      <c r="B136" s="172">
        <f t="shared" si="11"/>
        <v>0.27000000000000085</v>
      </c>
      <c r="C136" s="13">
        <f t="shared" si="6"/>
        <v>0.96286032216516204</v>
      </c>
      <c r="D136" s="13">
        <f t="shared" si="7"/>
        <v>0</v>
      </c>
      <c r="E136" s="13">
        <f t="shared" si="8"/>
        <v>2</v>
      </c>
      <c r="F136" s="14">
        <f t="shared" si="9"/>
        <v>2</v>
      </c>
    </row>
    <row r="137" spans="2:6" x14ac:dyDescent="0.2">
      <c r="B137" s="172">
        <f t="shared" si="11"/>
        <v>0.28000000000000086</v>
      </c>
      <c r="C137" s="13">
        <f t="shared" ref="C137:C200" si="12">IFERROR(IF(SQRT(1-(B137*B137)/($F$6*$F$6))&lt;0.05,0,SQRT(1-(B137*B137)/($F$6*$F$6))),0)</f>
        <v>0.95999999999999974</v>
      </c>
      <c r="D137" s="13">
        <f t="shared" ref="D137:D200" si="13">CHOOSE(MATCH($F$4,degrees),IF(B137&lt;0,IFERROR(1-C137,1),0),0,0,IF(B137&gt;0,IFERROR(1-C137,1),0))</f>
        <v>0</v>
      </c>
      <c r="E137" s="13">
        <f t="shared" ref="E137:E200" si="14">CHOOSE(MATCH($F$4,degrees),IF(B137&lt;0,2*C137,2),IF(B137&lt;0,0,1-C137),IF(B137&gt;0,0,1-C137),IF(B137&gt;0,2*C137,2))</f>
        <v>2</v>
      </c>
      <c r="F137" s="14">
        <f t="shared" ref="F137:F200" si="15">CHOOSE(MATCH($F$4,degrees),IF(B137&lt;0,C137+1,2),IF(B137&lt;0,2,2*C137),IF(B137&gt;0,2,2*C137),IF(B137&gt;0,C137+1,2))</f>
        <v>2</v>
      </c>
    </row>
    <row r="138" spans="2:6" x14ac:dyDescent="0.2">
      <c r="B138" s="172">
        <f t="shared" ref="B138:B169" si="16">B137+$C$5</f>
        <v>0.29000000000000087</v>
      </c>
      <c r="C138" s="13">
        <f t="shared" si="12"/>
        <v>0.95702664539708582</v>
      </c>
      <c r="D138" s="13">
        <f t="shared" si="13"/>
        <v>0</v>
      </c>
      <c r="E138" s="13">
        <f t="shared" si="14"/>
        <v>2</v>
      </c>
      <c r="F138" s="14">
        <f t="shared" si="15"/>
        <v>2</v>
      </c>
    </row>
    <row r="139" spans="2:6" x14ac:dyDescent="0.2">
      <c r="B139" s="172">
        <f t="shared" si="16"/>
        <v>0.30000000000000088</v>
      </c>
      <c r="C139" s="13">
        <f t="shared" si="12"/>
        <v>0.95393920141694533</v>
      </c>
      <c r="D139" s="13">
        <f t="shared" si="13"/>
        <v>0</v>
      </c>
      <c r="E139" s="13">
        <f t="shared" si="14"/>
        <v>2</v>
      </c>
      <c r="F139" s="14">
        <f t="shared" si="15"/>
        <v>2</v>
      </c>
    </row>
    <row r="140" spans="2:6" x14ac:dyDescent="0.2">
      <c r="B140" s="172">
        <f t="shared" si="16"/>
        <v>0.31000000000000089</v>
      </c>
      <c r="C140" s="13">
        <f t="shared" si="12"/>
        <v>0.95073655657074607</v>
      </c>
      <c r="D140" s="13">
        <f t="shared" si="13"/>
        <v>0</v>
      </c>
      <c r="E140" s="13">
        <f t="shared" si="14"/>
        <v>2</v>
      </c>
      <c r="F140" s="14">
        <f t="shared" si="15"/>
        <v>2</v>
      </c>
    </row>
    <row r="141" spans="2:6" x14ac:dyDescent="0.2">
      <c r="B141" s="172">
        <f t="shared" si="16"/>
        <v>0.32000000000000089</v>
      </c>
      <c r="C141" s="13">
        <f t="shared" si="12"/>
        <v>0.94741754258616062</v>
      </c>
      <c r="D141" s="13">
        <f t="shared" si="13"/>
        <v>0</v>
      </c>
      <c r="E141" s="13">
        <f t="shared" si="14"/>
        <v>2</v>
      </c>
      <c r="F141" s="14">
        <f t="shared" si="15"/>
        <v>2</v>
      </c>
    </row>
    <row r="142" spans="2:6" x14ac:dyDescent="0.2">
      <c r="B142" s="172">
        <f t="shared" si="16"/>
        <v>0.3300000000000009</v>
      </c>
      <c r="C142" s="13">
        <f t="shared" si="12"/>
        <v>0.94398093201081101</v>
      </c>
      <c r="D142" s="13">
        <f t="shared" si="13"/>
        <v>0</v>
      </c>
      <c r="E142" s="13">
        <f t="shared" si="14"/>
        <v>2</v>
      </c>
      <c r="F142" s="14">
        <f t="shared" si="15"/>
        <v>2</v>
      </c>
    </row>
    <row r="143" spans="2:6" x14ac:dyDescent="0.2">
      <c r="B143" s="172">
        <f t="shared" si="16"/>
        <v>0.34000000000000091</v>
      </c>
      <c r="C143" s="13">
        <f t="shared" si="12"/>
        <v>0.94042543564069947</v>
      </c>
      <c r="D143" s="13">
        <f t="shared" si="13"/>
        <v>0</v>
      </c>
      <c r="E143" s="13">
        <f t="shared" si="14"/>
        <v>2</v>
      </c>
      <c r="F143" s="14">
        <f t="shared" si="15"/>
        <v>2</v>
      </c>
    </row>
    <row r="144" spans="2:6" x14ac:dyDescent="0.2">
      <c r="B144" s="172">
        <f t="shared" si="16"/>
        <v>0.35000000000000092</v>
      </c>
      <c r="C144" s="13">
        <f t="shared" si="12"/>
        <v>0.93674969975975941</v>
      </c>
      <c r="D144" s="13">
        <f t="shared" si="13"/>
        <v>0</v>
      </c>
      <c r="E144" s="13">
        <f t="shared" si="14"/>
        <v>2</v>
      </c>
      <c r="F144" s="14">
        <f t="shared" si="15"/>
        <v>2</v>
      </c>
    </row>
    <row r="145" spans="2:6" x14ac:dyDescent="0.2">
      <c r="B145" s="172">
        <f t="shared" si="16"/>
        <v>0.36000000000000093</v>
      </c>
      <c r="C145" s="13">
        <f t="shared" si="12"/>
        <v>0.9329523031752478</v>
      </c>
      <c r="D145" s="13">
        <f t="shared" si="13"/>
        <v>0</v>
      </c>
      <c r="E145" s="13">
        <f t="shared" si="14"/>
        <v>2</v>
      </c>
      <c r="F145" s="14">
        <f t="shared" si="15"/>
        <v>2</v>
      </c>
    </row>
    <row r="146" spans="2:6" x14ac:dyDescent="0.2">
      <c r="B146" s="172">
        <f t="shared" si="16"/>
        <v>0.37000000000000094</v>
      </c>
      <c r="C146" s="13">
        <f t="shared" si="12"/>
        <v>0.92903175403212102</v>
      </c>
      <c r="D146" s="13">
        <f t="shared" si="13"/>
        <v>0</v>
      </c>
      <c r="E146" s="13">
        <f t="shared" si="14"/>
        <v>2</v>
      </c>
      <c r="F146" s="14">
        <f t="shared" si="15"/>
        <v>2</v>
      </c>
    </row>
    <row r="147" spans="2:6" x14ac:dyDescent="0.2">
      <c r="B147" s="172">
        <f t="shared" si="16"/>
        <v>0.38000000000000095</v>
      </c>
      <c r="C147" s="13">
        <f t="shared" si="12"/>
        <v>0.92498648638777381</v>
      </c>
      <c r="D147" s="13">
        <f t="shared" si="13"/>
        <v>0</v>
      </c>
      <c r="E147" s="13">
        <f t="shared" si="14"/>
        <v>2</v>
      </c>
      <c r="F147" s="14">
        <f t="shared" si="15"/>
        <v>2</v>
      </c>
    </row>
    <row r="148" spans="2:6" x14ac:dyDescent="0.2">
      <c r="B148" s="172">
        <f t="shared" si="16"/>
        <v>0.39000000000000096</v>
      </c>
      <c r="C148" s="13">
        <f t="shared" si="12"/>
        <v>0.92081485652654371</v>
      </c>
      <c r="D148" s="13">
        <f t="shared" si="13"/>
        <v>0</v>
      </c>
      <c r="E148" s="13">
        <f t="shared" si="14"/>
        <v>2</v>
      </c>
      <c r="F148" s="14">
        <f t="shared" si="15"/>
        <v>2</v>
      </c>
    </row>
    <row r="149" spans="2:6" x14ac:dyDescent="0.2">
      <c r="B149" s="172">
        <f t="shared" si="16"/>
        <v>0.40000000000000097</v>
      </c>
      <c r="C149" s="13">
        <f t="shared" si="12"/>
        <v>0.91651513899116754</v>
      </c>
      <c r="D149" s="13">
        <f t="shared" si="13"/>
        <v>0</v>
      </c>
      <c r="E149" s="13">
        <f t="shared" si="14"/>
        <v>2</v>
      </c>
      <c r="F149" s="14">
        <f t="shared" si="15"/>
        <v>2</v>
      </c>
    </row>
    <row r="150" spans="2:6" x14ac:dyDescent="0.2">
      <c r="B150" s="172">
        <f t="shared" si="16"/>
        <v>0.41000000000000097</v>
      </c>
      <c r="C150" s="13">
        <f t="shared" si="12"/>
        <v>0.91208552230588513</v>
      </c>
      <c r="D150" s="13">
        <f t="shared" si="13"/>
        <v>0</v>
      </c>
      <c r="E150" s="13">
        <f t="shared" si="14"/>
        <v>2</v>
      </c>
      <c r="F150" s="14">
        <f t="shared" si="15"/>
        <v>2</v>
      </c>
    </row>
    <row r="151" spans="2:6" x14ac:dyDescent="0.2">
      <c r="B151" s="172">
        <f t="shared" si="16"/>
        <v>0.42000000000000098</v>
      </c>
      <c r="C151" s="13">
        <f t="shared" si="12"/>
        <v>0.90752410436307374</v>
      </c>
      <c r="D151" s="13">
        <f t="shared" si="13"/>
        <v>0</v>
      </c>
      <c r="E151" s="13">
        <f t="shared" si="14"/>
        <v>2</v>
      </c>
      <c r="F151" s="14">
        <f t="shared" si="15"/>
        <v>2</v>
      </c>
    </row>
    <row r="152" spans="2:6" x14ac:dyDescent="0.2">
      <c r="B152" s="172">
        <f t="shared" si="16"/>
        <v>0.43000000000000099</v>
      </c>
      <c r="C152" s="13">
        <f t="shared" si="12"/>
        <v>0.90282888744213274</v>
      </c>
      <c r="D152" s="13">
        <f t="shared" si="13"/>
        <v>0</v>
      </c>
      <c r="E152" s="13">
        <f t="shared" si="14"/>
        <v>2</v>
      </c>
      <c r="F152" s="14">
        <f t="shared" si="15"/>
        <v>2</v>
      </c>
    </row>
    <row r="153" spans="2:6" x14ac:dyDescent="0.2">
      <c r="B153" s="172">
        <f t="shared" si="16"/>
        <v>0.440000000000001</v>
      </c>
      <c r="C153" s="13">
        <f t="shared" si="12"/>
        <v>0.89799777282574544</v>
      </c>
      <c r="D153" s="13">
        <f t="shared" si="13"/>
        <v>0</v>
      </c>
      <c r="E153" s="13">
        <f t="shared" si="14"/>
        <v>2</v>
      </c>
      <c r="F153" s="14">
        <f t="shared" si="15"/>
        <v>2</v>
      </c>
    </row>
    <row r="154" spans="2:6" x14ac:dyDescent="0.2">
      <c r="B154" s="172">
        <f t="shared" si="16"/>
        <v>0.45000000000000101</v>
      </c>
      <c r="C154" s="13">
        <f t="shared" si="12"/>
        <v>0.89302855497458711</v>
      </c>
      <c r="D154" s="13">
        <f t="shared" si="13"/>
        <v>0</v>
      </c>
      <c r="E154" s="13">
        <f t="shared" si="14"/>
        <v>2</v>
      </c>
      <c r="F154" s="14">
        <f t="shared" si="15"/>
        <v>2</v>
      </c>
    </row>
    <row r="155" spans="2:6" x14ac:dyDescent="0.2">
      <c r="B155" s="172">
        <f t="shared" si="16"/>
        <v>0.46000000000000102</v>
      </c>
      <c r="C155" s="13">
        <f t="shared" si="12"/>
        <v>0.88791891521692401</v>
      </c>
      <c r="D155" s="13">
        <f t="shared" si="13"/>
        <v>0</v>
      </c>
      <c r="E155" s="13">
        <f t="shared" si="14"/>
        <v>2</v>
      </c>
      <c r="F155" s="14">
        <f t="shared" si="15"/>
        <v>2</v>
      </c>
    </row>
    <row r="156" spans="2:6" x14ac:dyDescent="0.2">
      <c r="B156" s="172">
        <f t="shared" si="16"/>
        <v>0.47000000000000103</v>
      </c>
      <c r="C156" s="13">
        <f t="shared" si="12"/>
        <v>0.88266641490429387</v>
      </c>
      <c r="D156" s="13">
        <f t="shared" si="13"/>
        <v>0</v>
      </c>
      <c r="E156" s="13">
        <f t="shared" si="14"/>
        <v>2</v>
      </c>
      <c r="F156" s="14">
        <f t="shared" si="15"/>
        <v>2</v>
      </c>
    </row>
    <row r="157" spans="2:6" x14ac:dyDescent="0.2">
      <c r="B157" s="172">
        <f t="shared" si="16"/>
        <v>0.48000000000000104</v>
      </c>
      <c r="C157" s="13">
        <f t="shared" si="12"/>
        <v>0.87726848797845181</v>
      </c>
      <c r="D157" s="13">
        <f t="shared" si="13"/>
        <v>0</v>
      </c>
      <c r="E157" s="13">
        <f t="shared" si="14"/>
        <v>2</v>
      </c>
      <c r="F157" s="14">
        <f t="shared" si="15"/>
        <v>2</v>
      </c>
    </row>
    <row r="158" spans="2:6" x14ac:dyDescent="0.2">
      <c r="B158" s="172">
        <f t="shared" si="16"/>
        <v>0.49000000000000105</v>
      </c>
      <c r="C158" s="13">
        <f t="shared" si="12"/>
        <v>0.87172243288789975</v>
      </c>
      <c r="D158" s="13">
        <f t="shared" si="13"/>
        <v>0</v>
      </c>
      <c r="E158" s="13">
        <f t="shared" si="14"/>
        <v>2</v>
      </c>
      <c r="F158" s="14">
        <f t="shared" si="15"/>
        <v>2</v>
      </c>
    </row>
    <row r="159" spans="2:6" x14ac:dyDescent="0.2">
      <c r="B159" s="172">
        <f t="shared" si="16"/>
        <v>0.500000000000001</v>
      </c>
      <c r="C159" s="13">
        <f t="shared" si="12"/>
        <v>0.86602540378443804</v>
      </c>
      <c r="D159" s="13">
        <f t="shared" si="13"/>
        <v>0</v>
      </c>
      <c r="E159" s="13">
        <f t="shared" si="14"/>
        <v>2</v>
      </c>
      <c r="F159" s="14">
        <f t="shared" si="15"/>
        <v>2</v>
      </c>
    </row>
    <row r="160" spans="2:6" x14ac:dyDescent="0.2">
      <c r="B160" s="172">
        <f t="shared" si="16"/>
        <v>0.51000000000000101</v>
      </c>
      <c r="C160" s="13">
        <f t="shared" si="12"/>
        <v>0.86017440092111486</v>
      </c>
      <c r="D160" s="13">
        <f t="shared" si="13"/>
        <v>0</v>
      </c>
      <c r="E160" s="13">
        <f t="shared" si="14"/>
        <v>2</v>
      </c>
      <c r="F160" s="14">
        <f t="shared" si="15"/>
        <v>2</v>
      </c>
    </row>
    <row r="161" spans="2:6" x14ac:dyDescent="0.2">
      <c r="B161" s="172">
        <f t="shared" si="16"/>
        <v>0.52000000000000102</v>
      </c>
      <c r="C161" s="13">
        <f t="shared" si="12"/>
        <v>0.8541662601625043</v>
      </c>
      <c r="D161" s="13">
        <f t="shared" si="13"/>
        <v>0</v>
      </c>
      <c r="E161" s="13">
        <f t="shared" si="14"/>
        <v>2</v>
      </c>
      <c r="F161" s="14">
        <f t="shared" si="15"/>
        <v>2</v>
      </c>
    </row>
    <row r="162" spans="2:6" x14ac:dyDescent="0.2">
      <c r="B162" s="172">
        <f t="shared" si="16"/>
        <v>0.53000000000000103</v>
      </c>
      <c r="C162" s="13">
        <f t="shared" si="12"/>
        <v>0.84799764150615353</v>
      </c>
      <c r="D162" s="13">
        <f t="shared" si="13"/>
        <v>0</v>
      </c>
      <c r="E162" s="13">
        <f t="shared" si="14"/>
        <v>2</v>
      </c>
      <c r="F162" s="14">
        <f t="shared" si="15"/>
        <v>2</v>
      </c>
    </row>
    <row r="163" spans="2:6" x14ac:dyDescent="0.2">
      <c r="B163" s="172">
        <f t="shared" si="16"/>
        <v>0.54000000000000103</v>
      </c>
      <c r="C163" s="13">
        <f t="shared" si="12"/>
        <v>0.84166501650003178</v>
      </c>
      <c r="D163" s="13">
        <f t="shared" si="13"/>
        <v>0</v>
      </c>
      <c r="E163" s="13">
        <f t="shared" si="14"/>
        <v>2</v>
      </c>
      <c r="F163" s="14">
        <f t="shared" si="15"/>
        <v>2</v>
      </c>
    </row>
    <row r="164" spans="2:6" x14ac:dyDescent="0.2">
      <c r="B164" s="172">
        <f t="shared" si="16"/>
        <v>0.55000000000000104</v>
      </c>
      <c r="C164" s="13">
        <f t="shared" si="12"/>
        <v>0.83516465442450261</v>
      </c>
      <c r="D164" s="13">
        <f t="shared" si="13"/>
        <v>0</v>
      </c>
      <c r="E164" s="13">
        <f t="shared" si="14"/>
        <v>2</v>
      </c>
      <c r="F164" s="14">
        <f t="shared" si="15"/>
        <v>2</v>
      </c>
    </row>
    <row r="165" spans="2:6" x14ac:dyDescent="0.2">
      <c r="B165" s="172">
        <f t="shared" si="16"/>
        <v>0.56000000000000105</v>
      </c>
      <c r="C165" s="13">
        <f t="shared" si="12"/>
        <v>0.8284926070883184</v>
      </c>
      <c r="D165" s="13">
        <f t="shared" si="13"/>
        <v>0</v>
      </c>
      <c r="E165" s="13">
        <f t="shared" si="14"/>
        <v>2</v>
      </c>
      <c r="F165" s="14">
        <f t="shared" si="15"/>
        <v>2</v>
      </c>
    </row>
    <row r="166" spans="2:6" x14ac:dyDescent="0.2">
      <c r="B166" s="172">
        <f t="shared" si="16"/>
        <v>0.57000000000000106</v>
      </c>
      <c r="C166" s="13">
        <f t="shared" si="12"/>
        <v>0.82164469206585811</v>
      </c>
      <c r="D166" s="13">
        <f t="shared" si="13"/>
        <v>0</v>
      </c>
      <c r="E166" s="13">
        <f t="shared" si="14"/>
        <v>2</v>
      </c>
      <c r="F166" s="14">
        <f t="shared" si="15"/>
        <v>2</v>
      </c>
    </row>
    <row r="167" spans="2:6" x14ac:dyDescent="0.2">
      <c r="B167" s="172">
        <f t="shared" si="16"/>
        <v>0.58000000000000107</v>
      </c>
      <c r="C167" s="13">
        <f t="shared" si="12"/>
        <v>0.81461647417665128</v>
      </c>
      <c r="D167" s="13">
        <f t="shared" si="13"/>
        <v>0</v>
      </c>
      <c r="E167" s="13">
        <f t="shared" si="14"/>
        <v>2</v>
      </c>
      <c r="F167" s="14">
        <f t="shared" si="15"/>
        <v>2</v>
      </c>
    </row>
    <row r="168" spans="2:6" x14ac:dyDescent="0.2">
      <c r="B168" s="172">
        <f t="shared" si="16"/>
        <v>0.59000000000000108</v>
      </c>
      <c r="C168" s="13">
        <f t="shared" si="12"/>
        <v>0.80740324497737725</v>
      </c>
      <c r="D168" s="13">
        <f t="shared" si="13"/>
        <v>0</v>
      </c>
      <c r="E168" s="13">
        <f t="shared" si="14"/>
        <v>2</v>
      </c>
      <c r="F168" s="14">
        <f t="shared" si="15"/>
        <v>2</v>
      </c>
    </row>
    <row r="169" spans="2:6" x14ac:dyDescent="0.2">
      <c r="B169" s="172">
        <f t="shared" si="16"/>
        <v>0.60000000000000109</v>
      </c>
      <c r="C169" s="13">
        <f t="shared" si="12"/>
        <v>0.79999999999999916</v>
      </c>
      <c r="D169" s="13">
        <f t="shared" si="13"/>
        <v>0</v>
      </c>
      <c r="E169" s="13">
        <f t="shared" si="14"/>
        <v>2</v>
      </c>
      <c r="F169" s="14">
        <f t="shared" si="15"/>
        <v>2</v>
      </c>
    </row>
    <row r="170" spans="2:6" x14ac:dyDescent="0.2">
      <c r="B170" s="172">
        <f t="shared" ref="B170:B201" si="17">B169+$C$5</f>
        <v>0.6100000000000011</v>
      </c>
      <c r="C170" s="13">
        <f t="shared" si="12"/>
        <v>0.79240141342630044</v>
      </c>
      <c r="D170" s="13">
        <f t="shared" si="13"/>
        <v>0</v>
      </c>
      <c r="E170" s="13">
        <f t="shared" si="14"/>
        <v>2</v>
      </c>
      <c r="F170" s="14">
        <f t="shared" si="15"/>
        <v>2</v>
      </c>
    </row>
    <row r="171" spans="2:6" x14ac:dyDescent="0.2">
      <c r="B171" s="172">
        <f t="shared" si="17"/>
        <v>0.62000000000000111</v>
      </c>
      <c r="C171" s="13">
        <f t="shared" si="12"/>
        <v>0.78460180983732031</v>
      </c>
      <c r="D171" s="13">
        <f t="shared" si="13"/>
        <v>0</v>
      </c>
      <c r="E171" s="13">
        <f t="shared" si="14"/>
        <v>2</v>
      </c>
      <c r="F171" s="14">
        <f t="shared" si="15"/>
        <v>2</v>
      </c>
    </row>
    <row r="172" spans="2:6" x14ac:dyDescent="0.2">
      <c r="B172" s="172">
        <f t="shared" si="17"/>
        <v>0.63000000000000111</v>
      </c>
      <c r="C172" s="13">
        <f t="shared" si="12"/>
        <v>0.77659513261415603</v>
      </c>
      <c r="D172" s="13">
        <f t="shared" si="13"/>
        <v>0</v>
      </c>
      <c r="E172" s="13">
        <f t="shared" si="14"/>
        <v>2</v>
      </c>
      <c r="F172" s="14">
        <f t="shared" si="15"/>
        <v>2</v>
      </c>
    </row>
    <row r="173" spans="2:6" x14ac:dyDescent="0.2">
      <c r="B173" s="172">
        <f t="shared" si="17"/>
        <v>0.64000000000000112</v>
      </c>
      <c r="C173" s="13">
        <f t="shared" si="12"/>
        <v>0.7683749084919409</v>
      </c>
      <c r="D173" s="13">
        <f t="shared" si="13"/>
        <v>0</v>
      </c>
      <c r="E173" s="13">
        <f t="shared" si="14"/>
        <v>2</v>
      </c>
      <c r="F173" s="14">
        <f t="shared" si="15"/>
        <v>2</v>
      </c>
    </row>
    <row r="174" spans="2:6" x14ac:dyDescent="0.2">
      <c r="B174" s="172">
        <f t="shared" si="17"/>
        <v>0.65000000000000113</v>
      </c>
      <c r="C174" s="13">
        <f t="shared" si="12"/>
        <v>0.75993420767853226</v>
      </c>
      <c r="D174" s="13">
        <f t="shared" si="13"/>
        <v>0</v>
      </c>
      <c r="E174" s="13">
        <f t="shared" si="14"/>
        <v>2</v>
      </c>
      <c r="F174" s="14">
        <f t="shared" si="15"/>
        <v>2</v>
      </c>
    </row>
    <row r="175" spans="2:6" x14ac:dyDescent="0.2">
      <c r="B175" s="172">
        <f t="shared" si="17"/>
        <v>0.66000000000000114</v>
      </c>
      <c r="C175" s="13">
        <f t="shared" si="12"/>
        <v>0.75126559883971689</v>
      </c>
      <c r="D175" s="13">
        <f t="shared" si="13"/>
        <v>0</v>
      </c>
      <c r="E175" s="13">
        <f t="shared" si="14"/>
        <v>2</v>
      </c>
      <c r="F175" s="14">
        <f t="shared" si="15"/>
        <v>2</v>
      </c>
    </row>
    <row r="176" spans="2:6" x14ac:dyDescent="0.2">
      <c r="B176" s="172">
        <f t="shared" si="17"/>
        <v>0.67000000000000115</v>
      </c>
      <c r="C176" s="13">
        <f t="shared" si="12"/>
        <v>0.74236109811869755</v>
      </c>
      <c r="D176" s="13">
        <f t="shared" si="13"/>
        <v>0</v>
      </c>
      <c r="E176" s="13">
        <f t="shared" si="14"/>
        <v>2</v>
      </c>
      <c r="F176" s="14">
        <f t="shared" si="15"/>
        <v>2</v>
      </c>
    </row>
    <row r="177" spans="2:6" x14ac:dyDescent="0.2">
      <c r="B177" s="172">
        <f t="shared" si="17"/>
        <v>0.68000000000000116</v>
      </c>
      <c r="C177" s="13">
        <f t="shared" si="12"/>
        <v>0.73321211119293328</v>
      </c>
      <c r="D177" s="13">
        <f t="shared" si="13"/>
        <v>0</v>
      </c>
      <c r="E177" s="13">
        <f t="shared" si="14"/>
        <v>2</v>
      </c>
      <c r="F177" s="14">
        <f t="shared" si="15"/>
        <v>2</v>
      </c>
    </row>
    <row r="178" spans="2:6" x14ac:dyDescent="0.2">
      <c r="B178" s="172">
        <f t="shared" si="17"/>
        <v>0.69000000000000117</v>
      </c>
      <c r="C178" s="13">
        <f t="shared" si="12"/>
        <v>0.72380936716790167</v>
      </c>
      <c r="D178" s="13">
        <f t="shared" si="13"/>
        <v>0</v>
      </c>
      <c r="E178" s="13">
        <f t="shared" si="14"/>
        <v>2</v>
      </c>
      <c r="F178" s="14">
        <f t="shared" si="15"/>
        <v>2</v>
      </c>
    </row>
    <row r="179" spans="2:6" x14ac:dyDescent="0.2">
      <c r="B179" s="172">
        <f t="shared" si="17"/>
        <v>0.70000000000000118</v>
      </c>
      <c r="C179" s="13">
        <f t="shared" si="12"/>
        <v>0.71414284285428387</v>
      </c>
      <c r="D179" s="13">
        <f t="shared" si="13"/>
        <v>0</v>
      </c>
      <c r="E179" s="13">
        <f t="shared" si="14"/>
        <v>2</v>
      </c>
      <c r="F179" s="14">
        <f t="shared" si="15"/>
        <v>2</v>
      </c>
    </row>
    <row r="180" spans="2:6" x14ac:dyDescent="0.2">
      <c r="B180" s="172">
        <f t="shared" si="17"/>
        <v>0.71000000000000119</v>
      </c>
      <c r="C180" s="13">
        <f t="shared" si="12"/>
        <v>0.70420167565832892</v>
      </c>
      <c r="D180" s="13">
        <f t="shared" si="13"/>
        <v>0</v>
      </c>
      <c r="E180" s="13">
        <f t="shared" si="14"/>
        <v>2</v>
      </c>
      <c r="F180" s="14">
        <f t="shared" si="15"/>
        <v>2</v>
      </c>
    </row>
    <row r="181" spans="2:6" x14ac:dyDescent="0.2">
      <c r="B181" s="172">
        <f t="shared" si="17"/>
        <v>0.72000000000000119</v>
      </c>
      <c r="C181" s="13">
        <f t="shared" si="12"/>
        <v>0.69397406291589758</v>
      </c>
      <c r="D181" s="13">
        <f t="shared" si="13"/>
        <v>0</v>
      </c>
      <c r="E181" s="13">
        <f t="shared" si="14"/>
        <v>2</v>
      </c>
      <c r="F181" s="14">
        <f t="shared" si="15"/>
        <v>2</v>
      </c>
    </row>
    <row r="182" spans="2:6" x14ac:dyDescent="0.2">
      <c r="B182" s="172">
        <f t="shared" si="17"/>
        <v>0.7300000000000012</v>
      </c>
      <c r="C182" s="13">
        <f t="shared" si="12"/>
        <v>0.68344714499366976</v>
      </c>
      <c r="D182" s="13">
        <f t="shared" si="13"/>
        <v>0</v>
      </c>
      <c r="E182" s="13">
        <f t="shared" si="14"/>
        <v>2</v>
      </c>
      <c r="F182" s="14">
        <f t="shared" si="15"/>
        <v>2</v>
      </c>
    </row>
    <row r="183" spans="2:6" x14ac:dyDescent="0.2">
      <c r="B183" s="172">
        <f t="shared" si="17"/>
        <v>0.74000000000000121</v>
      </c>
      <c r="C183" s="13">
        <f t="shared" si="12"/>
        <v>0.67260686883200815</v>
      </c>
      <c r="D183" s="13">
        <f t="shared" si="13"/>
        <v>0</v>
      </c>
      <c r="E183" s="13">
        <f t="shared" si="14"/>
        <v>2</v>
      </c>
      <c r="F183" s="14">
        <f t="shared" si="15"/>
        <v>2</v>
      </c>
    </row>
    <row r="184" spans="2:6" x14ac:dyDescent="0.2">
      <c r="B184" s="172">
        <f t="shared" si="17"/>
        <v>0.75000000000000122</v>
      </c>
      <c r="C184" s="13">
        <f t="shared" si="12"/>
        <v>0.66143782776614624</v>
      </c>
      <c r="D184" s="13">
        <f t="shared" si="13"/>
        <v>0</v>
      </c>
      <c r="E184" s="13">
        <f t="shared" si="14"/>
        <v>2</v>
      </c>
      <c r="F184" s="14">
        <f t="shared" si="15"/>
        <v>2</v>
      </c>
    </row>
    <row r="185" spans="2:6" x14ac:dyDescent="0.2">
      <c r="B185" s="172">
        <f t="shared" si="17"/>
        <v>0.76000000000000123</v>
      </c>
      <c r="C185" s="13">
        <f t="shared" si="12"/>
        <v>0.64992307237087532</v>
      </c>
      <c r="D185" s="13">
        <f t="shared" si="13"/>
        <v>0</v>
      </c>
      <c r="E185" s="13">
        <f t="shared" si="14"/>
        <v>2</v>
      </c>
      <c r="F185" s="14">
        <f t="shared" si="15"/>
        <v>2</v>
      </c>
    </row>
    <row r="186" spans="2:6" x14ac:dyDescent="0.2">
      <c r="B186" s="172">
        <f t="shared" si="17"/>
        <v>0.77000000000000124</v>
      </c>
      <c r="C186" s="13">
        <f t="shared" si="12"/>
        <v>0.63804388563796932</v>
      </c>
      <c r="D186" s="13">
        <f t="shared" si="13"/>
        <v>0</v>
      </c>
      <c r="E186" s="13">
        <f t="shared" si="14"/>
        <v>2</v>
      </c>
      <c r="F186" s="14">
        <f t="shared" si="15"/>
        <v>2</v>
      </c>
    </row>
    <row r="187" spans="2:6" x14ac:dyDescent="0.2">
      <c r="B187" s="172">
        <f t="shared" si="17"/>
        <v>0.78000000000000125</v>
      </c>
      <c r="C187" s="13">
        <f t="shared" si="12"/>
        <v>0.62577951388647912</v>
      </c>
      <c r="D187" s="13">
        <f t="shared" si="13"/>
        <v>0</v>
      </c>
      <c r="E187" s="13">
        <f t="shared" si="14"/>
        <v>2</v>
      </c>
      <c r="F187" s="14">
        <f t="shared" si="15"/>
        <v>2</v>
      </c>
    </row>
    <row r="188" spans="2:6" x14ac:dyDescent="0.2">
      <c r="B188" s="172">
        <f t="shared" si="17"/>
        <v>0.79000000000000126</v>
      </c>
      <c r="C188" s="13">
        <f t="shared" si="12"/>
        <v>0.61310684223877165</v>
      </c>
      <c r="D188" s="13">
        <f t="shared" si="13"/>
        <v>0</v>
      </c>
      <c r="E188" s="13">
        <f t="shared" si="14"/>
        <v>2</v>
      </c>
      <c r="F188" s="14">
        <f t="shared" si="15"/>
        <v>2</v>
      </c>
    </row>
    <row r="189" spans="2:6" x14ac:dyDescent="0.2">
      <c r="B189" s="172">
        <f t="shared" si="17"/>
        <v>0.80000000000000127</v>
      </c>
      <c r="C189" s="13">
        <f t="shared" si="12"/>
        <v>0.59999999999999831</v>
      </c>
      <c r="D189" s="13">
        <f t="shared" si="13"/>
        <v>0</v>
      </c>
      <c r="E189" s="13">
        <f t="shared" si="14"/>
        <v>2</v>
      </c>
      <c r="F189" s="14">
        <f t="shared" si="15"/>
        <v>2</v>
      </c>
    </row>
    <row r="190" spans="2:6" x14ac:dyDescent="0.2">
      <c r="B190" s="172">
        <f t="shared" si="17"/>
        <v>0.81000000000000127</v>
      </c>
      <c r="C190" s="13">
        <f t="shared" si="12"/>
        <v>0.58642987645582823</v>
      </c>
      <c r="D190" s="13">
        <f t="shared" si="13"/>
        <v>0</v>
      </c>
      <c r="E190" s="13">
        <f t="shared" si="14"/>
        <v>2</v>
      </c>
      <c r="F190" s="14">
        <f t="shared" si="15"/>
        <v>2</v>
      </c>
    </row>
    <row r="191" spans="2:6" x14ac:dyDescent="0.2">
      <c r="B191" s="172">
        <f t="shared" si="17"/>
        <v>0.82000000000000128</v>
      </c>
      <c r="C191" s="13">
        <f t="shared" si="12"/>
        <v>0.57236352085016551</v>
      </c>
      <c r="D191" s="13">
        <f t="shared" si="13"/>
        <v>0</v>
      </c>
      <c r="E191" s="13">
        <f t="shared" si="14"/>
        <v>2</v>
      </c>
      <c r="F191" s="14">
        <f t="shared" si="15"/>
        <v>2</v>
      </c>
    </row>
    <row r="192" spans="2:6" x14ac:dyDescent="0.2">
      <c r="B192" s="172">
        <f t="shared" si="17"/>
        <v>0.83000000000000129</v>
      </c>
      <c r="C192" s="13">
        <f t="shared" si="12"/>
        <v>0.55776339069537162</v>
      </c>
      <c r="D192" s="13">
        <f t="shared" si="13"/>
        <v>0</v>
      </c>
      <c r="E192" s="13">
        <f t="shared" si="14"/>
        <v>2</v>
      </c>
      <c r="F192" s="14">
        <f t="shared" si="15"/>
        <v>2</v>
      </c>
    </row>
    <row r="193" spans="2:6" x14ac:dyDescent="0.2">
      <c r="B193" s="172">
        <f t="shared" si="17"/>
        <v>0.8400000000000013</v>
      </c>
      <c r="C193" s="13">
        <f t="shared" si="12"/>
        <v>0.54258639865001945</v>
      </c>
      <c r="D193" s="13">
        <f t="shared" si="13"/>
        <v>0</v>
      </c>
      <c r="E193" s="13">
        <f t="shared" si="14"/>
        <v>2</v>
      </c>
      <c r="F193" s="14">
        <f t="shared" si="15"/>
        <v>2</v>
      </c>
    </row>
    <row r="194" spans="2:6" x14ac:dyDescent="0.2">
      <c r="B194" s="172">
        <f t="shared" si="17"/>
        <v>0.85000000000000131</v>
      </c>
      <c r="C194" s="13">
        <f t="shared" si="12"/>
        <v>0.52678268764263481</v>
      </c>
      <c r="D194" s="13">
        <f t="shared" si="13"/>
        <v>0</v>
      </c>
      <c r="E194" s="13">
        <f t="shared" si="14"/>
        <v>2</v>
      </c>
      <c r="F194" s="14">
        <f t="shared" si="15"/>
        <v>2</v>
      </c>
    </row>
    <row r="195" spans="2:6" x14ac:dyDescent="0.2">
      <c r="B195" s="172">
        <f t="shared" si="17"/>
        <v>0.86000000000000132</v>
      </c>
      <c r="C195" s="13">
        <f t="shared" si="12"/>
        <v>0.51029403288692077</v>
      </c>
      <c r="D195" s="13">
        <f t="shared" si="13"/>
        <v>0</v>
      </c>
      <c r="E195" s="13">
        <f t="shared" si="14"/>
        <v>2</v>
      </c>
      <c r="F195" s="14">
        <f t="shared" si="15"/>
        <v>2</v>
      </c>
    </row>
    <row r="196" spans="2:6" x14ac:dyDescent="0.2">
      <c r="B196" s="172">
        <f t="shared" si="17"/>
        <v>0.87000000000000133</v>
      </c>
      <c r="C196" s="13">
        <f t="shared" si="12"/>
        <v>0.49305172142483961</v>
      </c>
      <c r="D196" s="13">
        <f t="shared" si="13"/>
        <v>0</v>
      </c>
      <c r="E196" s="13">
        <f t="shared" si="14"/>
        <v>2</v>
      </c>
      <c r="F196" s="14">
        <f t="shared" si="15"/>
        <v>2</v>
      </c>
    </row>
    <row r="197" spans="2:6" x14ac:dyDescent="0.2">
      <c r="B197" s="172">
        <f t="shared" si="17"/>
        <v>0.88000000000000134</v>
      </c>
      <c r="C197" s="13">
        <f t="shared" si="12"/>
        <v>0.47497368348151425</v>
      </c>
      <c r="D197" s="13">
        <f t="shared" si="13"/>
        <v>0</v>
      </c>
      <c r="E197" s="13">
        <f t="shared" si="14"/>
        <v>2</v>
      </c>
      <c r="F197" s="14">
        <f t="shared" si="15"/>
        <v>2</v>
      </c>
    </row>
    <row r="198" spans="2:6" x14ac:dyDescent="0.2">
      <c r="B198" s="172">
        <f t="shared" si="17"/>
        <v>0.89000000000000135</v>
      </c>
      <c r="C198" s="13">
        <f t="shared" si="12"/>
        <v>0.45596052460711733</v>
      </c>
      <c r="D198" s="13">
        <f t="shared" si="13"/>
        <v>0</v>
      </c>
      <c r="E198" s="13">
        <f t="shared" si="14"/>
        <v>2</v>
      </c>
      <c r="F198" s="14">
        <f t="shared" si="15"/>
        <v>2</v>
      </c>
    </row>
    <row r="199" spans="2:6" x14ac:dyDescent="0.2">
      <c r="B199" s="172">
        <f t="shared" si="17"/>
        <v>0.90000000000000135</v>
      </c>
      <c r="C199" s="13">
        <f t="shared" si="12"/>
        <v>0.43588989435406461</v>
      </c>
      <c r="D199" s="13">
        <f t="shared" si="13"/>
        <v>0</v>
      </c>
      <c r="E199" s="13">
        <f t="shared" si="14"/>
        <v>2</v>
      </c>
      <c r="F199" s="14">
        <f t="shared" si="15"/>
        <v>2</v>
      </c>
    </row>
    <row r="200" spans="2:6" x14ac:dyDescent="0.2">
      <c r="B200" s="172">
        <f t="shared" si="17"/>
        <v>0.91000000000000136</v>
      </c>
      <c r="C200" s="13">
        <f t="shared" si="12"/>
        <v>0.41460824883255459</v>
      </c>
      <c r="D200" s="13">
        <f t="shared" si="13"/>
        <v>0</v>
      </c>
      <c r="E200" s="13">
        <f t="shared" si="14"/>
        <v>2</v>
      </c>
      <c r="F200" s="14">
        <f t="shared" si="15"/>
        <v>2</v>
      </c>
    </row>
    <row r="201" spans="2:6" x14ac:dyDescent="0.2">
      <c r="B201" s="172">
        <f t="shared" si="17"/>
        <v>0.92000000000000137</v>
      </c>
      <c r="C201" s="13">
        <f t="shared" ref="C201:C209" si="18">IFERROR(IF(SQRT(1-(B201*B201)/($F$6*$F$6))&lt;0.05,0,SQRT(1-(B201*B201)/($F$6*$F$6))),0)</f>
        <v>0.39191835884530535</v>
      </c>
      <c r="D201" s="13">
        <f t="shared" ref="D201:D209" si="19">CHOOSE(MATCH($F$4,degrees),IF(B201&lt;0,IFERROR(1-C201,1),0),0,0,IF(B201&gt;0,IFERROR(1-C201,1),0))</f>
        <v>0</v>
      </c>
      <c r="E201" s="13">
        <f t="shared" ref="E201:E209" si="20">CHOOSE(MATCH($F$4,degrees),IF(B201&lt;0,2*C201,2),IF(B201&lt;0,0,1-C201),IF(B201&gt;0,0,1-C201),IF(B201&gt;0,2*C201,2))</f>
        <v>2</v>
      </c>
      <c r="F201" s="14">
        <f t="shared" ref="F201:F209" si="21">CHOOSE(MATCH($F$4,degrees),IF(B201&lt;0,C201+1,2),IF(B201&lt;0,2,2*C201),IF(B201&gt;0,2,2*C201),IF(B201&gt;0,C201+1,2))</f>
        <v>2</v>
      </c>
    </row>
    <row r="202" spans="2:6" x14ac:dyDescent="0.2">
      <c r="B202" s="172">
        <f t="shared" ref="B202:B209" si="22">B201+$C$5</f>
        <v>0.93000000000000138</v>
      </c>
      <c r="C202" s="13">
        <f t="shared" si="18"/>
        <v>0.36755951898977862</v>
      </c>
      <c r="D202" s="13">
        <f t="shared" si="19"/>
        <v>0</v>
      </c>
      <c r="E202" s="13">
        <f t="shared" si="20"/>
        <v>2</v>
      </c>
      <c r="F202" s="14">
        <f t="shared" si="21"/>
        <v>2</v>
      </c>
    </row>
    <row r="203" spans="2:6" x14ac:dyDescent="0.2">
      <c r="B203" s="172">
        <f t="shared" si="22"/>
        <v>0.94000000000000139</v>
      </c>
      <c r="C203" s="13">
        <f t="shared" si="18"/>
        <v>0.34117444218463577</v>
      </c>
      <c r="D203" s="13">
        <f t="shared" si="19"/>
        <v>0</v>
      </c>
      <c r="E203" s="13">
        <f t="shared" si="20"/>
        <v>2</v>
      </c>
      <c r="F203" s="14">
        <f t="shared" si="21"/>
        <v>2</v>
      </c>
    </row>
    <row r="204" spans="2:6" x14ac:dyDescent="0.2">
      <c r="B204" s="172">
        <f t="shared" si="22"/>
        <v>0.9500000000000014</v>
      </c>
      <c r="C204" s="13">
        <f t="shared" si="18"/>
        <v>0.3122498999199157</v>
      </c>
      <c r="D204" s="13">
        <f t="shared" si="19"/>
        <v>0</v>
      </c>
      <c r="E204" s="13">
        <f t="shared" si="20"/>
        <v>2</v>
      </c>
      <c r="F204" s="14">
        <f t="shared" si="21"/>
        <v>2</v>
      </c>
    </row>
    <row r="205" spans="2:6" x14ac:dyDescent="0.2">
      <c r="B205" s="172">
        <f t="shared" si="22"/>
        <v>0.96000000000000141</v>
      </c>
      <c r="C205" s="13">
        <f t="shared" si="18"/>
        <v>0.27999999999999509</v>
      </c>
      <c r="D205" s="13">
        <f t="shared" si="19"/>
        <v>0</v>
      </c>
      <c r="E205" s="13">
        <f t="shared" si="20"/>
        <v>2</v>
      </c>
      <c r="F205" s="14">
        <f t="shared" si="21"/>
        <v>2</v>
      </c>
    </row>
    <row r="206" spans="2:6" x14ac:dyDescent="0.2">
      <c r="B206" s="172">
        <f t="shared" si="22"/>
        <v>0.97000000000000142</v>
      </c>
      <c r="C206" s="13">
        <f t="shared" si="18"/>
        <v>0.24310491562285874</v>
      </c>
      <c r="D206" s="13">
        <f t="shared" si="19"/>
        <v>0</v>
      </c>
      <c r="E206" s="13">
        <f t="shared" si="20"/>
        <v>2</v>
      </c>
      <c r="F206" s="14">
        <f t="shared" si="21"/>
        <v>2</v>
      </c>
    </row>
    <row r="207" spans="2:6" x14ac:dyDescent="0.2">
      <c r="B207" s="172">
        <f t="shared" si="22"/>
        <v>0.98000000000000143</v>
      </c>
      <c r="C207" s="13">
        <f t="shared" si="18"/>
        <v>0.19899748742131693</v>
      </c>
      <c r="D207" s="13">
        <f t="shared" si="19"/>
        <v>0</v>
      </c>
      <c r="E207" s="13">
        <f t="shared" si="20"/>
        <v>2</v>
      </c>
      <c r="F207" s="14">
        <f t="shared" si="21"/>
        <v>2</v>
      </c>
    </row>
    <row r="208" spans="2:6" x14ac:dyDescent="0.2">
      <c r="B208" s="172">
        <f t="shared" si="22"/>
        <v>0.99000000000000143</v>
      </c>
      <c r="C208" s="13">
        <f t="shared" si="18"/>
        <v>0.14106735979664872</v>
      </c>
      <c r="D208" s="13">
        <f t="shared" si="19"/>
        <v>0</v>
      </c>
      <c r="E208" s="13">
        <f t="shared" si="20"/>
        <v>2</v>
      </c>
      <c r="F208" s="14">
        <f t="shared" si="21"/>
        <v>2</v>
      </c>
    </row>
    <row r="209" spans="2:6" x14ac:dyDescent="0.2">
      <c r="B209" s="173">
        <f t="shared" si="22"/>
        <v>1.0000000000000013</v>
      </c>
      <c r="C209" s="10">
        <f t="shared" si="18"/>
        <v>0</v>
      </c>
      <c r="D209" s="10">
        <f t="shared" si="19"/>
        <v>0</v>
      </c>
      <c r="E209" s="10">
        <f t="shared" si="20"/>
        <v>2</v>
      </c>
      <c r="F209" s="15">
        <f t="shared" si="21"/>
        <v>2</v>
      </c>
    </row>
  </sheetData>
  <sheetProtection sheet="1" objects="1" scenarios="1"/>
  <mergeCells count="1">
    <mergeCell ref="B3:E3"/>
  </mergeCells>
  <pageMargins left="0.75" right="0.75" top="1" bottom="1" header="0.5" footer="0.5"/>
  <pageSetup paperSize="9"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B2D13-45BC-0842-BFF8-B939C9CDCFA3}">
  <dimension ref="A1"/>
  <sheetViews>
    <sheetView showGridLines="0" topLeftCell="A26" workbookViewId="0">
      <selection activeCell="C55" sqref="C55"/>
    </sheetView>
  </sheetViews>
  <sheetFormatPr baseColWidth="10" defaultRowHeight="16" x14ac:dyDescent="0.2"/>
  <sheetData/>
  <sheetProtection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Introduction</vt:lpstr>
      <vt:lpstr>Moon Phase-Node Model</vt:lpstr>
      <vt:lpstr>Calculations</vt:lpstr>
      <vt:lpstr>Background</vt:lpstr>
      <vt:lpstr>MoonPhaseTable</vt:lpstr>
    </vt:vector>
  </TitlesOfParts>
  <Manager/>
  <Company>Astronomy Morsels</Company>
  <LinksUpToDate>false</LinksUpToDate>
  <SharedDoc>false</SharedDoc>
  <HyperlinkBase>www.astronomy-morsels.ch</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Moon-Phase-Node Model</dc:title>
  <dc:subject/>
  <dc:creator>Anton Viola</dc:creator>
  <cp:keywords/>
  <dc:description/>
  <cp:lastModifiedBy>Anton Viola</cp:lastModifiedBy>
  <dcterms:created xsi:type="dcterms:W3CDTF">2024-04-18T18:24:33Z</dcterms:created>
  <dcterms:modified xsi:type="dcterms:W3CDTF">2024-05-07T09:46:12Z</dcterms:modified>
  <cp:category/>
</cp:coreProperties>
</file>