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/Users/hanssassenburg/Library/CloudStorage/Dropbox/X_Private/20_Astronomy/Morsels/"/>
    </mc:Choice>
  </mc:AlternateContent>
  <xr:revisionPtr revIDLastSave="0" documentId="13_ncr:1_{5D22AB76-EA34-434C-80B8-E79B722D7737}" xr6:coauthVersionLast="47" xr6:coauthVersionMax="47" xr10:uidLastSave="{00000000-0000-0000-0000-000000000000}"/>
  <bookViews>
    <workbookView xWindow="7440" yWindow="4740" windowWidth="33700" windowHeight="17060" xr2:uid="{26B43E56-0288-204E-B256-15861EF2288D}"/>
  </bookViews>
  <sheets>
    <sheet name="Introduction" sheetId="2" r:id="rId1"/>
    <sheet name="Star Position" sheetId="3" r:id="rId2"/>
    <sheet name="Data" sheetId="4" r:id="rId3"/>
  </sheets>
  <externalReferences>
    <externalReference r:id="rId4"/>
  </externalReferences>
  <definedNames>
    <definedName name="_xlnm._FilterDatabase" localSheetId="1" hidden="1">Data!$B$2:$H$2</definedName>
    <definedName name="A_B1" localSheetId="0">#REF!</definedName>
    <definedName name="A_B1" localSheetId="1">#REF!</definedName>
    <definedName name="A_B1">#REF!</definedName>
    <definedName name="A_B2" localSheetId="0">#REF!</definedName>
    <definedName name="A_B2" localSheetId="1">#REF!</definedName>
    <definedName name="A_B2">#REF!</definedName>
    <definedName name="A_B3" localSheetId="0">#REF!</definedName>
    <definedName name="A_B3" localSheetId="1">#REF!</definedName>
    <definedName name="A_B3">#REF!</definedName>
    <definedName name="A_C1" localSheetId="0">#REF!</definedName>
    <definedName name="A_C1" localSheetId="1">#REF!</definedName>
    <definedName name="A_C1">#REF!</definedName>
    <definedName name="A_C2" localSheetId="0">#REF!</definedName>
    <definedName name="A_C2" localSheetId="1">#REF!</definedName>
    <definedName name="A_C2">#REF!</definedName>
    <definedName name="A_CF" localSheetId="0">#REF!</definedName>
    <definedName name="A_CF" localSheetId="1">#REF!</definedName>
    <definedName name="A_CF">#REF!</definedName>
    <definedName name="A_D1" localSheetId="0">#REF!</definedName>
    <definedName name="A_D1" localSheetId="1">#REF!</definedName>
    <definedName name="A_D1">#REF!</definedName>
    <definedName name="A_D2" localSheetId="0">#REF!</definedName>
    <definedName name="A_D2" localSheetId="1">#REF!</definedName>
    <definedName name="A_D2">#REF!</definedName>
    <definedName name="A_E1" localSheetId="0">#REF!</definedName>
    <definedName name="A_E1" localSheetId="1">#REF!</definedName>
    <definedName name="A_E1">#REF!</definedName>
    <definedName name="A_E2" localSheetId="0">#REF!</definedName>
    <definedName name="A_E2" localSheetId="1">#REF!</definedName>
    <definedName name="A_E2">#REF!</definedName>
    <definedName name="A_E3" localSheetId="0">#REF!</definedName>
    <definedName name="A_E3" localSheetId="1">#REF!</definedName>
    <definedName name="A_E3">#REF!</definedName>
    <definedName name="A_E4" localSheetId="0">#REF!</definedName>
    <definedName name="A_E4" localSheetId="1">#REF!</definedName>
    <definedName name="A_E4">#REF!</definedName>
    <definedName name="A_E5" localSheetId="0">#REF!</definedName>
    <definedName name="A_E5" localSheetId="1">#REF!</definedName>
    <definedName name="A_E5">#REF!</definedName>
    <definedName name="A_E6" localSheetId="0">#REF!</definedName>
    <definedName name="A_E6" localSheetId="1">#REF!</definedName>
    <definedName name="A_E6">#REF!</definedName>
    <definedName name="A_F1" localSheetId="0">#REF!</definedName>
    <definedName name="A_F1" localSheetId="1">#REF!</definedName>
    <definedName name="A_F1">#REF!</definedName>
    <definedName name="A_F2" localSheetId="0">#REF!</definedName>
    <definedName name="A_F2" localSheetId="1">#REF!</definedName>
    <definedName name="A_F2">#REF!</definedName>
    <definedName name="A_G1" localSheetId="0">#REF!</definedName>
    <definedName name="A_G1" localSheetId="1">#REF!</definedName>
    <definedName name="A_G1">#REF!</definedName>
    <definedName name="A_G2" localSheetId="0">#REF!</definedName>
    <definedName name="A_G2" localSheetId="1">#REF!</definedName>
    <definedName name="A_G2">#REF!</definedName>
    <definedName name="A_H1" localSheetId="0">#REF!</definedName>
    <definedName name="A_H1" localSheetId="1">#REF!</definedName>
    <definedName name="A_H1">#REF!</definedName>
    <definedName name="A_H2" localSheetId="0">#REF!</definedName>
    <definedName name="A_H2" localSheetId="1">#REF!</definedName>
    <definedName name="A_H2">#REF!</definedName>
    <definedName name="A_I1" localSheetId="0">#REF!</definedName>
    <definedName name="A_I1" localSheetId="1">#REF!</definedName>
    <definedName name="A_I1">#REF!</definedName>
    <definedName name="A_jup1" localSheetId="0">#REF!</definedName>
    <definedName name="A_jup1" localSheetId="1">#REF!</definedName>
    <definedName name="A_jup1">#REF!</definedName>
    <definedName name="A_jup2" localSheetId="0">#REF!</definedName>
    <definedName name="A_jup2" localSheetId="1">#REF!</definedName>
    <definedName name="A_jup2">#REF!</definedName>
    <definedName name="A_jup3" localSheetId="0">#REF!</definedName>
    <definedName name="A_jup3" localSheetId="1">#REF!</definedName>
    <definedName name="A_jup3">#REF!</definedName>
    <definedName name="A_jup4" localSheetId="0">#REF!</definedName>
    <definedName name="A_jup4" localSheetId="1">#REF!</definedName>
    <definedName name="A_jup4">#REF!</definedName>
    <definedName name="A_K1" localSheetId="0">#REF!</definedName>
    <definedName name="A_K1" localSheetId="1">#REF!</definedName>
    <definedName name="A_K1">#REF!</definedName>
    <definedName name="A_K2" localSheetId="0">#REF!</definedName>
    <definedName name="A_K2" localSheetId="1">#REF!</definedName>
    <definedName name="A_K2">#REF!</definedName>
    <definedName name="A_L1" localSheetId="0">#REF!</definedName>
    <definedName name="A_L1" localSheetId="1">#REF!</definedName>
    <definedName name="A_L1">#REF!</definedName>
    <definedName name="A_L2" localSheetId="0">#REF!</definedName>
    <definedName name="A_L2" localSheetId="1">#REF!</definedName>
    <definedName name="A_L2">#REF!</definedName>
    <definedName name="A_lun1" localSheetId="0">#REF!</definedName>
    <definedName name="A_lun1" localSheetId="1">#REF!</definedName>
    <definedName name="A_lun1">#REF!</definedName>
    <definedName name="A_lun2" localSheetId="0">#REF!</definedName>
    <definedName name="A_lun2" localSheetId="1">#REF!</definedName>
    <definedName name="A_lun2">#REF!</definedName>
    <definedName name="A_lun3" localSheetId="0">#REF!</definedName>
    <definedName name="A_lun3" localSheetId="1">#REF!</definedName>
    <definedName name="A_lun3">#REF!</definedName>
    <definedName name="A_lun4" localSheetId="0">#REF!</definedName>
    <definedName name="A_lun4" localSheetId="1">#REF!</definedName>
    <definedName name="A_lun4">#REF!</definedName>
    <definedName name="A_M1" localSheetId="0">#REF!</definedName>
    <definedName name="A_M1" localSheetId="1">#REF!</definedName>
    <definedName name="A_M1">#REF!</definedName>
    <definedName name="A_M2" localSheetId="0">#REF!</definedName>
    <definedName name="A_M2" localSheetId="1">#REF!</definedName>
    <definedName name="A_M2">#REF!</definedName>
    <definedName name="A_M3" localSheetId="0">#REF!</definedName>
    <definedName name="A_M3" localSheetId="1">#REF!</definedName>
    <definedName name="A_M3">#REF!</definedName>
    <definedName name="A_mars1" localSheetId="0">#REF!</definedName>
    <definedName name="A_mars1" localSheetId="1">#REF!</definedName>
    <definedName name="A_mars1">#REF!</definedName>
    <definedName name="A_mars2" localSheetId="0">#REF!</definedName>
    <definedName name="A_mars2" localSheetId="1">#REF!</definedName>
    <definedName name="A_mars2">#REF!</definedName>
    <definedName name="A_mars3" localSheetId="0">#REF!</definedName>
    <definedName name="A_mars3" localSheetId="1">#REF!</definedName>
    <definedName name="A_mars3">#REF!</definedName>
    <definedName name="A_mars4" localSheetId="0">#REF!</definedName>
    <definedName name="A_mars4" localSheetId="1">#REF!</definedName>
    <definedName name="A_mars4">#REF!</definedName>
    <definedName name="A_mer1" localSheetId="0">#REF!</definedName>
    <definedName name="A_mer1" localSheetId="1">#REF!</definedName>
    <definedName name="A_mer1">#REF!</definedName>
    <definedName name="A_mer2" localSheetId="0">#REF!</definedName>
    <definedName name="A_mer2" localSheetId="1">#REF!</definedName>
    <definedName name="A_mer2">#REF!</definedName>
    <definedName name="A_N1" localSheetId="0">#REF!</definedName>
    <definedName name="A_N1" localSheetId="1">#REF!</definedName>
    <definedName name="A_N1">#REF!</definedName>
    <definedName name="A_N2" localSheetId="0">#REF!</definedName>
    <definedName name="A_N2" localSheetId="1">#REF!</definedName>
    <definedName name="A_N2">#REF!</definedName>
    <definedName name="A_N3" localSheetId="0">#REF!</definedName>
    <definedName name="A_N3" localSheetId="1">#REF!</definedName>
    <definedName name="A_N3">#REF!</definedName>
    <definedName name="A_O1" localSheetId="0">#REF!</definedName>
    <definedName name="A_O1" localSheetId="1">#REF!</definedName>
    <definedName name="A_O1">#REF!</definedName>
    <definedName name="A_P1" localSheetId="0">#REF!</definedName>
    <definedName name="A_P1" localSheetId="1">#REF!</definedName>
    <definedName name="A_P1">#REF!</definedName>
    <definedName name="A_P2" localSheetId="0">#REF!</definedName>
    <definedName name="A_P2" localSheetId="1">#REF!</definedName>
    <definedName name="A_P2">#REF!</definedName>
    <definedName name="A_Q1" localSheetId="0">#REF!</definedName>
    <definedName name="A_Q1" localSheetId="1">#REF!</definedName>
    <definedName name="A_Q1">#REF!</definedName>
    <definedName name="A_sat1" localSheetId="0">#REF!</definedName>
    <definedName name="A_sat1" localSheetId="1">#REF!</definedName>
    <definedName name="A_sat1">#REF!</definedName>
    <definedName name="A_sat2" localSheetId="0">#REF!</definedName>
    <definedName name="A_sat2" localSheetId="1">#REF!</definedName>
    <definedName name="A_sat2">#REF!</definedName>
    <definedName name="A_sat3" localSheetId="0">#REF!</definedName>
    <definedName name="A_sat3" localSheetId="1">#REF!</definedName>
    <definedName name="A_sat3">#REF!</definedName>
    <definedName name="A_sat4" localSheetId="0">#REF!</definedName>
    <definedName name="A_sat4" localSheetId="1">#REF!</definedName>
    <definedName name="A_sat4">#REF!</definedName>
    <definedName name="A_sun1" localSheetId="0">#REF!</definedName>
    <definedName name="A_sun1" localSheetId="1">#REF!</definedName>
    <definedName name="A_sun1">#REF!</definedName>
    <definedName name="A_sun2" localSheetId="0">#REF!</definedName>
    <definedName name="A_sun2" localSheetId="1">#REF!</definedName>
    <definedName name="A_sun2">#REF!</definedName>
    <definedName name="A_sun3" localSheetId="0">#REF!</definedName>
    <definedName name="A_sun3" localSheetId="1">#REF!</definedName>
    <definedName name="A_sun3">#REF!</definedName>
    <definedName name="A_ven1" localSheetId="0">#REF!</definedName>
    <definedName name="A_ven1" localSheetId="1">#REF!</definedName>
    <definedName name="A_ven1">#REF!</definedName>
    <definedName name="A_X" localSheetId="0">#REF!</definedName>
    <definedName name="A_X" localSheetId="1">#REF!</definedName>
    <definedName name="A_X">#REF!</definedName>
    <definedName name="date" localSheetId="0">#REF!</definedName>
    <definedName name="date" localSheetId="1">#REF!</definedName>
    <definedName name="date">#REF!</definedName>
    <definedName name="degrees" localSheetId="0">{0;90;180;270}</definedName>
    <definedName name="degrees" localSheetId="1">{0;90;180;270}</definedName>
    <definedName name="degrees">{0;90;180;270}</definedName>
    <definedName name="dgrs" localSheetId="0">{0;90;180;270}</definedName>
    <definedName name="dgrs" localSheetId="1">{0;90;180;270}</definedName>
    <definedName name="dgrs">{0;90;180;270}</definedName>
    <definedName name="SD" localSheetId="0">#REF!</definedName>
    <definedName name="SD">[1]Definitions!$C$8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3" l="1"/>
  <c r="G48" i="4"/>
  <c r="H47" i="4"/>
  <c r="G46" i="4"/>
  <c r="G45" i="4"/>
  <c r="H44" i="4"/>
  <c r="H43" i="4"/>
  <c r="H42" i="4"/>
  <c r="G41" i="4"/>
  <c r="H40" i="4"/>
  <c r="H39" i="4"/>
  <c r="G38" i="4"/>
  <c r="G37" i="4"/>
  <c r="H36" i="4"/>
  <c r="H35" i="4"/>
  <c r="H34" i="4"/>
  <c r="G33" i="4"/>
  <c r="G32" i="4"/>
  <c r="G31" i="4"/>
  <c r="G30" i="4"/>
  <c r="G29" i="4"/>
  <c r="G28" i="4"/>
  <c r="G27" i="4"/>
  <c r="G26" i="4"/>
  <c r="H25" i="4"/>
  <c r="H24" i="4"/>
  <c r="H23" i="4"/>
  <c r="G22" i="4"/>
  <c r="H21" i="4"/>
  <c r="H20" i="4"/>
  <c r="G19" i="4"/>
  <c r="G18" i="4"/>
  <c r="G17" i="4"/>
  <c r="G16" i="4"/>
  <c r="H15" i="4"/>
  <c r="H14" i="4"/>
  <c r="G13" i="4"/>
  <c r="G12" i="4"/>
  <c r="G11" i="4"/>
  <c r="H10" i="4"/>
  <c r="G9" i="4"/>
  <c r="G8" i="4"/>
  <c r="H7" i="4"/>
  <c r="H6" i="4"/>
  <c r="G5" i="4"/>
  <c r="H4" i="4"/>
  <c r="H3" i="4"/>
  <c r="B70" i="3"/>
  <c r="D70" i="3" s="1"/>
  <c r="D69" i="3"/>
  <c r="C69" i="3"/>
  <c r="R58" i="3"/>
  <c r="R57" i="3"/>
  <c r="R56" i="3"/>
  <c r="J56" i="3"/>
  <c r="R55" i="3"/>
  <c r="R54" i="3"/>
  <c r="R53" i="3"/>
  <c r="K53" i="3"/>
  <c r="K54" i="3" s="1"/>
  <c r="R52" i="3"/>
  <c r="R51" i="3"/>
  <c r="K47" i="3"/>
  <c r="K49" i="3" s="1"/>
  <c r="K37" i="3"/>
  <c r="K39" i="3" s="1"/>
  <c r="M30" i="3"/>
  <c r="K30" i="3"/>
  <c r="N29" i="3"/>
  <c r="N28" i="3"/>
  <c r="K24" i="3"/>
  <c r="K23" i="3"/>
  <c r="K5" i="3"/>
  <c r="K15" i="3" s="1"/>
  <c r="K4" i="3"/>
  <c r="K7" i="3" s="1"/>
  <c r="L8" i="3"/>
  <c r="L4" i="3" s="1"/>
  <c r="L6" i="3"/>
  <c r="L5" i="3"/>
  <c r="N30" i="3" l="1"/>
  <c r="K56" i="3" s="1"/>
  <c r="L7" i="3"/>
  <c r="K14" i="3" s="1"/>
  <c r="K16" i="3" s="1"/>
  <c r="K17" i="3" s="1"/>
  <c r="K18" i="3" s="1"/>
  <c r="K38" i="3"/>
  <c r="K40" i="3"/>
  <c r="K58" i="3"/>
  <c r="K57" i="3"/>
  <c r="K48" i="3"/>
  <c r="B71" i="3"/>
  <c r="K55" i="3"/>
  <c r="C70" i="3"/>
  <c r="B72" i="3" l="1"/>
  <c r="C71" i="3"/>
  <c r="D71" i="3"/>
  <c r="K20" i="3"/>
  <c r="K26" i="3" s="1"/>
  <c r="K19" i="3"/>
  <c r="K41" i="3"/>
  <c r="K42" i="3" s="1"/>
  <c r="K25" i="3" l="1"/>
  <c r="K27" i="3" s="1"/>
  <c r="K21" i="3"/>
  <c r="K44" i="3" s="1"/>
  <c r="C72" i="3"/>
  <c r="B73" i="3"/>
  <c r="D72" i="3"/>
  <c r="K46" i="3" l="1"/>
  <c r="K45" i="3"/>
  <c r="B74" i="3"/>
  <c r="C73" i="3"/>
  <c r="D73" i="3"/>
  <c r="K50" i="3"/>
  <c r="N31" i="3"/>
  <c r="K31" i="3"/>
  <c r="K32" i="3" l="1"/>
  <c r="K33" i="3" s="1"/>
  <c r="N53" i="3"/>
  <c r="N56" i="3"/>
  <c r="N32" i="3"/>
  <c r="N33" i="3" s="1"/>
  <c r="K51" i="3"/>
  <c r="K52" i="3"/>
  <c r="B75" i="3"/>
  <c r="D74" i="3"/>
  <c r="C74" i="3"/>
  <c r="N58" i="3" l="1"/>
  <c r="N57" i="3"/>
  <c r="C75" i="3"/>
  <c r="B76" i="3"/>
  <c r="D75" i="3"/>
  <c r="N55" i="3"/>
  <c r="N54" i="3"/>
  <c r="B77" i="3" l="1"/>
  <c r="C76" i="3"/>
  <c r="D76" i="3"/>
  <c r="D77" i="3" l="1"/>
  <c r="C77" i="3"/>
  <c r="B78" i="3"/>
  <c r="B79" i="3" l="1"/>
  <c r="D78" i="3"/>
  <c r="C78" i="3"/>
  <c r="B80" i="3" l="1"/>
  <c r="D79" i="3"/>
  <c r="C79" i="3"/>
  <c r="D80" i="3" l="1"/>
  <c r="B81" i="3"/>
  <c r="C80" i="3"/>
  <c r="B82" i="3" l="1"/>
  <c r="D81" i="3"/>
  <c r="C81" i="3"/>
  <c r="B83" i="3" l="1"/>
  <c r="D82" i="3"/>
  <c r="C82" i="3"/>
  <c r="B84" i="3" l="1"/>
  <c r="D83" i="3"/>
  <c r="C83" i="3"/>
  <c r="B85" i="3" l="1"/>
  <c r="D84" i="3"/>
  <c r="C84" i="3"/>
  <c r="C85" i="3" l="1"/>
  <c r="B86" i="3"/>
  <c r="D85" i="3"/>
  <c r="B87" i="3" l="1"/>
  <c r="D86" i="3"/>
  <c r="C86" i="3"/>
  <c r="B88" i="3" l="1"/>
  <c r="C87" i="3"/>
  <c r="D87" i="3"/>
  <c r="C88" i="3" l="1"/>
  <c r="B89" i="3"/>
  <c r="D88" i="3"/>
  <c r="C89" i="3" l="1"/>
  <c r="B90" i="3"/>
  <c r="D89" i="3"/>
  <c r="B91" i="3" l="1"/>
  <c r="D90" i="3"/>
  <c r="C90" i="3"/>
  <c r="D91" i="3" l="1"/>
  <c r="C91" i="3"/>
  <c r="B92" i="3"/>
  <c r="D92" i="3" l="1"/>
  <c r="C92" i="3"/>
  <c r="B93" i="3"/>
  <c r="D93" i="3" l="1"/>
  <c r="C93" i="3"/>
  <c r="B94" i="3"/>
  <c r="B95" i="3" l="1"/>
  <c r="D94" i="3"/>
  <c r="C94" i="3"/>
  <c r="B96" i="3" l="1"/>
  <c r="D95" i="3"/>
  <c r="C95" i="3"/>
  <c r="B97" i="3" l="1"/>
  <c r="D96" i="3"/>
  <c r="C96" i="3"/>
  <c r="B98" i="3" l="1"/>
  <c r="D97" i="3"/>
  <c r="C97" i="3"/>
  <c r="B99" i="3" l="1"/>
  <c r="D98" i="3"/>
  <c r="C98" i="3"/>
  <c r="B100" i="3" l="1"/>
  <c r="D99" i="3"/>
  <c r="C99" i="3"/>
  <c r="B101" i="3" l="1"/>
  <c r="D100" i="3"/>
  <c r="C100" i="3"/>
  <c r="B102" i="3" l="1"/>
  <c r="C101" i="3"/>
  <c r="D101" i="3"/>
  <c r="B103" i="3" l="1"/>
  <c r="C102" i="3"/>
  <c r="D102" i="3"/>
  <c r="B104" i="3" l="1"/>
  <c r="C103" i="3"/>
  <c r="D103" i="3"/>
  <c r="C104" i="3" l="1"/>
  <c r="B105" i="3"/>
  <c r="D104" i="3"/>
  <c r="C105" i="3" l="1"/>
  <c r="B106" i="3"/>
  <c r="D105" i="3"/>
  <c r="B107" i="3" l="1"/>
  <c r="D106" i="3"/>
  <c r="C106" i="3"/>
  <c r="C107" i="3" l="1"/>
  <c r="D107" i="3"/>
  <c r="B108" i="3"/>
  <c r="B109" i="3" l="1"/>
  <c r="D108" i="3"/>
  <c r="C108" i="3"/>
  <c r="D109" i="3" l="1"/>
  <c r="C109" i="3"/>
  <c r="B110" i="3"/>
  <c r="D110" i="3" l="1"/>
  <c r="B111" i="3"/>
  <c r="C110" i="3"/>
  <c r="B112" i="3" l="1"/>
  <c r="D111" i="3"/>
  <c r="C111" i="3"/>
  <c r="B113" i="3" l="1"/>
  <c r="D112" i="3"/>
  <c r="C112" i="3"/>
  <c r="D113" i="3" l="1"/>
  <c r="C113" i="3"/>
  <c r="B114" i="3"/>
  <c r="B115" i="3" l="1"/>
  <c r="D114" i="3"/>
  <c r="C114" i="3"/>
  <c r="B116" i="3" l="1"/>
  <c r="D115" i="3"/>
  <c r="C115" i="3"/>
  <c r="B117" i="3" l="1"/>
  <c r="D116" i="3"/>
  <c r="C116" i="3"/>
  <c r="C117" i="3" l="1"/>
  <c r="B118" i="3"/>
  <c r="D117" i="3"/>
  <c r="B119" i="3" l="1"/>
  <c r="D118" i="3"/>
  <c r="C118" i="3"/>
  <c r="C119" i="3" l="1"/>
  <c r="B120" i="3"/>
  <c r="D119" i="3"/>
  <c r="C120" i="3" l="1"/>
  <c r="B121" i="3"/>
  <c r="D120" i="3"/>
  <c r="C121" i="3" l="1"/>
  <c r="B122" i="3"/>
  <c r="D121" i="3"/>
  <c r="D122" i="3" l="1"/>
  <c r="B123" i="3"/>
  <c r="C122" i="3"/>
  <c r="C123" i="3" l="1"/>
  <c r="D123" i="3"/>
  <c r="B124" i="3"/>
  <c r="D124" i="3" l="1"/>
  <c r="C124" i="3"/>
  <c r="B125" i="3"/>
  <c r="D125" i="3" l="1"/>
  <c r="C125" i="3"/>
  <c r="B126" i="3"/>
  <c r="B127" i="3" l="1"/>
  <c r="D126" i="3"/>
  <c r="C126" i="3"/>
  <c r="B128" i="3" l="1"/>
  <c r="D127" i="3"/>
  <c r="C127" i="3"/>
  <c r="B129" i="3" l="1"/>
  <c r="D128" i="3"/>
  <c r="C128" i="3"/>
  <c r="B130" i="3" l="1"/>
  <c r="D129" i="3"/>
  <c r="C129" i="3"/>
  <c r="B131" i="3" l="1"/>
  <c r="D130" i="3"/>
  <c r="C130" i="3"/>
  <c r="B132" i="3" l="1"/>
  <c r="D131" i="3"/>
  <c r="C131" i="3"/>
  <c r="B133" i="3" l="1"/>
  <c r="D132" i="3"/>
  <c r="C132" i="3"/>
  <c r="B134" i="3" l="1"/>
  <c r="C133" i="3"/>
  <c r="D133" i="3"/>
  <c r="C134" i="3" l="1"/>
  <c r="B135" i="3"/>
  <c r="D134" i="3"/>
  <c r="B136" i="3" l="1"/>
  <c r="C135" i="3"/>
  <c r="D135" i="3"/>
  <c r="C136" i="3" l="1"/>
  <c r="B137" i="3"/>
  <c r="D136" i="3"/>
  <c r="B138" i="3" l="1"/>
  <c r="D137" i="3"/>
  <c r="C137" i="3"/>
  <c r="B139" i="3" l="1"/>
  <c r="D138" i="3"/>
  <c r="C138" i="3"/>
  <c r="B140" i="3" l="1"/>
  <c r="D139" i="3"/>
  <c r="C139" i="3"/>
  <c r="B141" i="3" l="1"/>
  <c r="D140" i="3"/>
  <c r="C140" i="3"/>
  <c r="D141" i="3" l="1"/>
  <c r="C141" i="3"/>
</calcChain>
</file>

<file path=xl/sharedStrings.xml><?xml version="1.0" encoding="utf-8"?>
<sst xmlns="http://schemas.openxmlformats.org/spreadsheetml/2006/main" count="138" uniqueCount="107">
  <si>
    <t>Email</t>
  </si>
  <si>
    <t>V1.0</t>
  </si>
  <si>
    <t>Current</t>
  </si>
  <si>
    <t>Reference</t>
  </si>
  <si>
    <t>Common Name</t>
  </si>
  <si>
    <t>RA (h)</t>
  </si>
  <si>
    <t>RA (min)</t>
  </si>
  <si>
    <t>Decl.</t>
  </si>
  <si>
    <t>Magnitude</t>
  </si>
  <si>
    <t>Distance (kly)</t>
  </si>
  <si>
    <t>Distance (ly)</t>
  </si>
  <si>
    <t>Date</t>
  </si>
  <si>
    <t>Andromeda Galaxy</t>
  </si>
  <si>
    <t>Time</t>
  </si>
  <si>
    <t>Triangulum Galaxy</t>
  </si>
  <si>
    <t>Leap year</t>
  </si>
  <si>
    <t>Achernar</t>
  </si>
  <si>
    <t>Day of Year</t>
  </si>
  <si>
    <t>Spiral Cluster</t>
  </si>
  <si>
    <t>Year</t>
  </si>
  <si>
    <t>Pleiades</t>
  </si>
  <si>
    <t>Month</t>
  </si>
  <si>
    <t>Aldebaran</t>
  </si>
  <si>
    <t>Day</t>
  </si>
  <si>
    <t>Rigel</t>
  </si>
  <si>
    <t>Hour</t>
  </si>
  <si>
    <t>Orion Nebula</t>
  </si>
  <si>
    <t>Minutes</t>
  </si>
  <si>
    <t>Capella</t>
  </si>
  <si>
    <t>Betelgeuse</t>
  </si>
  <si>
    <t>Delta</t>
  </si>
  <si>
    <t>days</t>
  </si>
  <si>
    <t>Sirius</t>
  </si>
  <si>
    <t>hours</t>
  </si>
  <si>
    <t>M41</t>
  </si>
  <si>
    <t>solar days</t>
  </si>
  <si>
    <t>M35</t>
  </si>
  <si>
    <t>Total</t>
  </si>
  <si>
    <t>sidereal days</t>
  </si>
  <si>
    <t>Canopus</t>
  </si>
  <si>
    <t>Adhara</t>
  </si>
  <si>
    <t>Greenwich Sidereal Time</t>
  </si>
  <si>
    <t>Procyon</t>
  </si>
  <si>
    <t>minutes</t>
  </si>
  <si>
    <t>Pollux</t>
  </si>
  <si>
    <t>degrees</t>
  </si>
  <si>
    <t>M47</t>
  </si>
  <si>
    <t>longitude</t>
  </si>
  <si>
    <t>(east: +, west: -)</t>
  </si>
  <si>
    <t>M46</t>
  </si>
  <si>
    <t>Castor</t>
  </si>
  <si>
    <t>Butterfly Cluster (M93)</t>
  </si>
  <si>
    <t>Local Sideral Time</t>
  </si>
  <si>
    <t>M48</t>
  </si>
  <si>
    <t>Beehive Cluster</t>
  </si>
  <si>
    <t>Altair</t>
  </si>
  <si>
    <t>Regulus</t>
  </si>
  <si>
    <t>RA</t>
  </si>
  <si>
    <t>Gacrux</t>
  </si>
  <si>
    <t>Becrux</t>
  </si>
  <si>
    <t>Hour angle</t>
  </si>
  <si>
    <t>Acrux</t>
  </si>
  <si>
    <t>Local hour angle</t>
  </si>
  <si>
    <t>Spica</t>
  </si>
  <si>
    <t>Rigil Kentaurus</t>
  </si>
  <si>
    <t>Hadar</t>
  </si>
  <si>
    <t>Arcturus</t>
  </si>
  <si>
    <t>M5</t>
  </si>
  <si>
    <t>tropical year</t>
  </si>
  <si>
    <t>(one rotation every tropical year, sun same position)</t>
  </si>
  <si>
    <t>M4</t>
  </si>
  <si>
    <t>relative rotation</t>
  </si>
  <si>
    <t>(one full rotation + close to 1 degree on annual orbit)</t>
  </si>
  <si>
    <t>Hercules Globular Cluster</t>
  </si>
  <si>
    <t>Antares</t>
  </si>
  <si>
    <t>sidereal day</t>
  </si>
  <si>
    <t>seconds</t>
  </si>
  <si>
    <t>(one full rotation wrt. celestial sphere, less than 24 hours solar day)</t>
  </si>
  <si>
    <t>Shaula</t>
  </si>
  <si>
    <t>This implies that stars rise close to 4 minutes earlier each night.</t>
  </si>
  <si>
    <t>Ptolemy's Cluster</t>
  </si>
  <si>
    <t>Butterfly Cluster (M6)</t>
  </si>
  <si>
    <t>Vega</t>
  </si>
  <si>
    <t>M22</t>
  </si>
  <si>
    <t>Gr. Sidereal Time</t>
  </si>
  <si>
    <t>Lagoon Nebula</t>
  </si>
  <si>
    <t>Earth orbit</t>
  </si>
  <si>
    <t>Delle Caustiche</t>
  </si>
  <si>
    <t>Re</t>
  </si>
  <si>
    <t>Longitude</t>
  </si>
  <si>
    <t>Deneb</t>
  </si>
  <si>
    <t>M39</t>
  </si>
  <si>
    <t>Fomalhaut</t>
  </si>
  <si>
    <t>Loc. Sidereal Time</t>
  </si>
  <si>
    <t>Quarter lines</t>
  </si>
  <si>
    <t>Local Hour Angle</t>
  </si>
  <si>
    <t>Calculations</t>
  </si>
  <si>
    <t>Circle</t>
  </si>
  <si>
    <t>angle</t>
  </si>
  <si>
    <t>x</t>
  </si>
  <si>
    <t>y</t>
  </si>
  <si>
    <t>This spreadsheets contains a model of the position of a selected star at a specific date/time/location.</t>
  </si>
  <si>
    <t>All Rights Reserved:  © Astronomy Morsels.</t>
  </si>
  <si>
    <t>I'm solely responsible for the input and express no warranty.  Use at your own risk.</t>
  </si>
  <si>
    <t>Nonetheless, this spreadsheet has been carefully reviewed, and calculation results have been compared with other applications.</t>
  </si>
  <si>
    <r>
      <rPr>
        <b/>
        <sz val="14"/>
        <color theme="0"/>
        <rFont val="Calibri"/>
        <family val="2"/>
      </rPr>
      <t>Compiled by</t>
    </r>
    <r>
      <rPr>
        <sz val="14"/>
        <color theme="0"/>
        <rFont val="Calibri"/>
        <family val="2"/>
      </rPr>
      <t>: Anton Viola (Astronomy Morsels).</t>
    </r>
  </si>
  <si>
    <r>
      <rPr>
        <b/>
        <sz val="14"/>
        <color theme="0"/>
        <rFont val="Calibri"/>
        <family val="2"/>
      </rPr>
      <t>Latest update</t>
    </r>
    <r>
      <rPr>
        <sz val="14"/>
        <color theme="0"/>
        <rFont val="Calibri"/>
        <family val="2"/>
      </rPr>
      <t>: 21st February,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</si>
</sst>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h:mm;@"/>
    <numFmt numFmtId="166" formatCode="[$]hh:mm;@"/>
    <numFmt numFmtId="167" formatCode="#,##0.000"/>
    <numFmt numFmtId="168" formatCode="0.0000"/>
    <numFmt numFmtId="169" formatCode="0.0"/>
  </numFmts>
  <fonts count="23" x14ac:knownFonts="1"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</font>
    <font>
      <sz val="8"/>
      <color theme="1"/>
      <name val="Calibri"/>
      <family val="2"/>
    </font>
    <font>
      <u/>
      <sz val="12"/>
      <color rgb="FF000000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i/>
      <sz val="14"/>
      <color theme="0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14"/>
      <color theme="0"/>
      <name val="Aptos Narrow"/>
      <family val="2"/>
      <scheme val="minor"/>
    </font>
    <font>
      <u/>
      <sz val="14"/>
      <color theme="0"/>
      <name val="Calibri"/>
      <family val="2"/>
    </font>
    <font>
      <u/>
      <sz val="12"/>
      <color theme="0"/>
      <name val="Calibri"/>
      <family val="2"/>
    </font>
    <font>
      <sz val="9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2" fillId="8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/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5" fillId="0" borderId="0" xfId="0" applyFont="1"/>
    <xf numFmtId="0" fontId="5" fillId="0" borderId="13" xfId="0" applyFont="1" applyBorder="1"/>
    <xf numFmtId="14" fontId="5" fillId="0" borderId="0" xfId="0" applyNumberFormat="1" applyFont="1"/>
    <xf numFmtId="14" fontId="5" fillId="0" borderId="5" xfId="0" applyNumberFormat="1" applyFont="1" applyBorder="1"/>
    <xf numFmtId="0" fontId="3" fillId="0" borderId="13" xfId="0" applyFont="1" applyBorder="1"/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2" fontId="3" fillId="0" borderId="3" xfId="0" quotePrefix="1" applyNumberFormat="1" applyFont="1" applyBorder="1" applyAlignment="1">
      <alignment horizontal="right"/>
    </xf>
    <xf numFmtId="4" fontId="3" fillId="0" borderId="5" xfId="0" applyNumberFormat="1" applyFont="1" applyBorder="1"/>
    <xf numFmtId="0" fontId="5" fillId="0" borderId="14" xfId="0" applyFont="1" applyBorder="1"/>
    <xf numFmtId="165" fontId="5" fillId="0" borderId="0" xfId="0" applyNumberFormat="1" applyFont="1"/>
    <xf numFmtId="166" fontId="5" fillId="0" borderId="5" xfId="0" applyNumberFormat="1" applyFont="1" applyBorder="1"/>
    <xf numFmtId="0" fontId="3" fillId="0" borderId="14" xfId="0" applyFont="1" applyBorder="1"/>
    <xf numFmtId="1" fontId="3" fillId="0" borderId="4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2" fontId="3" fillId="0" borderId="5" xfId="0" quotePrefix="1" applyNumberFormat="1" applyFont="1" applyBorder="1" applyAlignment="1">
      <alignment horizontal="right"/>
    </xf>
    <xf numFmtId="0" fontId="5" fillId="0" borderId="15" xfId="0" applyFont="1" applyBorder="1"/>
    <xf numFmtId="1" fontId="5" fillId="0" borderId="7" xfId="0" applyNumberFormat="1" applyFont="1" applyBorder="1"/>
    <xf numFmtId="1" fontId="5" fillId="0" borderId="8" xfId="0" applyNumberFormat="1" applyFont="1" applyBorder="1"/>
    <xf numFmtId="2" fontId="3" fillId="0" borderId="5" xfId="0" applyNumberFormat="1" applyFont="1" applyBorder="1" applyAlignment="1">
      <alignment horizontal="right"/>
    </xf>
    <xf numFmtId="1" fontId="5" fillId="0" borderId="0" xfId="0" applyNumberFormat="1" applyFont="1"/>
    <xf numFmtId="1" fontId="5" fillId="0" borderId="5" xfId="0" applyNumberFormat="1" applyFont="1" applyBorder="1"/>
    <xf numFmtId="3" fontId="5" fillId="0" borderId="0" xfId="0" applyNumberFormat="1" applyFont="1"/>
    <xf numFmtId="3" fontId="5" fillId="0" borderId="5" xfId="0" applyNumberFormat="1" applyFont="1" applyBorder="1"/>
    <xf numFmtId="0" fontId="8" fillId="5" borderId="0" xfId="0" applyFont="1" applyFill="1" applyAlignment="1">
      <alignment horizontal="right"/>
    </xf>
    <xf numFmtId="0" fontId="7" fillId="0" borderId="0" xfId="0" applyFont="1"/>
    <xf numFmtId="167" fontId="7" fillId="0" borderId="0" xfId="0" applyNumberFormat="1" applyFont="1"/>
    <xf numFmtId="167" fontId="5" fillId="0" borderId="1" xfId="0" applyNumberFormat="1" applyFont="1" applyBorder="1"/>
    <xf numFmtId="0" fontId="5" fillId="0" borderId="3" xfId="0" applyFont="1" applyBorder="1"/>
    <xf numFmtId="168" fontId="5" fillId="0" borderId="0" xfId="0" applyNumberFormat="1" applyFont="1"/>
    <xf numFmtId="0" fontId="9" fillId="0" borderId="0" xfId="0" applyFont="1"/>
    <xf numFmtId="4" fontId="9" fillId="0" borderId="0" xfId="0" applyNumberFormat="1" applyFont="1"/>
    <xf numFmtId="167" fontId="10" fillId="0" borderId="4" xfId="0" applyNumberFormat="1" applyFont="1" applyBorder="1"/>
    <xf numFmtId="0" fontId="5" fillId="0" borderId="5" xfId="0" applyFont="1" applyBorder="1"/>
    <xf numFmtId="167" fontId="5" fillId="0" borderId="6" xfId="0" applyNumberFormat="1" applyFont="1" applyBorder="1"/>
    <xf numFmtId="0" fontId="5" fillId="0" borderId="8" xfId="0" applyFont="1" applyBorder="1"/>
    <xf numFmtId="167" fontId="5" fillId="0" borderId="0" xfId="0" applyNumberFormat="1" applyFont="1"/>
    <xf numFmtId="4" fontId="5" fillId="0" borderId="0" xfId="0" applyNumberFormat="1" applyFont="1"/>
    <xf numFmtId="0" fontId="3" fillId="0" borderId="5" xfId="0" applyFont="1" applyBorder="1"/>
    <xf numFmtId="168" fontId="3" fillId="0" borderId="0" xfId="0" applyNumberFormat="1" applyFont="1"/>
    <xf numFmtId="4" fontId="5" fillId="0" borderId="1" xfId="0" applyNumberFormat="1" applyFont="1" applyBorder="1"/>
    <xf numFmtId="0" fontId="11" fillId="0" borderId="8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" fontId="5" fillId="0" borderId="4" xfId="0" applyNumberFormat="1" applyFont="1" applyBorder="1"/>
    <xf numFmtId="0" fontId="11" fillId="0" borderId="5" xfId="0" applyFont="1" applyBorder="1"/>
    <xf numFmtId="0" fontId="3" fillId="0" borderId="1" xfId="0" applyFont="1" applyBorder="1"/>
    <xf numFmtId="4" fontId="5" fillId="4" borderId="1" xfId="0" applyNumberFormat="1" applyFont="1" applyFill="1" applyBorder="1"/>
    <xf numFmtId="2" fontId="3" fillId="0" borderId="1" xfId="0" applyNumberFormat="1" applyFont="1" applyBorder="1"/>
    <xf numFmtId="0" fontId="3" fillId="0" borderId="4" xfId="0" applyFont="1" applyBorder="1"/>
    <xf numFmtId="2" fontId="3" fillId="0" borderId="4" xfId="0" applyNumberFormat="1" applyFont="1" applyBorder="1"/>
    <xf numFmtId="0" fontId="12" fillId="0" borderId="5" xfId="0" applyFont="1" applyBorder="1"/>
    <xf numFmtId="0" fontId="12" fillId="0" borderId="8" xfId="0" applyFont="1" applyBorder="1"/>
    <xf numFmtId="0" fontId="12" fillId="0" borderId="3" xfId="0" applyFont="1" applyBorder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/>
    <xf numFmtId="0" fontId="5" fillId="0" borderId="2" xfId="0" applyFont="1" applyBorder="1"/>
    <xf numFmtId="0" fontId="12" fillId="0" borderId="0" xfId="0" applyFont="1" applyAlignment="1">
      <alignment horizontal="center" vertical="center" wrapText="1"/>
    </xf>
    <xf numFmtId="169" fontId="5" fillId="0" borderId="7" xfId="0" applyNumberFormat="1" applyFont="1" applyBorder="1"/>
    <xf numFmtId="0" fontId="13" fillId="0" borderId="1" xfId="0" applyFont="1" applyBorder="1"/>
    <xf numFmtId="4" fontId="13" fillId="0" borderId="3" xfId="0" applyNumberFormat="1" applyFont="1" applyBorder="1"/>
    <xf numFmtId="4" fontId="5" fillId="0" borderId="3" xfId="0" applyNumberFormat="1" applyFont="1" applyBorder="1"/>
    <xf numFmtId="4" fontId="5" fillId="0" borderId="8" xfId="0" applyNumberFormat="1" applyFont="1" applyBorder="1"/>
    <xf numFmtId="0" fontId="3" fillId="0" borderId="15" xfId="0" applyFont="1" applyBorder="1"/>
    <xf numFmtId="1" fontId="3" fillId="0" borderId="6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4" fontId="3" fillId="0" borderId="8" xfId="0" applyNumberFormat="1" applyFont="1" applyBorder="1"/>
    <xf numFmtId="0" fontId="13" fillId="0" borderId="3" xfId="0" applyFont="1" applyBorder="1"/>
    <xf numFmtId="164" fontId="13" fillId="0" borderId="3" xfId="0" applyNumberFormat="1" applyFont="1" applyBorder="1"/>
    <xf numFmtId="0" fontId="3" fillId="8" borderId="0" xfId="0" applyFont="1" applyFill="1"/>
    <xf numFmtId="0" fontId="4" fillId="8" borderId="0" xfId="0" applyFont="1" applyFill="1"/>
    <xf numFmtId="0" fontId="3" fillId="8" borderId="0" xfId="0" applyFont="1" applyFill="1" applyAlignment="1">
      <alignment horizontal="right"/>
    </xf>
    <xf numFmtId="0" fontId="14" fillId="0" borderId="0" xfId="0" applyFont="1"/>
    <xf numFmtId="0" fontId="13" fillId="5" borderId="0" xfId="0" applyFont="1" applyFill="1" applyProtection="1">
      <protection locked="0"/>
    </xf>
    <xf numFmtId="0" fontId="13" fillId="5" borderId="5" xfId="0" applyFont="1" applyFill="1" applyBorder="1" applyProtection="1">
      <protection locked="0"/>
    </xf>
    <xf numFmtId="1" fontId="13" fillId="5" borderId="0" xfId="0" applyNumberFormat="1" applyFont="1" applyFill="1" applyProtection="1">
      <protection locked="0"/>
    </xf>
    <xf numFmtId="1" fontId="13" fillId="5" borderId="5" xfId="0" applyNumberFormat="1" applyFont="1" applyFill="1" applyBorder="1" applyProtection="1">
      <protection locked="0"/>
    </xf>
    <xf numFmtId="0" fontId="13" fillId="5" borderId="7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4" fontId="13" fillId="5" borderId="1" xfId="0" applyNumberFormat="1" applyFont="1" applyFill="1" applyBorder="1"/>
    <xf numFmtId="4" fontId="14" fillId="5" borderId="4" xfId="0" applyNumberFormat="1" applyFont="1" applyFill="1" applyBorder="1"/>
    <xf numFmtId="2" fontId="14" fillId="5" borderId="8" xfId="0" applyNumberFormat="1" applyFont="1" applyFill="1" applyBorder="1" applyAlignment="1" applyProtection="1">
      <alignment horizontal="right"/>
      <protection locked="0"/>
    </xf>
    <xf numFmtId="0" fontId="15" fillId="3" borderId="11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horizontal="right" vertical="center"/>
    </xf>
    <xf numFmtId="0" fontId="15" fillId="3" borderId="10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5" fillId="9" borderId="4" xfId="0" applyFont="1" applyFill="1" applyBorder="1"/>
    <xf numFmtId="4" fontId="5" fillId="9" borderId="5" xfId="0" applyNumberFormat="1" applyFont="1" applyFill="1" applyBorder="1"/>
    <xf numFmtId="4" fontId="3" fillId="9" borderId="5" xfId="0" applyNumberFormat="1" applyFont="1" applyFill="1" applyBorder="1"/>
    <xf numFmtId="0" fontId="5" fillId="9" borderId="6" xfId="0" applyFont="1" applyFill="1" applyBorder="1"/>
    <xf numFmtId="4" fontId="5" fillId="9" borderId="8" xfId="0" applyNumberFormat="1" applyFont="1" applyFill="1" applyBorder="1"/>
    <xf numFmtId="0" fontId="4" fillId="9" borderId="13" xfId="0" applyFont="1" applyFill="1" applyBorder="1"/>
    <xf numFmtId="0" fontId="4" fillId="9" borderId="1" xfId="0" applyFont="1" applyFill="1" applyBorder="1"/>
    <xf numFmtId="0" fontId="4" fillId="9" borderId="3" xfId="0" applyFont="1" applyFill="1" applyBorder="1" applyAlignment="1">
      <alignment horizontal="right"/>
    </xf>
    <xf numFmtId="0" fontId="4" fillId="9" borderId="15" xfId="0" applyFont="1" applyFill="1" applyBorder="1" applyAlignment="1">
      <alignment horizontal="right"/>
    </xf>
    <xf numFmtId="0" fontId="4" fillId="9" borderId="6" xfId="0" applyFont="1" applyFill="1" applyBorder="1" applyAlignment="1">
      <alignment horizontal="right"/>
    </xf>
    <xf numFmtId="0" fontId="4" fillId="9" borderId="8" xfId="0" applyFont="1" applyFill="1" applyBorder="1" applyAlignment="1">
      <alignment horizontal="right"/>
    </xf>
    <xf numFmtId="2" fontId="4" fillId="9" borderId="1" xfId="0" applyNumberFormat="1" applyFont="1" applyFill="1" applyBorder="1"/>
    <xf numFmtId="2" fontId="4" fillId="9" borderId="3" xfId="0" applyNumberFormat="1" applyFont="1" applyFill="1" applyBorder="1"/>
    <xf numFmtId="0" fontId="4" fillId="9" borderId="14" xfId="0" applyFont="1" applyFill="1" applyBorder="1"/>
    <xf numFmtId="2" fontId="4" fillId="9" borderId="4" xfId="0" applyNumberFormat="1" applyFont="1" applyFill="1" applyBorder="1"/>
    <xf numFmtId="2" fontId="4" fillId="9" borderId="5" xfId="0" applyNumberFormat="1" applyFont="1" applyFill="1" applyBorder="1"/>
    <xf numFmtId="0" fontId="4" fillId="9" borderId="15" xfId="0" applyFont="1" applyFill="1" applyBorder="1"/>
    <xf numFmtId="2" fontId="4" fillId="9" borderId="6" xfId="0" applyNumberFormat="1" applyFont="1" applyFill="1" applyBorder="1"/>
    <xf numFmtId="2" fontId="4" fillId="9" borderId="8" xfId="0" applyNumberFormat="1" applyFont="1" applyFill="1" applyBorder="1"/>
    <xf numFmtId="0" fontId="14" fillId="6" borderId="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left"/>
    </xf>
    <xf numFmtId="164" fontId="11" fillId="0" borderId="4" xfId="0" applyNumberFormat="1" applyFont="1" applyBorder="1"/>
    <xf numFmtId="4" fontId="3" fillId="4" borderId="4" xfId="0" applyNumberFormat="1" applyFont="1" applyFill="1" applyBorder="1"/>
    <xf numFmtId="164" fontId="11" fillId="0" borderId="6" xfId="0" applyNumberFormat="1" applyFont="1" applyBorder="1"/>
    <xf numFmtId="4" fontId="11" fillId="0" borderId="1" xfId="0" applyNumberFormat="1" applyFont="1" applyBorder="1"/>
    <xf numFmtId="0" fontId="0" fillId="10" borderId="0" xfId="0" applyFill="1"/>
    <xf numFmtId="0" fontId="17" fillId="8" borderId="1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center"/>
    </xf>
    <xf numFmtId="0" fontId="19" fillId="8" borderId="2" xfId="0" applyFont="1" applyFill="1" applyBorder="1"/>
    <xf numFmtId="0" fontId="20" fillId="8" borderId="3" xfId="1" applyFont="1" applyFill="1" applyBorder="1" applyAlignment="1">
      <alignment horizontal="center"/>
    </xf>
    <xf numFmtId="0" fontId="20" fillId="8" borderId="4" xfId="1" applyFont="1" applyFill="1" applyBorder="1" applyAlignment="1">
      <alignment horizontal="left"/>
    </xf>
    <xf numFmtId="0" fontId="17" fillId="8" borderId="0" xfId="0" applyFont="1" applyFill="1" applyAlignment="1">
      <alignment horizontal="center"/>
    </xf>
    <xf numFmtId="0" fontId="19" fillId="8" borderId="0" xfId="0" applyFont="1" applyFill="1"/>
    <xf numFmtId="0" fontId="17" fillId="8" borderId="5" xfId="0" applyFont="1" applyFill="1" applyBorder="1" applyAlignment="1">
      <alignment horizontal="center"/>
    </xf>
    <xf numFmtId="0" fontId="17" fillId="8" borderId="6" xfId="1" applyFont="1" applyFill="1" applyBorder="1" applyAlignment="1">
      <alignment horizontal="left"/>
    </xf>
    <xf numFmtId="0" fontId="17" fillId="8" borderId="7" xfId="1" applyFont="1" applyFill="1" applyBorder="1" applyAlignment="1">
      <alignment horizontal="left"/>
    </xf>
    <xf numFmtId="0" fontId="19" fillId="8" borderId="7" xfId="0" applyFont="1" applyFill="1" applyBorder="1"/>
    <xf numFmtId="0" fontId="18" fillId="8" borderId="8" xfId="0" applyFont="1" applyFill="1" applyBorder="1" applyAlignment="1">
      <alignment horizontal="center"/>
    </xf>
    <xf numFmtId="4" fontId="3" fillId="0" borderId="0" xfId="0" applyNumberFormat="1" applyFont="1"/>
    <xf numFmtId="4" fontId="3" fillId="0" borderId="4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center"/>
    </xf>
    <xf numFmtId="0" fontId="16" fillId="8" borderId="0" xfId="0" applyFont="1" applyFill="1" applyAlignment="1">
      <alignment horizontal="center" vertical="center" wrapText="1"/>
    </xf>
    <xf numFmtId="0" fontId="21" fillId="8" borderId="1" xfId="1" applyFont="1" applyFill="1" applyBorder="1" applyAlignment="1">
      <alignment horizontal="center"/>
    </xf>
    <xf numFmtId="0" fontId="21" fillId="8" borderId="2" xfId="1" applyFont="1" applyFill="1" applyBorder="1" applyAlignment="1">
      <alignment horizontal="center"/>
    </xf>
    <xf numFmtId="0" fontId="21" fillId="8" borderId="16" xfId="1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22" fillId="8" borderId="17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2" fillId="8" borderId="18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4" fillId="5" borderId="9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9" borderId="9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67175572519083E-2"/>
          <c:y val="1.2482662968099861E-2"/>
          <c:w val="0.96946564885496178"/>
          <c:h val="0.96948682385575591"/>
        </c:manualLayout>
      </c:layout>
      <c:scatterChart>
        <c:scatterStyle val="lineMarker"/>
        <c:varyColors val="0"/>
        <c:ser>
          <c:idx val="1"/>
          <c:order val="0"/>
          <c:tx>
            <c:v>Earth orbit</c:v>
          </c:tx>
          <c:spPr>
            <a:ln w="25400" cap="rnd">
              <a:solidFill>
                <a:srgbClr val="C00000"/>
              </a:solidFill>
            </a:ln>
            <a:effectLst>
              <a:glow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noFill/>
              <a:ln>
                <a:noFill/>
              </a:ln>
              <a:effectLst>
                <a:glow>
                  <a:schemeClr val="accent2">
                    <a:satMod val="175000"/>
                    <a:alpha val="14000"/>
                  </a:schemeClr>
                </a:glow>
              </a:effectLst>
            </c:spPr>
          </c:marker>
          <c:xVal>
            <c:numRef>
              <c:f>'Star Position'!$C$69:$C$141</c:f>
              <c:numCache>
                <c:formatCode>0.00</c:formatCode>
                <c:ptCount val="73"/>
                <c:pt idx="0">
                  <c:v>4</c:v>
                </c:pt>
                <c:pt idx="1">
                  <c:v>3.9847787923669822</c:v>
                </c:pt>
                <c:pt idx="2">
                  <c:v>3.9392310120488321</c:v>
                </c:pt>
                <c:pt idx="3">
                  <c:v>3.8637033051562732</c:v>
                </c:pt>
                <c:pt idx="4">
                  <c:v>3.7587704831436337</c:v>
                </c:pt>
                <c:pt idx="5">
                  <c:v>3.6252311481465997</c:v>
                </c:pt>
                <c:pt idx="6">
                  <c:v>3.4641016151377548</c:v>
                </c:pt>
                <c:pt idx="7">
                  <c:v>3.2766081771559672</c:v>
                </c:pt>
                <c:pt idx="8">
                  <c:v>3.0641777724759121</c:v>
                </c:pt>
                <c:pt idx="9">
                  <c:v>2.8284271247461903</c:v>
                </c:pt>
                <c:pt idx="10">
                  <c:v>2.5711504387461575</c:v>
                </c:pt>
                <c:pt idx="11">
                  <c:v>2.2943057454041846</c:v>
                </c:pt>
                <c:pt idx="12">
                  <c:v>2.0000000000000004</c:v>
                </c:pt>
                <c:pt idx="13">
                  <c:v>1.6904730469627978</c:v>
                </c:pt>
                <c:pt idx="14">
                  <c:v>1.3680805733026753</c:v>
                </c:pt>
                <c:pt idx="15">
                  <c:v>1.035276180410083</c:v>
                </c:pt>
                <c:pt idx="16">
                  <c:v>0.69459271066772166</c:v>
                </c:pt>
                <c:pt idx="17">
                  <c:v>0.34862297099063255</c:v>
                </c:pt>
                <c:pt idx="18">
                  <c:v>2.45029690981724E-16</c:v>
                </c:pt>
                <c:pt idx="19">
                  <c:v>-0.34862297099063294</c:v>
                </c:pt>
                <c:pt idx="20">
                  <c:v>-0.69459271066772121</c:v>
                </c:pt>
                <c:pt idx="21">
                  <c:v>-1.0352761804100834</c:v>
                </c:pt>
                <c:pt idx="22">
                  <c:v>-1.3680805733026749</c:v>
                </c:pt>
                <c:pt idx="23">
                  <c:v>-1.6904730469627973</c:v>
                </c:pt>
                <c:pt idx="24">
                  <c:v>-1.9999999999999991</c:v>
                </c:pt>
                <c:pt idx="25">
                  <c:v>-2.2943057454041846</c:v>
                </c:pt>
                <c:pt idx="26">
                  <c:v>-2.5711504387461575</c:v>
                </c:pt>
                <c:pt idx="27">
                  <c:v>-2.8284271247461898</c:v>
                </c:pt>
                <c:pt idx="28">
                  <c:v>-3.0641777724759116</c:v>
                </c:pt>
                <c:pt idx="29">
                  <c:v>-3.2766081771559676</c:v>
                </c:pt>
                <c:pt idx="30">
                  <c:v>-3.4641016151377548</c:v>
                </c:pt>
                <c:pt idx="31">
                  <c:v>-3.6252311481465997</c:v>
                </c:pt>
                <c:pt idx="32">
                  <c:v>-3.7587704831436333</c:v>
                </c:pt>
                <c:pt idx="33">
                  <c:v>-3.8637033051562728</c:v>
                </c:pt>
                <c:pt idx="34">
                  <c:v>-3.9392310120488321</c:v>
                </c:pt>
                <c:pt idx="35">
                  <c:v>-3.9847787923669822</c:v>
                </c:pt>
                <c:pt idx="36">
                  <c:v>-4</c:v>
                </c:pt>
                <c:pt idx="37">
                  <c:v>-3.9847787923669822</c:v>
                </c:pt>
                <c:pt idx="38">
                  <c:v>-3.9392310120488321</c:v>
                </c:pt>
                <c:pt idx="39">
                  <c:v>-3.8637033051562732</c:v>
                </c:pt>
                <c:pt idx="40">
                  <c:v>-3.7587704831436337</c:v>
                </c:pt>
                <c:pt idx="41">
                  <c:v>-3.6252311481466002</c:v>
                </c:pt>
                <c:pt idx="42">
                  <c:v>-3.4641016151377544</c:v>
                </c:pt>
                <c:pt idx="43">
                  <c:v>-3.2766081771559672</c:v>
                </c:pt>
                <c:pt idx="44">
                  <c:v>-3.0641777724759121</c:v>
                </c:pt>
                <c:pt idx="45">
                  <c:v>-2.8284271247461907</c:v>
                </c:pt>
                <c:pt idx="46">
                  <c:v>-2.5711504387461579</c:v>
                </c:pt>
                <c:pt idx="47">
                  <c:v>-2.2943057454041855</c:v>
                </c:pt>
                <c:pt idx="48">
                  <c:v>-2.0000000000000018</c:v>
                </c:pt>
                <c:pt idx="49">
                  <c:v>-1.6904730469627967</c:v>
                </c:pt>
                <c:pt idx="50">
                  <c:v>-1.3680805733026742</c:v>
                </c:pt>
                <c:pt idx="51">
                  <c:v>-1.0352761804100825</c:v>
                </c:pt>
                <c:pt idx="52">
                  <c:v>-0.69459271066772132</c:v>
                </c:pt>
                <c:pt idx="53">
                  <c:v>-0.348622970990633</c:v>
                </c:pt>
                <c:pt idx="54">
                  <c:v>-7.3508907294517201E-16</c:v>
                </c:pt>
                <c:pt idx="55">
                  <c:v>0.34862297099063155</c:v>
                </c:pt>
                <c:pt idx="56">
                  <c:v>0.69459271066771988</c:v>
                </c:pt>
                <c:pt idx="57">
                  <c:v>1.0352761804100812</c:v>
                </c:pt>
                <c:pt idx="58">
                  <c:v>1.368080573302676</c:v>
                </c:pt>
                <c:pt idx="59">
                  <c:v>1.6904730469627984</c:v>
                </c:pt>
                <c:pt idx="60">
                  <c:v>2.0000000000000004</c:v>
                </c:pt>
                <c:pt idx="61">
                  <c:v>2.2943057454041842</c:v>
                </c:pt>
                <c:pt idx="62">
                  <c:v>2.571150438746157</c:v>
                </c:pt>
                <c:pt idx="63">
                  <c:v>2.8284271247461894</c:v>
                </c:pt>
                <c:pt idx="64">
                  <c:v>3.0641777724759112</c:v>
                </c:pt>
                <c:pt idx="65">
                  <c:v>3.2766081771559663</c:v>
                </c:pt>
                <c:pt idx="66">
                  <c:v>3.4641016151377535</c:v>
                </c:pt>
                <c:pt idx="67">
                  <c:v>3.6252311481466002</c:v>
                </c:pt>
                <c:pt idx="68">
                  <c:v>3.7587704831436337</c:v>
                </c:pt>
                <c:pt idx="69">
                  <c:v>3.8637033051562732</c:v>
                </c:pt>
                <c:pt idx="70">
                  <c:v>3.9392310120488321</c:v>
                </c:pt>
                <c:pt idx="71">
                  <c:v>3.9847787923669822</c:v>
                </c:pt>
                <c:pt idx="72">
                  <c:v>4</c:v>
                </c:pt>
              </c:numCache>
            </c:numRef>
          </c:xVal>
          <c:yVal>
            <c:numRef>
              <c:f>'Star Position'!$D$69:$D$141</c:f>
              <c:numCache>
                <c:formatCode>0.00</c:formatCode>
                <c:ptCount val="73"/>
                <c:pt idx="0">
                  <c:v>0</c:v>
                </c:pt>
                <c:pt idx="1">
                  <c:v>0.34862297099063266</c:v>
                </c:pt>
                <c:pt idx="2">
                  <c:v>0.69459271066772132</c:v>
                </c:pt>
                <c:pt idx="3">
                  <c:v>1.035276180410083</c:v>
                </c:pt>
                <c:pt idx="4">
                  <c:v>1.3680805733026749</c:v>
                </c:pt>
                <c:pt idx="5">
                  <c:v>1.6904730469627978</c:v>
                </c:pt>
                <c:pt idx="6">
                  <c:v>1.9999999999999998</c:v>
                </c:pt>
                <c:pt idx="7">
                  <c:v>2.2943057454041842</c:v>
                </c:pt>
                <c:pt idx="8">
                  <c:v>2.571150438746157</c:v>
                </c:pt>
                <c:pt idx="9">
                  <c:v>2.8284271247461898</c:v>
                </c:pt>
                <c:pt idx="10">
                  <c:v>3.0641777724759121</c:v>
                </c:pt>
                <c:pt idx="11">
                  <c:v>3.2766081771559672</c:v>
                </c:pt>
                <c:pt idx="12">
                  <c:v>3.4641016151377544</c:v>
                </c:pt>
                <c:pt idx="13">
                  <c:v>3.6252311481465997</c:v>
                </c:pt>
                <c:pt idx="14">
                  <c:v>3.7587704831436333</c:v>
                </c:pt>
                <c:pt idx="15">
                  <c:v>3.8637033051562732</c:v>
                </c:pt>
                <c:pt idx="16">
                  <c:v>3.9392310120488321</c:v>
                </c:pt>
                <c:pt idx="17">
                  <c:v>3.9847787923669822</c:v>
                </c:pt>
                <c:pt idx="18">
                  <c:v>4</c:v>
                </c:pt>
                <c:pt idx="19">
                  <c:v>3.9847787923669822</c:v>
                </c:pt>
                <c:pt idx="20">
                  <c:v>3.9392310120488321</c:v>
                </c:pt>
                <c:pt idx="21">
                  <c:v>3.8637033051562732</c:v>
                </c:pt>
                <c:pt idx="22">
                  <c:v>3.7587704831436337</c:v>
                </c:pt>
                <c:pt idx="23">
                  <c:v>3.6252311481466002</c:v>
                </c:pt>
                <c:pt idx="24">
                  <c:v>3.4641016151377548</c:v>
                </c:pt>
                <c:pt idx="25">
                  <c:v>3.2766081771559668</c:v>
                </c:pt>
                <c:pt idx="26">
                  <c:v>3.0641777724759121</c:v>
                </c:pt>
                <c:pt idx="27">
                  <c:v>2.8284271247461903</c:v>
                </c:pt>
                <c:pt idx="28">
                  <c:v>2.5711504387461579</c:v>
                </c:pt>
                <c:pt idx="29">
                  <c:v>2.2943057454041837</c:v>
                </c:pt>
                <c:pt idx="30">
                  <c:v>1.9999999999999998</c:v>
                </c:pt>
                <c:pt idx="31">
                  <c:v>1.690473046962798</c:v>
                </c:pt>
                <c:pt idx="32">
                  <c:v>1.3680805733026755</c:v>
                </c:pt>
                <c:pt idx="33">
                  <c:v>1.0352761804100841</c:v>
                </c:pt>
                <c:pt idx="34">
                  <c:v>0.6945927106677211</c:v>
                </c:pt>
                <c:pt idx="35">
                  <c:v>0.34862297099063277</c:v>
                </c:pt>
                <c:pt idx="36">
                  <c:v>4.90059381963448E-16</c:v>
                </c:pt>
                <c:pt idx="37">
                  <c:v>-0.34862297099063178</c:v>
                </c:pt>
                <c:pt idx="38">
                  <c:v>-0.69459271066772188</c:v>
                </c:pt>
                <c:pt idx="39">
                  <c:v>-1.0352761804100832</c:v>
                </c:pt>
                <c:pt idx="40">
                  <c:v>-1.3680805733026746</c:v>
                </c:pt>
                <c:pt idx="41">
                  <c:v>-1.6904730469627971</c:v>
                </c:pt>
                <c:pt idx="42">
                  <c:v>-2.0000000000000004</c:v>
                </c:pt>
                <c:pt idx="43">
                  <c:v>-2.2943057454041846</c:v>
                </c:pt>
                <c:pt idx="44">
                  <c:v>-2.571150438746157</c:v>
                </c:pt>
                <c:pt idx="45">
                  <c:v>-2.8284271247461898</c:v>
                </c:pt>
                <c:pt idx="46">
                  <c:v>-3.0641777724759116</c:v>
                </c:pt>
                <c:pt idx="47">
                  <c:v>-3.2766081771559663</c:v>
                </c:pt>
                <c:pt idx="48">
                  <c:v>-3.4641016151377535</c:v>
                </c:pt>
                <c:pt idx="49">
                  <c:v>-3.6252311481466002</c:v>
                </c:pt>
                <c:pt idx="50">
                  <c:v>-3.7587704831436337</c:v>
                </c:pt>
                <c:pt idx="51">
                  <c:v>-3.8637033051562732</c:v>
                </c:pt>
                <c:pt idx="52">
                  <c:v>-3.9392310120488321</c:v>
                </c:pt>
                <c:pt idx="53">
                  <c:v>-3.9847787923669822</c:v>
                </c:pt>
                <c:pt idx="54">
                  <c:v>-4</c:v>
                </c:pt>
                <c:pt idx="55">
                  <c:v>-3.9847787923669822</c:v>
                </c:pt>
                <c:pt idx="56">
                  <c:v>-3.9392310120488325</c:v>
                </c:pt>
                <c:pt idx="57">
                  <c:v>-3.8637033051562737</c:v>
                </c:pt>
                <c:pt idx="58">
                  <c:v>-3.7587704831436333</c:v>
                </c:pt>
                <c:pt idx="59">
                  <c:v>-3.6252311481465997</c:v>
                </c:pt>
                <c:pt idx="60">
                  <c:v>-3.4641016151377544</c:v>
                </c:pt>
                <c:pt idx="61">
                  <c:v>-3.2766081771559672</c:v>
                </c:pt>
                <c:pt idx="62">
                  <c:v>-3.0641777724759125</c:v>
                </c:pt>
                <c:pt idx="63">
                  <c:v>-2.8284271247461907</c:v>
                </c:pt>
                <c:pt idx="64">
                  <c:v>-2.5711504387461583</c:v>
                </c:pt>
                <c:pt idx="65">
                  <c:v>-2.294305745404186</c:v>
                </c:pt>
                <c:pt idx="66">
                  <c:v>-2.0000000000000018</c:v>
                </c:pt>
                <c:pt idx="67">
                  <c:v>-1.6904730469627969</c:v>
                </c:pt>
                <c:pt idx="68">
                  <c:v>-1.3680805733026744</c:v>
                </c:pt>
                <c:pt idx="69">
                  <c:v>-1.0352761804100827</c:v>
                </c:pt>
                <c:pt idx="70">
                  <c:v>-0.69459271066772155</c:v>
                </c:pt>
                <c:pt idx="71">
                  <c:v>-0.34862297099063327</c:v>
                </c:pt>
                <c:pt idx="72">
                  <c:v>-9.8011876392689601E-16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AD-3245-8812-7A58D47E351E}"/>
            </c:ext>
          </c:extLst>
        </c:ser>
        <c:ser>
          <c:idx val="0"/>
          <c:order val="1"/>
          <c:tx>
            <c:strRef>
              <c:f>'Star Position'!$J$44</c:f>
              <c:strCache>
                <c:ptCount val="1"/>
                <c:pt idx="0">
                  <c:v>Gr. Sidereal Time</c:v>
                </c:pt>
              </c:strCache>
            </c:strRef>
          </c:tx>
          <c:spPr>
            <a:ln w="31750">
              <a:solidFill>
                <a:schemeClr val="tx1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3745650350407231E-2"/>
                  <c:y val="-9.715994020926811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GST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701030927835044E-2"/>
                      <c:h val="2.7212315949295577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'Star Position'!$J$45:$K$45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2.45029690981724E-16</c:v>
                </c:pt>
              </c:numCache>
            </c:numRef>
          </c:xVal>
          <c:yVal>
            <c:numRef>
              <c:f>'Star Position'!$J$46:$K$46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AD-3245-8812-7A58D47E351E}"/>
            </c:ext>
          </c:extLst>
        </c:ser>
        <c:ser>
          <c:idx val="2"/>
          <c:order val="2"/>
          <c:tx>
            <c:v>0-degrees</c:v>
          </c:tx>
          <c:dPt>
            <c:idx val="1"/>
            <c:marker>
              <c:symbol val="none"/>
            </c:marker>
            <c:bubble3D val="0"/>
            <c:spPr>
              <a:ln>
                <a:solidFill>
                  <a:srgbClr val="00B05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6CAD-3245-8812-7A58D47E351E}"/>
              </c:ext>
            </c:extLst>
          </c:dPt>
          <c:dLbls>
            <c:dLbl>
              <c:idx val="1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90 (6)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927835051546393E-2"/>
                      <c:h val="1.956616993123793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'Star Position'!$Q$51:$R$51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4</c:v>
                </c:pt>
              </c:numCache>
            </c:numRef>
          </c:xVal>
          <c:yVal>
            <c:numRef>
              <c:f>'Star Position'!$Q$52:$R$52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AD-3245-8812-7A58D47E351E}"/>
            </c:ext>
          </c:extLst>
        </c:ser>
        <c:ser>
          <c:idx val="3"/>
          <c:order val="3"/>
          <c:tx>
            <c:v>90-degrees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6426116838487975E-2"/>
                  <c:y val="-1.802372797570707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0</a:t>
                    </a:r>
                    <a:r>
                      <a:rPr lang="en-US" baseline="0"/>
                      <a:t> (0)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26460481099661E-2"/>
                      <c:h val="2.27280110165601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'Star Position'!$Q$53:$R$53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2.45029690981724E-16</c:v>
                </c:pt>
              </c:numCache>
            </c:numRef>
          </c:xVal>
          <c:yVal>
            <c:numRef>
              <c:f>'Star Position'!$Q$54:$R$54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CAD-3245-8812-7A58D47E351E}"/>
            </c:ext>
          </c:extLst>
        </c:ser>
        <c:ser>
          <c:idx val="4"/>
          <c:order val="4"/>
          <c:tx>
            <c:v>180-degrees</c:v>
          </c:tx>
          <c:dPt>
            <c:idx val="1"/>
            <c:marker>
              <c:symbol val="none"/>
            </c:marker>
            <c:bubble3D val="0"/>
            <c:spPr>
              <a:ln>
                <a:solidFill>
                  <a:srgbClr val="00B05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6CAD-3245-8812-7A58D47E351E}"/>
              </c:ext>
            </c:extLst>
          </c:dPt>
          <c:dLbls>
            <c:dLbl>
              <c:idx val="1"/>
              <c:layout>
                <c:manualLayout>
                  <c:x val="-7.560142868739346E-2"/>
                  <c:y val="-6.8870523415977963E-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270 (18)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893470790377994E-2"/>
                      <c:h val="2.507581180451617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'Star Position'!$Q$55:$R$55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-4</c:v>
                </c:pt>
              </c:numCache>
            </c:numRef>
          </c:xVal>
          <c:yVal>
            <c:numRef>
              <c:f>'Star Position'!$Q$56:$R$56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4.90059381963448E-16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CAD-3245-8812-7A58D47E351E}"/>
            </c:ext>
          </c:extLst>
        </c:ser>
        <c:ser>
          <c:idx val="5"/>
          <c:order val="5"/>
          <c:tx>
            <c:v>270-degrees</c:v>
          </c:tx>
          <c:spPr>
            <a:ln>
              <a:prstDash val="sysDot"/>
            </a:ln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chemeClr val="tx1"/>
                </a:solidFill>
                <a:ln w="28575"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CAD-3245-8812-7A58D47E351E}"/>
              </c:ext>
            </c:extLst>
          </c:dPt>
          <c:dLbls>
            <c:dLbl>
              <c:idx val="1"/>
              <c:layout>
                <c:manualLayout>
                  <c:x val="-4.1237113402061855E-2"/>
                  <c:y val="2.685950413223140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180 </a:t>
                    </a:r>
                  </a:p>
                  <a:p>
                    <a:pPr>
                      <a:defRPr/>
                    </a:pPr>
                    <a:r>
                      <a:rPr lang="en-US"/>
                      <a:t>(12)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171821305841927E-2"/>
                      <c:h val="4.160473742435088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'Star Position'!$Q$57:$R$57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-7.3508907294517201E-16</c:v>
                </c:pt>
              </c:numCache>
            </c:numRef>
          </c:xVal>
          <c:yVal>
            <c:numRef>
              <c:f>'Star Position'!$Q$58:$R$58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CAD-3245-8812-7A58D47E351E}"/>
            </c:ext>
          </c:extLst>
        </c:ser>
        <c:ser>
          <c:idx val="6"/>
          <c:order val="6"/>
          <c:tx>
            <c:strRef>
              <c:f>'Star Position'!$J$50:$K$50</c:f>
              <c:strCache>
                <c:ptCount val="1"/>
                <c:pt idx="0">
                  <c:v>Loc. Sidereal Time 7.50</c:v>
                </c:pt>
              </c:strCache>
            </c:strRef>
          </c:tx>
          <c:dPt>
            <c:idx val="1"/>
            <c:marker>
              <c:symbol val="none"/>
            </c:marker>
            <c:bubble3D val="0"/>
            <c:spPr>
              <a:ln w="31750">
                <a:solidFill>
                  <a:schemeClr val="tx1"/>
                </a:solidFill>
                <a:tailEnd type="stealth"/>
              </a:ln>
            </c:spPr>
            <c:extLst>
              <c:ext xmlns:c16="http://schemas.microsoft.com/office/drawing/2014/chart" uri="{C3380CC4-5D6E-409C-BE32-E72D297353CC}">
                <c16:uniqueId val="{0000000F-6CAD-3245-8812-7A58D47E351E}"/>
              </c:ext>
            </c:extLst>
          </c:dPt>
          <c:dLbls>
            <c:dLbl>
              <c:idx val="1"/>
              <c:layout>
                <c:manualLayout>
                  <c:x val="-3.8487972508591088E-2"/>
                  <c:y val="-7.47384155455907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'Star Position'!$J$51:$K$51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0.52210476888020685</c:v>
                </c:pt>
              </c:numCache>
            </c:numRef>
          </c:xVal>
          <c:yVal>
            <c:numRef>
              <c:f>'Star Position'!$J$52:$K$52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3.9657794454952415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CAD-3245-8812-7A58D47E351E}"/>
            </c:ext>
          </c:extLst>
        </c:ser>
        <c:ser>
          <c:idx val="8"/>
          <c:order val="7"/>
          <c:tx>
            <c:strRef>
              <c:f>'Star Position'!$L$53</c:f>
              <c:strCache>
                <c:ptCount val="1"/>
                <c:pt idx="0">
                  <c:v>Local Hour Angle</c:v>
                </c:pt>
              </c:strCache>
            </c:strRef>
          </c:tx>
          <c:dPt>
            <c:idx val="1"/>
            <c:marker>
              <c:symbol val="none"/>
            </c:marker>
            <c:bubble3D val="0"/>
            <c:spPr>
              <a:ln w="31750">
                <a:solidFill>
                  <a:srgbClr val="00B050"/>
                </a:solidFill>
                <a:tailEnd type="stealth"/>
              </a:ln>
            </c:spPr>
            <c:extLst>
              <c:ext xmlns:c16="http://schemas.microsoft.com/office/drawing/2014/chart" uri="{C3380CC4-5D6E-409C-BE32-E72D297353CC}">
                <c16:uniqueId val="{00000012-6CAD-3245-8812-7A58D47E351E}"/>
              </c:ext>
            </c:extLst>
          </c:dPt>
          <c:dLbls>
            <c:dLbl>
              <c:idx val="1"/>
              <c:layout>
                <c:manualLayout>
                  <c:x val="-1.6336320028962004E-2"/>
                  <c:y val="2.092675635276521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LHA (manual)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717010589193581E-2"/>
                      <c:h val="4.365476736932547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2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'Star Position'!$L$54:$N$54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-3.9902562010392968</c:v>
                </c:pt>
              </c:numCache>
            </c:numRef>
          </c:xVal>
          <c:yVal>
            <c:numRef>
              <c:f>'Star Position'!$L$55:$N$55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-0.2790258949765021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CAD-3245-8812-7A58D47E351E}"/>
            </c:ext>
          </c:extLst>
        </c:ser>
        <c:ser>
          <c:idx val="7"/>
          <c:order val="8"/>
          <c:tx>
            <c:strRef>
              <c:f>'Star Position'!$J$53</c:f>
              <c:strCache>
                <c:ptCount val="1"/>
                <c:pt idx="0">
                  <c:v>RA</c:v>
                </c:pt>
              </c:strCache>
            </c:strRef>
          </c:tx>
          <c:dPt>
            <c:idx val="1"/>
            <c:marker>
              <c:symbol val="none"/>
            </c:marker>
            <c:bubble3D val="0"/>
            <c:spPr>
              <a:ln w="31750">
                <a:solidFill>
                  <a:srgbClr val="00B050"/>
                </a:solidFill>
                <a:tailEnd type="stealth"/>
              </a:ln>
            </c:spPr>
            <c:extLst>
              <c:ext xmlns:c16="http://schemas.microsoft.com/office/drawing/2014/chart" uri="{C3380CC4-5D6E-409C-BE32-E72D297353CC}">
                <c16:uniqueId val="{00000015-6CAD-3245-8812-7A58D47E351E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'Star Position'!$J$54:$K$54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3.9196988184833184</c:v>
                </c:pt>
              </c:numCache>
            </c:numRef>
          </c:xVal>
          <c:yVal>
            <c:numRef>
              <c:f>'Star Position'!$J$55:$K$55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-0.79747173766878854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CAD-3245-8812-7A58D47E351E}"/>
            </c:ext>
          </c:extLst>
        </c:ser>
        <c:ser>
          <c:idx val="9"/>
          <c:order val="9"/>
          <c:tx>
            <c:strRef>
              <c:f>'Star Position'!$J$56</c:f>
              <c:strCache>
                <c:ptCount val="1"/>
                <c:pt idx="0">
                  <c:v>Spiral Cluster</c:v>
                </c:pt>
              </c:strCache>
            </c:strRef>
          </c:tx>
          <c:dPt>
            <c:idx val="1"/>
            <c:marker>
              <c:symbol val="none"/>
            </c:marker>
            <c:bubble3D val="0"/>
            <c:spPr>
              <a:ln w="31750">
                <a:solidFill>
                  <a:srgbClr val="7030A0"/>
                </a:solidFill>
                <a:tailEnd type="stealth"/>
              </a:ln>
            </c:spPr>
            <c:extLst>
              <c:ext xmlns:c16="http://schemas.microsoft.com/office/drawing/2014/chart" uri="{C3380CC4-5D6E-409C-BE32-E72D297353CC}">
                <c16:uniqueId val="{00000018-6CAD-3245-8812-7A58D47E351E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Star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'Star Position'!$J$57:$K$57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2.5977921933207346</c:v>
                </c:pt>
              </c:numCache>
            </c:numRef>
          </c:xVal>
          <c:yVal>
            <c:numRef>
              <c:f>'Star Position'!$J$58:$K$58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3.0416238624001237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CAD-3245-8812-7A58D47E351E}"/>
            </c:ext>
          </c:extLst>
        </c:ser>
        <c:ser>
          <c:idx val="10"/>
          <c:order val="10"/>
          <c:tx>
            <c:strRef>
              <c:f>'Star Position'!$L$56</c:f>
              <c:strCache>
                <c:ptCount val="1"/>
                <c:pt idx="0">
                  <c:v>Local Hour Angle</c:v>
                </c:pt>
              </c:strCache>
            </c:strRef>
          </c:tx>
          <c:dPt>
            <c:idx val="1"/>
            <c:marker>
              <c:symbol val="none"/>
            </c:marker>
            <c:bubble3D val="0"/>
            <c:spPr>
              <a:ln w="31750">
                <a:solidFill>
                  <a:srgbClr val="7030A0"/>
                </a:solidFill>
                <a:tailEnd type="stealth"/>
              </a:ln>
            </c:spPr>
            <c:extLst>
              <c:ext xmlns:c16="http://schemas.microsoft.com/office/drawing/2014/chart" uri="{C3380CC4-5D6E-409C-BE32-E72D297353CC}">
                <c16:uniqueId val="{0000001B-6CAD-3245-8812-7A58D47E351E}"/>
              </c:ext>
            </c:extLst>
          </c:dPt>
          <c:dLbls>
            <c:dLbl>
              <c:idx val="1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LHA (star)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211263462756812E-2"/>
                      <c:h val="4.215999905841365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B-6CAD-3245-8812-7A58D47E3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'Star Position'!$L$57:$N$57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-2.1785561400601079</c:v>
                </c:pt>
              </c:numCache>
            </c:numRef>
          </c:xVal>
          <c:yVal>
            <c:numRef>
              <c:f>'Star Position'!$L$58:$N$58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3.3546822717816962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CAD-3245-8812-7A58D47E3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599200"/>
        <c:axId val="672864240"/>
      </c:scatterChart>
      <c:valAx>
        <c:axId val="672599200"/>
        <c:scaling>
          <c:orientation val="minMax"/>
          <c:max val="5"/>
          <c:min val="-5"/>
        </c:scaling>
        <c:delete val="1"/>
        <c:axPos val="b"/>
        <c:numFmt formatCode="0" sourceLinked="0"/>
        <c:majorTickMark val="none"/>
        <c:minorTickMark val="none"/>
        <c:tickLblPos val="nextTo"/>
        <c:crossAx val="672864240"/>
        <c:crosses val="autoZero"/>
        <c:crossBetween val="midCat"/>
        <c:majorUnit val="5"/>
        <c:minorUnit val="5"/>
      </c:valAx>
      <c:valAx>
        <c:axId val="672864240"/>
        <c:scaling>
          <c:orientation val="minMax"/>
          <c:max val="5"/>
          <c:min val="-5"/>
        </c:scaling>
        <c:delete val="1"/>
        <c:axPos val="l"/>
        <c:numFmt formatCode="0" sourceLinked="0"/>
        <c:majorTickMark val="none"/>
        <c:minorTickMark val="none"/>
        <c:tickLblPos val="nextTo"/>
        <c:crossAx val="672599200"/>
        <c:crosses val="autoZero"/>
        <c:crossBetween val="midCat"/>
        <c:majorUnit val="5"/>
        <c:minorUnit val="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astronomy-morsels.ch/morsels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18</xdr:row>
      <xdr:rowOff>190500</xdr:rowOff>
    </xdr:from>
    <xdr:to>
      <xdr:col>11</xdr:col>
      <xdr:colOff>12700</xdr:colOff>
      <xdr:row>58</xdr:row>
      <xdr:rowOff>190500</xdr:rowOff>
    </xdr:to>
    <xdr:pic>
      <xdr:nvPicPr>
        <xdr:cNvPr id="2" name="Picture 1" descr="Marine Glossary">
          <a:extLst>
            <a:ext uri="{FF2B5EF4-FFF2-40B4-BE49-F238E27FC236}">
              <a16:creationId xmlns:a16="http://schemas.microsoft.com/office/drawing/2014/main" id="{3B81155A-316F-D794-5CAA-176BA584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949700"/>
          <a:ext cx="8128000" cy="81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469900</xdr:colOff>
      <xdr:row>65</xdr:row>
      <xdr:rowOff>88900</xdr:rowOff>
    </xdr:from>
    <xdr:to>
      <xdr:col>9</xdr:col>
      <xdr:colOff>88900</xdr:colOff>
      <xdr:row>75</xdr:row>
      <xdr:rowOff>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1EEFDE-6233-CC65-F32A-F82FF9A19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0900" y="13398500"/>
          <a:ext cx="5397500" cy="194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2</xdr:row>
      <xdr:rowOff>12700</xdr:rowOff>
    </xdr:from>
    <xdr:to>
      <xdr:col>8</xdr:col>
      <xdr:colOff>406400</xdr:colOff>
      <xdr:row>43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B8B401-F700-EC47-81C6-D6F186BE5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469900</xdr:colOff>
      <xdr:row>3</xdr:row>
      <xdr:rowOff>38100</xdr:rowOff>
    </xdr:from>
    <xdr:to>
      <xdr:col>5</xdr:col>
      <xdr:colOff>266700</xdr:colOff>
      <xdr:row>5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368C7A-DA16-8D4B-855F-B24F135223CB}"/>
            </a:ext>
          </a:extLst>
        </xdr:cNvPr>
        <xdr:cNvSpPr txBox="1"/>
      </xdr:nvSpPr>
      <xdr:spPr>
        <a:xfrm>
          <a:off x="914400" y="647700"/>
          <a:ext cx="4673600" cy="5207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24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Star Position</a:t>
          </a:r>
          <a:r>
            <a:rPr lang="en-GB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(Angle, Hours)</a:t>
          </a:r>
          <a:endParaRPr lang="en-GB" sz="2400">
            <a:solidFill>
              <a:schemeClr val="tx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ssassenburg/Dropbox/X_Private/06_Hobbies/1%20-%20Astronomy/Study/Programs/ORBIT%20(HS,%20V0.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ar System"/>
      <sheetName val="Definitions"/>
      <sheetName val="Calculations"/>
      <sheetName val="Graphical Data"/>
      <sheetName val="Conversion"/>
      <sheetName val="Clock"/>
    </sheetNames>
    <sheetDataSet>
      <sheetData sheetId="0" refreshError="1"/>
      <sheetData sheetId="1">
        <row r="8">
          <cell r="C8">
            <v>86400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astronomy-morsels.ch/" TargetMode="External"/><Relationship Id="rId1" Type="http://schemas.openxmlformats.org/officeDocument/2006/relationships/hyperlink" Target="mailto:anton@astronomy-morsels.ch?subject=Eclipse%20Da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DFC7-0654-7748-98A9-528582B1ECE7}">
  <sheetPr codeName="Sheet1"/>
  <dimension ref="A2:L64"/>
  <sheetViews>
    <sheetView showGridLines="0" tabSelected="1" workbookViewId="0">
      <selection activeCell="O10" sqref="O10"/>
    </sheetView>
  </sheetViews>
  <sheetFormatPr baseColWidth="10" defaultRowHeight="16" x14ac:dyDescent="0.2"/>
  <cols>
    <col min="1" max="12" width="10.83203125" style="128"/>
  </cols>
  <sheetData>
    <row r="2" spans="2:11" ht="15" customHeight="1" x14ac:dyDescent="0.2"/>
    <row r="3" spans="2:11" ht="16" customHeight="1" x14ac:dyDescent="0.2">
      <c r="B3" s="145" t="s">
        <v>101</v>
      </c>
      <c r="C3" s="145"/>
      <c r="D3" s="145"/>
      <c r="E3" s="145"/>
      <c r="F3" s="145"/>
      <c r="G3" s="145"/>
      <c r="H3" s="145"/>
      <c r="I3" s="145"/>
      <c r="J3" s="145"/>
      <c r="K3" s="145"/>
    </row>
    <row r="4" spans="2:11" ht="16" customHeight="1" x14ac:dyDescent="0.2"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2:11" ht="16" customHeight="1" x14ac:dyDescent="0.2"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2:11" ht="16" customHeight="1" x14ac:dyDescent="0.2"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2:11" ht="16" customHeight="1" x14ac:dyDescent="0.2"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2:11" ht="16" customHeight="1" x14ac:dyDescent="0.2">
      <c r="B8" s="145"/>
      <c r="C8" s="145"/>
      <c r="D8" s="145"/>
      <c r="E8" s="145"/>
      <c r="F8" s="145"/>
      <c r="G8" s="145"/>
      <c r="H8" s="145"/>
      <c r="I8" s="145"/>
      <c r="J8" s="145"/>
      <c r="K8" s="145"/>
    </row>
    <row r="9" spans="2:11" ht="16" customHeight="1" x14ac:dyDescent="0.2">
      <c r="B9" s="145"/>
      <c r="C9" s="145"/>
      <c r="D9" s="145"/>
      <c r="E9" s="145"/>
      <c r="F9" s="145"/>
      <c r="G9" s="145"/>
      <c r="H9" s="145"/>
      <c r="I9" s="145"/>
      <c r="J9" s="145"/>
      <c r="K9" s="145"/>
    </row>
    <row r="13" spans="2:11" ht="19" x14ac:dyDescent="0.25">
      <c r="D13" s="129" t="s">
        <v>105</v>
      </c>
      <c r="E13" s="130"/>
      <c r="F13" s="131"/>
      <c r="G13" s="131"/>
      <c r="H13" s="131"/>
      <c r="I13" s="132" t="s">
        <v>0</v>
      </c>
    </row>
    <row r="14" spans="2:11" ht="19" x14ac:dyDescent="0.25">
      <c r="D14" s="133"/>
      <c r="E14" s="134"/>
      <c r="F14" s="135"/>
      <c r="G14" s="135"/>
      <c r="H14" s="135"/>
      <c r="I14" s="136"/>
    </row>
    <row r="15" spans="2:11" ht="19" x14ac:dyDescent="0.25">
      <c r="D15" s="137" t="s">
        <v>106</v>
      </c>
      <c r="E15" s="138"/>
      <c r="F15" s="139"/>
      <c r="G15" s="139"/>
      <c r="H15" s="139"/>
      <c r="I15" s="140" t="s">
        <v>1</v>
      </c>
    </row>
    <row r="62" spans="2:11" x14ac:dyDescent="0.2">
      <c r="B62" s="146" t="s">
        <v>102</v>
      </c>
      <c r="C62" s="147"/>
      <c r="D62" s="147"/>
      <c r="E62" s="147"/>
      <c r="F62" s="147"/>
      <c r="G62" s="147"/>
      <c r="H62" s="147"/>
      <c r="I62" s="147"/>
      <c r="J62" s="147"/>
      <c r="K62" s="148"/>
    </row>
    <row r="63" spans="2:11" x14ac:dyDescent="0.2">
      <c r="B63" s="149" t="s">
        <v>103</v>
      </c>
      <c r="C63" s="150"/>
      <c r="D63" s="150"/>
      <c r="E63" s="150"/>
      <c r="F63" s="150"/>
      <c r="G63" s="150"/>
      <c r="H63" s="150"/>
      <c r="I63" s="150"/>
      <c r="J63" s="150"/>
      <c r="K63" s="151"/>
    </row>
    <row r="64" spans="2:11" x14ac:dyDescent="0.2">
      <c r="B64" s="152" t="s">
        <v>104</v>
      </c>
      <c r="C64" s="153"/>
      <c r="D64" s="153"/>
      <c r="E64" s="153"/>
      <c r="F64" s="153"/>
      <c r="G64" s="153"/>
      <c r="H64" s="153"/>
      <c r="I64" s="153"/>
      <c r="J64" s="153"/>
      <c r="K64" s="154"/>
    </row>
  </sheetData>
  <mergeCells count="4">
    <mergeCell ref="B3:K9"/>
    <mergeCell ref="B62:K62"/>
    <mergeCell ref="B63:K63"/>
    <mergeCell ref="B64:K64"/>
  </mergeCells>
  <hyperlinks>
    <hyperlink ref="I13" r:id="rId1" xr:uid="{167DE5A5-0F43-7743-90C5-118250FD13B0}"/>
    <hyperlink ref="B62" r:id="rId2" display="http://www.astronomy-morsels.ch/" xr:uid="{2952744F-7A0B-7446-BFC7-F39C703FDDC2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991D-8A86-4748-9B42-A2DEEEAF7EF7}">
  <sheetPr codeName="Sheet22"/>
  <dimension ref="A1:AD141"/>
  <sheetViews>
    <sheetView showGridLines="0" topLeftCell="B6" workbookViewId="0">
      <selection activeCell="Q13" sqref="Q13"/>
    </sheetView>
  </sheetViews>
  <sheetFormatPr baseColWidth="10" defaultColWidth="10.83203125" defaultRowHeight="16" x14ac:dyDescent="0.2"/>
  <cols>
    <col min="1" max="1" width="5.83203125" style="3" customWidth="1"/>
    <col min="2" max="2" width="20.5" style="4" customWidth="1"/>
    <col min="3" max="3" width="17" style="4" customWidth="1"/>
    <col min="4" max="4" width="10.83203125" style="4"/>
    <col min="5" max="5" width="15.6640625" style="4" customWidth="1"/>
    <col min="6" max="7" width="15.83203125" style="4" customWidth="1"/>
    <col min="8" max="8" width="17.6640625" style="4" customWidth="1"/>
    <col min="9" max="9" width="15.6640625" style="4" customWidth="1"/>
    <col min="10" max="11" width="15.6640625" style="3" customWidth="1"/>
    <col min="12" max="12" width="12.33203125" style="3" customWidth="1"/>
    <col min="13" max="13" width="0" style="3" hidden="1" customWidth="1"/>
    <col min="14" max="14" width="10.83203125" style="3"/>
    <col min="15" max="15" width="10.83203125" style="3" customWidth="1"/>
    <col min="16" max="19" width="10.83203125" style="3"/>
    <col min="20" max="20" width="21.5" style="3" customWidth="1"/>
    <col min="21" max="22" width="10.83203125" style="3" customWidth="1"/>
    <col min="23" max="23" width="12.33203125" style="3" customWidth="1"/>
    <col min="24" max="24" width="10.83203125" style="5"/>
    <col min="25" max="26" width="12.33203125" style="3" customWidth="1"/>
    <col min="27" max="30" width="10.83203125" style="3"/>
    <col min="31" max="16384" width="10.83203125" style="1"/>
  </cols>
  <sheetData>
    <row r="1" spans="2:19" x14ac:dyDescent="0.2">
      <c r="B1" s="34"/>
      <c r="C1" s="35"/>
      <c r="E1" s="39"/>
      <c r="F1" s="40"/>
    </row>
    <row r="2" spans="2:19" x14ac:dyDescent="0.2">
      <c r="B2" s="34"/>
      <c r="C2" s="35"/>
      <c r="E2" s="39"/>
      <c r="F2" s="40"/>
    </row>
    <row r="3" spans="2:19" x14ac:dyDescent="0.2">
      <c r="B3" s="34"/>
      <c r="C3" s="35"/>
      <c r="E3" s="39"/>
      <c r="F3" s="40"/>
      <c r="J3" s="6"/>
      <c r="K3" s="7" t="s">
        <v>2</v>
      </c>
      <c r="L3" s="8" t="s">
        <v>3</v>
      </c>
      <c r="M3" s="9"/>
      <c r="N3" s="9"/>
      <c r="O3" s="9"/>
      <c r="P3" s="9"/>
      <c r="Q3" s="9"/>
      <c r="R3" s="9"/>
      <c r="S3" s="9"/>
    </row>
    <row r="4" spans="2:19" x14ac:dyDescent="0.2">
      <c r="B4" s="34"/>
      <c r="C4" s="35"/>
      <c r="E4" s="39"/>
      <c r="F4" s="40"/>
      <c r="J4" s="10" t="s">
        <v>11</v>
      </c>
      <c r="K4" s="11">
        <f>DATE(K8,K9,K10)</f>
        <v>45343</v>
      </c>
      <c r="L4" s="12">
        <f>DATE(L8,L9,L10)</f>
        <v>45343</v>
      </c>
      <c r="M4" s="9"/>
      <c r="N4" s="9"/>
      <c r="O4" s="9"/>
      <c r="P4" s="9"/>
      <c r="Q4" s="9"/>
      <c r="R4" s="9"/>
      <c r="S4" s="9"/>
    </row>
    <row r="5" spans="2:19" x14ac:dyDescent="0.2">
      <c r="B5" s="34"/>
      <c r="C5" s="35"/>
      <c r="E5" s="39"/>
      <c r="F5" s="40"/>
      <c r="J5" s="18" t="s">
        <v>13</v>
      </c>
      <c r="K5" s="19">
        <f>TIME(K11,K12,0)</f>
        <v>0.5</v>
      </c>
      <c r="L5" s="20">
        <f>TIME(L11,L12,0)</f>
        <v>0.5</v>
      </c>
      <c r="M5" s="9"/>
      <c r="N5" s="9"/>
      <c r="O5" s="9"/>
      <c r="P5" s="9"/>
      <c r="Q5" s="9"/>
      <c r="R5" s="9"/>
      <c r="S5" s="9"/>
    </row>
    <row r="6" spans="2:19" x14ac:dyDescent="0.2">
      <c r="B6" s="34"/>
      <c r="C6" s="35"/>
      <c r="E6" s="39"/>
      <c r="F6" s="40"/>
      <c r="J6" s="25" t="s">
        <v>15</v>
      </c>
      <c r="K6" s="26">
        <f>IF(MOD(K8,4)=0,IF(MOD(K8,400)&lt;&gt;100,IF(MOD(K8,400)&lt;&gt;200,IF(MOD(K8,400)&lt;&gt;300,1,0),0),0),0)</f>
        <v>1</v>
      </c>
      <c r="L6" s="27">
        <f>IF(MOD(L8,4)=0,IF(MOD(L8,400)&lt;&gt;100,IF(MOD(L8,400)&lt;&gt;200,IF(MOD(L8,400)&lt;&gt;300,1,0),0),0),0)</f>
        <v>1</v>
      </c>
      <c r="M6" s="9"/>
      <c r="N6" s="9"/>
      <c r="O6" s="9"/>
      <c r="P6" s="9"/>
      <c r="Q6" s="9"/>
      <c r="R6" s="9"/>
      <c r="S6" s="9"/>
    </row>
    <row r="7" spans="2:19" x14ac:dyDescent="0.2">
      <c r="B7" s="34"/>
      <c r="C7" s="35"/>
      <c r="E7" s="39"/>
      <c r="F7" s="40"/>
      <c r="J7" s="18" t="s">
        <v>17</v>
      </c>
      <c r="K7" s="29">
        <f>K4-DATE(YEAR(K4),1,0)</f>
        <v>52</v>
      </c>
      <c r="L7" s="30">
        <f>L4-DATE(YEAR(L4),1,0)+K6-L6</f>
        <v>52</v>
      </c>
      <c r="M7" s="9"/>
      <c r="N7" s="9"/>
      <c r="O7" s="9"/>
      <c r="P7" s="9"/>
      <c r="Q7" s="9"/>
      <c r="R7" s="9"/>
      <c r="S7" s="9"/>
    </row>
    <row r="8" spans="2:19" x14ac:dyDescent="0.2">
      <c r="B8" s="34"/>
      <c r="C8" s="35"/>
      <c r="E8" s="39"/>
      <c r="F8" s="40"/>
      <c r="J8" s="18" t="s">
        <v>19</v>
      </c>
      <c r="K8" s="31">
        <v>2024</v>
      </c>
      <c r="L8" s="32">
        <f>K8</f>
        <v>2024</v>
      </c>
      <c r="M8" s="9"/>
      <c r="N8" s="9"/>
      <c r="O8" s="9"/>
      <c r="P8" s="9"/>
      <c r="Q8" s="9"/>
      <c r="R8" s="9"/>
      <c r="S8" s="9"/>
    </row>
    <row r="9" spans="2:19" x14ac:dyDescent="0.2">
      <c r="B9" s="34"/>
      <c r="C9" s="35"/>
      <c r="E9" s="39"/>
      <c r="F9" s="40"/>
      <c r="J9" s="18" t="s">
        <v>21</v>
      </c>
      <c r="K9" s="86">
        <v>2</v>
      </c>
      <c r="L9" s="87">
        <v>2</v>
      </c>
      <c r="M9" s="9"/>
      <c r="N9" s="9"/>
      <c r="O9" s="9"/>
      <c r="P9" s="9"/>
      <c r="Q9" s="9"/>
      <c r="R9" s="9"/>
      <c r="S9" s="9"/>
    </row>
    <row r="10" spans="2:19" x14ac:dyDescent="0.2">
      <c r="B10" s="34"/>
      <c r="C10" s="35"/>
      <c r="E10" s="39"/>
      <c r="F10" s="40"/>
      <c r="J10" s="18" t="s">
        <v>23</v>
      </c>
      <c r="K10" s="86">
        <v>21</v>
      </c>
      <c r="L10" s="87">
        <v>21</v>
      </c>
      <c r="M10" s="9"/>
      <c r="N10" s="9"/>
      <c r="O10" s="9"/>
      <c r="P10" s="9"/>
      <c r="Q10" s="9"/>
      <c r="R10" s="9"/>
      <c r="S10" s="9"/>
    </row>
    <row r="11" spans="2:19" x14ac:dyDescent="0.2">
      <c r="B11" s="34"/>
      <c r="C11" s="35"/>
      <c r="E11" s="39"/>
      <c r="F11" s="40"/>
      <c r="J11" s="18" t="s">
        <v>25</v>
      </c>
      <c r="K11" s="88">
        <v>12</v>
      </c>
      <c r="L11" s="89">
        <v>12</v>
      </c>
      <c r="M11" s="9"/>
      <c r="N11" s="9"/>
      <c r="O11" s="9"/>
      <c r="P11" s="9"/>
      <c r="Q11" s="9"/>
      <c r="R11" s="9"/>
      <c r="S11" s="9"/>
    </row>
    <row r="12" spans="2:19" x14ac:dyDescent="0.2">
      <c r="B12" s="34"/>
      <c r="C12" s="35"/>
      <c r="E12" s="39"/>
      <c r="F12" s="40"/>
      <c r="J12" s="25" t="s">
        <v>27</v>
      </c>
      <c r="K12" s="90">
        <v>0</v>
      </c>
      <c r="L12" s="91">
        <v>0</v>
      </c>
      <c r="M12" s="9"/>
      <c r="N12" s="9"/>
      <c r="O12" s="9"/>
      <c r="P12" s="9"/>
      <c r="Q12" s="9"/>
      <c r="R12" s="9"/>
      <c r="S12" s="9"/>
    </row>
    <row r="13" spans="2:19" x14ac:dyDescent="0.2">
      <c r="B13" s="34"/>
      <c r="C13" s="35"/>
      <c r="E13" s="39"/>
      <c r="F13" s="40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x14ac:dyDescent="0.2">
      <c r="B14" s="34"/>
      <c r="C14" s="35"/>
      <c r="E14" s="39"/>
      <c r="F14" s="40"/>
      <c r="J14" s="10" t="s">
        <v>30</v>
      </c>
      <c r="K14" s="36">
        <f>(K7-L7)</f>
        <v>0</v>
      </c>
      <c r="L14" s="37" t="s">
        <v>31</v>
      </c>
      <c r="M14" s="38"/>
      <c r="N14" s="38"/>
      <c r="O14" s="38"/>
      <c r="P14" s="38"/>
      <c r="Q14" s="38"/>
      <c r="R14" s="29"/>
      <c r="S14" s="9"/>
    </row>
    <row r="15" spans="2:19" x14ac:dyDescent="0.2">
      <c r="B15" s="34"/>
      <c r="C15" s="35"/>
      <c r="E15" s="39"/>
      <c r="F15" s="40"/>
      <c r="J15" s="18"/>
      <c r="K15" s="41">
        <f>K5-L5</f>
        <v>0</v>
      </c>
      <c r="L15" s="42" t="s">
        <v>33</v>
      </c>
      <c r="M15" s="38"/>
      <c r="N15" s="38"/>
      <c r="O15" s="38"/>
      <c r="P15" s="38"/>
      <c r="Q15" s="9"/>
      <c r="R15" s="29"/>
      <c r="S15" s="9"/>
    </row>
    <row r="16" spans="2:19" x14ac:dyDescent="0.2">
      <c r="J16" s="25"/>
      <c r="K16" s="43">
        <f>SUM(K14:K15)</f>
        <v>0</v>
      </c>
      <c r="L16" s="44" t="s">
        <v>35</v>
      </c>
      <c r="M16" s="45"/>
      <c r="N16" s="9"/>
      <c r="O16" s="9"/>
      <c r="P16" s="38"/>
      <c r="Q16" s="9"/>
      <c r="R16" s="29"/>
      <c r="S16" s="9"/>
    </row>
    <row r="17" spans="10:19" x14ac:dyDescent="0.2">
      <c r="J17" s="155" t="s">
        <v>37</v>
      </c>
      <c r="K17" s="45">
        <f>K16*(K37/360)</f>
        <v>0</v>
      </c>
      <c r="L17" s="42" t="s">
        <v>38</v>
      </c>
      <c r="M17" s="46"/>
      <c r="N17" s="9"/>
      <c r="O17" s="38"/>
      <c r="P17" s="9"/>
      <c r="Q17" s="9"/>
      <c r="R17" s="9"/>
      <c r="S17" s="9"/>
    </row>
    <row r="18" spans="10:19" x14ac:dyDescent="0.2">
      <c r="J18" s="156"/>
      <c r="K18" s="141">
        <f>(K17-INT(K17))*(K36/K38)*24</f>
        <v>0</v>
      </c>
      <c r="L18" s="47" t="s">
        <v>33</v>
      </c>
      <c r="M18" s="9"/>
      <c r="O18" s="48"/>
      <c r="P18" s="9"/>
      <c r="Q18" s="9"/>
      <c r="R18" s="9"/>
      <c r="S18" s="9"/>
    </row>
    <row r="19" spans="10:19" ht="16" customHeight="1" x14ac:dyDescent="0.2">
      <c r="J19" s="157" t="s">
        <v>41</v>
      </c>
      <c r="K19" s="49">
        <f>INT(K18)</f>
        <v>0</v>
      </c>
      <c r="L19" s="37" t="s">
        <v>33</v>
      </c>
      <c r="M19" s="9"/>
      <c r="O19" s="48"/>
      <c r="P19" s="9"/>
      <c r="Q19" s="9"/>
      <c r="R19" s="9"/>
      <c r="S19" s="9"/>
    </row>
    <row r="20" spans="10:19" ht="16" customHeight="1" x14ac:dyDescent="0.2">
      <c r="J20" s="158"/>
      <c r="K20" s="142">
        <f>(K18-INT(K18))*60</f>
        <v>0</v>
      </c>
      <c r="L20" s="42" t="s">
        <v>43</v>
      </c>
      <c r="M20" s="9"/>
      <c r="O20" s="48"/>
      <c r="P20" s="9"/>
      <c r="Q20" s="9"/>
      <c r="R20" s="9"/>
      <c r="S20" s="9"/>
    </row>
    <row r="21" spans="10:19" ht="16" customHeight="1" x14ac:dyDescent="0.2">
      <c r="J21" s="143"/>
      <c r="K21" s="126">
        <f>(K19+K20/60)*15</f>
        <v>0</v>
      </c>
      <c r="L21" s="50" t="s">
        <v>45</v>
      </c>
      <c r="O21" s="48"/>
      <c r="P21" s="9"/>
      <c r="Q21" s="9"/>
      <c r="R21" s="9"/>
      <c r="S21" s="9"/>
    </row>
    <row r="22" spans="10:19" x14ac:dyDescent="0.2">
      <c r="J22" s="51" t="s">
        <v>47</v>
      </c>
      <c r="K22" s="92">
        <v>7.5</v>
      </c>
      <c r="L22" s="42" t="s">
        <v>45</v>
      </c>
      <c r="M22" s="9" t="s">
        <v>48</v>
      </c>
      <c r="N22" s="3" t="s">
        <v>48</v>
      </c>
      <c r="O22" s="48"/>
      <c r="P22" s="9"/>
      <c r="Q22" s="9"/>
      <c r="R22" s="9"/>
      <c r="S22" s="9"/>
    </row>
    <row r="23" spans="10:19" x14ac:dyDescent="0.2">
      <c r="J23" s="59"/>
      <c r="K23" s="59">
        <f>INT((K22/360)*24)</f>
        <v>0</v>
      </c>
      <c r="L23" s="47" t="s">
        <v>33</v>
      </c>
      <c r="O23" s="48"/>
      <c r="P23" s="9"/>
      <c r="Q23" s="9"/>
      <c r="R23" s="9"/>
      <c r="S23" s="9"/>
    </row>
    <row r="24" spans="10:19" x14ac:dyDescent="0.2">
      <c r="J24" s="59"/>
      <c r="K24" s="59">
        <f>(((K22/360)*24)-INT((K22/360)*24))*60</f>
        <v>30</v>
      </c>
      <c r="L24" s="47" t="s">
        <v>43</v>
      </c>
      <c r="O24" s="48"/>
      <c r="P24" s="9"/>
      <c r="Q24" s="9"/>
      <c r="R24" s="9"/>
      <c r="S24" s="9"/>
    </row>
    <row r="25" spans="10:19" x14ac:dyDescent="0.2">
      <c r="J25" s="52" t="s">
        <v>52</v>
      </c>
      <c r="K25" s="49">
        <f>MOD(K19+K23,24)+IF(K20+K24&gt;=60,1,IF(K20+K24&lt;0,-1,0))</f>
        <v>0</v>
      </c>
      <c r="L25" s="37" t="s">
        <v>33</v>
      </c>
      <c r="M25" s="9"/>
      <c r="O25" s="48"/>
      <c r="P25" s="9"/>
      <c r="Q25" s="9"/>
      <c r="R25" s="9"/>
      <c r="S25" s="9"/>
    </row>
    <row r="26" spans="10:19" x14ac:dyDescent="0.2">
      <c r="J26" s="53"/>
      <c r="K26" s="54">
        <f>MOD(K20+K24,60)</f>
        <v>30</v>
      </c>
      <c r="L26" s="42" t="s">
        <v>43</v>
      </c>
      <c r="M26" s="9"/>
      <c r="O26" s="48"/>
      <c r="P26" s="9"/>
      <c r="Q26" s="9"/>
      <c r="R26" s="9"/>
      <c r="S26" s="9"/>
    </row>
    <row r="27" spans="10:19" x14ac:dyDescent="0.2">
      <c r="J27" s="59"/>
      <c r="K27" s="124">
        <f>(K25+K26/60)*15</f>
        <v>7.5</v>
      </c>
      <c r="L27" s="55" t="s">
        <v>45</v>
      </c>
      <c r="N27" s="159" t="s">
        <v>18</v>
      </c>
      <c r="O27" s="160"/>
      <c r="P27" s="9"/>
      <c r="Q27" s="9"/>
      <c r="R27" s="9"/>
      <c r="S27" s="9"/>
    </row>
    <row r="28" spans="10:19" x14ac:dyDescent="0.2">
      <c r="J28" s="56" t="s">
        <v>57</v>
      </c>
      <c r="K28" s="93">
        <v>6</v>
      </c>
      <c r="L28" s="37" t="s">
        <v>33</v>
      </c>
      <c r="M28" s="57">
        <v>6</v>
      </c>
      <c r="N28" s="58">
        <f>VLOOKUP(N27,Data!$B$3:$E$48,2,FALSE)</f>
        <v>2</v>
      </c>
      <c r="O28" s="37" t="s">
        <v>33</v>
      </c>
      <c r="P28" s="9"/>
      <c r="Q28" s="9"/>
      <c r="R28" s="9"/>
      <c r="S28" s="9"/>
    </row>
    <row r="29" spans="10:19" x14ac:dyDescent="0.2">
      <c r="J29" s="59"/>
      <c r="K29" s="94">
        <v>46</v>
      </c>
      <c r="L29" s="42" t="s">
        <v>43</v>
      </c>
      <c r="M29" s="125">
        <v>46</v>
      </c>
      <c r="N29" s="60">
        <f>VLOOKUP(N27,Data!$B$3:$E$48,3,FALSE)</f>
        <v>42</v>
      </c>
      <c r="O29" s="42" t="s">
        <v>43</v>
      </c>
      <c r="P29" s="9"/>
      <c r="Q29" s="9"/>
      <c r="R29" s="9"/>
      <c r="S29" s="9"/>
    </row>
    <row r="30" spans="10:19" x14ac:dyDescent="0.2">
      <c r="J30" s="59" t="s">
        <v>60</v>
      </c>
      <c r="K30" s="124">
        <f>(K28+K29/60)*15</f>
        <v>101.5</v>
      </c>
      <c r="L30" s="61" t="s">
        <v>45</v>
      </c>
      <c r="M30" s="124">
        <f>(M28+M29/60)*15</f>
        <v>101.5</v>
      </c>
      <c r="N30" s="126">
        <f>(N28+N29/60)*15</f>
        <v>40.5</v>
      </c>
      <c r="O30" s="62" t="s">
        <v>45</v>
      </c>
      <c r="P30" s="9"/>
      <c r="Q30" s="9"/>
      <c r="R30" s="9"/>
      <c r="S30" s="9"/>
    </row>
    <row r="31" spans="10:19" x14ac:dyDescent="0.2">
      <c r="J31" s="56" t="s">
        <v>62</v>
      </c>
      <c r="K31" s="127">
        <f>MOD(360+K27-K30,360)</f>
        <v>266</v>
      </c>
      <c r="L31" s="63" t="s">
        <v>45</v>
      </c>
      <c r="M31" s="9"/>
      <c r="N31" s="127">
        <f>MOD(360+K27-N30,360)</f>
        <v>327</v>
      </c>
      <c r="O31" s="63" t="s">
        <v>45</v>
      </c>
      <c r="P31" s="9"/>
      <c r="Q31" s="9"/>
      <c r="R31" s="9"/>
      <c r="S31" s="9"/>
    </row>
    <row r="32" spans="10:19" x14ac:dyDescent="0.2">
      <c r="J32" s="53"/>
      <c r="K32" s="51">
        <f>INT(24*K31/360)</f>
        <v>17</v>
      </c>
      <c r="L32" s="42" t="s">
        <v>33</v>
      </c>
      <c r="N32" s="51">
        <f>INT(24*N31/360)</f>
        <v>21</v>
      </c>
      <c r="O32" s="42" t="s">
        <v>33</v>
      </c>
      <c r="P32" s="9"/>
      <c r="Q32" s="9"/>
      <c r="R32" s="9"/>
      <c r="S32" s="9"/>
    </row>
    <row r="33" spans="10:19" x14ac:dyDescent="0.2">
      <c r="J33" s="64"/>
      <c r="K33" s="65">
        <f>INT(((K31-(K32*15))/15)*60)</f>
        <v>44</v>
      </c>
      <c r="L33" s="44" t="s">
        <v>43</v>
      </c>
      <c r="N33" s="65">
        <f>INT(((N31-(N32*15))/15)*60)</f>
        <v>48</v>
      </c>
      <c r="O33" s="44" t="s">
        <v>43</v>
      </c>
      <c r="P33" s="9"/>
      <c r="Q33" s="9"/>
      <c r="R33" s="9"/>
      <c r="S33" s="9"/>
    </row>
    <row r="34" spans="10:19" x14ac:dyDescent="0.2">
      <c r="O34" s="9"/>
      <c r="P34" s="9"/>
      <c r="Q34" s="9"/>
      <c r="R34" s="9"/>
      <c r="S34" s="9"/>
    </row>
    <row r="35" spans="10:19" x14ac:dyDescent="0.2">
      <c r="O35" s="9"/>
      <c r="P35" s="9"/>
      <c r="Q35" s="9"/>
      <c r="R35" s="9"/>
      <c r="S35" s="9"/>
    </row>
    <row r="36" spans="10:19" x14ac:dyDescent="0.2">
      <c r="J36" s="6" t="s">
        <v>68</v>
      </c>
      <c r="K36" s="66">
        <v>365.24220000000003</v>
      </c>
      <c r="L36" s="37" t="s">
        <v>35</v>
      </c>
      <c r="M36" s="3" t="s">
        <v>69</v>
      </c>
      <c r="O36" s="9"/>
      <c r="P36" s="9"/>
      <c r="Q36" s="9"/>
      <c r="R36" s="9"/>
      <c r="S36" s="9"/>
    </row>
    <row r="37" spans="10:19" x14ac:dyDescent="0.2">
      <c r="J37" s="51" t="s">
        <v>71</v>
      </c>
      <c r="K37" s="38">
        <f>360+(360/K36)</f>
        <v>360.98564733209906</v>
      </c>
      <c r="L37" s="42" t="s">
        <v>31</v>
      </c>
      <c r="M37" s="3" t="s">
        <v>72</v>
      </c>
      <c r="N37" s="9"/>
      <c r="O37" s="9"/>
      <c r="P37" s="9"/>
      <c r="Q37" s="9"/>
      <c r="R37" s="9"/>
      <c r="S37" s="9"/>
    </row>
    <row r="38" spans="10:19" ht="16" customHeight="1" x14ac:dyDescent="0.2">
      <c r="J38" s="59" t="s">
        <v>68</v>
      </c>
      <c r="K38" s="3">
        <f>K36*K37/360</f>
        <v>366.24220000000003</v>
      </c>
      <c r="L38" s="47" t="s">
        <v>38</v>
      </c>
      <c r="N38" s="9"/>
      <c r="O38" s="9"/>
      <c r="P38" s="9"/>
      <c r="Q38" s="9"/>
      <c r="R38" s="9"/>
      <c r="S38" s="9"/>
    </row>
    <row r="39" spans="10:19" x14ac:dyDescent="0.2">
      <c r="J39" s="51" t="s">
        <v>75</v>
      </c>
      <c r="K39" s="31">
        <f>24*3600*360/K37</f>
        <v>86164.090538993056</v>
      </c>
      <c r="L39" s="42" t="s">
        <v>76</v>
      </c>
      <c r="M39" s="9" t="s">
        <v>77</v>
      </c>
      <c r="N39" s="67"/>
    </row>
    <row r="40" spans="10:19" ht="16" customHeight="1" x14ac:dyDescent="0.2">
      <c r="J40" s="6" t="s">
        <v>33</v>
      </c>
      <c r="K40" s="66">
        <f>INT(K39/3600)</f>
        <v>23</v>
      </c>
      <c r="L40" s="37"/>
      <c r="M40" s="161" t="s">
        <v>79</v>
      </c>
      <c r="N40" s="162"/>
      <c r="O40" s="162"/>
    </row>
    <row r="41" spans="10:19" x14ac:dyDescent="0.2">
      <c r="J41" s="51" t="s">
        <v>43</v>
      </c>
      <c r="K41" s="9">
        <f>INT((K39-K40*3600)/60)</f>
        <v>56</v>
      </c>
      <c r="L41" s="42"/>
      <c r="M41" s="161"/>
      <c r="N41" s="162"/>
      <c r="O41" s="162"/>
    </row>
    <row r="42" spans="10:19" x14ac:dyDescent="0.2">
      <c r="J42" s="65" t="s">
        <v>76</v>
      </c>
      <c r="K42" s="68">
        <f>K39-3600*K40-60*K41</f>
        <v>4.0905389930558158</v>
      </c>
      <c r="L42" s="44"/>
      <c r="M42" s="161"/>
      <c r="N42" s="162"/>
      <c r="O42" s="162"/>
    </row>
    <row r="44" spans="10:19" x14ac:dyDescent="0.2">
      <c r="J44" s="69" t="s">
        <v>84</v>
      </c>
      <c r="K44" s="70">
        <f>K21</f>
        <v>0</v>
      </c>
    </row>
    <row r="45" spans="10:19" x14ac:dyDescent="0.2">
      <c r="J45" s="6">
        <v>0</v>
      </c>
      <c r="K45" s="71">
        <f>$R$46*COS(RADIANS(90)-RADIANS(K44))</f>
        <v>2.45029690981724E-16</v>
      </c>
      <c r="Q45" s="121" t="s">
        <v>86</v>
      </c>
      <c r="R45" s="122"/>
    </row>
    <row r="46" spans="10:19" x14ac:dyDescent="0.2">
      <c r="J46" s="65">
        <v>0</v>
      </c>
      <c r="K46" s="72">
        <f>$R$46*SIN(RADIANS(90)-RADIANS(K44))</f>
        <v>4</v>
      </c>
      <c r="Q46" s="123" t="s">
        <v>88</v>
      </c>
      <c r="R46" s="95">
        <v>4</v>
      </c>
    </row>
    <row r="47" spans="10:19" x14ac:dyDescent="0.2">
      <c r="J47" s="69" t="s">
        <v>89</v>
      </c>
      <c r="K47" s="70">
        <f>K22</f>
        <v>7.5</v>
      </c>
    </row>
    <row r="48" spans="10:19" x14ac:dyDescent="0.2">
      <c r="J48" s="6">
        <v>0</v>
      </c>
      <c r="K48" s="71">
        <f>$R$46*COS(RADIANS(90)-RADIANS(K47))</f>
        <v>0.52210476888020685</v>
      </c>
    </row>
    <row r="49" spans="1:30" x14ac:dyDescent="0.2">
      <c r="J49" s="65">
        <v>0</v>
      </c>
      <c r="K49" s="72">
        <f>$R$46*SIN(RADIANS(90)-RADIANS(K47))</f>
        <v>3.9657794454952415</v>
      </c>
    </row>
    <row r="50" spans="1:30" x14ac:dyDescent="0.2">
      <c r="J50" s="69" t="s">
        <v>93</v>
      </c>
      <c r="K50" s="70">
        <f>K27</f>
        <v>7.5</v>
      </c>
      <c r="Q50" s="163" t="s">
        <v>94</v>
      </c>
      <c r="R50" s="164"/>
    </row>
    <row r="51" spans="1:30" x14ac:dyDescent="0.2">
      <c r="J51" s="6">
        <v>0</v>
      </c>
      <c r="K51" s="71">
        <f>$R$46*COS(RADIANS(90)-RADIANS(K50))</f>
        <v>0.52210476888020685</v>
      </c>
      <c r="Q51" s="102">
        <v>0</v>
      </c>
      <c r="R51" s="103">
        <f>R46*COS(0)</f>
        <v>4</v>
      </c>
    </row>
    <row r="52" spans="1:30" x14ac:dyDescent="0.2">
      <c r="J52" s="65">
        <v>0</v>
      </c>
      <c r="K52" s="72">
        <f>$R$46*SIN(RADIANS(90)-RADIANS(K50))</f>
        <v>3.9657794454952415</v>
      </c>
      <c r="Q52" s="102">
        <v>0</v>
      </c>
      <c r="R52" s="103">
        <f>R46*SIN(0)</f>
        <v>0</v>
      </c>
    </row>
    <row r="53" spans="1:30" x14ac:dyDescent="0.2">
      <c r="J53" s="69" t="s">
        <v>57</v>
      </c>
      <c r="K53" s="80">
        <f>K30</f>
        <v>101.5</v>
      </c>
      <c r="L53" s="69" t="s">
        <v>95</v>
      </c>
      <c r="N53" s="70">
        <f>K31</f>
        <v>266</v>
      </c>
      <c r="Q53" s="102">
        <v>0</v>
      </c>
      <c r="R53" s="104">
        <f>R46*COS(RADIANS(90))</f>
        <v>2.45029690981724E-16</v>
      </c>
    </row>
    <row r="54" spans="1:30" x14ac:dyDescent="0.2">
      <c r="J54" s="6">
        <v>0</v>
      </c>
      <c r="K54" s="71">
        <f>$R$46*COS(RADIANS(90)-RADIANS(K53))</f>
        <v>3.9196988184833184</v>
      </c>
      <c r="L54" s="6">
        <v>0</v>
      </c>
      <c r="N54" s="71">
        <f>$R$46*COS(RADIANS(90)-RADIANS(N53))</f>
        <v>-3.9902562010392968</v>
      </c>
      <c r="Q54" s="102">
        <v>0</v>
      </c>
      <c r="R54" s="103">
        <f>R46*SIN(RADIANS(90))</f>
        <v>4</v>
      </c>
    </row>
    <row r="55" spans="1:30" x14ac:dyDescent="0.2">
      <c r="J55" s="65">
        <v>0</v>
      </c>
      <c r="K55" s="72">
        <f>$R$46*SIN(RADIANS(90)-RADIANS(K53))</f>
        <v>-0.79747173766878854</v>
      </c>
      <c r="L55" s="65">
        <v>0</v>
      </c>
      <c r="N55" s="72">
        <f>$R$46*SIN(RADIANS(90)-RADIANS(N53))</f>
        <v>-0.2790258949765021</v>
      </c>
      <c r="Q55" s="102">
        <v>0</v>
      </c>
      <c r="R55" s="103">
        <f>R46*COS(RADIANS(180))</f>
        <v>-4</v>
      </c>
    </row>
    <row r="56" spans="1:30" x14ac:dyDescent="0.2">
      <c r="J56" s="69" t="str">
        <f>N27</f>
        <v>Spiral Cluster</v>
      </c>
      <c r="K56" s="81">
        <f>N30</f>
        <v>40.5</v>
      </c>
      <c r="L56" s="69" t="s">
        <v>95</v>
      </c>
      <c r="N56" s="70">
        <f>N31</f>
        <v>327</v>
      </c>
      <c r="Q56" s="102">
        <v>0</v>
      </c>
      <c r="R56" s="103">
        <f>R46*SIN(RADIANS(180))</f>
        <v>4.90059381963448E-16</v>
      </c>
    </row>
    <row r="57" spans="1:30" x14ac:dyDescent="0.2">
      <c r="J57" s="6">
        <v>0</v>
      </c>
      <c r="K57" s="71">
        <f>$R$46*COS(RADIANS(90)-RADIANS(K56))</f>
        <v>2.5977921933207346</v>
      </c>
      <c r="L57" s="6">
        <v>0</v>
      </c>
      <c r="N57" s="71">
        <f>$R$46*COS(RADIANS(90)-RADIANS(N56))</f>
        <v>-2.1785561400601079</v>
      </c>
      <c r="Q57" s="102">
        <v>0</v>
      </c>
      <c r="R57" s="103">
        <f>R46*COS(RADIANS(270))</f>
        <v>-7.3508907294517201E-16</v>
      </c>
    </row>
    <row r="58" spans="1:30" x14ac:dyDescent="0.2">
      <c r="J58" s="65">
        <v>0</v>
      </c>
      <c r="K58" s="72">
        <f>$R$46*SIN(RADIANS(90)-RADIANS(K56))</f>
        <v>3.0416238624001237</v>
      </c>
      <c r="L58" s="65">
        <v>0</v>
      </c>
      <c r="N58" s="72">
        <f>$R$46*SIN(RADIANS(90)-RADIANS(N56))</f>
        <v>3.3546822717816962</v>
      </c>
      <c r="Q58" s="105">
        <v>0</v>
      </c>
      <c r="R58" s="106">
        <f>R46*SIN(RADIANS(270))</f>
        <v>-4</v>
      </c>
    </row>
    <row r="63" spans="1:30" s="2" customFormat="1" x14ac:dyDescent="0.2">
      <c r="A63" s="82"/>
      <c r="B63" s="83"/>
      <c r="C63" s="83"/>
      <c r="D63" s="83"/>
      <c r="E63" s="83"/>
      <c r="F63" s="83"/>
      <c r="G63" s="83"/>
      <c r="H63" s="83"/>
      <c r="I63" s="83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4"/>
      <c r="Y63" s="82"/>
      <c r="Z63" s="82"/>
      <c r="AA63" s="82"/>
      <c r="AB63" s="82"/>
      <c r="AC63" s="82"/>
      <c r="AD63" s="82"/>
    </row>
    <row r="65" spans="2:11" x14ac:dyDescent="0.2">
      <c r="B65" s="85" t="s">
        <v>96</v>
      </c>
    </row>
    <row r="67" spans="2:11" x14ac:dyDescent="0.2">
      <c r="B67" s="107"/>
      <c r="C67" s="108"/>
      <c r="D67" s="109" t="s">
        <v>97</v>
      </c>
      <c r="K67" s="144"/>
    </row>
    <row r="68" spans="2:11" x14ac:dyDescent="0.2">
      <c r="B68" s="110" t="s">
        <v>98</v>
      </c>
      <c r="C68" s="111" t="s">
        <v>99</v>
      </c>
      <c r="D68" s="112" t="s">
        <v>100</v>
      </c>
    </row>
    <row r="69" spans="2:11" x14ac:dyDescent="0.2">
      <c r="B69" s="107">
        <v>0</v>
      </c>
      <c r="C69" s="113">
        <f t="shared" ref="C69:C132" si="0">$R$46*COS(RADIANS(B69))</f>
        <v>4</v>
      </c>
      <c r="D69" s="114">
        <f t="shared" ref="D69:D132" si="1">$R$46*SIN(RADIANS(B69))</f>
        <v>0</v>
      </c>
    </row>
    <row r="70" spans="2:11" x14ac:dyDescent="0.2">
      <c r="B70" s="115">
        <f>B69+5</f>
        <v>5</v>
      </c>
      <c r="C70" s="116">
        <f t="shared" si="0"/>
        <v>3.9847787923669822</v>
      </c>
      <c r="D70" s="117">
        <f t="shared" si="1"/>
        <v>0.34862297099063266</v>
      </c>
    </row>
    <row r="71" spans="2:11" x14ac:dyDescent="0.2">
      <c r="B71" s="115">
        <f t="shared" ref="B71:B134" si="2">B70+5</f>
        <v>10</v>
      </c>
      <c r="C71" s="116">
        <f t="shared" si="0"/>
        <v>3.9392310120488321</v>
      </c>
      <c r="D71" s="117">
        <f t="shared" si="1"/>
        <v>0.69459271066772132</v>
      </c>
    </row>
    <row r="72" spans="2:11" x14ac:dyDescent="0.2">
      <c r="B72" s="115">
        <f t="shared" si="2"/>
        <v>15</v>
      </c>
      <c r="C72" s="116">
        <f t="shared" si="0"/>
        <v>3.8637033051562732</v>
      </c>
      <c r="D72" s="117">
        <f t="shared" si="1"/>
        <v>1.035276180410083</v>
      </c>
    </row>
    <row r="73" spans="2:11" x14ac:dyDescent="0.2">
      <c r="B73" s="115">
        <f t="shared" si="2"/>
        <v>20</v>
      </c>
      <c r="C73" s="116">
        <f t="shared" si="0"/>
        <v>3.7587704831436337</v>
      </c>
      <c r="D73" s="117">
        <f t="shared" si="1"/>
        <v>1.3680805733026749</v>
      </c>
    </row>
    <row r="74" spans="2:11" x14ac:dyDescent="0.2">
      <c r="B74" s="115">
        <f t="shared" si="2"/>
        <v>25</v>
      </c>
      <c r="C74" s="116">
        <f t="shared" si="0"/>
        <v>3.6252311481465997</v>
      </c>
      <c r="D74" s="117">
        <f t="shared" si="1"/>
        <v>1.6904730469627978</v>
      </c>
    </row>
    <row r="75" spans="2:11" x14ac:dyDescent="0.2">
      <c r="B75" s="115">
        <f t="shared" si="2"/>
        <v>30</v>
      </c>
      <c r="C75" s="116">
        <f t="shared" si="0"/>
        <v>3.4641016151377548</v>
      </c>
      <c r="D75" s="117">
        <f t="shared" si="1"/>
        <v>1.9999999999999998</v>
      </c>
    </row>
    <row r="76" spans="2:11" x14ac:dyDescent="0.2">
      <c r="B76" s="115">
        <f t="shared" si="2"/>
        <v>35</v>
      </c>
      <c r="C76" s="116">
        <f t="shared" si="0"/>
        <v>3.2766081771559672</v>
      </c>
      <c r="D76" s="117">
        <f t="shared" si="1"/>
        <v>2.2943057454041842</v>
      </c>
    </row>
    <row r="77" spans="2:11" x14ac:dyDescent="0.2">
      <c r="B77" s="115">
        <f t="shared" si="2"/>
        <v>40</v>
      </c>
      <c r="C77" s="116">
        <f t="shared" si="0"/>
        <v>3.0641777724759121</v>
      </c>
      <c r="D77" s="117">
        <f t="shared" si="1"/>
        <v>2.571150438746157</v>
      </c>
    </row>
    <row r="78" spans="2:11" x14ac:dyDescent="0.2">
      <c r="B78" s="115">
        <f t="shared" si="2"/>
        <v>45</v>
      </c>
      <c r="C78" s="116">
        <f t="shared" si="0"/>
        <v>2.8284271247461903</v>
      </c>
      <c r="D78" s="117">
        <f t="shared" si="1"/>
        <v>2.8284271247461898</v>
      </c>
    </row>
    <row r="79" spans="2:11" x14ac:dyDescent="0.2">
      <c r="B79" s="115">
        <f t="shared" si="2"/>
        <v>50</v>
      </c>
      <c r="C79" s="116">
        <f t="shared" si="0"/>
        <v>2.5711504387461575</v>
      </c>
      <c r="D79" s="117">
        <f t="shared" si="1"/>
        <v>3.0641777724759121</v>
      </c>
    </row>
    <row r="80" spans="2:11" x14ac:dyDescent="0.2">
      <c r="B80" s="115">
        <f t="shared" si="2"/>
        <v>55</v>
      </c>
      <c r="C80" s="116">
        <f t="shared" si="0"/>
        <v>2.2943057454041846</v>
      </c>
      <c r="D80" s="117">
        <f t="shared" si="1"/>
        <v>3.2766081771559672</v>
      </c>
    </row>
    <row r="81" spans="2:4" x14ac:dyDescent="0.2">
      <c r="B81" s="115">
        <f t="shared" si="2"/>
        <v>60</v>
      </c>
      <c r="C81" s="116">
        <f t="shared" si="0"/>
        <v>2.0000000000000004</v>
      </c>
      <c r="D81" s="117">
        <f t="shared" si="1"/>
        <v>3.4641016151377544</v>
      </c>
    </row>
    <row r="82" spans="2:4" x14ac:dyDescent="0.2">
      <c r="B82" s="115">
        <f t="shared" si="2"/>
        <v>65</v>
      </c>
      <c r="C82" s="116">
        <f t="shared" si="0"/>
        <v>1.6904730469627978</v>
      </c>
      <c r="D82" s="117">
        <f t="shared" si="1"/>
        <v>3.6252311481465997</v>
      </c>
    </row>
    <row r="83" spans="2:4" x14ac:dyDescent="0.2">
      <c r="B83" s="115">
        <f t="shared" si="2"/>
        <v>70</v>
      </c>
      <c r="C83" s="116">
        <f t="shared" si="0"/>
        <v>1.3680805733026753</v>
      </c>
      <c r="D83" s="117">
        <f t="shared" si="1"/>
        <v>3.7587704831436333</v>
      </c>
    </row>
    <row r="84" spans="2:4" x14ac:dyDescent="0.2">
      <c r="B84" s="115">
        <f t="shared" si="2"/>
        <v>75</v>
      </c>
      <c r="C84" s="116">
        <f t="shared" si="0"/>
        <v>1.035276180410083</v>
      </c>
      <c r="D84" s="117">
        <f t="shared" si="1"/>
        <v>3.8637033051562732</v>
      </c>
    </row>
    <row r="85" spans="2:4" x14ac:dyDescent="0.2">
      <c r="B85" s="115">
        <f t="shared" si="2"/>
        <v>80</v>
      </c>
      <c r="C85" s="116">
        <f t="shared" si="0"/>
        <v>0.69459271066772166</v>
      </c>
      <c r="D85" s="117">
        <f t="shared" si="1"/>
        <v>3.9392310120488321</v>
      </c>
    </row>
    <row r="86" spans="2:4" x14ac:dyDescent="0.2">
      <c r="B86" s="115">
        <f t="shared" si="2"/>
        <v>85</v>
      </c>
      <c r="C86" s="116">
        <f t="shared" si="0"/>
        <v>0.34862297099063255</v>
      </c>
      <c r="D86" s="117">
        <f t="shared" si="1"/>
        <v>3.9847787923669822</v>
      </c>
    </row>
    <row r="87" spans="2:4" x14ac:dyDescent="0.2">
      <c r="B87" s="115">
        <f t="shared" si="2"/>
        <v>90</v>
      </c>
      <c r="C87" s="116">
        <f t="shared" si="0"/>
        <v>2.45029690981724E-16</v>
      </c>
      <c r="D87" s="117">
        <f t="shared" si="1"/>
        <v>4</v>
      </c>
    </row>
    <row r="88" spans="2:4" x14ac:dyDescent="0.2">
      <c r="B88" s="115">
        <f t="shared" si="2"/>
        <v>95</v>
      </c>
      <c r="C88" s="116">
        <f t="shared" si="0"/>
        <v>-0.34862297099063294</v>
      </c>
      <c r="D88" s="117">
        <f t="shared" si="1"/>
        <v>3.9847787923669822</v>
      </c>
    </row>
    <row r="89" spans="2:4" x14ac:dyDescent="0.2">
      <c r="B89" s="115">
        <f t="shared" si="2"/>
        <v>100</v>
      </c>
      <c r="C89" s="116">
        <f t="shared" si="0"/>
        <v>-0.69459271066772121</v>
      </c>
      <c r="D89" s="117">
        <f t="shared" si="1"/>
        <v>3.9392310120488321</v>
      </c>
    </row>
    <row r="90" spans="2:4" x14ac:dyDescent="0.2">
      <c r="B90" s="115">
        <f t="shared" si="2"/>
        <v>105</v>
      </c>
      <c r="C90" s="116">
        <f t="shared" si="0"/>
        <v>-1.0352761804100834</v>
      </c>
      <c r="D90" s="117">
        <f t="shared" si="1"/>
        <v>3.8637033051562732</v>
      </c>
    </row>
    <row r="91" spans="2:4" x14ac:dyDescent="0.2">
      <c r="B91" s="115">
        <f t="shared" si="2"/>
        <v>110</v>
      </c>
      <c r="C91" s="116">
        <f t="shared" si="0"/>
        <v>-1.3680805733026749</v>
      </c>
      <c r="D91" s="117">
        <f t="shared" si="1"/>
        <v>3.7587704831436337</v>
      </c>
    </row>
    <row r="92" spans="2:4" x14ac:dyDescent="0.2">
      <c r="B92" s="115">
        <f t="shared" si="2"/>
        <v>115</v>
      </c>
      <c r="C92" s="116">
        <f t="shared" si="0"/>
        <v>-1.6904730469627973</v>
      </c>
      <c r="D92" s="117">
        <f t="shared" si="1"/>
        <v>3.6252311481466002</v>
      </c>
    </row>
    <row r="93" spans="2:4" x14ac:dyDescent="0.2">
      <c r="B93" s="115">
        <f t="shared" si="2"/>
        <v>120</v>
      </c>
      <c r="C93" s="116">
        <f t="shared" si="0"/>
        <v>-1.9999999999999991</v>
      </c>
      <c r="D93" s="117">
        <f t="shared" si="1"/>
        <v>3.4641016151377548</v>
      </c>
    </row>
    <row r="94" spans="2:4" x14ac:dyDescent="0.2">
      <c r="B94" s="115">
        <f t="shared" si="2"/>
        <v>125</v>
      </c>
      <c r="C94" s="116">
        <f t="shared" si="0"/>
        <v>-2.2943057454041846</v>
      </c>
      <c r="D94" s="117">
        <f t="shared" si="1"/>
        <v>3.2766081771559668</v>
      </c>
    </row>
    <row r="95" spans="2:4" x14ac:dyDescent="0.2">
      <c r="B95" s="115">
        <f t="shared" si="2"/>
        <v>130</v>
      </c>
      <c r="C95" s="116">
        <f t="shared" si="0"/>
        <v>-2.5711504387461575</v>
      </c>
      <c r="D95" s="117">
        <f t="shared" si="1"/>
        <v>3.0641777724759121</v>
      </c>
    </row>
    <row r="96" spans="2:4" x14ac:dyDescent="0.2">
      <c r="B96" s="115">
        <f t="shared" si="2"/>
        <v>135</v>
      </c>
      <c r="C96" s="116">
        <f t="shared" si="0"/>
        <v>-2.8284271247461898</v>
      </c>
      <c r="D96" s="117">
        <f t="shared" si="1"/>
        <v>2.8284271247461903</v>
      </c>
    </row>
    <row r="97" spans="2:4" x14ac:dyDescent="0.2">
      <c r="B97" s="115">
        <f t="shared" si="2"/>
        <v>140</v>
      </c>
      <c r="C97" s="116">
        <f t="shared" si="0"/>
        <v>-3.0641777724759116</v>
      </c>
      <c r="D97" s="117">
        <f t="shared" si="1"/>
        <v>2.5711504387461579</v>
      </c>
    </row>
    <row r="98" spans="2:4" x14ac:dyDescent="0.2">
      <c r="B98" s="115">
        <f t="shared" si="2"/>
        <v>145</v>
      </c>
      <c r="C98" s="116">
        <f t="shared" si="0"/>
        <v>-3.2766081771559676</v>
      </c>
      <c r="D98" s="117">
        <f t="shared" si="1"/>
        <v>2.2943057454041837</v>
      </c>
    </row>
    <row r="99" spans="2:4" x14ac:dyDescent="0.2">
      <c r="B99" s="115">
        <f t="shared" si="2"/>
        <v>150</v>
      </c>
      <c r="C99" s="116">
        <f t="shared" si="0"/>
        <v>-3.4641016151377548</v>
      </c>
      <c r="D99" s="117">
        <f t="shared" si="1"/>
        <v>1.9999999999999998</v>
      </c>
    </row>
    <row r="100" spans="2:4" x14ac:dyDescent="0.2">
      <c r="B100" s="115">
        <f t="shared" si="2"/>
        <v>155</v>
      </c>
      <c r="C100" s="116">
        <f t="shared" si="0"/>
        <v>-3.6252311481465997</v>
      </c>
      <c r="D100" s="117">
        <f t="shared" si="1"/>
        <v>1.690473046962798</v>
      </c>
    </row>
    <row r="101" spans="2:4" x14ac:dyDescent="0.2">
      <c r="B101" s="115">
        <f t="shared" si="2"/>
        <v>160</v>
      </c>
      <c r="C101" s="116">
        <f t="shared" si="0"/>
        <v>-3.7587704831436333</v>
      </c>
      <c r="D101" s="117">
        <f t="shared" si="1"/>
        <v>1.3680805733026755</v>
      </c>
    </row>
    <row r="102" spans="2:4" x14ac:dyDescent="0.2">
      <c r="B102" s="115">
        <f t="shared" si="2"/>
        <v>165</v>
      </c>
      <c r="C102" s="116">
        <f t="shared" si="0"/>
        <v>-3.8637033051562728</v>
      </c>
      <c r="D102" s="117">
        <f t="shared" si="1"/>
        <v>1.0352761804100841</v>
      </c>
    </row>
    <row r="103" spans="2:4" x14ac:dyDescent="0.2">
      <c r="B103" s="115">
        <f t="shared" si="2"/>
        <v>170</v>
      </c>
      <c r="C103" s="116">
        <f t="shared" si="0"/>
        <v>-3.9392310120488321</v>
      </c>
      <c r="D103" s="117">
        <f t="shared" si="1"/>
        <v>0.6945927106677211</v>
      </c>
    </row>
    <row r="104" spans="2:4" x14ac:dyDescent="0.2">
      <c r="B104" s="115">
        <f t="shared" si="2"/>
        <v>175</v>
      </c>
      <c r="C104" s="116">
        <f t="shared" si="0"/>
        <v>-3.9847787923669822</v>
      </c>
      <c r="D104" s="117">
        <f t="shared" si="1"/>
        <v>0.34862297099063277</v>
      </c>
    </row>
    <row r="105" spans="2:4" x14ac:dyDescent="0.2">
      <c r="B105" s="115">
        <f t="shared" si="2"/>
        <v>180</v>
      </c>
      <c r="C105" s="116">
        <f t="shared" si="0"/>
        <v>-4</v>
      </c>
      <c r="D105" s="117">
        <f t="shared" si="1"/>
        <v>4.90059381963448E-16</v>
      </c>
    </row>
    <row r="106" spans="2:4" x14ac:dyDescent="0.2">
      <c r="B106" s="115">
        <f t="shared" si="2"/>
        <v>185</v>
      </c>
      <c r="C106" s="116">
        <f t="shared" si="0"/>
        <v>-3.9847787923669822</v>
      </c>
      <c r="D106" s="117">
        <f t="shared" si="1"/>
        <v>-0.34862297099063178</v>
      </c>
    </row>
    <row r="107" spans="2:4" x14ac:dyDescent="0.2">
      <c r="B107" s="115">
        <f>B106+5</f>
        <v>190</v>
      </c>
      <c r="C107" s="116">
        <f t="shared" si="0"/>
        <v>-3.9392310120488321</v>
      </c>
      <c r="D107" s="117">
        <f t="shared" si="1"/>
        <v>-0.69459271066772188</v>
      </c>
    </row>
    <row r="108" spans="2:4" x14ac:dyDescent="0.2">
      <c r="B108" s="115">
        <f t="shared" si="2"/>
        <v>195</v>
      </c>
      <c r="C108" s="116">
        <f t="shared" si="0"/>
        <v>-3.8637033051562732</v>
      </c>
      <c r="D108" s="117">
        <f t="shared" si="1"/>
        <v>-1.0352761804100832</v>
      </c>
    </row>
    <row r="109" spans="2:4" x14ac:dyDescent="0.2">
      <c r="B109" s="115">
        <f t="shared" si="2"/>
        <v>200</v>
      </c>
      <c r="C109" s="116">
        <f t="shared" si="0"/>
        <v>-3.7587704831436337</v>
      </c>
      <c r="D109" s="117">
        <f t="shared" si="1"/>
        <v>-1.3680805733026746</v>
      </c>
    </row>
    <row r="110" spans="2:4" x14ac:dyDescent="0.2">
      <c r="B110" s="115">
        <f t="shared" si="2"/>
        <v>205</v>
      </c>
      <c r="C110" s="116">
        <f t="shared" si="0"/>
        <v>-3.6252311481466002</v>
      </c>
      <c r="D110" s="117">
        <f t="shared" si="1"/>
        <v>-1.6904730469627971</v>
      </c>
    </row>
    <row r="111" spans="2:4" x14ac:dyDescent="0.2">
      <c r="B111" s="115">
        <f t="shared" si="2"/>
        <v>210</v>
      </c>
      <c r="C111" s="116">
        <f t="shared" si="0"/>
        <v>-3.4641016151377544</v>
      </c>
      <c r="D111" s="117">
        <f t="shared" si="1"/>
        <v>-2.0000000000000004</v>
      </c>
    </row>
    <row r="112" spans="2:4" x14ac:dyDescent="0.2">
      <c r="B112" s="115">
        <f t="shared" si="2"/>
        <v>215</v>
      </c>
      <c r="C112" s="116">
        <f t="shared" si="0"/>
        <v>-3.2766081771559672</v>
      </c>
      <c r="D112" s="117">
        <f t="shared" si="1"/>
        <v>-2.2943057454041846</v>
      </c>
    </row>
    <row r="113" spans="2:4" x14ac:dyDescent="0.2">
      <c r="B113" s="115">
        <f t="shared" si="2"/>
        <v>220</v>
      </c>
      <c r="C113" s="116">
        <f t="shared" si="0"/>
        <v>-3.0641777724759121</v>
      </c>
      <c r="D113" s="117">
        <f t="shared" si="1"/>
        <v>-2.571150438746157</v>
      </c>
    </row>
    <row r="114" spans="2:4" x14ac:dyDescent="0.2">
      <c r="B114" s="115">
        <f t="shared" si="2"/>
        <v>225</v>
      </c>
      <c r="C114" s="116">
        <f t="shared" si="0"/>
        <v>-2.8284271247461907</v>
      </c>
      <c r="D114" s="117">
        <f t="shared" si="1"/>
        <v>-2.8284271247461898</v>
      </c>
    </row>
    <row r="115" spans="2:4" x14ac:dyDescent="0.2">
      <c r="B115" s="115">
        <f t="shared" si="2"/>
        <v>230</v>
      </c>
      <c r="C115" s="116">
        <f t="shared" si="0"/>
        <v>-2.5711504387461579</v>
      </c>
      <c r="D115" s="117">
        <f t="shared" si="1"/>
        <v>-3.0641777724759116</v>
      </c>
    </row>
    <row r="116" spans="2:4" x14ac:dyDescent="0.2">
      <c r="B116" s="115">
        <f t="shared" si="2"/>
        <v>235</v>
      </c>
      <c r="C116" s="116">
        <f t="shared" si="0"/>
        <v>-2.2943057454041855</v>
      </c>
      <c r="D116" s="117">
        <f t="shared" si="1"/>
        <v>-3.2766081771559663</v>
      </c>
    </row>
    <row r="117" spans="2:4" x14ac:dyDescent="0.2">
      <c r="B117" s="115">
        <f t="shared" si="2"/>
        <v>240</v>
      </c>
      <c r="C117" s="116">
        <f t="shared" si="0"/>
        <v>-2.0000000000000018</v>
      </c>
      <c r="D117" s="117">
        <f t="shared" si="1"/>
        <v>-3.4641016151377535</v>
      </c>
    </row>
    <row r="118" spans="2:4" x14ac:dyDescent="0.2">
      <c r="B118" s="115">
        <f t="shared" si="2"/>
        <v>245</v>
      </c>
      <c r="C118" s="116">
        <f t="shared" si="0"/>
        <v>-1.6904730469627967</v>
      </c>
      <c r="D118" s="117">
        <f t="shared" si="1"/>
        <v>-3.6252311481466002</v>
      </c>
    </row>
    <row r="119" spans="2:4" x14ac:dyDescent="0.2">
      <c r="B119" s="115">
        <f t="shared" si="2"/>
        <v>250</v>
      </c>
      <c r="C119" s="116">
        <f t="shared" si="0"/>
        <v>-1.3680805733026742</v>
      </c>
      <c r="D119" s="117">
        <f t="shared" si="1"/>
        <v>-3.7587704831436337</v>
      </c>
    </row>
    <row r="120" spans="2:4" x14ac:dyDescent="0.2">
      <c r="B120" s="115">
        <f t="shared" si="2"/>
        <v>255</v>
      </c>
      <c r="C120" s="116">
        <f t="shared" si="0"/>
        <v>-1.0352761804100825</v>
      </c>
      <c r="D120" s="117">
        <f t="shared" si="1"/>
        <v>-3.8637033051562732</v>
      </c>
    </row>
    <row r="121" spans="2:4" x14ac:dyDescent="0.2">
      <c r="B121" s="115">
        <f t="shared" si="2"/>
        <v>260</v>
      </c>
      <c r="C121" s="116">
        <f t="shared" si="0"/>
        <v>-0.69459271066772132</v>
      </c>
      <c r="D121" s="117">
        <f t="shared" si="1"/>
        <v>-3.9392310120488321</v>
      </c>
    </row>
    <row r="122" spans="2:4" x14ac:dyDescent="0.2">
      <c r="B122" s="115">
        <f t="shared" si="2"/>
        <v>265</v>
      </c>
      <c r="C122" s="116">
        <f t="shared" si="0"/>
        <v>-0.348622970990633</v>
      </c>
      <c r="D122" s="117">
        <f t="shared" si="1"/>
        <v>-3.9847787923669822</v>
      </c>
    </row>
    <row r="123" spans="2:4" x14ac:dyDescent="0.2">
      <c r="B123" s="115">
        <f t="shared" si="2"/>
        <v>270</v>
      </c>
      <c r="C123" s="116">
        <f t="shared" si="0"/>
        <v>-7.3508907294517201E-16</v>
      </c>
      <c r="D123" s="117">
        <f t="shared" si="1"/>
        <v>-4</v>
      </c>
    </row>
    <row r="124" spans="2:4" x14ac:dyDescent="0.2">
      <c r="B124" s="115">
        <f t="shared" si="2"/>
        <v>275</v>
      </c>
      <c r="C124" s="116">
        <f t="shared" si="0"/>
        <v>0.34862297099063155</v>
      </c>
      <c r="D124" s="117">
        <f t="shared" si="1"/>
        <v>-3.9847787923669822</v>
      </c>
    </row>
    <row r="125" spans="2:4" x14ac:dyDescent="0.2">
      <c r="B125" s="115">
        <f t="shared" si="2"/>
        <v>280</v>
      </c>
      <c r="C125" s="116">
        <f t="shared" si="0"/>
        <v>0.69459271066771988</v>
      </c>
      <c r="D125" s="117">
        <f t="shared" si="1"/>
        <v>-3.9392310120488325</v>
      </c>
    </row>
    <row r="126" spans="2:4" x14ac:dyDescent="0.2">
      <c r="B126" s="115">
        <f t="shared" si="2"/>
        <v>285</v>
      </c>
      <c r="C126" s="116">
        <f t="shared" si="0"/>
        <v>1.0352761804100812</v>
      </c>
      <c r="D126" s="117">
        <f t="shared" si="1"/>
        <v>-3.8637033051562737</v>
      </c>
    </row>
    <row r="127" spans="2:4" x14ac:dyDescent="0.2">
      <c r="B127" s="115">
        <f t="shared" si="2"/>
        <v>290</v>
      </c>
      <c r="C127" s="116">
        <f t="shared" si="0"/>
        <v>1.368080573302676</v>
      </c>
      <c r="D127" s="117">
        <f t="shared" si="1"/>
        <v>-3.7587704831436333</v>
      </c>
    </row>
    <row r="128" spans="2:4" x14ac:dyDescent="0.2">
      <c r="B128" s="115">
        <f t="shared" si="2"/>
        <v>295</v>
      </c>
      <c r="C128" s="116">
        <f t="shared" si="0"/>
        <v>1.6904730469627984</v>
      </c>
      <c r="D128" s="117">
        <f t="shared" si="1"/>
        <v>-3.6252311481465997</v>
      </c>
    </row>
    <row r="129" spans="2:4" x14ac:dyDescent="0.2">
      <c r="B129" s="115">
        <f t="shared" si="2"/>
        <v>300</v>
      </c>
      <c r="C129" s="116">
        <f t="shared" si="0"/>
        <v>2.0000000000000004</v>
      </c>
      <c r="D129" s="117">
        <f t="shared" si="1"/>
        <v>-3.4641016151377544</v>
      </c>
    </row>
    <row r="130" spans="2:4" x14ac:dyDescent="0.2">
      <c r="B130" s="115">
        <f t="shared" si="2"/>
        <v>305</v>
      </c>
      <c r="C130" s="116">
        <f t="shared" si="0"/>
        <v>2.2943057454041842</v>
      </c>
      <c r="D130" s="117">
        <f t="shared" si="1"/>
        <v>-3.2766081771559672</v>
      </c>
    </row>
    <row r="131" spans="2:4" x14ac:dyDescent="0.2">
      <c r="B131" s="115">
        <f t="shared" si="2"/>
        <v>310</v>
      </c>
      <c r="C131" s="116">
        <f t="shared" si="0"/>
        <v>2.571150438746157</v>
      </c>
      <c r="D131" s="117">
        <f t="shared" si="1"/>
        <v>-3.0641777724759125</v>
      </c>
    </row>
    <row r="132" spans="2:4" x14ac:dyDescent="0.2">
      <c r="B132" s="115">
        <f t="shared" si="2"/>
        <v>315</v>
      </c>
      <c r="C132" s="116">
        <f t="shared" si="0"/>
        <v>2.8284271247461894</v>
      </c>
      <c r="D132" s="117">
        <f t="shared" si="1"/>
        <v>-2.8284271247461907</v>
      </c>
    </row>
    <row r="133" spans="2:4" x14ac:dyDescent="0.2">
      <c r="B133" s="115">
        <f t="shared" si="2"/>
        <v>320</v>
      </c>
      <c r="C133" s="116">
        <f t="shared" ref="C133:C141" si="3">$R$46*COS(RADIANS(B133))</f>
        <v>3.0641777724759112</v>
      </c>
      <c r="D133" s="117">
        <f t="shared" ref="D133:D141" si="4">$R$46*SIN(RADIANS(B133))</f>
        <v>-2.5711504387461583</v>
      </c>
    </row>
    <row r="134" spans="2:4" x14ac:dyDescent="0.2">
      <c r="B134" s="115">
        <f t="shared" si="2"/>
        <v>325</v>
      </c>
      <c r="C134" s="116">
        <f t="shared" si="3"/>
        <v>3.2766081771559663</v>
      </c>
      <c r="D134" s="117">
        <f t="shared" si="4"/>
        <v>-2.294305745404186</v>
      </c>
    </row>
    <row r="135" spans="2:4" x14ac:dyDescent="0.2">
      <c r="B135" s="115">
        <f t="shared" ref="B135:B141" si="5">B134+5</f>
        <v>330</v>
      </c>
      <c r="C135" s="116">
        <f t="shared" si="3"/>
        <v>3.4641016151377535</v>
      </c>
      <c r="D135" s="117">
        <f t="shared" si="4"/>
        <v>-2.0000000000000018</v>
      </c>
    </row>
    <row r="136" spans="2:4" x14ac:dyDescent="0.2">
      <c r="B136" s="115">
        <f t="shared" si="5"/>
        <v>335</v>
      </c>
      <c r="C136" s="116">
        <f t="shared" si="3"/>
        <v>3.6252311481466002</v>
      </c>
      <c r="D136" s="117">
        <f t="shared" si="4"/>
        <v>-1.6904730469627969</v>
      </c>
    </row>
    <row r="137" spans="2:4" x14ac:dyDescent="0.2">
      <c r="B137" s="115">
        <f t="shared" si="5"/>
        <v>340</v>
      </c>
      <c r="C137" s="116">
        <f t="shared" si="3"/>
        <v>3.7587704831436337</v>
      </c>
      <c r="D137" s="117">
        <f t="shared" si="4"/>
        <v>-1.3680805733026744</v>
      </c>
    </row>
    <row r="138" spans="2:4" x14ac:dyDescent="0.2">
      <c r="B138" s="115">
        <f t="shared" si="5"/>
        <v>345</v>
      </c>
      <c r="C138" s="116">
        <f t="shared" si="3"/>
        <v>3.8637033051562732</v>
      </c>
      <c r="D138" s="117">
        <f t="shared" si="4"/>
        <v>-1.0352761804100827</v>
      </c>
    </row>
    <row r="139" spans="2:4" x14ac:dyDescent="0.2">
      <c r="B139" s="115">
        <f t="shared" si="5"/>
        <v>350</v>
      </c>
      <c r="C139" s="116">
        <f t="shared" si="3"/>
        <v>3.9392310120488321</v>
      </c>
      <c r="D139" s="117">
        <f t="shared" si="4"/>
        <v>-0.69459271066772155</v>
      </c>
    </row>
    <row r="140" spans="2:4" x14ac:dyDescent="0.2">
      <c r="B140" s="115">
        <f t="shared" si="5"/>
        <v>355</v>
      </c>
      <c r="C140" s="116">
        <f t="shared" si="3"/>
        <v>3.9847787923669822</v>
      </c>
      <c r="D140" s="117">
        <f t="shared" si="4"/>
        <v>-0.34862297099063327</v>
      </c>
    </row>
    <row r="141" spans="2:4" x14ac:dyDescent="0.2">
      <c r="B141" s="118">
        <f t="shared" si="5"/>
        <v>360</v>
      </c>
      <c r="C141" s="119">
        <f t="shared" si="3"/>
        <v>4</v>
      </c>
      <c r="D141" s="120">
        <f t="shared" si="4"/>
        <v>-9.8011876392689601E-16</v>
      </c>
    </row>
  </sheetData>
  <mergeCells count="5">
    <mergeCell ref="J17:J18"/>
    <mergeCell ref="J19:J20"/>
    <mergeCell ref="N27:O27"/>
    <mergeCell ref="M40:O42"/>
    <mergeCell ref="Q50:R5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07ACF6-6D69-A748-A770-25AD2EAAF42B}">
          <x14:formula1>
            <xm:f>Data!$B$3:$B$48</xm:f>
          </x14:formula1>
          <xm:sqref>N27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050A8-9C97-934D-A6FD-3CABC44A1FE9}">
  <sheetPr codeName="Sheet2"/>
  <dimension ref="B2:H48"/>
  <sheetViews>
    <sheetView showGridLines="0" workbookViewId="0">
      <selection activeCell="L11" sqref="L11"/>
    </sheetView>
  </sheetViews>
  <sheetFormatPr baseColWidth="10" defaultRowHeight="16" x14ac:dyDescent="0.2"/>
  <cols>
    <col min="2" max="2" width="20.83203125" style="3" customWidth="1"/>
    <col min="3" max="8" width="13.33203125" style="3" customWidth="1"/>
  </cols>
  <sheetData>
    <row r="2" spans="2:8" x14ac:dyDescent="0.2">
      <c r="B2" s="96" t="s">
        <v>4</v>
      </c>
      <c r="C2" s="97" t="s">
        <v>5</v>
      </c>
      <c r="D2" s="98" t="s">
        <v>6</v>
      </c>
      <c r="E2" s="99" t="s">
        <v>7</v>
      </c>
      <c r="F2" s="100" t="s">
        <v>8</v>
      </c>
      <c r="G2" s="100" t="s">
        <v>9</v>
      </c>
      <c r="H2" s="101" t="s">
        <v>10</v>
      </c>
    </row>
    <row r="3" spans="2:8" x14ac:dyDescent="0.2">
      <c r="B3" s="13" t="s">
        <v>12</v>
      </c>
      <c r="C3" s="14">
        <v>0</v>
      </c>
      <c r="D3" s="15">
        <v>42</v>
      </c>
      <c r="E3" s="16">
        <v>41.095999999999997</v>
      </c>
      <c r="F3" s="5">
        <v>3.4</v>
      </c>
      <c r="G3" s="3">
        <v>2900</v>
      </c>
      <c r="H3" s="17">
        <f>1000*G3</f>
        <v>2900000</v>
      </c>
    </row>
    <row r="4" spans="2:8" x14ac:dyDescent="0.2">
      <c r="B4" s="21" t="s">
        <v>14</v>
      </c>
      <c r="C4" s="22">
        <v>1</v>
      </c>
      <c r="D4" s="23">
        <v>33</v>
      </c>
      <c r="E4" s="24">
        <v>30.234000000000002</v>
      </c>
      <c r="F4" s="5">
        <v>5.7</v>
      </c>
      <c r="G4" s="3">
        <v>3000</v>
      </c>
      <c r="H4" s="17">
        <f>1000*G4</f>
        <v>3000000</v>
      </c>
    </row>
    <row r="5" spans="2:8" x14ac:dyDescent="0.2">
      <c r="B5" s="21" t="s">
        <v>16</v>
      </c>
      <c r="C5" s="22">
        <v>1</v>
      </c>
      <c r="D5" s="23">
        <v>38</v>
      </c>
      <c r="E5" s="28">
        <v>-57.484000000000002</v>
      </c>
      <c r="F5" s="5">
        <v>0.46</v>
      </c>
      <c r="G5" s="3">
        <f>H5/1000</f>
        <v>6.9000000000000006E-2</v>
      </c>
      <c r="H5" s="17">
        <v>69</v>
      </c>
    </row>
    <row r="6" spans="2:8" x14ac:dyDescent="0.2">
      <c r="B6" s="21" t="s">
        <v>18</v>
      </c>
      <c r="C6" s="22">
        <v>2</v>
      </c>
      <c r="D6" s="23">
        <v>42</v>
      </c>
      <c r="E6" s="24">
        <v>42.281999999999996</v>
      </c>
      <c r="F6" s="5">
        <v>5.5</v>
      </c>
      <c r="G6" s="3">
        <v>1.4</v>
      </c>
      <c r="H6" s="17">
        <f>1000*G6</f>
        <v>1400</v>
      </c>
    </row>
    <row r="7" spans="2:8" x14ac:dyDescent="0.2">
      <c r="B7" s="21" t="s">
        <v>20</v>
      </c>
      <c r="C7" s="22">
        <v>3</v>
      </c>
      <c r="D7" s="23">
        <v>47</v>
      </c>
      <c r="E7" s="24">
        <v>24.035999999999998</v>
      </c>
      <c r="F7" s="5">
        <v>1.6</v>
      </c>
      <c r="G7" s="3">
        <v>0.38</v>
      </c>
      <c r="H7" s="17">
        <f>1000*G7</f>
        <v>380</v>
      </c>
    </row>
    <row r="8" spans="2:8" x14ac:dyDescent="0.2">
      <c r="B8" s="21" t="s">
        <v>22</v>
      </c>
      <c r="C8" s="22">
        <v>4</v>
      </c>
      <c r="D8" s="23">
        <v>36</v>
      </c>
      <c r="E8" s="28">
        <v>16.18</v>
      </c>
      <c r="F8" s="33">
        <v>0.85</v>
      </c>
      <c r="G8" s="3">
        <f>H8/1000</f>
        <v>0.06</v>
      </c>
      <c r="H8" s="17">
        <v>60</v>
      </c>
    </row>
    <row r="9" spans="2:8" x14ac:dyDescent="0.2">
      <c r="B9" s="21" t="s">
        <v>24</v>
      </c>
      <c r="C9" s="22">
        <v>5</v>
      </c>
      <c r="D9" s="23">
        <v>15</v>
      </c>
      <c r="E9" s="28">
        <v>-8.4719999999999995</v>
      </c>
      <c r="F9" s="5">
        <v>0.12</v>
      </c>
      <c r="G9" s="3">
        <f>H9/1000</f>
        <v>0.77300000000000002</v>
      </c>
      <c r="H9" s="17">
        <v>773</v>
      </c>
    </row>
    <row r="10" spans="2:8" x14ac:dyDescent="0.2">
      <c r="B10" s="21" t="s">
        <v>26</v>
      </c>
      <c r="C10" s="22">
        <v>5</v>
      </c>
      <c r="D10" s="23">
        <v>35</v>
      </c>
      <c r="E10" s="24">
        <v>-5.5619999999999994</v>
      </c>
      <c r="F10" s="5">
        <v>4</v>
      </c>
      <c r="G10" s="3">
        <v>1.6</v>
      </c>
      <c r="H10" s="17">
        <f>1000*G10</f>
        <v>1600</v>
      </c>
    </row>
    <row r="11" spans="2:8" x14ac:dyDescent="0.2">
      <c r="B11" s="21" t="s">
        <v>28</v>
      </c>
      <c r="C11" s="22">
        <v>5</v>
      </c>
      <c r="D11" s="23">
        <v>17</v>
      </c>
      <c r="E11" s="28">
        <v>45.353999999999999</v>
      </c>
      <c r="F11" s="5">
        <v>0.08</v>
      </c>
      <c r="G11" s="3">
        <f>H11/1000</f>
        <v>4.1000000000000002E-2</v>
      </c>
      <c r="H11" s="17">
        <v>41</v>
      </c>
    </row>
    <row r="12" spans="2:8" x14ac:dyDescent="0.2">
      <c r="B12" s="21" t="s">
        <v>29</v>
      </c>
      <c r="C12" s="22">
        <v>5</v>
      </c>
      <c r="D12" s="23">
        <v>55</v>
      </c>
      <c r="E12" s="28">
        <v>7.1440000000000001</v>
      </c>
      <c r="F12" s="33">
        <v>0.5</v>
      </c>
      <c r="G12" s="3">
        <f>H12/1000</f>
        <v>0.64300000000000002</v>
      </c>
      <c r="H12" s="17">
        <v>643</v>
      </c>
    </row>
    <row r="13" spans="2:8" x14ac:dyDescent="0.2">
      <c r="B13" s="21" t="s">
        <v>32</v>
      </c>
      <c r="C13" s="22">
        <v>6</v>
      </c>
      <c r="D13" s="23">
        <v>45</v>
      </c>
      <c r="E13" s="28">
        <v>-16.652000000000001</v>
      </c>
      <c r="F13" s="5">
        <v>-1.46</v>
      </c>
      <c r="G13" s="3">
        <f>H13/1000</f>
        <v>8.6E-3</v>
      </c>
      <c r="H13" s="17">
        <v>8.6</v>
      </c>
    </row>
    <row r="14" spans="2:8" x14ac:dyDescent="0.2">
      <c r="B14" s="21" t="s">
        <v>34</v>
      </c>
      <c r="C14" s="22">
        <v>6</v>
      </c>
      <c r="D14" s="23">
        <v>46</v>
      </c>
      <c r="E14" s="24">
        <v>-20.664000000000001</v>
      </c>
      <c r="F14" s="5">
        <v>4.5999999999999996</v>
      </c>
      <c r="G14" s="3">
        <v>2.2999999999999998</v>
      </c>
      <c r="H14" s="17">
        <f>1000*G14</f>
        <v>2300</v>
      </c>
    </row>
    <row r="15" spans="2:8" x14ac:dyDescent="0.2">
      <c r="B15" s="21" t="s">
        <v>36</v>
      </c>
      <c r="C15" s="22">
        <v>6</v>
      </c>
      <c r="D15" s="23">
        <v>8</v>
      </c>
      <c r="E15" s="24">
        <v>24.12</v>
      </c>
      <c r="F15" s="5">
        <v>5.3</v>
      </c>
      <c r="G15" s="3">
        <v>2.8</v>
      </c>
      <c r="H15" s="17">
        <f>1000*G15</f>
        <v>2800</v>
      </c>
    </row>
    <row r="16" spans="2:8" x14ac:dyDescent="0.2">
      <c r="B16" s="21" t="s">
        <v>39</v>
      </c>
      <c r="C16" s="22">
        <v>6</v>
      </c>
      <c r="D16" s="23">
        <v>24</v>
      </c>
      <c r="E16" s="28">
        <v>-52.646000000000001</v>
      </c>
      <c r="F16" s="5">
        <v>-0.72</v>
      </c>
      <c r="G16" s="3">
        <f>H16/1000</f>
        <v>7.3999999999999996E-2</v>
      </c>
      <c r="H16" s="17">
        <v>74</v>
      </c>
    </row>
    <row r="17" spans="2:8" x14ac:dyDescent="0.2">
      <c r="B17" s="21" t="s">
        <v>40</v>
      </c>
      <c r="C17" s="22">
        <v>6</v>
      </c>
      <c r="D17" s="23">
        <v>59</v>
      </c>
      <c r="E17" s="28">
        <v>-28.747999999999998</v>
      </c>
      <c r="F17" s="5">
        <v>1.5</v>
      </c>
      <c r="G17" s="3">
        <f>H17/1000</f>
        <v>0.56999999999999995</v>
      </c>
      <c r="H17" s="17">
        <v>570</v>
      </c>
    </row>
    <row r="18" spans="2:8" x14ac:dyDescent="0.2">
      <c r="B18" s="21" t="s">
        <v>42</v>
      </c>
      <c r="C18" s="22">
        <v>7</v>
      </c>
      <c r="D18" s="23">
        <v>39</v>
      </c>
      <c r="E18" s="28">
        <v>5.0780000000000003</v>
      </c>
      <c r="F18" s="5">
        <v>0.38</v>
      </c>
      <c r="G18" s="3">
        <f>H18/1000</f>
        <v>1.14E-2</v>
      </c>
      <c r="H18" s="17">
        <v>11.4</v>
      </c>
    </row>
    <row r="19" spans="2:8" x14ac:dyDescent="0.2">
      <c r="B19" s="21" t="s">
        <v>44</v>
      </c>
      <c r="C19" s="22">
        <v>7</v>
      </c>
      <c r="D19" s="23">
        <v>45</v>
      </c>
      <c r="E19" s="28">
        <v>28.006</v>
      </c>
      <c r="F19" s="5">
        <v>1.1399999999999999</v>
      </c>
      <c r="G19" s="3">
        <f>H19/1000</f>
        <v>0.04</v>
      </c>
      <c r="H19" s="17">
        <v>40</v>
      </c>
    </row>
    <row r="20" spans="2:8" x14ac:dyDescent="0.2">
      <c r="B20" s="21" t="s">
        <v>46</v>
      </c>
      <c r="C20" s="22">
        <v>7</v>
      </c>
      <c r="D20" s="23">
        <v>36</v>
      </c>
      <c r="E20" s="24">
        <v>-14.58</v>
      </c>
      <c r="F20" s="5">
        <v>5.2</v>
      </c>
      <c r="G20" s="3">
        <v>1.6</v>
      </c>
      <c r="H20" s="17">
        <f>1000*G20</f>
        <v>1600</v>
      </c>
    </row>
    <row r="21" spans="2:8" x14ac:dyDescent="0.2">
      <c r="B21" s="21" t="s">
        <v>49</v>
      </c>
      <c r="C21" s="22">
        <v>7</v>
      </c>
      <c r="D21" s="23">
        <v>41</v>
      </c>
      <c r="E21" s="24">
        <v>-14.694000000000001</v>
      </c>
      <c r="F21" s="5">
        <v>6</v>
      </c>
      <c r="G21" s="3">
        <v>5.4</v>
      </c>
      <c r="H21" s="17">
        <f>1000*G21</f>
        <v>5400</v>
      </c>
    </row>
    <row r="22" spans="2:8" x14ac:dyDescent="0.2">
      <c r="B22" s="21" t="s">
        <v>50</v>
      </c>
      <c r="C22" s="22">
        <v>7</v>
      </c>
      <c r="D22" s="23">
        <v>35</v>
      </c>
      <c r="E22" s="28">
        <v>31.318000000000001</v>
      </c>
      <c r="F22" s="5">
        <v>1.57</v>
      </c>
      <c r="G22" s="3">
        <f>H22/1000</f>
        <v>4.9000000000000002E-2</v>
      </c>
      <c r="H22" s="17">
        <v>49</v>
      </c>
    </row>
    <row r="23" spans="2:8" x14ac:dyDescent="0.2">
      <c r="B23" s="21" t="s">
        <v>51</v>
      </c>
      <c r="C23" s="22">
        <v>7</v>
      </c>
      <c r="D23" s="23">
        <v>44</v>
      </c>
      <c r="E23" s="24">
        <v>-23.712</v>
      </c>
      <c r="F23" s="5">
        <v>6</v>
      </c>
      <c r="G23" s="3">
        <v>3.6</v>
      </c>
      <c r="H23" s="17">
        <f>1000*G23</f>
        <v>3600</v>
      </c>
    </row>
    <row r="24" spans="2:8" x14ac:dyDescent="0.2">
      <c r="B24" s="21" t="s">
        <v>53</v>
      </c>
      <c r="C24" s="22">
        <v>8</v>
      </c>
      <c r="D24" s="23">
        <v>13</v>
      </c>
      <c r="E24" s="24">
        <v>-5.6880000000000006</v>
      </c>
      <c r="F24" s="5">
        <v>5.5</v>
      </c>
      <c r="G24" s="3">
        <v>1.5</v>
      </c>
      <c r="H24" s="17">
        <f>1000*G24</f>
        <v>1500</v>
      </c>
    </row>
    <row r="25" spans="2:8" x14ac:dyDescent="0.2">
      <c r="B25" s="21" t="s">
        <v>54</v>
      </c>
      <c r="C25" s="22">
        <v>8</v>
      </c>
      <c r="D25" s="23">
        <v>40</v>
      </c>
      <c r="E25" s="24">
        <v>19.353999999999999</v>
      </c>
      <c r="F25" s="5">
        <v>3.7</v>
      </c>
      <c r="G25" s="3">
        <v>0.57699999999999996</v>
      </c>
      <c r="H25" s="17">
        <f>1000*G25</f>
        <v>577</v>
      </c>
    </row>
    <row r="26" spans="2:8" x14ac:dyDescent="0.2">
      <c r="B26" s="21" t="s">
        <v>56</v>
      </c>
      <c r="C26" s="22">
        <v>10</v>
      </c>
      <c r="D26" s="23">
        <v>8</v>
      </c>
      <c r="E26" s="28">
        <v>11.348000000000001</v>
      </c>
      <c r="F26" s="5">
        <v>1.35</v>
      </c>
      <c r="G26" s="3">
        <f t="shared" ref="G26:G33" si="0">H26/1000</f>
        <v>6.9000000000000006E-2</v>
      </c>
      <c r="H26" s="17">
        <v>69</v>
      </c>
    </row>
    <row r="27" spans="2:8" x14ac:dyDescent="0.2">
      <c r="B27" s="21" t="s">
        <v>58</v>
      </c>
      <c r="C27" s="22">
        <v>12</v>
      </c>
      <c r="D27" s="23">
        <v>31</v>
      </c>
      <c r="E27" s="28">
        <v>-57.436</v>
      </c>
      <c r="F27" s="33">
        <v>1.63</v>
      </c>
      <c r="G27" s="3">
        <f t="shared" si="0"/>
        <v>0.12</v>
      </c>
      <c r="H27" s="17">
        <v>120</v>
      </c>
    </row>
    <row r="28" spans="2:8" x14ac:dyDescent="0.2">
      <c r="B28" s="21" t="s">
        <v>59</v>
      </c>
      <c r="C28" s="22">
        <v>12</v>
      </c>
      <c r="D28" s="23">
        <v>48</v>
      </c>
      <c r="E28" s="28">
        <v>-59.646000000000001</v>
      </c>
      <c r="F28" s="33">
        <v>1.25</v>
      </c>
      <c r="G28" s="3">
        <f t="shared" si="0"/>
        <v>0.46</v>
      </c>
      <c r="H28" s="17">
        <v>460</v>
      </c>
    </row>
    <row r="29" spans="2:8" x14ac:dyDescent="0.2">
      <c r="B29" s="21" t="s">
        <v>61</v>
      </c>
      <c r="C29" s="22">
        <v>12</v>
      </c>
      <c r="D29" s="23">
        <v>27</v>
      </c>
      <c r="E29" s="28">
        <v>-63.43</v>
      </c>
      <c r="F29" s="5">
        <v>0.76</v>
      </c>
      <c r="G29" s="3">
        <f t="shared" si="0"/>
        <v>0.51</v>
      </c>
      <c r="H29" s="17">
        <v>510</v>
      </c>
    </row>
    <row r="30" spans="2:8" x14ac:dyDescent="0.2">
      <c r="B30" s="21" t="s">
        <v>63</v>
      </c>
      <c r="C30" s="22">
        <v>13</v>
      </c>
      <c r="D30" s="23">
        <v>25</v>
      </c>
      <c r="E30" s="28">
        <v>-11.454000000000001</v>
      </c>
      <c r="F30" s="33">
        <v>0.98</v>
      </c>
      <c r="G30" s="3">
        <f t="shared" si="0"/>
        <v>0.22</v>
      </c>
      <c r="H30" s="17">
        <v>220</v>
      </c>
    </row>
    <row r="31" spans="2:8" x14ac:dyDescent="0.2">
      <c r="B31" s="21" t="s">
        <v>64</v>
      </c>
      <c r="C31" s="22">
        <v>14</v>
      </c>
      <c r="D31" s="23">
        <v>40</v>
      </c>
      <c r="E31" s="28">
        <v>-60.7</v>
      </c>
      <c r="F31" s="5">
        <v>-0.27</v>
      </c>
      <c r="G31" s="3">
        <f t="shared" si="0"/>
        <v>4.3E-3</v>
      </c>
      <c r="H31" s="17">
        <v>4.3</v>
      </c>
    </row>
    <row r="32" spans="2:8" x14ac:dyDescent="0.2">
      <c r="B32" s="21" t="s">
        <v>65</v>
      </c>
      <c r="C32" s="22">
        <v>14</v>
      </c>
      <c r="D32" s="23">
        <v>4</v>
      </c>
      <c r="E32" s="28">
        <v>-60.531999999999996</v>
      </c>
      <c r="F32" s="33">
        <v>0.61</v>
      </c>
      <c r="G32" s="3">
        <f t="shared" si="0"/>
        <v>0.32</v>
      </c>
      <c r="H32" s="17">
        <v>320</v>
      </c>
    </row>
    <row r="33" spans="2:8" x14ac:dyDescent="0.2">
      <c r="B33" s="21" t="s">
        <v>66</v>
      </c>
      <c r="C33" s="22">
        <v>14</v>
      </c>
      <c r="D33" s="23">
        <v>16</v>
      </c>
      <c r="E33" s="28">
        <v>19.060000000000002</v>
      </c>
      <c r="F33" s="5">
        <v>-0.04</v>
      </c>
      <c r="G33" s="3">
        <f t="shared" si="0"/>
        <v>3.4000000000000002E-2</v>
      </c>
      <c r="H33" s="17">
        <v>34</v>
      </c>
    </row>
    <row r="34" spans="2:8" x14ac:dyDescent="0.2">
      <c r="B34" s="21" t="s">
        <v>67</v>
      </c>
      <c r="C34" s="22">
        <v>15</v>
      </c>
      <c r="D34" s="23">
        <v>18</v>
      </c>
      <c r="E34" s="24">
        <v>2.0299999999999998</v>
      </c>
      <c r="F34" s="5">
        <v>5.6</v>
      </c>
      <c r="G34" s="3">
        <v>24.5</v>
      </c>
      <c r="H34" s="17">
        <f>1000*G34</f>
        <v>24500</v>
      </c>
    </row>
    <row r="35" spans="2:8" x14ac:dyDescent="0.2">
      <c r="B35" s="21" t="s">
        <v>70</v>
      </c>
      <c r="C35" s="22">
        <v>16</v>
      </c>
      <c r="D35" s="23">
        <v>23</v>
      </c>
      <c r="E35" s="24">
        <v>-26.591999999999999</v>
      </c>
      <c r="F35" s="5">
        <v>5.6</v>
      </c>
      <c r="G35" s="3">
        <v>7.2</v>
      </c>
      <c r="H35" s="17">
        <f>1000*G35</f>
        <v>7200</v>
      </c>
    </row>
    <row r="36" spans="2:8" x14ac:dyDescent="0.2">
      <c r="B36" s="21" t="s">
        <v>73</v>
      </c>
      <c r="C36" s="22">
        <v>16</v>
      </c>
      <c r="D36" s="23">
        <v>41</v>
      </c>
      <c r="E36" s="24">
        <v>36.167999999999999</v>
      </c>
      <c r="F36" s="5">
        <v>5.8</v>
      </c>
      <c r="G36" s="3">
        <v>25.1</v>
      </c>
      <c r="H36" s="17">
        <f>1000*G36</f>
        <v>25100</v>
      </c>
    </row>
    <row r="37" spans="2:8" x14ac:dyDescent="0.2">
      <c r="B37" s="21" t="s">
        <v>74</v>
      </c>
      <c r="C37" s="22">
        <v>16</v>
      </c>
      <c r="D37" s="23">
        <v>29</v>
      </c>
      <c r="E37" s="28">
        <v>-26.55</v>
      </c>
      <c r="F37" s="33">
        <v>0.96</v>
      </c>
      <c r="G37" s="3">
        <f>H37/1000</f>
        <v>0.6</v>
      </c>
      <c r="H37" s="17">
        <v>600</v>
      </c>
    </row>
    <row r="38" spans="2:8" x14ac:dyDescent="0.2">
      <c r="B38" s="21" t="s">
        <v>78</v>
      </c>
      <c r="C38" s="22">
        <v>17</v>
      </c>
      <c r="D38" s="23">
        <v>34</v>
      </c>
      <c r="E38" s="28">
        <v>-37.436</v>
      </c>
      <c r="F38" s="33">
        <v>1.63</v>
      </c>
      <c r="G38" s="3">
        <f>H38/1000</f>
        <v>0.33</v>
      </c>
      <c r="H38" s="17">
        <v>330</v>
      </c>
    </row>
    <row r="39" spans="2:8" x14ac:dyDescent="0.2">
      <c r="B39" s="21" t="s">
        <v>80</v>
      </c>
      <c r="C39" s="22">
        <v>17</v>
      </c>
      <c r="D39" s="23">
        <v>53</v>
      </c>
      <c r="E39" s="24">
        <v>-34.694000000000003</v>
      </c>
      <c r="F39" s="5">
        <v>4.0999999999999996</v>
      </c>
      <c r="G39" s="3">
        <v>0.8</v>
      </c>
      <c r="H39" s="17">
        <f>1000*G39</f>
        <v>800</v>
      </c>
    </row>
    <row r="40" spans="2:8" x14ac:dyDescent="0.2">
      <c r="B40" s="21" t="s">
        <v>81</v>
      </c>
      <c r="C40" s="22">
        <v>17</v>
      </c>
      <c r="D40" s="23">
        <v>40</v>
      </c>
      <c r="E40" s="24">
        <v>-32.478000000000002</v>
      </c>
      <c r="F40" s="5">
        <v>4.2</v>
      </c>
      <c r="G40" s="3">
        <v>1.6</v>
      </c>
      <c r="H40" s="17">
        <f>1000*G40</f>
        <v>1600</v>
      </c>
    </row>
    <row r="41" spans="2:8" x14ac:dyDescent="0.2">
      <c r="B41" s="21" t="s">
        <v>82</v>
      </c>
      <c r="C41" s="22">
        <v>18</v>
      </c>
      <c r="D41" s="23">
        <v>37</v>
      </c>
      <c r="E41" s="28">
        <v>38.281999999999996</v>
      </c>
      <c r="F41" s="5">
        <v>0.03</v>
      </c>
      <c r="G41" s="3">
        <f>H41/1000</f>
        <v>2.5000000000000001E-2</v>
      </c>
      <c r="H41" s="17">
        <v>25</v>
      </c>
    </row>
    <row r="42" spans="2:8" x14ac:dyDescent="0.2">
      <c r="B42" s="21" t="s">
        <v>83</v>
      </c>
      <c r="C42" s="22">
        <v>18</v>
      </c>
      <c r="D42" s="23">
        <v>36</v>
      </c>
      <c r="E42" s="24">
        <v>-23.724</v>
      </c>
      <c r="F42" s="5">
        <v>5.0999999999999996</v>
      </c>
      <c r="G42" s="3">
        <v>10.4</v>
      </c>
      <c r="H42" s="17">
        <f>1000*G42</f>
        <v>10400</v>
      </c>
    </row>
    <row r="43" spans="2:8" x14ac:dyDescent="0.2">
      <c r="B43" s="21" t="s">
        <v>85</v>
      </c>
      <c r="C43" s="22">
        <v>18</v>
      </c>
      <c r="D43" s="23">
        <v>3</v>
      </c>
      <c r="E43" s="24">
        <v>-24.538</v>
      </c>
      <c r="F43" s="5">
        <v>6</v>
      </c>
      <c r="G43" s="3">
        <v>5.2</v>
      </c>
      <c r="H43" s="17">
        <f>1000*G43</f>
        <v>5200</v>
      </c>
    </row>
    <row r="44" spans="2:8" x14ac:dyDescent="0.2">
      <c r="B44" s="21" t="s">
        <v>87</v>
      </c>
      <c r="C44" s="22">
        <v>18</v>
      </c>
      <c r="D44" s="23">
        <v>16</v>
      </c>
      <c r="E44" s="24">
        <v>-18.573999999999998</v>
      </c>
      <c r="F44" s="5">
        <v>4.5999999999999996</v>
      </c>
      <c r="G44" s="3">
        <v>10</v>
      </c>
      <c r="H44" s="17">
        <f>1000*G44</f>
        <v>10000</v>
      </c>
    </row>
    <row r="45" spans="2:8" x14ac:dyDescent="0.2">
      <c r="B45" s="21" t="s">
        <v>55</v>
      </c>
      <c r="C45" s="22">
        <v>19</v>
      </c>
      <c r="D45" s="23">
        <v>51</v>
      </c>
      <c r="E45" s="28">
        <v>8.3119999999999994</v>
      </c>
      <c r="F45" s="5">
        <v>0.77</v>
      </c>
      <c r="G45" s="3">
        <f>H45/1000</f>
        <v>1.6E-2</v>
      </c>
      <c r="H45" s="17">
        <v>16</v>
      </c>
    </row>
    <row r="46" spans="2:8" x14ac:dyDescent="0.2">
      <c r="B46" s="21" t="s">
        <v>90</v>
      </c>
      <c r="C46" s="22">
        <v>20</v>
      </c>
      <c r="D46" s="23">
        <v>41</v>
      </c>
      <c r="E46" s="28">
        <v>45.095999999999997</v>
      </c>
      <c r="F46" s="5">
        <v>1.25</v>
      </c>
      <c r="G46" s="3">
        <f>H46/1000</f>
        <v>1.5</v>
      </c>
      <c r="H46" s="17">
        <v>1500</v>
      </c>
    </row>
    <row r="47" spans="2:8" x14ac:dyDescent="0.2">
      <c r="B47" s="21" t="s">
        <v>91</v>
      </c>
      <c r="C47" s="22">
        <v>21</v>
      </c>
      <c r="D47" s="23">
        <v>32</v>
      </c>
      <c r="E47" s="24">
        <v>48.155999999999999</v>
      </c>
      <c r="F47" s="5">
        <v>4.5999999999999996</v>
      </c>
      <c r="G47" s="3">
        <v>0.82499999999999996</v>
      </c>
      <c r="H47" s="17">
        <f>1000*G47</f>
        <v>825</v>
      </c>
    </row>
    <row r="48" spans="2:8" x14ac:dyDescent="0.2">
      <c r="B48" s="73" t="s">
        <v>92</v>
      </c>
      <c r="C48" s="74">
        <v>22</v>
      </c>
      <c r="D48" s="75">
        <v>58</v>
      </c>
      <c r="E48" s="76">
        <v>-29.622</v>
      </c>
      <c r="F48" s="77">
        <v>1.1599999999999999</v>
      </c>
      <c r="G48" s="78">
        <f>H48/1000</f>
        <v>2.1999999999999999E-2</v>
      </c>
      <c r="H48" s="79">
        <v>22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Star Position</vt:lpstr>
      <vt:lpstr>Data</vt:lpstr>
    </vt:vector>
  </TitlesOfParts>
  <Manager/>
  <Company>Astronomy Morsels</Company>
  <LinksUpToDate>false</LinksUpToDate>
  <SharedDoc>false</SharedDoc>
  <HyperlinkBase>www.astronomy-morsels.ch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 Position</dc:title>
  <dc:subject/>
  <dc:creator>Anton Viola</dc:creator>
  <cp:keywords/>
  <dc:description/>
  <cp:lastModifiedBy>Anton Viola</cp:lastModifiedBy>
  <dcterms:created xsi:type="dcterms:W3CDTF">2024-04-18T18:42:50Z</dcterms:created>
  <dcterms:modified xsi:type="dcterms:W3CDTF">2024-05-05T06:55:28Z</dcterms:modified>
  <cp:category/>
</cp:coreProperties>
</file>