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9DE8BDC5-690A-7847-A2F9-4D20EF768A44}" xr6:coauthVersionLast="47" xr6:coauthVersionMax="47" xr10:uidLastSave="{00000000-0000-0000-0000-000000000000}"/>
  <bookViews>
    <workbookView xWindow="4680" yWindow="6440" windowWidth="36120" windowHeight="16300" xr2:uid="{00000000-000D-0000-FFFF-FFFF00000000}"/>
  </bookViews>
  <sheets>
    <sheet name="Introduction" sheetId="9" r:id="rId1"/>
    <sheet name="Visibility" sheetId="16" r:id="rId2"/>
    <sheet name="Illumination" sheetId="18" r:id="rId3"/>
    <sheet name="Catalogue" sheetId="17" r:id="rId4"/>
  </sheets>
  <definedNames>
    <definedName name="degrees">{0;90;180;270}</definedName>
    <definedName name="_xlnm.Print_Area" localSheetId="1">Visibility!$Q$2:$X$116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" i="18" l="1"/>
  <c r="B26" i="18" s="1"/>
  <c r="B24" i="18"/>
  <c r="C24" i="18" s="1"/>
  <c r="F10" i="18"/>
  <c r="F11" i="18" s="1"/>
  <c r="G4" i="18"/>
  <c r="C2" i="18"/>
  <c r="C14" i="16"/>
  <c r="C13" i="16"/>
  <c r="Q5" i="16"/>
  <c r="C26" i="18" l="1"/>
  <c r="B27" i="18"/>
  <c r="F12" i="18"/>
  <c r="C25" i="18"/>
  <c r="Q3" i="16"/>
  <c r="F13" i="18" l="1"/>
  <c r="B28" i="18"/>
  <c r="C27" i="18"/>
  <c r="R7" i="16"/>
  <c r="G7" i="16"/>
  <c r="Q4" i="16"/>
  <c r="F9" i="16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C28" i="18" l="1"/>
  <c r="B29" i="18"/>
  <c r="F14" i="18"/>
  <c r="N118" i="16"/>
  <c r="C15" i="16"/>
  <c r="C7" i="16"/>
  <c r="C8" i="16" s="1"/>
  <c r="C10" i="16" s="1"/>
  <c r="C20" i="18" s="1"/>
  <c r="C3" i="18" l="1"/>
  <c r="F15" i="18"/>
  <c r="B30" i="18"/>
  <c r="C29" i="18"/>
  <c r="C9" i="16"/>
  <c r="C11" i="16"/>
  <c r="C16" i="16" s="1"/>
  <c r="C6" i="18" l="1"/>
  <c r="C5" i="18"/>
  <c r="C4" i="18"/>
  <c r="D20" i="18"/>
  <c r="B31" i="18"/>
  <c r="C31" i="18" s="1"/>
  <c r="C30" i="18"/>
  <c r="F16" i="18"/>
  <c r="N101" i="16"/>
  <c r="N85" i="16"/>
  <c r="N69" i="16"/>
  <c r="N53" i="16"/>
  <c r="N37" i="16"/>
  <c r="N21" i="16"/>
  <c r="N88" i="16"/>
  <c r="N72" i="16"/>
  <c r="N56" i="16"/>
  <c r="N40" i="16"/>
  <c r="N24" i="16"/>
  <c r="N15" i="16"/>
  <c r="N91" i="16"/>
  <c r="N59" i="16"/>
  <c r="N43" i="16"/>
  <c r="N78" i="16"/>
  <c r="N62" i="16"/>
  <c r="N20" i="16"/>
  <c r="N14" i="16"/>
  <c r="N77" i="16"/>
  <c r="N86" i="16"/>
  <c r="N104" i="16"/>
  <c r="N18" i="16"/>
  <c r="N75" i="16"/>
  <c r="N46" i="16"/>
  <c r="N9" i="16"/>
  <c r="N84" i="16"/>
  <c r="N52" i="16"/>
  <c r="N38" i="16"/>
  <c r="N73" i="16"/>
  <c r="N92" i="16"/>
  <c r="N13" i="16"/>
  <c r="N47" i="16"/>
  <c r="N10" i="16"/>
  <c r="N107" i="16"/>
  <c r="N27" i="16"/>
  <c r="N65" i="16"/>
  <c r="N100" i="16"/>
  <c r="N55" i="16"/>
  <c r="N39" i="16"/>
  <c r="N23" i="16"/>
  <c r="N99" i="16"/>
  <c r="N102" i="16"/>
  <c r="N70" i="16"/>
  <c r="N41" i="16"/>
  <c r="N60" i="16"/>
  <c r="N95" i="16"/>
  <c r="N114" i="16"/>
  <c r="N82" i="16"/>
  <c r="N110" i="16"/>
  <c r="N94" i="16"/>
  <c r="N30" i="16"/>
  <c r="N12" i="16"/>
  <c r="N49" i="16"/>
  <c r="N33" i="16"/>
  <c r="N11" i="16"/>
  <c r="N105" i="16"/>
  <c r="N108" i="16"/>
  <c r="N111" i="16"/>
  <c r="N113" i="16"/>
  <c r="N97" i="16"/>
  <c r="N81" i="16"/>
  <c r="N36" i="16"/>
  <c r="N42" i="16"/>
  <c r="N26" i="16"/>
  <c r="N79" i="16"/>
  <c r="N98" i="16"/>
  <c r="N66" i="16"/>
  <c r="N116" i="16"/>
  <c r="N68" i="16"/>
  <c r="N19" i="16"/>
  <c r="N44" i="16"/>
  <c r="N103" i="16"/>
  <c r="N87" i="16"/>
  <c r="N71" i="16"/>
  <c r="N83" i="16"/>
  <c r="N106" i="16"/>
  <c r="N90" i="16"/>
  <c r="N74" i="16"/>
  <c r="N58" i="16"/>
  <c r="N17" i="16"/>
  <c r="N8" i="16"/>
  <c r="N54" i="16"/>
  <c r="N25" i="16"/>
  <c r="N76" i="16"/>
  <c r="N28" i="16"/>
  <c r="N50" i="16"/>
  <c r="N109" i="16"/>
  <c r="N93" i="16"/>
  <c r="N61" i="16"/>
  <c r="N45" i="16"/>
  <c r="N29" i="16"/>
  <c r="N80" i="16"/>
  <c r="N57" i="16"/>
  <c r="N16" i="16"/>
  <c r="N63" i="16"/>
  <c r="N112" i="16"/>
  <c r="N96" i="16"/>
  <c r="N64" i="16"/>
  <c r="N48" i="16"/>
  <c r="N32" i="16"/>
  <c r="N51" i="16"/>
  <c r="N31" i="16"/>
  <c r="N34" i="16"/>
  <c r="N115" i="16"/>
  <c r="N67" i="16"/>
  <c r="N35" i="16"/>
  <c r="N22" i="16"/>
  <c r="N89" i="16"/>
  <c r="C7" i="18" l="1"/>
  <c r="C8" i="18" s="1"/>
  <c r="C21" i="18" s="1"/>
  <c r="G2" i="18" s="1"/>
  <c r="J3" i="18" s="1"/>
  <c r="J4" i="18"/>
  <c r="J5" i="18" s="1"/>
  <c r="I77" i="16"/>
  <c r="I112" i="16"/>
  <c r="I16" i="16"/>
  <c r="I45" i="16"/>
  <c r="I67" i="16"/>
  <c r="I73" i="16"/>
  <c r="I22" i="16"/>
  <c r="B36" i="16"/>
  <c r="I51" i="16"/>
  <c r="I28" i="16"/>
  <c r="I100" i="16"/>
  <c r="I95" i="16"/>
  <c r="F17" i="18"/>
  <c r="J16" i="16"/>
  <c r="J95" i="16"/>
  <c r="J60" i="16"/>
  <c r="J80" i="16"/>
  <c r="J22" i="16"/>
  <c r="J15" i="16"/>
  <c r="J111" i="16"/>
  <c r="J61" i="16"/>
  <c r="J9" i="16"/>
  <c r="J23" i="16"/>
  <c r="J39" i="16"/>
  <c r="J68" i="16"/>
  <c r="J43" i="16"/>
  <c r="J81" i="16"/>
  <c r="J89" i="16"/>
  <c r="J41" i="16"/>
  <c r="J113" i="16"/>
  <c r="J35" i="16"/>
  <c r="J84" i="16"/>
  <c r="J87" i="16"/>
  <c r="J115" i="16"/>
  <c r="J105" i="16"/>
  <c r="J75" i="16"/>
  <c r="J28" i="16"/>
  <c r="J36" i="16"/>
  <c r="J57" i="16"/>
  <c r="J59" i="16"/>
  <c r="J106" i="16"/>
  <c r="J38" i="16"/>
  <c r="J83" i="16"/>
  <c r="J52" i="16"/>
  <c r="J45" i="16"/>
  <c r="J102" i="16"/>
  <c r="J67" i="16"/>
  <c r="J99" i="16"/>
  <c r="J93" i="16"/>
  <c r="J46" i="16"/>
  <c r="J34" i="16"/>
  <c r="J44" i="16"/>
  <c r="J49" i="16"/>
  <c r="J74" i="16"/>
  <c r="J92" i="16"/>
  <c r="J90" i="16"/>
  <c r="J73" i="16"/>
  <c r="J97" i="16"/>
  <c r="J91" i="16"/>
  <c r="J29" i="16"/>
  <c r="I29" i="16" s="1"/>
  <c r="J70" i="16"/>
  <c r="J71" i="16"/>
  <c r="J24" i="16"/>
  <c r="J108" i="16"/>
  <c r="J40" i="16"/>
  <c r="J103" i="16"/>
  <c r="J56" i="16"/>
  <c r="J109" i="16"/>
  <c r="J11" i="16"/>
  <c r="J72" i="16"/>
  <c r="J31" i="16"/>
  <c r="J50" i="16"/>
  <c r="J19" i="16"/>
  <c r="I19" i="16" s="1"/>
  <c r="J33" i="16"/>
  <c r="J55" i="16"/>
  <c r="J18" i="16"/>
  <c r="J88" i="16"/>
  <c r="J51" i="16"/>
  <c r="J100" i="16"/>
  <c r="J104" i="16"/>
  <c r="J21" i="16"/>
  <c r="J32" i="16"/>
  <c r="J76" i="16"/>
  <c r="J116" i="16"/>
  <c r="J12" i="16"/>
  <c r="J65" i="16"/>
  <c r="J86" i="16"/>
  <c r="J37" i="16"/>
  <c r="J48" i="16"/>
  <c r="J25" i="16"/>
  <c r="J66" i="16"/>
  <c r="J30" i="16"/>
  <c r="J27" i="16"/>
  <c r="J77" i="16"/>
  <c r="J53" i="16"/>
  <c r="J64" i="16"/>
  <c r="J54" i="16"/>
  <c r="J98" i="16"/>
  <c r="J94" i="16"/>
  <c r="J107" i="16"/>
  <c r="J14" i="16"/>
  <c r="J69" i="16"/>
  <c r="J96" i="16"/>
  <c r="J8" i="16"/>
  <c r="J79" i="16"/>
  <c r="I79" i="16" s="1"/>
  <c r="J110" i="16"/>
  <c r="J10" i="16"/>
  <c r="I10" i="16" s="1"/>
  <c r="J20" i="16"/>
  <c r="J85" i="16"/>
  <c r="J112" i="16"/>
  <c r="J17" i="16"/>
  <c r="J26" i="16"/>
  <c r="J82" i="16"/>
  <c r="J47" i="16"/>
  <c r="J62" i="16"/>
  <c r="J101" i="16"/>
  <c r="J63" i="16"/>
  <c r="I63" i="16" s="1"/>
  <c r="J58" i="16"/>
  <c r="J42" i="16"/>
  <c r="J114" i="16"/>
  <c r="J13" i="16"/>
  <c r="J78" i="16"/>
  <c r="I78" i="16" l="1"/>
  <c r="E78" i="16" s="1"/>
  <c r="I106" i="16"/>
  <c r="E106" i="16" s="1"/>
  <c r="I90" i="16"/>
  <c r="E90" i="16" s="1"/>
  <c r="E10" i="16"/>
  <c r="I43" i="16"/>
  <c r="E43" i="16" s="1"/>
  <c r="I39" i="16"/>
  <c r="E39" i="16" s="1"/>
  <c r="I31" i="16"/>
  <c r="E31" i="16"/>
  <c r="I92" i="16"/>
  <c r="E92" i="16" s="1"/>
  <c r="I23" i="16"/>
  <c r="E23" i="16"/>
  <c r="I59" i="16"/>
  <c r="E59" i="16" s="1"/>
  <c r="E28" i="16"/>
  <c r="I61" i="16"/>
  <c r="E61" i="16"/>
  <c r="I49" i="16"/>
  <c r="E49" i="16" s="1"/>
  <c r="E73" i="16"/>
  <c r="I42" i="16"/>
  <c r="E42" i="16" s="1"/>
  <c r="I72" i="16"/>
  <c r="E72" i="16" s="1"/>
  <c r="I14" i="16"/>
  <c r="E14" i="16" s="1"/>
  <c r="I12" i="16"/>
  <c r="E12" i="16"/>
  <c r="I11" i="16"/>
  <c r="E11" i="16"/>
  <c r="I101" i="16"/>
  <c r="E101" i="16" s="1"/>
  <c r="I107" i="16"/>
  <c r="E107" i="16" s="1"/>
  <c r="I116" i="16"/>
  <c r="E116" i="16"/>
  <c r="I109" i="16"/>
  <c r="E109" i="16" s="1"/>
  <c r="I44" i="16"/>
  <c r="E44" i="16" s="1"/>
  <c r="I75" i="16"/>
  <c r="E75" i="16" s="1"/>
  <c r="I111" i="16"/>
  <c r="E111" i="16"/>
  <c r="I68" i="16"/>
  <c r="E68" i="16" s="1"/>
  <c r="I57" i="16"/>
  <c r="E57" i="16" s="1"/>
  <c r="I81" i="16"/>
  <c r="E81" i="16" s="1"/>
  <c r="I13" i="16"/>
  <c r="E13" i="16" s="1"/>
  <c r="I50" i="16"/>
  <c r="E50" i="16"/>
  <c r="I65" i="16"/>
  <c r="E65" i="16" s="1"/>
  <c r="I62" i="16"/>
  <c r="E62" i="16" s="1"/>
  <c r="I105" i="16"/>
  <c r="E105" i="16" s="1"/>
  <c r="I25" i="16"/>
  <c r="E25" i="16" s="1"/>
  <c r="I114" i="16"/>
  <c r="E114" i="16"/>
  <c r="I86" i="16"/>
  <c r="E86" i="16" s="1"/>
  <c r="I74" i="16"/>
  <c r="E74" i="16" s="1"/>
  <c r="I94" i="16"/>
  <c r="E94" i="16"/>
  <c r="I47" i="16"/>
  <c r="E47" i="16" s="1"/>
  <c r="I46" i="16"/>
  <c r="E46" i="16" s="1"/>
  <c r="I21" i="16"/>
  <c r="E21" i="16"/>
  <c r="I40" i="16"/>
  <c r="E40" i="16" s="1"/>
  <c r="I93" i="16"/>
  <c r="E93" i="16"/>
  <c r="I87" i="16"/>
  <c r="E87" i="16"/>
  <c r="I80" i="16"/>
  <c r="E80" i="16"/>
  <c r="I38" i="16"/>
  <c r="E38" i="16" s="1"/>
  <c r="I83" i="16"/>
  <c r="E83" i="16" s="1"/>
  <c r="E19" i="16"/>
  <c r="I96" i="16"/>
  <c r="E96" i="16"/>
  <c r="I9" i="16"/>
  <c r="E9" i="16"/>
  <c r="I56" i="16"/>
  <c r="E56" i="16" s="1"/>
  <c r="I98" i="16"/>
  <c r="E98" i="16"/>
  <c r="I115" i="16"/>
  <c r="E115" i="16"/>
  <c r="I82" i="16"/>
  <c r="E82" i="16"/>
  <c r="I104" i="16"/>
  <c r="E104" i="16"/>
  <c r="I99" i="16"/>
  <c r="E99" i="16"/>
  <c r="I60" i="16"/>
  <c r="E60" i="16"/>
  <c r="I66" i="16"/>
  <c r="E66" i="16"/>
  <c r="I33" i="16"/>
  <c r="E33" i="16" s="1"/>
  <c r="I37" i="16"/>
  <c r="E37" i="16"/>
  <c r="I58" i="16"/>
  <c r="E58" i="16"/>
  <c r="E63" i="16"/>
  <c r="I15" i="16"/>
  <c r="E15" i="16"/>
  <c r="E22" i="16"/>
  <c r="I35" i="16"/>
  <c r="E35" i="16" s="1"/>
  <c r="I54" i="16"/>
  <c r="E54" i="16" s="1"/>
  <c r="I24" i="16"/>
  <c r="E24" i="16" s="1"/>
  <c r="I8" i="16"/>
  <c r="E8" i="16" s="1"/>
  <c r="I69" i="16"/>
  <c r="E69" i="16"/>
  <c r="I36" i="16"/>
  <c r="E36" i="16"/>
  <c r="I76" i="16"/>
  <c r="E76" i="16"/>
  <c r="I32" i="16"/>
  <c r="E32" i="16"/>
  <c r="I26" i="16"/>
  <c r="E26" i="16"/>
  <c r="I64" i="16"/>
  <c r="E64" i="16"/>
  <c r="I108" i="16"/>
  <c r="E108" i="16"/>
  <c r="I84" i="16"/>
  <c r="E84" i="16" s="1"/>
  <c r="I17" i="16"/>
  <c r="E17" i="16" s="1"/>
  <c r="I53" i="16"/>
  <c r="E53" i="16"/>
  <c r="E100" i="16"/>
  <c r="E67" i="16"/>
  <c r="E95" i="16"/>
  <c r="E112" i="16"/>
  <c r="E77" i="16"/>
  <c r="E51" i="16"/>
  <c r="I71" i="16"/>
  <c r="E71" i="16"/>
  <c r="I102" i="16"/>
  <c r="E102" i="16"/>
  <c r="I113" i="16"/>
  <c r="E113" i="16" s="1"/>
  <c r="E16" i="16"/>
  <c r="I48" i="16"/>
  <c r="E48" i="16" s="1"/>
  <c r="I14" i="18"/>
  <c r="I97" i="16"/>
  <c r="E97" i="16" s="1"/>
  <c r="I110" i="16"/>
  <c r="E110" i="16" s="1"/>
  <c r="I85" i="16"/>
  <c r="E85" i="16"/>
  <c r="I27" i="16"/>
  <c r="E27" i="16"/>
  <c r="I88" i="16"/>
  <c r="E88" i="16"/>
  <c r="I70" i="16"/>
  <c r="E70" i="16"/>
  <c r="E45" i="16"/>
  <c r="I41" i="16"/>
  <c r="E41" i="16"/>
  <c r="J16" i="18"/>
  <c r="U3" i="16"/>
  <c r="I91" i="16"/>
  <c r="E91" i="16" s="1"/>
  <c r="I55" i="16"/>
  <c r="E55" i="16"/>
  <c r="E79" i="16"/>
  <c r="I34" i="16"/>
  <c r="E34" i="16" s="1"/>
  <c r="I103" i="16"/>
  <c r="E103" i="16" s="1"/>
  <c r="I20" i="16"/>
  <c r="E20" i="16" s="1"/>
  <c r="I30" i="16"/>
  <c r="E30" i="16"/>
  <c r="I18" i="16"/>
  <c r="E18" i="16"/>
  <c r="E29" i="16"/>
  <c r="I52" i="16"/>
  <c r="E52" i="16"/>
  <c r="I89" i="16"/>
  <c r="E89" i="16"/>
  <c r="H15" i="18"/>
  <c r="I15" i="18"/>
  <c r="G12" i="18"/>
  <c r="G9" i="18"/>
  <c r="G11" i="18"/>
  <c r="G10" i="18"/>
  <c r="G13" i="18"/>
  <c r="G14" i="18"/>
  <c r="J14" i="18" s="1"/>
  <c r="G15" i="18"/>
  <c r="J15" i="18" s="1"/>
  <c r="G16" i="18"/>
  <c r="F18" i="18"/>
  <c r="G17" i="18"/>
  <c r="J17" i="18"/>
  <c r="I17" i="18"/>
  <c r="H17" i="18"/>
  <c r="U4" i="16" l="1"/>
  <c r="H16" i="18"/>
  <c r="I16" i="18"/>
  <c r="J10" i="18"/>
  <c r="H10" i="18"/>
  <c r="I10" i="18"/>
  <c r="J13" i="18"/>
  <c r="I13" i="18"/>
  <c r="H13" i="18"/>
  <c r="H9" i="18"/>
  <c r="I9" i="18"/>
  <c r="J9" i="18"/>
  <c r="H11" i="18"/>
  <c r="J11" i="18"/>
  <c r="I11" i="18"/>
  <c r="J12" i="18"/>
  <c r="H12" i="18"/>
  <c r="I12" i="18"/>
  <c r="H14" i="18"/>
  <c r="G18" i="18"/>
  <c r="F19" i="18"/>
  <c r="I18" i="18"/>
  <c r="H18" i="18"/>
  <c r="J18" i="18"/>
  <c r="P8" i="16" a="1"/>
  <c r="P8" i="16" l="1"/>
  <c r="U5" i="16"/>
  <c r="F20" i="18"/>
  <c r="G19" i="18"/>
  <c r="H19" i="18"/>
  <c r="J19" i="18"/>
  <c r="I19" i="18"/>
  <c r="F21" i="18" l="1"/>
  <c r="G20" i="18"/>
  <c r="J20" i="18"/>
  <c r="H20" i="18"/>
  <c r="I20" i="18"/>
  <c r="F22" i="18" l="1"/>
  <c r="G21" i="18"/>
  <c r="I21" i="18" s="1"/>
  <c r="H21" i="18"/>
  <c r="J21" i="18"/>
  <c r="F23" i="18" l="1"/>
  <c r="G22" i="18"/>
  <c r="I22" i="18" s="1"/>
  <c r="H22" i="18"/>
  <c r="J22" i="18"/>
  <c r="G23" i="18" l="1"/>
  <c r="F24" i="18"/>
  <c r="J23" i="18"/>
  <c r="H23" i="18"/>
  <c r="I23" i="18"/>
  <c r="F25" i="18" l="1"/>
  <c r="G24" i="18"/>
  <c r="I24" i="18" s="1"/>
  <c r="J24" i="18"/>
  <c r="H24" i="18"/>
  <c r="F26" i="18" l="1"/>
  <c r="G25" i="18"/>
  <c r="J25" i="18"/>
  <c r="H25" i="18"/>
  <c r="I25" i="18"/>
  <c r="G26" i="18" l="1"/>
  <c r="F27" i="18"/>
  <c r="J26" i="18"/>
  <c r="I26" i="18"/>
  <c r="H26" i="18"/>
  <c r="F28" i="18" l="1"/>
  <c r="G27" i="18"/>
  <c r="H27" i="18"/>
  <c r="J27" i="18"/>
  <c r="I27" i="18"/>
  <c r="G28" i="18" l="1"/>
  <c r="F29" i="18"/>
  <c r="I28" i="18"/>
  <c r="J28" i="18"/>
  <c r="H28" i="18"/>
  <c r="F30" i="18" l="1"/>
  <c r="G29" i="18"/>
  <c r="I29" i="18"/>
  <c r="J29" i="18"/>
  <c r="H29" i="18"/>
  <c r="G30" i="18" l="1"/>
  <c r="F31" i="18"/>
  <c r="H30" i="18"/>
  <c r="I30" i="18"/>
  <c r="J30" i="18"/>
  <c r="F32" i="18" l="1"/>
  <c r="G31" i="18"/>
  <c r="H31" i="18"/>
  <c r="I31" i="18"/>
  <c r="J31" i="18"/>
  <c r="F33" i="18" l="1"/>
  <c r="G32" i="18"/>
  <c r="H32" i="18"/>
  <c r="I32" i="18"/>
  <c r="J32" i="18"/>
  <c r="G33" i="18" l="1"/>
  <c r="F34" i="18"/>
  <c r="J33" i="18"/>
  <c r="I33" i="18"/>
  <c r="H33" i="18"/>
  <c r="F35" i="18" l="1"/>
  <c r="G34" i="18"/>
  <c r="I34" i="18"/>
  <c r="J34" i="18"/>
  <c r="H34" i="18"/>
  <c r="F36" i="18" l="1"/>
  <c r="G35" i="18"/>
  <c r="I35" i="18"/>
  <c r="H35" i="18"/>
  <c r="J35" i="18"/>
  <c r="F37" i="18" l="1"/>
  <c r="G36" i="18"/>
  <c r="J36" i="18"/>
  <c r="H36" i="18"/>
  <c r="I36" i="18"/>
  <c r="F38" i="18" l="1"/>
  <c r="G37" i="18"/>
  <c r="I37" i="18"/>
  <c r="J37" i="18"/>
  <c r="H37" i="18"/>
  <c r="F39" i="18" l="1"/>
  <c r="G38" i="18"/>
  <c r="H38" i="18"/>
  <c r="I38" i="18"/>
  <c r="J38" i="18"/>
  <c r="F40" i="18" l="1"/>
  <c r="G39" i="18"/>
  <c r="J39" i="18"/>
  <c r="H39" i="18"/>
  <c r="I39" i="18"/>
  <c r="G40" i="18" l="1"/>
  <c r="F41" i="18"/>
  <c r="I40" i="18"/>
  <c r="H40" i="18"/>
  <c r="J40" i="18"/>
  <c r="F42" i="18" l="1"/>
  <c r="G41" i="18"/>
  <c r="I41" i="18"/>
  <c r="J41" i="18"/>
  <c r="H41" i="18"/>
  <c r="F43" i="18" l="1"/>
  <c r="G42" i="18"/>
  <c r="I42" i="18"/>
  <c r="J42" i="18"/>
  <c r="H42" i="18"/>
  <c r="G43" i="18" l="1"/>
  <c r="F44" i="18"/>
  <c r="H43" i="18"/>
  <c r="I43" i="18"/>
  <c r="J43" i="18"/>
  <c r="G44" i="18" l="1"/>
  <c r="F45" i="18"/>
  <c r="J44" i="18"/>
  <c r="H44" i="18"/>
  <c r="I44" i="18"/>
  <c r="F46" i="18" l="1"/>
  <c r="G45" i="18"/>
  <c r="J45" i="18"/>
  <c r="I45" i="18"/>
  <c r="H45" i="18"/>
  <c r="G46" i="18" l="1"/>
  <c r="J46" i="18" s="1"/>
  <c r="F47" i="18"/>
  <c r="I46" i="18"/>
  <c r="H46" i="18"/>
  <c r="F48" i="18" l="1"/>
  <c r="G47" i="18"/>
  <c r="J47" i="18"/>
  <c r="I47" i="18"/>
  <c r="H47" i="18"/>
  <c r="F49" i="18" l="1"/>
  <c r="G48" i="18"/>
  <c r="H48" i="18"/>
  <c r="I48" i="18"/>
  <c r="J48" i="18"/>
  <c r="G49" i="18" l="1"/>
  <c r="F50" i="18"/>
  <c r="H49" i="18"/>
  <c r="I49" i="18"/>
  <c r="J49" i="18"/>
  <c r="F51" i="18" l="1"/>
  <c r="G50" i="18"/>
  <c r="H50" i="18"/>
  <c r="I50" i="18"/>
  <c r="J50" i="18"/>
  <c r="F52" i="18" l="1"/>
  <c r="G51" i="18"/>
  <c r="H51" i="18"/>
  <c r="J51" i="18"/>
  <c r="I51" i="18"/>
  <c r="F53" i="18" l="1"/>
  <c r="G52" i="18"/>
  <c r="I52" i="18"/>
  <c r="J52" i="18"/>
  <c r="H52" i="18"/>
  <c r="F54" i="18" l="1"/>
  <c r="G53" i="18"/>
  <c r="J53" i="18"/>
  <c r="I53" i="18"/>
  <c r="H53" i="18"/>
  <c r="F55" i="18" l="1"/>
  <c r="G54" i="18"/>
  <c r="H54" i="18"/>
  <c r="J54" i="18"/>
  <c r="I54" i="18"/>
  <c r="F56" i="18" l="1"/>
  <c r="G55" i="18"/>
  <c r="I55" i="18"/>
  <c r="H55" i="18"/>
  <c r="J55" i="18"/>
  <c r="G56" i="18" l="1"/>
  <c r="F57" i="18"/>
  <c r="I56" i="18"/>
  <c r="H56" i="18"/>
  <c r="J56" i="18"/>
  <c r="F58" i="18" l="1"/>
  <c r="G57" i="18"/>
  <c r="J57" i="18" s="1"/>
  <c r="H57" i="18"/>
  <c r="I57" i="18"/>
  <c r="F59" i="18" l="1"/>
  <c r="G58" i="18"/>
  <c r="H58" i="18"/>
  <c r="I58" i="18"/>
  <c r="J58" i="18"/>
  <c r="G59" i="18" l="1"/>
  <c r="F60" i="18"/>
  <c r="H59" i="18"/>
  <c r="J59" i="18"/>
  <c r="I59" i="18"/>
  <c r="G60" i="18" l="1"/>
  <c r="F61" i="18"/>
  <c r="J60" i="18"/>
  <c r="I60" i="18"/>
  <c r="H60" i="18"/>
  <c r="F62" i="18" l="1"/>
  <c r="G61" i="18"/>
  <c r="J61" i="18"/>
  <c r="I61" i="18"/>
  <c r="H61" i="18"/>
  <c r="G62" i="18" l="1"/>
  <c r="F63" i="18"/>
  <c r="J62" i="18"/>
  <c r="I62" i="18"/>
  <c r="H62" i="18"/>
  <c r="F64" i="18" l="1"/>
  <c r="G63" i="18"/>
  <c r="J63" i="18"/>
  <c r="H63" i="18"/>
  <c r="I63" i="18"/>
  <c r="F65" i="18" l="1"/>
  <c r="G64" i="18"/>
  <c r="J64" i="18"/>
  <c r="H64" i="18"/>
  <c r="I64" i="18"/>
  <c r="G65" i="18" l="1"/>
  <c r="F66" i="18"/>
  <c r="I65" i="18"/>
  <c r="J65" i="18"/>
  <c r="H65" i="18"/>
  <c r="F67" i="18" l="1"/>
  <c r="G66" i="18"/>
  <c r="I66" i="18"/>
  <c r="J66" i="18"/>
  <c r="H66" i="18"/>
  <c r="F68" i="18" l="1"/>
  <c r="G67" i="18"/>
  <c r="H67" i="18"/>
  <c r="I67" i="18"/>
  <c r="J67" i="18"/>
  <c r="F69" i="18" l="1"/>
  <c r="G68" i="18"/>
  <c r="J68" i="18" s="1"/>
  <c r="I68" i="18"/>
  <c r="H68" i="18"/>
  <c r="F70" i="18" l="1"/>
  <c r="G69" i="18"/>
  <c r="I69" i="18"/>
  <c r="J69" i="18"/>
  <c r="H69" i="18"/>
  <c r="F71" i="18" l="1"/>
  <c r="G70" i="18"/>
  <c r="J70" i="18"/>
  <c r="I70" i="18"/>
  <c r="H70" i="18"/>
  <c r="F72" i="18" l="1"/>
  <c r="G71" i="18"/>
  <c r="I71" i="18"/>
  <c r="J71" i="18"/>
  <c r="H71" i="18"/>
  <c r="G72" i="18" l="1"/>
  <c r="F73" i="18"/>
  <c r="I72" i="18"/>
  <c r="H72" i="18"/>
  <c r="J72" i="18"/>
  <c r="F74" i="18" l="1"/>
  <c r="G73" i="18"/>
  <c r="J73" i="18"/>
  <c r="H73" i="18"/>
  <c r="I73" i="18"/>
  <c r="F75" i="18" l="1"/>
  <c r="G74" i="18"/>
  <c r="H74" i="18"/>
  <c r="J74" i="18"/>
  <c r="I74" i="18"/>
  <c r="G75" i="18" l="1"/>
  <c r="F76" i="18"/>
  <c r="J75" i="18"/>
  <c r="H75" i="18"/>
  <c r="I75" i="18"/>
  <c r="G76" i="18" l="1"/>
  <c r="F77" i="18"/>
  <c r="I76" i="18"/>
  <c r="H76" i="18"/>
  <c r="J76" i="18"/>
  <c r="F78" i="18" l="1"/>
  <c r="G77" i="18"/>
  <c r="I77" i="18"/>
  <c r="J77" i="18"/>
  <c r="H77" i="18"/>
  <c r="G78" i="18" l="1"/>
  <c r="F79" i="18"/>
  <c r="J78" i="18"/>
  <c r="I78" i="18"/>
  <c r="H78" i="18"/>
  <c r="F80" i="18" l="1"/>
  <c r="G79" i="18"/>
  <c r="J79" i="18"/>
  <c r="H79" i="18"/>
  <c r="I79" i="18"/>
  <c r="F81" i="18" l="1"/>
  <c r="G80" i="18"/>
  <c r="J80" i="18"/>
  <c r="H80" i="18"/>
  <c r="I80" i="18"/>
  <c r="G81" i="18" l="1"/>
  <c r="F82" i="18"/>
  <c r="H81" i="18"/>
  <c r="J81" i="18"/>
  <c r="I81" i="18"/>
  <c r="F83" i="18" l="1"/>
  <c r="G82" i="18"/>
  <c r="H82" i="18"/>
  <c r="J82" i="18"/>
  <c r="I82" i="18"/>
  <c r="F84" i="18" l="1"/>
  <c r="G83" i="18"/>
  <c r="I83" i="18" s="1"/>
  <c r="H83" i="18"/>
  <c r="J83" i="18"/>
  <c r="F85" i="18" l="1"/>
  <c r="G84" i="18"/>
  <c r="H84" i="18"/>
  <c r="I84" i="18"/>
  <c r="J84" i="18"/>
  <c r="F86" i="18" l="1"/>
  <c r="G85" i="18"/>
  <c r="H85" i="18"/>
  <c r="J85" i="18"/>
  <c r="I85" i="18"/>
  <c r="F87" i="18" l="1"/>
  <c r="G86" i="18"/>
  <c r="I86" i="18"/>
  <c r="J86" i="18"/>
  <c r="H86" i="18"/>
  <c r="F88" i="18" l="1"/>
  <c r="G87" i="18"/>
  <c r="I87" i="18"/>
  <c r="J87" i="18"/>
  <c r="H87" i="18"/>
  <c r="G88" i="18" l="1"/>
  <c r="F89" i="18"/>
  <c r="J88" i="18"/>
  <c r="I88" i="18"/>
  <c r="H88" i="18"/>
  <c r="F90" i="18" l="1"/>
  <c r="G89" i="18"/>
  <c r="H89" i="18"/>
  <c r="J89" i="18"/>
  <c r="I89" i="18"/>
  <c r="F91" i="18" l="1"/>
  <c r="G90" i="18"/>
  <c r="J90" i="18"/>
  <c r="H90" i="18"/>
  <c r="I90" i="18"/>
  <c r="G91" i="18" l="1"/>
  <c r="F92" i="18"/>
  <c r="J91" i="18"/>
  <c r="I91" i="18"/>
  <c r="H91" i="18"/>
  <c r="F93" i="18" l="1"/>
  <c r="G92" i="18"/>
  <c r="H92" i="18"/>
  <c r="J92" i="18"/>
  <c r="I92" i="18"/>
  <c r="F94" i="18" l="1"/>
  <c r="G93" i="18"/>
  <c r="J93" i="18" s="1"/>
  <c r="H93" i="18"/>
  <c r="I93" i="18" l="1"/>
  <c r="G94" i="18"/>
  <c r="J94" i="18" s="1"/>
  <c r="F95" i="18"/>
  <c r="H94" i="18" l="1"/>
  <c r="I94" i="18"/>
  <c r="F96" i="18"/>
  <c r="G95" i="18"/>
  <c r="H95" i="18"/>
  <c r="I95" i="18"/>
  <c r="J95" i="18"/>
  <c r="G96" i="18" l="1"/>
  <c r="F97" i="18"/>
  <c r="I96" i="18"/>
  <c r="J96" i="18"/>
  <c r="H96" i="18"/>
  <c r="G97" i="18" l="1"/>
  <c r="F98" i="18"/>
  <c r="H97" i="18"/>
  <c r="J97" i="18"/>
  <c r="I97" i="18"/>
  <c r="F99" i="18" l="1"/>
  <c r="G98" i="18"/>
  <c r="J98" i="18"/>
  <c r="H98" i="18"/>
  <c r="I98" i="18"/>
  <c r="F100" i="18" l="1"/>
  <c r="G99" i="18"/>
  <c r="H99" i="18"/>
  <c r="J99" i="18"/>
  <c r="I99" i="18"/>
  <c r="F101" i="18" l="1"/>
  <c r="G100" i="18"/>
  <c r="I100" i="18"/>
  <c r="J100" i="18"/>
  <c r="H100" i="18"/>
  <c r="F102" i="18" l="1"/>
  <c r="G101" i="18"/>
  <c r="I101" i="18"/>
  <c r="H101" i="18"/>
  <c r="J101" i="18"/>
  <c r="F103" i="18" l="1"/>
  <c r="G102" i="18"/>
  <c r="H102" i="18"/>
  <c r="I102" i="18"/>
  <c r="J102" i="18"/>
  <c r="F104" i="18" l="1"/>
  <c r="G103" i="18"/>
  <c r="J103" i="18"/>
  <c r="H103" i="18"/>
  <c r="I103" i="18"/>
  <c r="G104" i="18" l="1"/>
  <c r="F105" i="18"/>
  <c r="I104" i="18"/>
  <c r="H104" i="18"/>
  <c r="J104" i="18"/>
  <c r="F106" i="18" l="1"/>
  <c r="G105" i="18"/>
  <c r="I105" i="18"/>
  <c r="H105" i="18"/>
  <c r="J105" i="18"/>
  <c r="F107" i="18" l="1"/>
  <c r="G106" i="18"/>
  <c r="I106" i="18"/>
  <c r="H106" i="18"/>
  <c r="J106" i="18"/>
  <c r="G107" i="18" l="1"/>
  <c r="F108" i="18"/>
  <c r="I107" i="18"/>
  <c r="H107" i="18"/>
  <c r="J107" i="18"/>
  <c r="F109" i="18" l="1"/>
  <c r="G108" i="18"/>
  <c r="H108" i="18"/>
  <c r="I108" i="18"/>
  <c r="J108" i="18"/>
  <c r="F110" i="18" l="1"/>
  <c r="G109" i="18"/>
  <c r="J109" i="18"/>
  <c r="H109" i="18"/>
  <c r="I109" i="18"/>
  <c r="G110" i="18" l="1"/>
  <c r="F111" i="18"/>
  <c r="J110" i="18"/>
  <c r="I110" i="18"/>
  <c r="H110" i="18"/>
  <c r="F112" i="18" l="1"/>
  <c r="G111" i="18"/>
  <c r="I111" i="18"/>
  <c r="J111" i="18"/>
  <c r="H111" i="18"/>
  <c r="F113" i="18" l="1"/>
  <c r="G112" i="18"/>
  <c r="I112" i="18"/>
  <c r="H112" i="18"/>
  <c r="J112" i="18"/>
  <c r="G113" i="18" l="1"/>
  <c r="F114" i="18"/>
  <c r="H113" i="18"/>
  <c r="J113" i="18"/>
  <c r="I113" i="18"/>
  <c r="F115" i="18" l="1"/>
  <c r="G114" i="18"/>
  <c r="I114" i="18"/>
  <c r="J114" i="18"/>
  <c r="H114" i="18"/>
  <c r="F116" i="18" l="1"/>
  <c r="G115" i="18"/>
  <c r="I115" i="18" s="1"/>
  <c r="H115" i="18"/>
  <c r="J115" i="18" l="1"/>
  <c r="F117" i="18"/>
  <c r="G116" i="18"/>
  <c r="J116" i="18" s="1"/>
  <c r="H116" i="18"/>
  <c r="I116" i="18" l="1"/>
  <c r="F118" i="18"/>
  <c r="G117" i="18"/>
  <c r="I117" i="18" s="1"/>
  <c r="H117" i="18"/>
  <c r="J117" i="18" l="1"/>
  <c r="F119" i="18"/>
  <c r="G118" i="18"/>
  <c r="J118" i="18" s="1"/>
  <c r="H118" i="18"/>
  <c r="I118" i="18" l="1"/>
  <c r="F120" i="18"/>
  <c r="G119" i="18"/>
  <c r="J119" i="18" s="1"/>
  <c r="H119" i="18"/>
  <c r="I119" i="18"/>
  <c r="G120" i="18" l="1"/>
  <c r="J120" i="18" s="1"/>
  <c r="F121" i="18"/>
  <c r="H120" i="18"/>
  <c r="I120" i="18"/>
  <c r="F122" i="18" l="1"/>
  <c r="G121" i="18"/>
  <c r="J121" i="18"/>
  <c r="I121" i="18"/>
  <c r="H121" i="18"/>
  <c r="F123" i="18" l="1"/>
  <c r="G122" i="18"/>
  <c r="I122" i="18"/>
  <c r="J122" i="18"/>
  <c r="H122" i="18"/>
  <c r="G123" i="18" l="1"/>
  <c r="F124" i="18"/>
  <c r="H123" i="18"/>
  <c r="J123" i="18"/>
  <c r="I123" i="18"/>
  <c r="F125" i="18" l="1"/>
  <c r="G124" i="18"/>
  <c r="J124" i="18"/>
  <c r="H124" i="18"/>
  <c r="I124" i="18"/>
  <c r="F126" i="18" l="1"/>
  <c r="G125" i="18"/>
  <c r="J125" i="18"/>
  <c r="H125" i="18"/>
  <c r="I125" i="18"/>
  <c r="G126" i="18" l="1"/>
  <c r="F127" i="18"/>
  <c r="I126" i="18"/>
  <c r="H126" i="18"/>
  <c r="J126" i="18"/>
  <c r="F128" i="18" l="1"/>
  <c r="G127" i="18"/>
  <c r="H127" i="18"/>
  <c r="J127" i="18"/>
  <c r="I127" i="18"/>
  <c r="F129" i="18" l="1"/>
  <c r="G128" i="18"/>
  <c r="H128" i="18"/>
  <c r="J128" i="18"/>
  <c r="I128" i="18"/>
  <c r="G129" i="18" l="1"/>
  <c r="F130" i="18"/>
  <c r="H129" i="18"/>
  <c r="I129" i="18"/>
  <c r="J129" i="18"/>
  <c r="F131" i="18" l="1"/>
  <c r="G130" i="18"/>
  <c r="H130" i="18"/>
  <c r="J130" i="18"/>
  <c r="I130" i="18"/>
  <c r="F132" i="18" l="1"/>
  <c r="G131" i="18"/>
  <c r="H131" i="18"/>
  <c r="I131" i="18"/>
  <c r="J131" i="18"/>
  <c r="F133" i="18" l="1"/>
  <c r="G132" i="18"/>
  <c r="I132" i="18" s="1"/>
  <c r="H132" i="18"/>
  <c r="J132" i="18"/>
  <c r="F134" i="18" l="1"/>
  <c r="G133" i="18"/>
  <c r="I133" i="18"/>
  <c r="H133" i="18"/>
  <c r="J133" i="18"/>
  <c r="F135" i="18" l="1"/>
  <c r="G134" i="18"/>
  <c r="J134" i="18"/>
  <c r="H134" i="18"/>
  <c r="I134" i="18"/>
  <c r="F136" i="18" l="1"/>
  <c r="G135" i="18"/>
  <c r="H135" i="18"/>
  <c r="J135" i="18"/>
  <c r="I135" i="18"/>
  <c r="G136" i="18" l="1"/>
  <c r="F137" i="18"/>
  <c r="J136" i="18"/>
  <c r="I136" i="18"/>
  <c r="H136" i="18"/>
  <c r="F138" i="18" l="1"/>
  <c r="G137" i="18"/>
  <c r="H137" i="18"/>
  <c r="J137" i="18"/>
  <c r="I137" i="18"/>
  <c r="F139" i="18" l="1"/>
  <c r="G138" i="18"/>
  <c r="I138" i="18"/>
  <c r="H138" i="18"/>
  <c r="J138" i="18"/>
  <c r="G139" i="18" l="1"/>
  <c r="F140" i="18"/>
  <c r="I139" i="18"/>
  <c r="J139" i="18"/>
  <c r="H139" i="18"/>
  <c r="F141" i="18" l="1"/>
  <c r="G140" i="18"/>
  <c r="J140" i="18"/>
  <c r="I140" i="18"/>
  <c r="H140" i="18"/>
  <c r="F142" i="18" l="1"/>
  <c r="G141" i="18"/>
  <c r="H141" i="18"/>
  <c r="I141" i="18"/>
  <c r="J141" i="18"/>
  <c r="G142" i="18" l="1"/>
  <c r="J142" i="18" s="1"/>
  <c r="F143" i="18"/>
  <c r="H142" i="18"/>
  <c r="I142" i="18"/>
  <c r="F144" i="18" l="1"/>
  <c r="G143" i="18"/>
  <c r="H143" i="18"/>
  <c r="J143" i="18"/>
  <c r="I143" i="18"/>
  <c r="G144" i="18" l="1"/>
  <c r="F145" i="18"/>
  <c r="I144" i="18"/>
  <c r="J144" i="18"/>
  <c r="H144" i="18"/>
  <c r="G145" i="18" l="1"/>
  <c r="F146" i="18"/>
  <c r="J145" i="18"/>
  <c r="H145" i="18"/>
  <c r="I145" i="18"/>
  <c r="F147" i="18" l="1"/>
  <c r="G146" i="18"/>
  <c r="I146" i="18"/>
  <c r="H146" i="18"/>
  <c r="J146" i="18"/>
  <c r="F148" i="18" l="1"/>
  <c r="G147" i="18"/>
  <c r="I147" i="18"/>
  <c r="H147" i="18"/>
  <c r="J147" i="18"/>
  <c r="F149" i="18" l="1"/>
  <c r="G148" i="18"/>
  <c r="H148" i="18"/>
  <c r="I148" i="18"/>
  <c r="J148" i="18"/>
  <c r="F150" i="18" l="1"/>
  <c r="G149" i="18"/>
  <c r="I149" i="18" s="1"/>
  <c r="H149" i="18"/>
  <c r="J149" i="18"/>
  <c r="F151" i="18" l="1"/>
  <c r="G150" i="18"/>
  <c r="H150" i="18"/>
  <c r="J150" i="18"/>
  <c r="I150" i="18"/>
  <c r="F152" i="18" l="1"/>
  <c r="G151" i="18"/>
  <c r="H151" i="18"/>
  <c r="I151" i="18"/>
  <c r="J151" i="18"/>
  <c r="G152" i="18" l="1"/>
  <c r="F153" i="18"/>
  <c r="J152" i="18"/>
  <c r="I152" i="18"/>
  <c r="H152" i="18"/>
  <c r="F154" i="18" l="1"/>
  <c r="G153" i="18"/>
  <c r="I153" i="18"/>
  <c r="H153" i="18"/>
  <c r="J153" i="18"/>
  <c r="F155" i="18" l="1"/>
  <c r="G154" i="18"/>
  <c r="H154" i="18"/>
  <c r="J154" i="18"/>
  <c r="I154" i="18"/>
  <c r="G155" i="18" l="1"/>
  <c r="F156" i="18"/>
  <c r="H155" i="18"/>
  <c r="J155" i="18"/>
  <c r="I155" i="18"/>
  <c r="F157" i="18" l="1"/>
  <c r="G156" i="18"/>
  <c r="I156" i="18"/>
  <c r="H156" i="18"/>
  <c r="J156" i="18"/>
  <c r="F158" i="18" l="1"/>
  <c r="G157" i="18"/>
  <c r="I157" i="18"/>
  <c r="J157" i="18"/>
  <c r="H157" i="18"/>
  <c r="G158" i="18" l="1"/>
  <c r="F159" i="18"/>
  <c r="I158" i="18"/>
  <c r="H158" i="18"/>
  <c r="J158" i="18"/>
  <c r="F160" i="18" l="1"/>
  <c r="G159" i="18"/>
  <c r="J159" i="18"/>
  <c r="H159" i="18"/>
  <c r="I159" i="18"/>
  <c r="F161" i="18" l="1"/>
  <c r="G160" i="18"/>
  <c r="J160" i="18"/>
  <c r="I160" i="18"/>
  <c r="H160" i="18"/>
  <c r="G161" i="18" l="1"/>
  <c r="F162" i="18"/>
  <c r="H161" i="18"/>
  <c r="J161" i="18"/>
  <c r="I161" i="18"/>
  <c r="F163" i="18" l="1"/>
  <c r="G162" i="18"/>
  <c r="H162" i="18"/>
  <c r="I162" i="18"/>
  <c r="J162" i="18"/>
  <c r="F164" i="18" l="1"/>
  <c r="G163" i="18"/>
  <c r="H163" i="18"/>
  <c r="J163" i="18"/>
  <c r="I163" i="18"/>
  <c r="F165" i="18" l="1"/>
  <c r="G164" i="18"/>
  <c r="H164" i="18"/>
  <c r="I164" i="18"/>
  <c r="J164" i="18"/>
  <c r="F166" i="18" l="1"/>
  <c r="G165" i="18"/>
  <c r="J165" i="18"/>
  <c r="H165" i="18"/>
  <c r="I165" i="18"/>
  <c r="F167" i="18" l="1"/>
  <c r="G166" i="18"/>
  <c r="H166" i="18"/>
  <c r="J166" i="18"/>
  <c r="I166" i="18"/>
  <c r="F168" i="18" l="1"/>
  <c r="G167" i="18"/>
  <c r="I167" i="18"/>
  <c r="J167" i="18"/>
  <c r="H167" i="18"/>
  <c r="G168" i="18" l="1"/>
  <c r="F169" i="18"/>
  <c r="J168" i="18"/>
  <c r="I168" i="18"/>
  <c r="H168" i="18"/>
  <c r="F170" i="18" l="1"/>
  <c r="G169" i="18"/>
  <c r="H169" i="18"/>
  <c r="J169" i="18"/>
  <c r="I169" i="18"/>
  <c r="F171" i="18" l="1"/>
  <c r="G170" i="18"/>
  <c r="J170" i="18"/>
  <c r="I170" i="18"/>
  <c r="H170" i="18"/>
  <c r="G171" i="18" l="1"/>
  <c r="F172" i="18"/>
  <c r="J171" i="18"/>
  <c r="I171" i="18"/>
  <c r="H171" i="18"/>
  <c r="F173" i="18" l="1"/>
  <c r="G172" i="18"/>
  <c r="J172" i="18" s="1"/>
  <c r="H172" i="18"/>
  <c r="I172" i="18"/>
  <c r="F174" i="18" l="1"/>
  <c r="G173" i="18"/>
  <c r="J173" i="18"/>
  <c r="H173" i="18"/>
  <c r="I173" i="18"/>
  <c r="G174" i="18" l="1"/>
  <c r="F175" i="18"/>
  <c r="J174" i="18"/>
  <c r="I174" i="18"/>
  <c r="H174" i="18"/>
  <c r="F176" i="18" l="1"/>
  <c r="G175" i="18"/>
  <c r="H175" i="18" s="1"/>
  <c r="I175" i="18"/>
  <c r="J175" i="18"/>
  <c r="G176" i="18" l="1"/>
  <c r="F177" i="18"/>
  <c r="I176" i="18"/>
  <c r="J176" i="18"/>
  <c r="H176" i="18"/>
  <c r="G177" i="18" l="1"/>
  <c r="J177" i="18" s="1"/>
  <c r="F178" i="18"/>
  <c r="H177" i="18"/>
  <c r="I177" i="18"/>
  <c r="F179" i="18" l="1"/>
  <c r="G178" i="18"/>
  <c r="I178" i="18"/>
  <c r="J178" i="18"/>
  <c r="H178" i="18"/>
  <c r="F180" i="18" l="1"/>
  <c r="G179" i="18"/>
  <c r="H179" i="18" s="1"/>
  <c r="J179" i="18"/>
  <c r="I179" i="18"/>
  <c r="F181" i="18" l="1"/>
  <c r="G180" i="18"/>
  <c r="H180" i="18"/>
  <c r="I180" i="18"/>
  <c r="J180" i="18"/>
  <c r="F182" i="18" l="1"/>
  <c r="G181" i="18"/>
  <c r="H181" i="18"/>
  <c r="I181" i="18"/>
  <c r="J181" i="18"/>
  <c r="F183" i="18" l="1"/>
  <c r="G182" i="18"/>
  <c r="I182" i="18"/>
  <c r="J182" i="18"/>
  <c r="H182" i="18"/>
  <c r="F184" i="18" l="1"/>
  <c r="G183" i="18"/>
  <c r="I183" i="18"/>
  <c r="J183" i="18"/>
  <c r="H183" i="18"/>
  <c r="G184" i="18" l="1"/>
  <c r="F185" i="18"/>
  <c r="I184" i="18"/>
  <c r="J184" i="18"/>
  <c r="H184" i="18"/>
  <c r="F186" i="18" l="1"/>
  <c r="G185" i="18"/>
  <c r="J185" i="18"/>
  <c r="I185" i="18"/>
  <c r="H185" i="18"/>
  <c r="F187" i="18" l="1"/>
  <c r="G186" i="18"/>
  <c r="H186" i="18"/>
  <c r="I186" i="18"/>
  <c r="J186" i="18"/>
  <c r="G187" i="18" l="1"/>
  <c r="F188" i="18"/>
  <c r="J187" i="18"/>
  <c r="I187" i="18"/>
  <c r="H187" i="18"/>
  <c r="F189" i="18" l="1"/>
  <c r="G188" i="18"/>
  <c r="H188" i="18"/>
  <c r="I188" i="18"/>
  <c r="J188" i="18"/>
  <c r="F190" i="18" l="1"/>
  <c r="G189" i="18"/>
  <c r="I189" i="18"/>
  <c r="J189" i="18"/>
  <c r="H189" i="18"/>
  <c r="G190" i="18" l="1"/>
  <c r="F191" i="18"/>
  <c r="I190" i="18"/>
  <c r="H190" i="18"/>
  <c r="J190" i="18"/>
  <c r="F192" i="18" l="1"/>
  <c r="G191" i="18"/>
  <c r="I191" i="18"/>
  <c r="H191" i="18"/>
  <c r="J191" i="18"/>
  <c r="G192" i="18" l="1"/>
  <c r="F193" i="18"/>
  <c r="I192" i="18"/>
  <c r="H192" i="18"/>
  <c r="J192" i="18"/>
  <c r="G193" i="18" l="1"/>
  <c r="J193" i="18" s="1"/>
  <c r="F194" i="18"/>
  <c r="H193" i="18"/>
  <c r="I193" i="18"/>
  <c r="F195" i="18" l="1"/>
  <c r="G194" i="18"/>
  <c r="J194" i="18"/>
  <c r="I194" i="18"/>
  <c r="H194" i="18"/>
  <c r="F196" i="18" l="1"/>
  <c r="G195" i="18"/>
  <c r="J195" i="18"/>
  <c r="I195" i="18"/>
  <c r="H195" i="18"/>
  <c r="F197" i="18" l="1"/>
  <c r="G196" i="18"/>
  <c r="J196" i="18" s="1"/>
  <c r="I196" i="18"/>
  <c r="H196" i="18"/>
  <c r="F198" i="18" l="1"/>
  <c r="G197" i="18"/>
  <c r="H197" i="18"/>
  <c r="J197" i="18"/>
  <c r="I197" i="18"/>
  <c r="F199" i="18" l="1"/>
  <c r="G198" i="18"/>
  <c r="I198" i="18"/>
  <c r="J198" i="18"/>
  <c r="H198" i="18"/>
  <c r="F200" i="18" l="1"/>
  <c r="G199" i="18"/>
  <c r="H199" i="18" s="1"/>
  <c r="I199" i="18"/>
  <c r="J199" i="18" l="1"/>
  <c r="G200" i="18"/>
  <c r="H200" i="18" s="1"/>
  <c r="F201" i="18"/>
  <c r="I200" i="18" l="1"/>
  <c r="J200" i="18"/>
  <c r="F202" i="18"/>
  <c r="G201" i="18"/>
  <c r="I201" i="18" s="1"/>
  <c r="H201" i="18"/>
  <c r="J201" i="18" l="1"/>
  <c r="F203" i="18"/>
  <c r="G202" i="18"/>
  <c r="I202" i="18" s="1"/>
  <c r="H202" i="18"/>
  <c r="J202" i="18" l="1"/>
  <c r="G203" i="18"/>
  <c r="F204" i="18"/>
  <c r="H203" i="18"/>
  <c r="I203" i="18"/>
  <c r="J203" i="18"/>
  <c r="F205" i="18" l="1"/>
  <c r="G204" i="18"/>
  <c r="J204" i="18"/>
  <c r="H204" i="18"/>
  <c r="I204" i="18"/>
  <c r="F206" i="18" l="1"/>
  <c r="G205" i="18"/>
  <c r="H205" i="18"/>
  <c r="I205" i="18"/>
  <c r="J205" i="18"/>
  <c r="G206" i="18" l="1"/>
  <c r="F207" i="18"/>
  <c r="I206" i="18"/>
  <c r="H206" i="18"/>
  <c r="J206" i="18"/>
  <c r="F208" i="18" l="1"/>
  <c r="G207" i="18"/>
  <c r="I207" i="18"/>
  <c r="J207" i="18"/>
  <c r="H207" i="18"/>
  <c r="F209" i="18" l="1"/>
  <c r="G208" i="18"/>
  <c r="I208" i="18"/>
  <c r="H208" i="18"/>
  <c r="J208" i="18"/>
  <c r="G209" i="18" l="1"/>
  <c r="J209" i="18"/>
  <c r="I209" i="18"/>
  <c r="H209" i="1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<sst xmlns="http://schemas.openxmlformats.org/spreadsheetml/2006/main" count="369" uniqueCount="242">
  <si>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</si>
  <si>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</si>
  <si>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</si>
  <si>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</si>
  <si>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</si>
  <si>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12th May, 2024</t>
    </r>
  </si>
  <si>
    <t>min</t>
  </si>
  <si>
    <t>max</t>
  </si>
  <si>
    <t>Inputs</t>
  </si>
  <si>
    <t>Azimuth</t>
  </si>
  <si>
    <t>Altitude</t>
  </si>
  <si>
    <t>RA</t>
  </si>
  <si>
    <t>Decl</t>
  </si>
  <si>
    <t>HA</t>
  </si>
  <si>
    <t>Date</t>
  </si>
  <si>
    <t>Time</t>
  </si>
  <si>
    <t>Timezone</t>
  </si>
  <si>
    <t>Leap year?</t>
  </si>
  <si>
    <t>Day nr.</t>
  </si>
  <si>
    <t>Weekday</t>
  </si>
  <si>
    <t>JDE</t>
  </si>
  <si>
    <t>Delta days</t>
  </si>
  <si>
    <t>φ    (latitude)</t>
  </si>
  <si>
    <t>L     (longitude)</t>
  </si>
  <si>
    <t>UT  (hours)</t>
  </si>
  <si>
    <t>LST (degrees)</t>
  </si>
  <si>
    <t>Spindle Galaxy</t>
  </si>
  <si>
    <t>NGC/IC</t>
  </si>
  <si>
    <t>NGC 188</t>
  </si>
  <si>
    <t>NGC 40</t>
  </si>
  <si>
    <t>NGC 4236</t>
  </si>
  <si>
    <t>NGC 7023</t>
  </si>
  <si>
    <t>IC 342</t>
  </si>
  <si>
    <t>NGC 6543</t>
  </si>
  <si>
    <t>NGC 2403</t>
  </si>
  <si>
    <t>NGC 559</t>
  </si>
  <si>
    <t>Sh2-155</t>
  </si>
  <si>
    <t>NGC 663</t>
  </si>
  <si>
    <t>NGC 7635</t>
  </si>
  <si>
    <t>NGC 6946</t>
  </si>
  <si>
    <t>NGC 457</t>
  </si>
  <si>
    <t>NGC 869/884</t>
  </si>
  <si>
    <t>NGC 6826</t>
  </si>
  <si>
    <t>NGC 7243</t>
  </si>
  <si>
    <t>NGC 147</t>
  </si>
  <si>
    <t>NGC 185</t>
  </si>
  <si>
    <t>IC 5146</t>
  </si>
  <si>
    <t>NGC 7000</t>
  </si>
  <si>
    <t>NGC 4449</t>
  </si>
  <si>
    <t>NGC 7662</t>
  </si>
  <si>
    <t>NGC 891</t>
  </si>
  <si>
    <t>NGC 1275</t>
  </si>
  <si>
    <t>NGC 2419</t>
  </si>
  <si>
    <t>NGC 4244</t>
  </si>
  <si>
    <t>NGC 6888</t>
  </si>
  <si>
    <t>NGC 752</t>
  </si>
  <si>
    <t>NGC 5005</t>
  </si>
  <si>
    <t>NGC 7331</t>
  </si>
  <si>
    <t>IC 405</t>
  </si>
  <si>
    <t>NGC 4631</t>
  </si>
  <si>
    <t>NGC 6992/5</t>
  </si>
  <si>
    <t>NGC 6960</t>
  </si>
  <si>
    <t>NGC 4889</t>
  </si>
  <si>
    <t>NGC 4559</t>
  </si>
  <si>
    <t>NGC 6885</t>
  </si>
  <si>
    <t>NGC 4565</t>
  </si>
  <si>
    <t>NGC 2392</t>
  </si>
  <si>
    <t>NGC 3626</t>
  </si>
  <si>
    <t>none</t>
  </si>
  <si>
    <t>NGC 7006</t>
  </si>
  <si>
    <t>NGC 7814</t>
  </si>
  <si>
    <t>NGC 7479</t>
  </si>
  <si>
    <t>NGC 5248</t>
  </si>
  <si>
    <t>NGC 2261</t>
  </si>
  <si>
    <t>NGC 6934</t>
  </si>
  <si>
    <t>NGC 2775</t>
  </si>
  <si>
    <t>NGC 2237-9</t>
  </si>
  <si>
    <t>NGC 2244</t>
  </si>
  <si>
    <t>IC 1613</t>
  </si>
  <si>
    <t>NGC 4697</t>
  </si>
  <si>
    <t>NGC 3115</t>
  </si>
  <si>
    <t>NGC 2506</t>
  </si>
  <si>
    <t>NGC 7009</t>
  </si>
  <si>
    <t>NGC 246</t>
  </si>
  <si>
    <t>NGC 6822</t>
  </si>
  <si>
    <t>NGC 2360</t>
  </si>
  <si>
    <t>NGC 3242</t>
  </si>
  <si>
    <t>NGC 4038</t>
  </si>
  <si>
    <t>NGC 4039</t>
  </si>
  <si>
    <t>NGC 247</t>
  </si>
  <si>
    <t>NGC 7293</t>
  </si>
  <si>
    <t>NGC 2362</t>
  </si>
  <si>
    <t>NGC 253</t>
  </si>
  <si>
    <t>NGC 5694</t>
  </si>
  <si>
    <t>NGC 1097</t>
  </si>
  <si>
    <t>NGC 6729</t>
  </si>
  <si>
    <t>NGC 6302</t>
  </si>
  <si>
    <t>NGC 300</t>
  </si>
  <si>
    <t>NGC 2477</t>
  </si>
  <si>
    <t>NGC 55</t>
  </si>
  <si>
    <t>NGC 1851</t>
  </si>
  <si>
    <t>NGC 3132</t>
  </si>
  <si>
    <t>NGC 6124</t>
  </si>
  <si>
    <t>NGC 6231</t>
  </si>
  <si>
    <t>NGC 5128</t>
  </si>
  <si>
    <t>NGC 6541</t>
  </si>
  <si>
    <t>NGC 3201</t>
  </si>
  <si>
    <t>NGC 5139</t>
  </si>
  <si>
    <t>NGC 6352</t>
  </si>
  <si>
    <t>NGC 6193</t>
  </si>
  <si>
    <t>NGC 4945</t>
  </si>
  <si>
    <t>NGC 5286</t>
  </si>
  <si>
    <t>IC 2391</t>
  </si>
  <si>
    <t>NGC 6397</t>
  </si>
  <si>
    <t>NGC 1261</t>
  </si>
  <si>
    <t>NGC 5823</t>
  </si>
  <si>
    <t>NGC 6087</t>
  </si>
  <si>
    <t>NGC 2867</t>
  </si>
  <si>
    <t>NGC 3532</t>
  </si>
  <si>
    <t>NGC 3372</t>
  </si>
  <si>
    <t>NGC 6752</t>
  </si>
  <si>
    <t>NGC 4755</t>
  </si>
  <si>
    <t>NGC 6025</t>
  </si>
  <si>
    <t>NGC 2516</t>
  </si>
  <si>
    <t>NGC 3766</t>
  </si>
  <si>
    <t>NGC 4609</t>
  </si>
  <si>
    <t>IC 2944</t>
  </si>
  <si>
    <t>NGC 6744</t>
  </si>
  <si>
    <t>IC 2602</t>
  </si>
  <si>
    <t>NGC 2070</t>
  </si>
  <si>
    <t>NGC 362</t>
  </si>
  <si>
    <t>NGC 4833</t>
  </si>
  <si>
    <t>NGC 104</t>
  </si>
  <si>
    <t>NGC 6101</t>
  </si>
  <si>
    <t>NGC 4372</t>
  </si>
  <si>
    <t>NGC 3195</t>
  </si>
  <si>
    <t>Bow Tie Nebula</t>
  </si>
  <si>
    <t>Iris Nebula</t>
  </si>
  <si>
    <t>Cat's Eye Nebula</t>
  </si>
  <si>
    <t>Cave Nebula</t>
  </si>
  <si>
    <t>Bubble nebula</t>
  </si>
  <si>
    <t>Owl or E.T. Cluster</t>
  </si>
  <si>
    <t>Double Cluster, h &amp; chi Persei</t>
  </si>
  <si>
    <t>Cocoon Nebula</t>
  </si>
  <si>
    <t>North America Nebula</t>
  </si>
  <si>
    <t>Blue Snowball</t>
  </si>
  <si>
    <t>Perseus A</t>
  </si>
  <si>
    <t>Crescent Nebula</t>
  </si>
  <si>
    <t>Flaming Star Nebula</t>
  </si>
  <si>
    <t>Whale Galaxy</t>
  </si>
  <si>
    <t>Needle Galaxy</t>
  </si>
  <si>
    <t>Eskimo or Clown Nebula</t>
  </si>
  <si>
    <t>Hyades</t>
  </si>
  <si>
    <t>Hubble's Variable Nebula</t>
  </si>
  <si>
    <t>Rosette Nebula</t>
  </si>
  <si>
    <t>Saturn Nebula</t>
  </si>
  <si>
    <t>Barnard's Galaxy</t>
  </si>
  <si>
    <t>Ghost of Jupiter</t>
  </si>
  <si>
    <t>Antennae Galaxies</t>
  </si>
  <si>
    <t>Helix Nebula</t>
  </si>
  <si>
    <t>Sculptor Galaxy</t>
  </si>
  <si>
    <t>Eight Burst Nebula</t>
  </si>
  <si>
    <t>Omega Centauri</t>
  </si>
  <si>
    <t>S Norma Cluster</t>
  </si>
  <si>
    <t>Eta Carinae Nebula</t>
  </si>
  <si>
    <t>Jewel Box</t>
  </si>
  <si>
    <t>Coalsack Nebula</t>
  </si>
  <si>
    <t>Lambda Centauri Nebula</t>
  </si>
  <si>
    <t>Theta Car Cluster</t>
  </si>
  <si>
    <t>Tarantula Nebula</t>
  </si>
  <si>
    <t>47 Tucanae</t>
  </si>
  <si>
    <t>The Caldwell catalogue is an astronomical catalogue of 109 star clusters, nebulae, and galaxies for observation by amateur astronomers. The list was compiled by Patrick Moore as a complement to the Messier catalogue. While the Messier catalogue is used by amateur astronomers as a list of deep-sky objects for observation, Moore noted that Messier's list was not compiled for that purpose and excluded many of the sky's brightest deep-sky objects. This spreadsheet enables one to specify date/time/timezone and limits regarding the field of view (azimuth, altitude). The Caldwell objects that are visible will be highlighted.</t>
  </si>
  <si>
    <t>Source</t>
  </si>
  <si>
    <t>C#</t>
  </si>
  <si>
    <t>Hidden Galaxy</t>
  </si>
  <si>
    <t>Horseshoe Cluster</t>
  </si>
  <si>
    <t>Fireworks Galaxy</t>
  </si>
  <si>
    <t>Blinking Eye Nebula</t>
  </si>
  <si>
    <t>Outer Limits Galaxy</t>
  </si>
  <si>
    <t>Intergalactic Wanderer</t>
  </si>
  <si>
    <t>Silver Needle Galaxy</t>
  </si>
  <si>
    <t>Eastern Veil Nebula</t>
  </si>
  <si>
    <t>Witch's Broom Nebula</t>
  </si>
  <si>
    <t>Coma Galaxy Cluster</t>
  </si>
  <si>
    <t>Little Sombrero Galaxy</t>
  </si>
  <si>
    <t>Rosettte Cluster</t>
  </si>
  <si>
    <t>Skull Nebula</t>
  </si>
  <si>
    <t>Tau Canis Majoris Cluster</t>
  </si>
  <si>
    <t>Butterfly Nebula</t>
  </si>
  <si>
    <t>Southern Pinwheel Galaxy</t>
  </si>
  <si>
    <t>Centaurus A Galaxy</t>
  </si>
  <si>
    <t>Omicron Velorum Cluster</t>
  </si>
  <si>
    <t>Common Name</t>
  </si>
  <si>
    <t>Date, time, location</t>
  </si>
  <si>
    <t>Field of view limits (azimuth, altitude)</t>
  </si>
  <si>
    <t>Visible objects (based on criteria)</t>
  </si>
  <si>
    <t>Location</t>
  </si>
  <si>
    <t>Home</t>
  </si>
  <si>
    <t>Marker name</t>
  </si>
  <si>
    <t>Observed?</t>
  </si>
  <si>
    <t>values</t>
  </si>
  <si>
    <t>x</t>
  </si>
  <si>
    <t>Can for instance be used to indicate whether an object is of special interest</t>
  </si>
  <si>
    <t>-</t>
  </si>
  <si>
    <t>Locations</t>
  </si>
  <si>
    <t>Name</t>
  </si>
  <si>
    <t>φ (latitude)</t>
  </si>
  <si>
    <t>L (longitude)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</si>
  <si>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</si>
  <si>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</si>
  <si>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</si>
  <si>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</si>
  <si>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</si>
  <si>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</si>
  <si>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</si>
  <si>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</si>
  <si>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</si>
  <si>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</si>
  <si>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</si>
  <si>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</si>
  <si>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</si>
  <si>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k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</si>
  <si>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</si>
  <si>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</si>
  <si>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</si>
  <si>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</si>
  <si>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</si>
  <si>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</si>
  <si>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</si>
  <si>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</si>
  <si>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</si>
  <si>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</si>
  <si>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</si>
  <si>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</si>
  <si>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</si>
  <si>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</si>
  <si>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</si>
  <si>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</si>
  <si>
    <t>V1.2</t>
  </si>
  <si>
    <t>include?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</si>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</sst>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[$]hh:mm;@" x16r2:formatCode16="[$-en-CH,1]hh:mm;@"/>
    <numFmt numFmtId="166" formatCode="#,##0.000"/>
    <numFmt numFmtId="167" formatCode="0.0000"/>
  </numFmts>
  <fonts count="4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color rgb="FF000000"/>
      <name val="Calibri"/>
      <family val="2"/>
    </font>
    <font>
      <sz val="11"/>
      <name val="ＭＳ Ｐゴシック"/>
      <family val="2"/>
      <charset val="128"/>
    </font>
    <font>
      <sz val="12"/>
      <name val="Calibri"/>
      <family val="2"/>
    </font>
    <font>
      <b/>
      <sz val="12"/>
      <name val="Calibri"/>
      <family val="2"/>
    </font>
    <font>
      <sz val="12"/>
      <color rgb="FF202122"/>
      <name val="Calibri"/>
      <family val="2"/>
    </font>
    <font>
      <sz val="10"/>
      <color indexed="8"/>
      <name val="Arial"/>
      <family val="2"/>
    </font>
    <font>
      <sz val="12"/>
      <color indexed="8"/>
      <name val="Calibri"/>
      <family val="2"/>
    </font>
    <font>
      <b/>
      <i/>
      <sz val="12"/>
      <color indexed="8"/>
      <name val="Calibri"/>
      <family val="2"/>
    </font>
    <font>
      <u/>
      <sz val="12"/>
      <color theme="1"/>
      <name val="Calibri"/>
      <family val="2"/>
      <scheme val="minor"/>
    </font>
    <font>
      <sz val="14"/>
      <color rgb="FFFFFFF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 (Body)"/>
    </font>
    <font>
      <sz val="12"/>
      <color theme="1"/>
      <name val="Calibri (Body)"/>
    </font>
    <font>
      <sz val="12"/>
      <color rgb="FFFFFFFF"/>
      <name val="Calibri (Body)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vertAlign val="subscript"/>
      <sz val="12"/>
      <name val="Calibri"/>
      <family val="2"/>
    </font>
    <font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51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4" fillId="0" borderId="0"/>
    <xf numFmtId="0" fontId="19" fillId="0" borderId="0"/>
    <xf numFmtId="0" fontId="23" fillId="0" borderId="0"/>
    <xf numFmtId="0" fontId="6" fillId="0" borderId="0" applyNumberFormat="0" applyFill="0" applyBorder="0" applyAlignment="0" applyProtection="0"/>
    <xf numFmtId="0" fontId="34" fillId="0" borderId="0"/>
    <xf numFmtId="0" fontId="35" fillId="0" borderId="0"/>
    <xf numFmtId="0" fontId="1" fillId="0" borderId="0"/>
    <xf numFmtId="0" fontId="36" fillId="0" borderId="0"/>
  </cellStyleXfs>
  <cellXfs count="177">
    <xf numFmtId="0" fontId="0" fillId="0" borderId="0" xfId="0"/>
    <xf numFmtId="0" fontId="10" fillId="2" borderId="1" xfId="41" applyFont="1" applyFill="1" applyBorder="1" applyAlignment="1">
      <alignment horizontal="left"/>
    </xf>
    <xf numFmtId="0" fontId="10" fillId="2" borderId="2" xfId="41" applyFont="1" applyFill="1" applyBorder="1" applyAlignment="1">
      <alignment horizontal="center"/>
    </xf>
    <xf numFmtId="0" fontId="10" fillId="2" borderId="2" xfId="41" applyFont="1" applyFill="1" applyBorder="1"/>
    <xf numFmtId="0" fontId="12" fillId="2" borderId="3" xfId="42" applyFont="1" applyFill="1" applyBorder="1" applyAlignment="1">
      <alignment horizontal="center"/>
    </xf>
    <xf numFmtId="0" fontId="13" fillId="2" borderId="4" xfId="42" applyFont="1" applyFill="1" applyBorder="1" applyAlignment="1">
      <alignment horizontal="left"/>
    </xf>
    <xf numFmtId="0" fontId="10" fillId="2" borderId="0" xfId="41" applyFont="1" applyFill="1" applyAlignment="1">
      <alignment horizontal="center"/>
    </xf>
    <xf numFmtId="0" fontId="10" fillId="2" borderId="0" xfId="41" applyFont="1" applyFill="1"/>
    <xf numFmtId="0" fontId="10" fillId="2" borderId="5" xfId="41" applyFont="1" applyFill="1" applyBorder="1" applyAlignment="1">
      <alignment horizontal="center"/>
    </xf>
    <xf numFmtId="0" fontId="10" fillId="2" borderId="6" xfId="42" applyFont="1" applyFill="1" applyBorder="1" applyAlignment="1">
      <alignment horizontal="left"/>
    </xf>
    <xf numFmtId="0" fontId="10" fillId="2" borderId="8" xfId="42" applyFont="1" applyFill="1" applyBorder="1" applyAlignment="1">
      <alignment horizontal="left"/>
    </xf>
    <xf numFmtId="0" fontId="10" fillId="2" borderId="8" xfId="41" applyFont="1" applyFill="1" applyBorder="1"/>
    <xf numFmtId="0" fontId="11" fillId="2" borderId="7" xfId="41" applyFont="1" applyFill="1" applyBorder="1" applyAlignment="1">
      <alignment horizontal="center"/>
    </xf>
    <xf numFmtId="0" fontId="4" fillId="0" borderId="0" xfId="43"/>
    <xf numFmtId="0" fontId="4" fillId="0" borderId="0" xfId="43" applyAlignment="1">
      <alignment horizontal="center"/>
    </xf>
    <xf numFmtId="0" fontId="16" fillId="0" borderId="0" xfId="43" applyFont="1"/>
    <xf numFmtId="0" fontId="16" fillId="0" borderId="12" xfId="43" applyFont="1" applyBorder="1" applyAlignment="1">
      <alignment horizontal="right"/>
    </xf>
    <xf numFmtId="0" fontId="16" fillId="0" borderId="12" xfId="43" applyFont="1" applyBorder="1"/>
    <xf numFmtId="0" fontId="16" fillId="0" borderId="0" xfId="43" applyFont="1" applyAlignment="1">
      <alignment horizontal="right"/>
    </xf>
    <xf numFmtId="2" fontId="4" fillId="0" borderId="12" xfId="43" applyNumberFormat="1" applyBorder="1"/>
    <xf numFmtId="0" fontId="20" fillId="0" borderId="12" xfId="44" applyFont="1" applyBorder="1" applyAlignment="1">
      <alignment vertical="center"/>
    </xf>
    <xf numFmtId="0" fontId="22" fillId="0" borderId="12" xfId="43" applyFont="1" applyBorder="1" applyAlignment="1">
      <alignment vertical="center"/>
    </xf>
    <xf numFmtId="2" fontId="4" fillId="0" borderId="12" xfId="43" applyNumberFormat="1" applyBorder="1" applyAlignment="1">
      <alignment horizontal="right"/>
    </xf>
    <xf numFmtId="14" fontId="17" fillId="3" borderId="12" xfId="43" applyNumberFormat="1" applyFont="1" applyFill="1" applyBorder="1" applyAlignment="1" applyProtection="1">
      <alignment horizontal="right"/>
      <protection locked="0"/>
    </xf>
    <xf numFmtId="1" fontId="21" fillId="3" borderId="12" xfId="44" applyNumberFormat="1" applyFont="1" applyFill="1" applyBorder="1" applyAlignment="1" applyProtection="1">
      <alignment horizontal="right" vertical="center"/>
      <protection locked="0"/>
    </xf>
    <xf numFmtId="1" fontId="16" fillId="0" borderId="12" xfId="43" applyNumberFormat="1" applyFont="1" applyBorder="1" applyAlignment="1">
      <alignment horizontal="right"/>
    </xf>
    <xf numFmtId="0" fontId="24" fillId="0" borderId="12" xfId="45" applyFont="1" applyBorder="1" applyAlignment="1">
      <alignment horizontal="center" wrapText="1"/>
    </xf>
    <xf numFmtId="0" fontId="16" fillId="0" borderId="12" xfId="0" applyFont="1" applyBorder="1" applyAlignment="1">
      <alignment horizontal="center"/>
    </xf>
    <xf numFmtId="0" fontId="25" fillId="0" borderId="12" xfId="45" applyFont="1" applyBorder="1" applyAlignment="1">
      <alignment horizontal="center" wrapText="1"/>
    </xf>
    <xf numFmtId="0" fontId="26" fillId="0" borderId="0" xfId="46" applyFont="1"/>
    <xf numFmtId="2" fontId="16" fillId="0" borderId="12" xfId="0" applyNumberFormat="1" applyFont="1" applyBorder="1" applyAlignment="1">
      <alignment horizontal="right"/>
    </xf>
    <xf numFmtId="2" fontId="18" fillId="0" borderId="12" xfId="0" applyNumberFormat="1" applyFont="1" applyBorder="1" applyAlignment="1">
      <alignment horizontal="right"/>
    </xf>
    <xf numFmtId="2" fontId="18" fillId="0" borderId="12" xfId="0" quotePrefix="1" applyNumberFormat="1" applyFont="1" applyBorder="1" applyAlignment="1">
      <alignment horizontal="right"/>
    </xf>
    <xf numFmtId="0" fontId="27" fillId="5" borderId="13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right" vertical="center"/>
    </xf>
    <xf numFmtId="0" fontId="5" fillId="2" borderId="0" xfId="41" applyFill="1"/>
    <xf numFmtId="0" fontId="0" fillId="2" borderId="0" xfId="0" applyFill="1"/>
    <xf numFmtId="0" fontId="29" fillId="4" borderId="12" xfId="43" applyFont="1" applyFill="1" applyBorder="1" applyAlignment="1">
      <alignment horizontal="right" vertical="center"/>
    </xf>
    <xf numFmtId="0" fontId="29" fillId="4" borderId="12" xfId="43" applyFont="1" applyFill="1" applyBorder="1" applyAlignment="1">
      <alignment horizontal="center" vertical="center"/>
    </xf>
    <xf numFmtId="0" fontId="30" fillId="0" borderId="0" xfId="43" applyFont="1"/>
    <xf numFmtId="0" fontId="31" fillId="5" borderId="12" xfId="0" applyFont="1" applyFill="1" applyBorder="1" applyAlignment="1">
      <alignment horizontal="center" vertical="center"/>
    </xf>
    <xf numFmtId="0" fontId="31" fillId="5" borderId="13" xfId="0" applyFont="1" applyFill="1" applyBorder="1" applyAlignment="1">
      <alignment horizontal="center" vertical="center"/>
    </xf>
    <xf numFmtId="0" fontId="31" fillId="5" borderId="13" xfId="0" applyFont="1" applyFill="1" applyBorder="1" applyAlignment="1">
      <alignment horizontal="right" vertical="center"/>
    </xf>
    <xf numFmtId="0" fontId="4" fillId="0" borderId="4" xfId="43" applyBorder="1"/>
    <xf numFmtId="0" fontId="4" fillId="0" borderId="5" xfId="43" applyBorder="1"/>
    <xf numFmtId="0" fontId="17" fillId="3" borderId="7" xfId="43" applyFont="1" applyFill="1" applyBorder="1" applyAlignment="1">
      <alignment horizontal="right"/>
    </xf>
    <xf numFmtId="0" fontId="4" fillId="0" borderId="8" xfId="43" applyBorder="1"/>
    <xf numFmtId="0" fontId="4" fillId="0" borderId="8" xfId="43" applyBorder="1" applyAlignment="1">
      <alignment horizontal="center"/>
    </xf>
    <xf numFmtId="0" fontId="4" fillId="0" borderId="7" xfId="43" applyBorder="1"/>
    <xf numFmtId="0" fontId="28" fillId="6" borderId="15" xfId="43" applyFont="1" applyFill="1" applyBorder="1"/>
    <xf numFmtId="0" fontId="4" fillId="0" borderId="4" xfId="43" applyBorder="1" applyAlignment="1">
      <alignment horizontal="center"/>
    </xf>
    <xf numFmtId="0" fontId="4" fillId="0" borderId="6" xfId="43" applyBorder="1" applyAlignment="1">
      <alignment horizontal="center"/>
    </xf>
    <xf numFmtId="0" fontId="16" fillId="0" borderId="14" xfId="43" applyFont="1" applyBorder="1" applyAlignment="1">
      <alignment horizontal="right"/>
    </xf>
    <xf numFmtId="0" fontId="16" fillId="0" borderId="13" xfId="43" applyFont="1" applyBorder="1" applyAlignment="1">
      <alignment horizontal="right"/>
    </xf>
    <xf numFmtId="2" fontId="17" fillId="3" borderId="14" xfId="43" applyNumberFormat="1" applyFont="1" applyFill="1" applyBorder="1" applyAlignment="1" applyProtection="1">
      <alignment horizontal="right"/>
      <protection locked="0"/>
    </xf>
    <xf numFmtId="2" fontId="17" fillId="3" borderId="13" xfId="43" applyNumberFormat="1" applyFont="1" applyFill="1" applyBorder="1" applyAlignment="1" applyProtection="1">
      <alignment horizontal="right"/>
      <protection locked="0"/>
    </xf>
    <xf numFmtId="0" fontId="4" fillId="0" borderId="1" xfId="43" applyBorder="1" applyAlignment="1">
      <alignment horizontal="center"/>
    </xf>
    <xf numFmtId="0" fontId="4" fillId="0" borderId="2" xfId="43" applyBorder="1" applyAlignment="1">
      <alignment horizontal="center"/>
    </xf>
    <xf numFmtId="2" fontId="4" fillId="0" borderId="2" xfId="43" applyNumberFormat="1" applyBorder="1"/>
    <xf numFmtId="2" fontId="4" fillId="0" borderId="3" xfId="43" applyNumberFormat="1" applyBorder="1"/>
    <xf numFmtId="2" fontId="4" fillId="0" borderId="0" xfId="43" applyNumberFormat="1"/>
    <xf numFmtId="2" fontId="4" fillId="0" borderId="5" xfId="43" applyNumberFormat="1" applyBorder="1"/>
    <xf numFmtId="2" fontId="4" fillId="0" borderId="8" xfId="43" applyNumberFormat="1" applyBorder="1"/>
    <xf numFmtId="2" fontId="4" fillId="0" borderId="7" xfId="43" applyNumberFormat="1" applyBorder="1"/>
    <xf numFmtId="0" fontId="16" fillId="0" borderId="12" xfId="0" applyFont="1" applyBorder="1"/>
    <xf numFmtId="0" fontId="17" fillId="3" borderId="13" xfId="0" applyFont="1" applyFill="1" applyBorder="1" applyAlignment="1" applyProtection="1">
      <alignment horizontal="right"/>
      <protection locked="0"/>
    </xf>
    <xf numFmtId="0" fontId="17" fillId="3" borderId="16" xfId="0" applyFont="1" applyFill="1" applyBorder="1" applyAlignment="1" applyProtection="1">
      <alignment horizontal="center"/>
      <protection locked="0"/>
    </xf>
    <xf numFmtId="0" fontId="17" fillId="3" borderId="17" xfId="0" applyFont="1" applyFill="1" applyBorder="1" applyAlignment="1" applyProtection="1">
      <alignment horizontal="center"/>
      <protection locked="0"/>
    </xf>
    <xf numFmtId="0" fontId="17" fillId="3" borderId="18" xfId="0" applyFont="1" applyFill="1" applyBorder="1" applyAlignment="1" applyProtection="1">
      <alignment horizontal="center"/>
      <protection locked="0"/>
    </xf>
    <xf numFmtId="4" fontId="16" fillId="0" borderId="12" xfId="43" applyNumberFormat="1" applyFont="1" applyBorder="1" applyAlignment="1">
      <alignment horizontal="right"/>
    </xf>
    <xf numFmtId="164" fontId="4" fillId="0" borderId="12" xfId="43" applyNumberFormat="1" applyBorder="1" applyAlignment="1">
      <alignment horizontal="right"/>
    </xf>
    <xf numFmtId="0" fontId="17" fillId="3" borderId="12" xfId="0" applyFont="1" applyFill="1" applyBorder="1" applyAlignment="1" applyProtection="1">
      <alignment horizontal="center"/>
      <protection locked="0"/>
    </xf>
    <xf numFmtId="0" fontId="4" fillId="7" borderId="5" xfId="43" applyFill="1" applyBorder="1"/>
    <xf numFmtId="0" fontId="16" fillId="7" borderId="6" xfId="43" applyFont="1" applyFill="1" applyBorder="1"/>
    <xf numFmtId="0" fontId="4" fillId="7" borderId="0" xfId="43" applyFill="1"/>
    <xf numFmtId="0" fontId="4" fillId="7" borderId="0" xfId="43" applyFill="1" applyAlignment="1">
      <alignment horizontal="center"/>
    </xf>
    <xf numFmtId="0" fontId="16" fillId="7" borderId="4" xfId="43" applyFont="1" applyFill="1" applyBorder="1"/>
    <xf numFmtId="0" fontId="16" fillId="7" borderId="0" xfId="43" applyFont="1" applyFill="1"/>
    <xf numFmtId="0" fontId="16" fillId="7" borderId="8" xfId="43" applyFont="1" applyFill="1" applyBorder="1"/>
    <xf numFmtId="0" fontId="4" fillId="7" borderId="8" xfId="43" applyFill="1" applyBorder="1"/>
    <xf numFmtId="0" fontId="4" fillId="7" borderId="8" xfId="43" applyFill="1" applyBorder="1" applyAlignment="1">
      <alignment horizontal="center"/>
    </xf>
    <xf numFmtId="0" fontId="4" fillId="7" borderId="7" xfId="43" applyFill="1" applyBorder="1"/>
    <xf numFmtId="0" fontId="4" fillId="7" borderId="6" xfId="43" applyFill="1" applyBorder="1" applyAlignment="1">
      <alignment horizontal="center"/>
    </xf>
    <xf numFmtId="165" fontId="21" fillId="3" borderId="12" xfId="44" applyNumberFormat="1" applyFont="1" applyFill="1" applyBorder="1" applyAlignment="1" applyProtection="1">
      <alignment horizontal="right" vertic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28" fillId="0" borderId="0" xfId="43" applyFont="1" applyAlignment="1">
      <alignment horizontal="center"/>
    </xf>
    <xf numFmtId="0" fontId="17" fillId="0" borderId="0" xfId="43" applyFont="1" applyAlignment="1">
      <alignment horizontal="right"/>
    </xf>
    <xf numFmtId="14" fontId="17" fillId="0" borderId="0" xfId="43" applyNumberFormat="1" applyFont="1" applyAlignment="1" applyProtection="1">
      <alignment horizontal="right"/>
      <protection locked="0"/>
    </xf>
    <xf numFmtId="165" fontId="21" fillId="0" borderId="0" xfId="44" applyNumberFormat="1" applyFont="1" applyAlignment="1" applyProtection="1">
      <alignment horizontal="right" vertical="center"/>
      <protection locked="0"/>
    </xf>
    <xf numFmtId="1" fontId="21" fillId="0" borderId="0" xfId="44" applyNumberFormat="1" applyFont="1" applyAlignment="1" applyProtection="1">
      <alignment horizontal="right" vertical="center"/>
      <protection locked="0"/>
    </xf>
    <xf numFmtId="1" fontId="16" fillId="0" borderId="0" xfId="43" applyNumberFormat="1" applyFont="1" applyAlignment="1">
      <alignment horizontal="right"/>
    </xf>
    <xf numFmtId="4" fontId="16" fillId="0" borderId="0" xfId="43" applyNumberFormat="1" applyFont="1" applyAlignment="1">
      <alignment horizontal="right"/>
    </xf>
    <xf numFmtId="0" fontId="17" fillId="0" borderId="0" xfId="0" applyFont="1" applyAlignment="1" applyProtection="1">
      <alignment horizontal="right"/>
      <protection locked="0"/>
    </xf>
    <xf numFmtId="2" fontId="17" fillId="0" borderId="0" xfId="43" applyNumberFormat="1" applyFont="1" applyAlignment="1" applyProtection="1">
      <alignment horizontal="right"/>
      <protection locked="0"/>
    </xf>
    <xf numFmtId="2" fontId="4" fillId="0" borderId="0" xfId="43" applyNumberFormat="1" applyAlignment="1">
      <alignment horizontal="right"/>
    </xf>
    <xf numFmtId="0" fontId="17" fillId="0" borderId="0" xfId="0" applyFont="1" applyAlignment="1" applyProtection="1">
      <alignment horizontal="center"/>
      <protection locked="0"/>
    </xf>
    <xf numFmtId="0" fontId="2" fillId="0" borderId="12" xfId="43" applyFont="1" applyBorder="1" applyAlignment="1">
      <alignment vertical="center"/>
    </xf>
    <xf numFmtId="0" fontId="22" fillId="0" borderId="12" xfId="43" applyFont="1" applyBorder="1" applyAlignment="1">
      <alignment horizontal="right" vertical="center"/>
    </xf>
    <xf numFmtId="0" fontId="16" fillId="0" borderId="12" xfId="43" applyFont="1" applyBorder="1" applyAlignment="1">
      <alignment horizontal="right" vertical="center"/>
    </xf>
    <xf numFmtId="0" fontId="33" fillId="3" borderId="12" xfId="43" applyFont="1" applyFill="1" applyBorder="1" applyAlignment="1" applyProtection="1">
      <alignment vertical="center"/>
      <protection locked="0"/>
    </xf>
    <xf numFmtId="0" fontId="16" fillId="0" borderId="12" xfId="43" applyFont="1" applyBorder="1" applyAlignment="1">
      <alignment horizontal="center"/>
    </xf>
    <xf numFmtId="0" fontId="20" fillId="0" borderId="0" xfId="47" applyFont="1"/>
    <xf numFmtId="0" fontId="1" fillId="8" borderId="1" xfId="48" applyFont="1" applyFill="1" applyBorder="1"/>
    <xf numFmtId="0" fontId="1" fillId="8" borderId="3" xfId="48" applyFont="1" applyFill="1" applyBorder="1"/>
    <xf numFmtId="0" fontId="17" fillId="8" borderId="1" xfId="49" applyFont="1" applyFill="1" applyBorder="1" applyAlignment="1">
      <alignment horizontal="left"/>
    </xf>
    <xf numFmtId="166" fontId="16" fillId="8" borderId="2" xfId="49" applyNumberFormat="1" applyFont="1" applyFill="1" applyBorder="1"/>
    <xf numFmtId="0" fontId="16" fillId="8" borderId="2" xfId="50" applyFont="1" applyFill="1" applyBorder="1"/>
    <xf numFmtId="0" fontId="16" fillId="8" borderId="2" xfId="49" applyFont="1" applyFill="1" applyBorder="1"/>
    <xf numFmtId="0" fontId="16" fillId="8" borderId="3" xfId="50" applyFont="1" applyFill="1" applyBorder="1"/>
    <xf numFmtId="0" fontId="1" fillId="8" borderId="4" xfId="48" applyFont="1" applyFill="1" applyBorder="1"/>
    <xf numFmtId="0" fontId="1" fillId="8" borderId="5" xfId="48" applyFont="1" applyFill="1" applyBorder="1"/>
    <xf numFmtId="0" fontId="16" fillId="8" borderId="4" xfId="50" applyFont="1" applyFill="1" applyBorder="1"/>
    <xf numFmtId="0" fontId="16" fillId="8" borderId="0" xfId="50" applyFont="1" applyFill="1"/>
    <xf numFmtId="166" fontId="16" fillId="8" borderId="5" xfId="50" applyNumberFormat="1" applyFont="1" applyFill="1" applyBorder="1"/>
    <xf numFmtId="2" fontId="16" fillId="8" borderId="5" xfId="50" applyNumberFormat="1" applyFont="1" applyFill="1" applyBorder="1"/>
    <xf numFmtId="0" fontId="16" fillId="8" borderId="5" xfId="50" applyFont="1" applyFill="1" applyBorder="1"/>
    <xf numFmtId="0" fontId="16" fillId="8" borderId="6" xfId="50" applyFont="1" applyFill="1" applyBorder="1"/>
    <xf numFmtId="0" fontId="16" fillId="8" borderId="8" xfId="50" applyFont="1" applyFill="1" applyBorder="1"/>
    <xf numFmtId="0" fontId="16" fillId="8" borderId="7" xfId="50" applyFont="1" applyFill="1" applyBorder="1"/>
    <xf numFmtId="0" fontId="1" fillId="8" borderId="6" xfId="48" applyFont="1" applyFill="1" applyBorder="1"/>
    <xf numFmtId="0" fontId="1" fillId="8" borderId="7" xfId="48" applyFont="1" applyFill="1" applyBorder="1"/>
    <xf numFmtId="0" fontId="17" fillId="8" borderId="4" xfId="50" applyFont="1" applyFill="1" applyBorder="1" applyAlignment="1">
      <alignment horizontal="right"/>
    </xf>
    <xf numFmtId="0" fontId="17" fillId="8" borderId="0" xfId="50" applyFont="1" applyFill="1" applyAlignment="1">
      <alignment horizontal="right"/>
    </xf>
    <xf numFmtId="0" fontId="17" fillId="8" borderId="5" xfId="50" applyFont="1" applyFill="1" applyBorder="1" applyAlignment="1">
      <alignment horizontal="right"/>
    </xf>
    <xf numFmtId="2" fontId="16" fillId="8" borderId="4" xfId="50" applyNumberFormat="1" applyFont="1" applyFill="1" applyBorder="1"/>
    <xf numFmtId="2" fontId="16" fillId="8" borderId="0" xfId="50" applyNumberFormat="1" applyFont="1" applyFill="1"/>
    <xf numFmtId="0" fontId="37" fillId="0" borderId="0" xfId="0" applyFont="1"/>
    <xf numFmtId="0" fontId="20" fillId="8" borderId="1" xfId="47" applyFont="1" applyFill="1" applyBorder="1"/>
    <xf numFmtId="4" fontId="20" fillId="8" borderId="3" xfId="47" applyNumberFormat="1" applyFont="1" applyFill="1" applyBorder="1"/>
    <xf numFmtId="0" fontId="20" fillId="8" borderId="4" xfId="47" applyFont="1" applyFill="1" applyBorder="1"/>
    <xf numFmtId="0" fontId="20" fillId="8" borderId="5" xfId="47" applyFont="1" applyFill="1" applyBorder="1"/>
    <xf numFmtId="0" fontId="1" fillId="8" borderId="7" xfId="48" applyFont="1" applyFill="1" applyBorder="1" applyAlignment="1">
      <alignment horizontal="right"/>
    </xf>
    <xf numFmtId="0" fontId="1" fillId="8" borderId="1" xfId="0" applyFont="1" applyFill="1" applyBorder="1"/>
    <xf numFmtId="0" fontId="1" fillId="8" borderId="2" xfId="0" applyFont="1" applyFill="1" applyBorder="1"/>
    <xf numFmtId="0" fontId="1" fillId="8" borderId="3" xfId="0" applyFont="1" applyFill="1" applyBorder="1"/>
    <xf numFmtId="0" fontId="1" fillId="8" borderId="4" xfId="0" applyFont="1" applyFill="1" applyBorder="1"/>
    <xf numFmtId="0" fontId="1" fillId="8" borderId="0" xfId="0" applyFont="1" applyFill="1"/>
    <xf numFmtId="0" fontId="1" fillId="8" borderId="5" xfId="0" applyFont="1" applyFill="1" applyBorder="1"/>
    <xf numFmtId="0" fontId="1" fillId="8" borderId="6" xfId="0" applyFont="1" applyFill="1" applyBorder="1"/>
    <xf numFmtId="0" fontId="1" fillId="8" borderId="8" xfId="0" applyFont="1" applyFill="1" applyBorder="1"/>
    <xf numFmtId="0" fontId="1" fillId="8" borderId="7" xfId="0" applyFont="1" applyFill="1" applyBorder="1"/>
    <xf numFmtId="0" fontId="34" fillId="0" borderId="0" xfId="47"/>
    <xf numFmtId="2" fontId="16" fillId="8" borderId="6" xfId="50" applyNumberFormat="1" applyFont="1" applyFill="1" applyBorder="1"/>
    <xf numFmtId="2" fontId="16" fillId="8" borderId="8" xfId="50" applyNumberFormat="1" applyFont="1" applyFill="1" applyBorder="1"/>
    <xf numFmtId="2" fontId="16" fillId="8" borderId="7" xfId="50" applyNumberFormat="1" applyFont="1" applyFill="1" applyBorder="1"/>
    <xf numFmtId="0" fontId="4" fillId="7" borderId="2" xfId="43" applyFill="1" applyBorder="1" applyAlignment="1">
      <alignment horizontal="center"/>
    </xf>
    <xf numFmtId="0" fontId="4" fillId="7" borderId="2" xfId="43" applyFill="1" applyBorder="1"/>
    <xf numFmtId="0" fontId="33" fillId="7" borderId="3" xfId="43" applyFont="1" applyFill="1" applyBorder="1" applyAlignment="1">
      <alignment horizontal="right"/>
    </xf>
    <xf numFmtId="0" fontId="4" fillId="7" borderId="4" xfId="43" applyFill="1" applyBorder="1" applyAlignment="1">
      <alignment horizontal="left"/>
    </xf>
    <xf numFmtId="0" fontId="3" fillId="7" borderId="0" xfId="43" applyFont="1" applyFill="1"/>
    <xf numFmtId="14" fontId="4" fillId="7" borderId="0" xfId="43" applyNumberFormat="1" applyFill="1"/>
    <xf numFmtId="0" fontId="33" fillId="7" borderId="5" xfId="43" applyFont="1" applyFill="1" applyBorder="1" applyAlignment="1">
      <alignment horizontal="right"/>
    </xf>
    <xf numFmtId="21" fontId="4" fillId="7" borderId="0" xfId="43" applyNumberFormat="1" applyFill="1"/>
    <xf numFmtId="0" fontId="3" fillId="7" borderId="4" xfId="43" applyFont="1" applyFill="1" applyBorder="1"/>
    <xf numFmtId="0" fontId="16" fillId="0" borderId="6" xfId="43" applyFont="1" applyBorder="1"/>
    <xf numFmtId="167" fontId="33" fillId="3" borderId="12" xfId="43" applyNumberFormat="1" applyFont="1" applyFill="1" applyBorder="1" applyAlignment="1" applyProtection="1">
      <alignment vertical="center"/>
      <protection locked="0"/>
    </xf>
    <xf numFmtId="167" fontId="16" fillId="0" borderId="12" xfId="43" applyNumberFormat="1" applyFont="1" applyBorder="1" applyAlignment="1">
      <alignment horizontal="right" vertical="center"/>
    </xf>
    <xf numFmtId="0" fontId="39" fillId="0" borderId="0" xfId="43" applyFont="1"/>
    <xf numFmtId="0" fontId="14" fillId="2" borderId="1" xfId="42" applyFont="1" applyFill="1" applyBorder="1" applyAlignment="1">
      <alignment horizontal="center"/>
    </xf>
    <xf numFmtId="0" fontId="14" fillId="2" borderId="2" xfId="42" applyFont="1" applyFill="1" applyBorder="1" applyAlignment="1">
      <alignment horizontal="center"/>
    </xf>
    <xf numFmtId="0" fontId="14" fillId="2" borderId="9" xfId="42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9" fillId="2" borderId="0" xfId="41" applyFont="1" applyFill="1" applyAlignment="1">
      <alignment horizontal="center" vertical="center" wrapText="1"/>
    </xf>
    <xf numFmtId="0" fontId="16" fillId="0" borderId="14" xfId="43" applyFont="1" applyBorder="1" applyAlignment="1">
      <alignment horizontal="center"/>
    </xf>
    <xf numFmtId="0" fontId="16" fillId="0" borderId="15" xfId="43" applyFont="1" applyBorder="1" applyAlignment="1">
      <alignment horizontal="center"/>
    </xf>
    <xf numFmtId="0" fontId="16" fillId="0" borderId="13" xfId="43" applyFont="1" applyBorder="1" applyAlignment="1">
      <alignment horizontal="center"/>
    </xf>
    <xf numFmtId="0" fontId="28" fillId="6" borderId="14" xfId="43" applyFont="1" applyFill="1" applyBorder="1" applyAlignment="1">
      <alignment horizontal="center"/>
    </xf>
    <xf numFmtId="0" fontId="28" fillId="6" borderId="13" xfId="43" applyFont="1" applyFill="1" applyBorder="1" applyAlignment="1">
      <alignment horizontal="center"/>
    </xf>
    <xf numFmtId="0" fontId="28" fillId="6" borderId="15" xfId="43" applyFont="1" applyFill="1" applyBorder="1" applyAlignment="1">
      <alignment horizontal="center"/>
    </xf>
    <xf numFmtId="0" fontId="32" fillId="0" borderId="17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2" fillId="0" borderId="0" xfId="43" applyFont="1" applyAlignment="1">
      <alignment horizontal="center" vertical="center"/>
    </xf>
  </cellXfs>
  <cellStyles count="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6" builtinId="8"/>
    <cellStyle name="Hyperlink 2" xfId="42" xr:uid="{C380AA0A-E10B-1C43-9286-02819B081BC7}"/>
    <cellStyle name="Normal" xfId="0" builtinId="0"/>
    <cellStyle name="Normal 2" xfId="41" xr:uid="{0D0AB34C-A1A9-7D42-A14C-E95ACB658DC4}"/>
    <cellStyle name="Normal 3" xfId="43" xr:uid="{D0C399E2-A941-AA4F-B42F-87A7CE497740}"/>
    <cellStyle name="Normal 3 2" xfId="44" xr:uid="{053FA022-145E-5B4C-8FD3-7620CDCF3F7A}"/>
    <cellStyle name="Normal 3 3" xfId="50" xr:uid="{7C2CB922-295D-CC45-BBE8-8D9655F80BB0}"/>
    <cellStyle name="Normal 5 2" xfId="48" xr:uid="{E40E3DD3-7E26-8248-9F63-85628D6E8E74}"/>
    <cellStyle name="Normal 6 2" xfId="47" xr:uid="{B8A2334A-FB76-034D-B94F-48F3B433F969}"/>
    <cellStyle name="Normal 7" xfId="49" xr:uid="{03B1D7EC-C9C3-554B-8076-2EC916FC9BB7}"/>
    <cellStyle name="Normal_Sheet1" xfId="45" xr:uid="{D83DE0B4-FA0B-FE4C-9720-4202967111D1}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Illumination!$H$8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Illumination!$H$9:$H$209</c:f>
              <c:numCache>
                <c:formatCode>0.00</c:formatCode>
                <c:ptCount val="2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0.817111861236688</c:v>
                </c:pt>
                <c:pt idx="56">
                  <c:v>0.72444850716489839</c:v>
                </c:pt>
                <c:pt idx="57">
                  <c:v>0.65728355756083379</c:v>
                </c:pt>
                <c:pt idx="58">
                  <c:v>0.60247531467363624</c:v>
                </c:pt>
                <c:pt idx="59">
                  <c:v>0.55542990228688194</c:v>
                </c:pt>
                <c:pt idx="60">
                  <c:v>0.5138882341182851</c:v>
                </c:pt>
                <c:pt idx="61">
                  <c:v>0.47653834248553817</c:v>
                </c:pt>
                <c:pt idx="62">
                  <c:v>0.44253704548365103</c:v>
                </c:pt>
                <c:pt idx="63">
                  <c:v>0.41130384302293321</c:v>
                </c:pt>
                <c:pt idx="64">
                  <c:v>0.38241861618714734</c:v>
                </c:pt>
                <c:pt idx="65">
                  <c:v>0.35556556048268984</c:v>
                </c:pt>
                <c:pt idx="66">
                  <c:v>0.33050010541379304</c:v>
                </c:pt>
                <c:pt idx="67">
                  <c:v>0.30702824611889445</c:v>
                </c:pt>
                <c:pt idx="68">
                  <c:v>0.28499302428974194</c:v>
                </c:pt>
                <c:pt idx="69">
                  <c:v>0.26426534690639691</c:v>
                </c:pt>
                <c:pt idx="70">
                  <c:v>0.24473755222283144</c:v>
                </c:pt>
                <c:pt idx="71">
                  <c:v>0.22631877941033318</c:v>
                </c:pt>
                <c:pt idx="72">
                  <c:v>0.20893155923457929</c:v>
                </c:pt>
                <c:pt idx="73">
                  <c:v>0.19250925350929748</c:v>
                </c:pt>
                <c:pt idx="74">
                  <c:v>0.17699409833686441</c:v>
                </c:pt>
                <c:pt idx="75">
                  <c:v>0.16233568567847512</c:v>
                </c:pt>
                <c:pt idx="76">
                  <c:v>0.14848976893151133</c:v>
                </c:pt>
                <c:pt idx="77">
                  <c:v>0.1354173119058929</c:v>
                </c:pt>
                <c:pt idx="78">
                  <c:v>0.12308372332307904</c:v>
                </c:pt>
                <c:pt idx="79">
                  <c:v>0.11145823459954507</c:v>
                </c:pt>
                <c:pt idx="80">
                  <c:v>0.10051338963152956</c:v>
                </c:pt>
                <c:pt idx="81">
                  <c:v>9.0224623099457002E-2</c:v>
                </c:pt>
                <c:pt idx="82">
                  <c:v>8.0569909450397437E-2</c:v>
                </c:pt>
                <c:pt idx="83">
                  <c:v>7.1529468850660693E-2</c:v>
                </c:pt>
                <c:pt idx="84">
                  <c:v>6.3085519469048279E-2</c:v>
                </c:pt>
                <c:pt idx="85">
                  <c:v>5.5222067755818838E-2</c:v>
                </c:pt>
                <c:pt idx="86">
                  <c:v>4.7924730132244742E-2</c:v>
                </c:pt>
                <c:pt idx="87">
                  <c:v>4.1180580847942849E-2</c:v>
                </c:pt>
                <c:pt idx="88">
                  <c:v>3.4978021802830606E-2</c:v>
                </c:pt>
                <c:pt idx="89">
                  <c:v>2.9306670943274216E-2</c:v>
                </c:pt>
                <c:pt idx="90">
                  <c:v>2.4157266482943696E-2</c:v>
                </c:pt>
                <c:pt idx="91">
                  <c:v>1.9521584708764306E-2</c:v>
                </c:pt>
                <c:pt idx="92">
                  <c:v>1.5392369541477602E-2</c:v>
                </c:pt>
                <c:pt idx="93">
                  <c:v>1.1763272351487664E-2</c:v>
                </c:pt>
                <c:pt idx="94">
                  <c:v>8.6288008011858874E-3</c:v>
                </c:pt>
                <c:pt idx="95">
                  <c:v>5.9842757081202125E-3</c:v>
                </c:pt>
                <c:pt idx="96">
                  <c:v>3.8257951094664566E-3</c:v>
                </c:pt>
                <c:pt idx="97">
                  <c:v>2.1502048653696537E-3</c:v>
                </c:pt>
                <c:pt idx="98">
                  <c:v>9.5507527322791219E-4</c:v>
                </c:pt>
                <c:pt idx="99">
                  <c:v>2.3868328206433365E-4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7-1D41-A5B6-FBF4A8E20D40}"/>
            </c:ext>
          </c:extLst>
        </c:ser>
        <c:ser>
          <c:idx val="0"/>
          <c:order val="1"/>
          <c:tx>
            <c:strRef>
              <c:f>Illumination!$I$8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Illumination!$I$9:$I$209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0.36577627752662401</c:v>
                </c:pt>
                <c:pt idx="56">
                  <c:v>0.55110298567020322</c:v>
                </c:pt>
                <c:pt idx="57">
                  <c:v>0.68543288487833243</c:v>
                </c:pt>
                <c:pt idx="58">
                  <c:v>0.79504937065272752</c:v>
                </c:pt>
                <c:pt idx="59">
                  <c:v>0.88914019542623612</c:v>
                </c:pt>
                <c:pt idx="60">
                  <c:v>0.97222353176342968</c:v>
                </c:pt>
                <c:pt idx="61">
                  <c:v>1.0469233150289237</c:v>
                </c:pt>
                <c:pt idx="62">
                  <c:v>1.1149259090326979</c:v>
                </c:pt>
                <c:pt idx="63">
                  <c:v>1.1773923139541336</c:v>
                </c:pt>
                <c:pt idx="64">
                  <c:v>1.2351627676257053</c:v>
                </c:pt>
                <c:pt idx="65">
                  <c:v>1.2888688790346203</c:v>
                </c:pt>
                <c:pt idx="66">
                  <c:v>1.3389997891724139</c:v>
                </c:pt>
                <c:pt idx="67">
                  <c:v>1.3859435077622111</c:v>
                </c:pt>
                <c:pt idx="68">
                  <c:v>1.4300139514205161</c:v>
                </c:pt>
                <c:pt idx="69">
                  <c:v>1.4714693061872062</c:v>
                </c:pt>
                <c:pt idx="70">
                  <c:v>1.5105248955543371</c:v>
                </c:pt>
                <c:pt idx="71">
                  <c:v>1.5473624411793336</c:v>
                </c:pt>
                <c:pt idx="72">
                  <c:v>1.5821368815308414</c:v>
                </c:pt>
                <c:pt idx="73">
                  <c:v>1.614981492981405</c:v>
                </c:pt>
                <c:pt idx="74">
                  <c:v>1.6460118033262712</c:v>
                </c:pt>
                <c:pt idx="75">
                  <c:v>1.6753286286430498</c:v>
                </c:pt>
                <c:pt idx="76">
                  <c:v>1.7030204621369773</c:v>
                </c:pt>
                <c:pt idx="77">
                  <c:v>1.7291653761882142</c:v>
                </c:pt>
                <c:pt idx="78">
                  <c:v>1.7538325533538419</c:v>
                </c:pt>
                <c:pt idx="79">
                  <c:v>1.7770835308009099</c:v>
                </c:pt>
                <c:pt idx="80">
                  <c:v>1.7989732207369409</c:v>
                </c:pt>
                <c:pt idx="81">
                  <c:v>1.819550753801086</c:v>
                </c:pt>
                <c:pt idx="82">
                  <c:v>1.8388601810992051</c:v>
                </c:pt>
                <c:pt idx="83">
                  <c:v>1.8569410622986786</c:v>
                </c:pt>
                <c:pt idx="84">
                  <c:v>1.8738289610619034</c:v>
                </c:pt>
                <c:pt idx="85">
                  <c:v>1.8895558644883623</c:v>
                </c:pt>
                <c:pt idx="86">
                  <c:v>1.9041505397355105</c:v>
                </c:pt>
                <c:pt idx="87">
                  <c:v>1.9176388383041143</c:v>
                </c:pt>
                <c:pt idx="88">
                  <c:v>1.9300439563943388</c:v>
                </c:pt>
                <c:pt idx="89">
                  <c:v>1.9413866581134516</c:v>
                </c:pt>
                <c:pt idx="90">
                  <c:v>1.9516854670341126</c:v>
                </c:pt>
                <c:pt idx="91">
                  <c:v>1.9609568305824714</c:v>
                </c:pt>
                <c:pt idx="92">
                  <c:v>1.9692152609170448</c:v>
                </c:pt>
                <c:pt idx="93">
                  <c:v>1.9764734552970247</c:v>
                </c:pt>
                <c:pt idx="94">
                  <c:v>1.9827423983976282</c:v>
                </c:pt>
                <c:pt idx="95">
                  <c:v>1.9880314485837596</c:v>
                </c:pt>
                <c:pt idx="96">
                  <c:v>1.9923484097810671</c:v>
                </c:pt>
                <c:pt idx="97">
                  <c:v>1.9956995902692607</c:v>
                </c:pt>
                <c:pt idx="98">
                  <c:v>1.9980898494535442</c:v>
                </c:pt>
                <c:pt idx="99">
                  <c:v>1.9995226334358713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D7-1D41-A5B6-FBF4A8E20D40}"/>
            </c:ext>
          </c:extLst>
        </c:ser>
        <c:ser>
          <c:idx val="3"/>
          <c:order val="2"/>
          <c:tx>
            <c:strRef>
              <c:f>Illumination!$J$8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Illumination!$J$9:$J$209</c:f>
              <c:numCache>
                <c:formatCode>0.00</c:formatCode>
                <c:ptCount val="2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1.1828881387633121</c:v>
                </c:pt>
                <c:pt idx="56">
                  <c:v>1.2755514928351017</c:v>
                </c:pt>
                <c:pt idx="57">
                  <c:v>1.3427164424391662</c:v>
                </c:pt>
                <c:pt idx="58">
                  <c:v>1.3975246853263639</c:v>
                </c:pt>
                <c:pt idx="59">
                  <c:v>1.4445700977131182</c:v>
                </c:pt>
                <c:pt idx="60">
                  <c:v>1.4861117658817149</c:v>
                </c:pt>
                <c:pt idx="61">
                  <c:v>1.5234616575144617</c:v>
                </c:pt>
                <c:pt idx="62">
                  <c:v>1.557462954516349</c:v>
                </c:pt>
                <c:pt idx="63">
                  <c:v>1.5886961569770668</c:v>
                </c:pt>
                <c:pt idx="64">
                  <c:v>1.6175813838128525</c:v>
                </c:pt>
                <c:pt idx="65">
                  <c:v>1.6444344395173101</c:v>
                </c:pt>
                <c:pt idx="66">
                  <c:v>1.669499894586207</c:v>
                </c:pt>
                <c:pt idx="67">
                  <c:v>1.6929717538811055</c:v>
                </c:pt>
                <c:pt idx="68">
                  <c:v>1.7150069757102582</c:v>
                </c:pt>
                <c:pt idx="69">
                  <c:v>1.7357346530936031</c:v>
                </c:pt>
                <c:pt idx="70">
                  <c:v>1.7552624477771686</c:v>
                </c:pt>
                <c:pt idx="71">
                  <c:v>1.7736812205896668</c:v>
                </c:pt>
                <c:pt idx="72">
                  <c:v>1.7910684407654207</c:v>
                </c:pt>
                <c:pt idx="73">
                  <c:v>1.8074907464907026</c:v>
                </c:pt>
                <c:pt idx="74">
                  <c:v>1.8230059016631355</c:v>
                </c:pt>
                <c:pt idx="75">
                  <c:v>1.837664314321525</c:v>
                </c:pt>
                <c:pt idx="76">
                  <c:v>1.8515102310684886</c:v>
                </c:pt>
                <c:pt idx="77">
                  <c:v>1.864582688094107</c:v>
                </c:pt>
                <c:pt idx="78">
                  <c:v>1.876916276676921</c:v>
                </c:pt>
                <c:pt idx="79">
                  <c:v>1.888541765400455</c:v>
                </c:pt>
                <c:pt idx="80">
                  <c:v>1.8994866103684704</c:v>
                </c:pt>
                <c:pt idx="81">
                  <c:v>1.909775376900543</c:v>
                </c:pt>
                <c:pt idx="82">
                  <c:v>1.9194300905496027</c:v>
                </c:pt>
                <c:pt idx="83">
                  <c:v>1.9284705311493393</c:v>
                </c:pt>
                <c:pt idx="84">
                  <c:v>1.9369144805309517</c:v>
                </c:pt>
                <c:pt idx="85">
                  <c:v>1.9447779322441812</c:v>
                </c:pt>
                <c:pt idx="86">
                  <c:v>1.9520752698677553</c:v>
                </c:pt>
                <c:pt idx="87">
                  <c:v>1.9588194191520572</c:v>
                </c:pt>
                <c:pt idx="88">
                  <c:v>1.9650219781971694</c:v>
                </c:pt>
                <c:pt idx="89">
                  <c:v>1.9706933290567257</c:v>
                </c:pt>
                <c:pt idx="90">
                  <c:v>1.9758427335170563</c:v>
                </c:pt>
                <c:pt idx="91">
                  <c:v>1.9804784152912358</c:v>
                </c:pt>
                <c:pt idx="92">
                  <c:v>1.9846076304585223</c:v>
                </c:pt>
                <c:pt idx="93">
                  <c:v>1.9882367276485122</c:v>
                </c:pt>
                <c:pt idx="94">
                  <c:v>1.9913711991988141</c:v>
                </c:pt>
                <c:pt idx="95">
                  <c:v>1.9940157242918799</c:v>
                </c:pt>
                <c:pt idx="96">
                  <c:v>1.9961742048905335</c:v>
                </c:pt>
                <c:pt idx="97">
                  <c:v>1.9978497951346303</c:v>
                </c:pt>
                <c:pt idx="98">
                  <c:v>1.9990449247267721</c:v>
                </c:pt>
                <c:pt idx="99">
                  <c:v>1.9997613167179358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D7-1D41-A5B6-FBF4A8E20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38</xdr:row>
      <xdr:rowOff>114300</xdr:rowOff>
    </xdr:from>
    <xdr:to>
      <xdr:col>9</xdr:col>
      <xdr:colOff>215900</xdr:colOff>
      <xdr:row>48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199334</xdr:colOff>
      <xdr:row>16</xdr:row>
      <xdr:rowOff>152400</xdr:rowOff>
    </xdr:from>
    <xdr:to>
      <xdr:col>9</xdr:col>
      <xdr:colOff>749299</xdr:colOff>
      <xdr:row>32</xdr:row>
      <xdr:rowOff>80838</xdr:rowOff>
    </xdr:to>
    <xdr:pic>
      <xdr:nvPicPr>
        <xdr:cNvPr id="4" name="Picture 3" descr="Hubble's Caldwell Catalog - NASA Science">
          <a:extLst>
            <a:ext uri="{FF2B5EF4-FFF2-40B4-BE49-F238E27FC236}">
              <a16:creationId xmlns:a16="http://schemas.microsoft.com/office/drawing/2014/main" id="{6D885A33-5C1B-A1FB-76EA-0A8F449E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334" y="3505200"/>
          <a:ext cx="6328465" cy="317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0</xdr:rowOff>
    </xdr:from>
    <xdr:to>
      <xdr:col>4</xdr:col>
      <xdr:colOff>0</xdr:colOff>
      <xdr:row>48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E195B1-F8C0-6F40-AEED-3A6D7ADD2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101600</xdr:rowOff>
    </xdr:from>
    <xdr:to>
      <xdr:col>0</xdr:col>
      <xdr:colOff>635000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8B5FA1B6-7014-474D-A1FD-811AD8182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622426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B7FEF769-C7D7-DD42-BCC3-10CA0C19B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624417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2EAAEF32-35E8-6140-A0E8-BAC84158E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932329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F4678A97-E517-0C40-B1A7-36AC614B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889000"/>
          <a:ext cx="1757829" cy="11161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50800</xdr:rowOff>
    </xdr:from>
    <xdr:to>
      <xdr:col>4</xdr:col>
      <xdr:colOff>317500</xdr:colOff>
      <xdr:row>17</xdr:row>
      <xdr:rowOff>8829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A98412-6DA9-A84B-B196-80913542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55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825499</xdr:colOff>
      <xdr:row>3</xdr:row>
      <xdr:rowOff>63500</xdr:rowOff>
    </xdr:from>
    <xdr:to>
      <xdr:col>27</xdr:col>
      <xdr:colOff>98127</xdr:colOff>
      <xdr:row>79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79F9F-CC2C-6AE0-BA8E-81337C94B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499" y="825500"/>
          <a:ext cx="21561128" cy="1442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garyim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39"/>
  <sheetViews>
    <sheetView showGridLines="0" tabSelected="1" workbookViewId="0">
      <selection activeCell="I16" sqref="I16"/>
    </sheetView>
  </sheetViews>
  <sheetFormatPr baseColWidth="10" defaultRowHeight="16"/>
  <cols>
    <col min="1" max="16384" width="10.83203125" style="35"/>
  </cols>
  <sheetData>
    <row r="2" spans="2:11" ht="15" customHeight="1"/>
    <row r="3" spans="2:11" ht="16" customHeight="1">
      <c r="B3" s="167" t="s">
        <v>171</v>
      </c>
      <c r="C3" s="167"/>
      <c r="D3" s="167"/>
      <c r="E3" s="167"/>
      <c r="F3" s="167"/>
      <c r="G3" s="167"/>
      <c r="H3" s="167"/>
      <c r="I3" s="167"/>
      <c r="J3" s="167"/>
      <c r="K3" s="167"/>
    </row>
    <row r="4" spans="2:11" ht="16" customHeight="1">
      <c r="B4" s="167"/>
      <c r="C4" s="167"/>
      <c r="D4" s="167"/>
      <c r="E4" s="167"/>
      <c r="F4" s="167"/>
      <c r="G4" s="167"/>
      <c r="H4" s="167"/>
      <c r="I4" s="167"/>
      <c r="J4" s="167"/>
      <c r="K4" s="167"/>
    </row>
    <row r="5" spans="2:11" ht="16" customHeight="1">
      <c r="B5" s="167"/>
      <c r="C5" s="167"/>
      <c r="D5" s="167"/>
      <c r="E5" s="167"/>
      <c r="F5" s="167"/>
      <c r="G5" s="167"/>
      <c r="H5" s="167"/>
      <c r="I5" s="167"/>
      <c r="J5" s="167"/>
      <c r="K5" s="167"/>
    </row>
    <row r="6" spans="2:11" ht="16" customHeight="1">
      <c r="B6" s="167"/>
      <c r="C6" s="167"/>
      <c r="D6" s="167"/>
      <c r="E6" s="167"/>
      <c r="F6" s="167"/>
      <c r="G6" s="167"/>
      <c r="H6" s="167"/>
      <c r="I6" s="167"/>
      <c r="J6" s="167"/>
      <c r="K6" s="167"/>
    </row>
    <row r="7" spans="2:11" ht="16" customHeight="1">
      <c r="B7" s="167"/>
      <c r="C7" s="167"/>
      <c r="D7" s="167"/>
      <c r="E7" s="167"/>
      <c r="F7" s="167"/>
      <c r="G7" s="167"/>
      <c r="H7" s="167"/>
      <c r="I7" s="167"/>
      <c r="J7" s="167"/>
      <c r="K7" s="167"/>
    </row>
    <row r="8" spans="2:11" ht="16" customHeight="1">
      <c r="B8" s="167"/>
      <c r="C8" s="167"/>
      <c r="D8" s="167"/>
      <c r="E8" s="167"/>
      <c r="F8" s="167"/>
      <c r="G8" s="167"/>
      <c r="H8" s="167"/>
      <c r="I8" s="167"/>
      <c r="J8" s="167"/>
      <c r="K8" s="167"/>
    </row>
    <row r="9" spans="2:11" ht="16" customHeight="1">
      <c r="B9" s="167"/>
      <c r="C9" s="167"/>
      <c r="D9" s="167"/>
      <c r="E9" s="167"/>
      <c r="F9" s="167"/>
      <c r="G9" s="167"/>
      <c r="H9" s="167"/>
      <c r="I9" s="167"/>
      <c r="J9" s="167"/>
      <c r="K9" s="167"/>
    </row>
    <row r="10" spans="2:11">
      <c r="B10" s="167"/>
      <c r="C10" s="167"/>
      <c r="D10" s="167"/>
      <c r="E10" s="167"/>
      <c r="F10" s="167"/>
      <c r="G10" s="167"/>
      <c r="H10" s="167"/>
      <c r="I10" s="167"/>
      <c r="J10" s="167"/>
      <c r="K10" s="167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5</v>
      </c>
      <c r="E15" s="10"/>
      <c r="F15" s="11"/>
      <c r="G15" s="11"/>
      <c r="H15" s="11"/>
      <c r="I15" s="12" t="s">
        <v>238</v>
      </c>
    </row>
    <row r="17" spans="3:14">
      <c r="N17" s="36"/>
    </row>
    <row r="25" spans="3:14">
      <c r="C25" s="36"/>
    </row>
    <row r="28" spans="3:14">
      <c r="D28" s="36"/>
    </row>
    <row r="33" spans="1:17">
      <c r="Q33" s="36"/>
    </row>
    <row r="34" spans="1:17">
      <c r="A34" s="36"/>
    </row>
    <row r="35" spans="1:17">
      <c r="B35" s="158" t="s">
        <v>1</v>
      </c>
      <c r="C35" s="159"/>
      <c r="D35" s="159"/>
      <c r="E35" s="159"/>
      <c r="F35" s="159"/>
      <c r="G35" s="159"/>
      <c r="H35" s="159"/>
      <c r="I35" s="159"/>
      <c r="J35" s="159"/>
      <c r="K35" s="160"/>
    </row>
    <row r="36" spans="1:17">
      <c r="B36" s="161" t="s">
        <v>2</v>
      </c>
      <c r="C36" s="162"/>
      <c r="D36" s="162"/>
      <c r="E36" s="162"/>
      <c r="F36" s="162"/>
      <c r="G36" s="162"/>
      <c r="H36" s="162"/>
      <c r="I36" s="162"/>
      <c r="J36" s="162"/>
      <c r="K36" s="163"/>
    </row>
    <row r="37" spans="1:17">
      <c r="B37" s="164" t="s">
        <v>3</v>
      </c>
      <c r="C37" s="165"/>
      <c r="D37" s="165"/>
      <c r="E37" s="165"/>
      <c r="F37" s="165"/>
      <c r="G37" s="165"/>
      <c r="H37" s="165"/>
      <c r="I37" s="165"/>
      <c r="J37" s="165"/>
      <c r="K37" s="166"/>
    </row>
    <row r="39" spans="1:17">
      <c r="Q39" s="36"/>
    </row>
  </sheetData>
  <sheetProtection sheet="1" objects="1" scenarios="1"/>
  <mergeCells count="4">
    <mergeCell ref="B35:K35"/>
    <mergeCell ref="B36:K36"/>
    <mergeCell ref="B37:K37"/>
    <mergeCell ref="B3:K10"/>
  </mergeCells>
  <hyperlinks>
    <hyperlink ref="I13" r:id="rId1" xr:uid="{60E68FAD-CE54-204D-BE8F-AA8992F34899}"/>
    <hyperlink ref="B35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5CC5-610B-8844-8C0F-9B63B3EF5C5D}">
  <sheetPr codeName="Sheet1"/>
  <dimension ref="B2:Z118"/>
  <sheetViews>
    <sheetView showGridLines="0" topLeftCell="A4" workbookViewId="0">
      <selection activeCell="C5" sqref="C5"/>
    </sheetView>
  </sheetViews>
  <sheetFormatPr baseColWidth="10" defaultRowHeight="16"/>
  <cols>
    <col min="1" max="1" width="10.83203125" style="13"/>
    <col min="2" max="2" width="13.33203125" style="13" customWidth="1"/>
    <col min="3" max="4" width="11.33203125" style="13" customWidth="1"/>
    <col min="5" max="5" width="5.83203125" style="13" customWidth="1"/>
    <col min="6" max="6" width="3.83203125" style="13" customWidth="1"/>
    <col min="7" max="7" width="11.33203125" style="13" customWidth="1"/>
    <col min="8" max="8" width="10.83203125" style="13" customWidth="1"/>
    <col min="9" max="9" width="10.83203125" style="14" customWidth="1"/>
    <col min="10" max="10" width="10.83203125" style="13"/>
    <col min="11" max="11" width="25.83203125" style="14" customWidth="1"/>
    <col min="12" max="12" width="10.83203125" style="14" customWidth="1"/>
    <col min="13" max="14" width="10.83203125" style="13"/>
    <col min="15" max="15" width="5.83203125" style="13" customWidth="1"/>
    <col min="16" max="16" width="10.83203125" style="13" hidden="1" customWidth="1"/>
    <col min="17" max="17" width="10.83203125" style="14"/>
    <col min="18" max="18" width="11.33203125" style="14" customWidth="1"/>
    <col min="19" max="19" width="13.33203125" style="14" customWidth="1"/>
    <col min="20" max="20" width="10.83203125" style="13"/>
    <col min="21" max="21" width="10.33203125" style="13" customWidth="1"/>
    <col min="22" max="22" width="10.83203125" style="13" hidden="1" customWidth="1"/>
    <col min="23" max="23" width="0.1640625" style="13" hidden="1" customWidth="1"/>
    <col min="24" max="24" width="10.83203125" style="13" hidden="1" customWidth="1"/>
    <col min="25" max="25" width="0.1640625" style="13" customWidth="1"/>
    <col min="26" max="16384" width="10.83203125" style="13"/>
  </cols>
  <sheetData>
    <row r="2" spans="2:26" ht="19">
      <c r="B2" s="171" t="s">
        <v>193</v>
      </c>
      <c r="C2" s="172"/>
      <c r="D2" s="85"/>
      <c r="F2" s="171" t="s">
        <v>194</v>
      </c>
      <c r="G2" s="173"/>
      <c r="H2" s="173"/>
      <c r="I2" s="173"/>
      <c r="J2" s="173"/>
      <c r="K2" s="173"/>
      <c r="L2" s="173"/>
      <c r="M2" s="173"/>
      <c r="N2" s="172"/>
      <c r="P2" s="49"/>
      <c r="Q2" s="171" t="s">
        <v>195</v>
      </c>
      <c r="R2" s="173"/>
      <c r="S2" s="173"/>
      <c r="T2" s="173"/>
      <c r="U2" s="173"/>
      <c r="V2" s="173"/>
      <c r="W2" s="173"/>
      <c r="X2" s="172"/>
      <c r="Z2" s="43"/>
    </row>
    <row r="3" spans="2:26">
      <c r="B3" s="154"/>
      <c r="C3" s="45" t="s">
        <v>8</v>
      </c>
      <c r="D3" s="86"/>
      <c r="E3" s="15"/>
      <c r="F3" s="76"/>
      <c r="G3" s="77"/>
      <c r="H3" s="77"/>
      <c r="I3" s="52" t="s">
        <v>6</v>
      </c>
      <c r="J3" s="53" t="s">
        <v>6</v>
      </c>
      <c r="K3" s="75"/>
      <c r="L3" s="75"/>
      <c r="M3" s="75"/>
      <c r="N3" s="72"/>
      <c r="Q3" s="148" t="str">
        <f>CONCATENATE("Date: ",TEXT(C4,"DD.MM.YYYY"),",   Time: ",TEXT(C5,"HH:MM"))</f>
        <v>Date: 14.08.2024,   Time: 04:00</v>
      </c>
      <c r="R3" s="145"/>
      <c r="S3" s="145"/>
      <c r="T3" s="146"/>
      <c r="U3" s="147" t="str">
        <f>CONCATENATE("Moon: ",TEXT(Illumination!C8*100,"0.00"),"%")</f>
        <v>Moon: 65.13%</v>
      </c>
      <c r="X3" s="44"/>
      <c r="Z3" s="43"/>
    </row>
    <row r="4" spans="2:26">
      <c r="B4" s="17" t="s">
        <v>14</v>
      </c>
      <c r="C4" s="23">
        <v>45518</v>
      </c>
      <c r="D4" s="87"/>
      <c r="E4" s="15"/>
      <c r="F4" s="76"/>
      <c r="G4" s="77"/>
      <c r="H4" s="74"/>
      <c r="I4" s="54">
        <v>30</v>
      </c>
      <c r="J4" s="55">
        <v>15</v>
      </c>
      <c r="K4" s="75"/>
      <c r="L4" s="75"/>
      <c r="M4" s="75"/>
      <c r="N4" s="72"/>
      <c r="Q4" s="148" t="str">
        <f>CONCATENATE("Latitude: ",TEXT(C13,"0.00"),",      Longitude: ",TEXT(C14,"0.00"),"   (",C12,")")</f>
        <v>Latitude: 46.45,      Longitude: 7.42   (Home)</v>
      </c>
      <c r="R4" s="149"/>
      <c r="S4" s="149"/>
      <c r="T4" s="150"/>
      <c r="U4" s="151" t="str">
        <f>CONCATENATE("# total:       ",TEXT(109-COUNTBLANK(($E$8:$E$116)),"0"))</f>
        <v># total:       18</v>
      </c>
      <c r="X4" s="44"/>
      <c r="Z4" s="43"/>
    </row>
    <row r="5" spans="2:26">
      <c r="B5" s="20" t="s">
        <v>15</v>
      </c>
      <c r="C5" s="83">
        <v>0.16666666666666666</v>
      </c>
      <c r="D5" s="88"/>
      <c r="E5" s="15"/>
      <c r="F5" s="76"/>
      <c r="G5" s="77"/>
      <c r="H5" s="74"/>
      <c r="I5" s="52" t="s">
        <v>7</v>
      </c>
      <c r="J5" s="53" t="s">
        <v>7</v>
      </c>
      <c r="K5" s="75"/>
      <c r="L5" s="75"/>
      <c r="M5" s="75"/>
      <c r="N5" s="72"/>
      <c r="Q5" s="153" t="str">
        <f>CONCATENATE("Limits: ",TEXT(I4,"0")," &lt;= azimuth &lt;= ",TEXT(I6,"0"),",   ",TEXT(J4,"0")," &lt;= altitude &lt;= ",TEXT(J6,"0"))</f>
        <v>Limits: 30 &lt;= azimuth &lt;= 270,   15 &lt;= altitude &lt;= 90</v>
      </c>
      <c r="R5" s="149"/>
      <c r="S5" s="149"/>
      <c r="T5" s="152"/>
      <c r="U5" s="151" t="str">
        <f>CONCATENATE("# selected: ",TEXT(109-COUNTBLANK(($U$8:$U$116)),"0"))</f>
        <v># selected: 18</v>
      </c>
      <c r="X5" s="44"/>
      <c r="Z5" s="43"/>
    </row>
    <row r="6" spans="2:26">
      <c r="B6" s="20" t="s">
        <v>16</v>
      </c>
      <c r="C6" s="24">
        <v>1</v>
      </c>
      <c r="D6" s="89"/>
      <c r="E6" s="15"/>
      <c r="F6" s="73"/>
      <c r="G6" s="78"/>
      <c r="H6" s="79"/>
      <c r="I6" s="54">
        <v>270</v>
      </c>
      <c r="J6" s="55">
        <v>90</v>
      </c>
      <c r="K6" s="80"/>
      <c r="L6" s="80"/>
      <c r="M6" s="80"/>
      <c r="N6" s="81"/>
      <c r="Q6" s="82"/>
      <c r="R6" s="80"/>
      <c r="S6" s="80"/>
      <c r="T6" s="79"/>
      <c r="U6" s="81"/>
      <c r="V6" s="46"/>
      <c r="W6" s="46"/>
      <c r="X6" s="48"/>
      <c r="Z6" s="43"/>
    </row>
    <row r="7" spans="2:26" ht="19">
      <c r="B7" s="17" t="s">
        <v>17</v>
      </c>
      <c r="C7" s="16" t="str">
        <f>IF(OR(MOD(YEAR(C4),400)=0,AND(MOD(YEAR(C4),4)=0,MOD(YEAR(C4),100)&lt;&gt;0)),"Y", "N")</f>
        <v>Y</v>
      </c>
      <c r="D7" s="18"/>
      <c r="E7" s="15"/>
      <c r="F7" s="37" t="s">
        <v>173</v>
      </c>
      <c r="G7" s="38" t="str">
        <f>C17</f>
        <v>Observed?</v>
      </c>
      <c r="H7" s="38" t="s">
        <v>27</v>
      </c>
      <c r="I7" s="37" t="s">
        <v>9</v>
      </c>
      <c r="J7" s="37" t="s">
        <v>10</v>
      </c>
      <c r="K7" s="38" t="s">
        <v>192</v>
      </c>
      <c r="L7" s="37" t="s">
        <v>11</v>
      </c>
      <c r="M7" s="37" t="s">
        <v>12</v>
      </c>
      <c r="N7" s="37" t="s">
        <v>13</v>
      </c>
      <c r="O7" s="39"/>
      <c r="P7" s="39"/>
      <c r="Q7" s="40" t="s">
        <v>173</v>
      </c>
      <c r="R7" s="41" t="str">
        <f>C17</f>
        <v>Observed?</v>
      </c>
      <c r="S7" s="41" t="s">
        <v>27</v>
      </c>
      <c r="T7" s="42" t="s">
        <v>9</v>
      </c>
      <c r="U7" s="42" t="s">
        <v>10</v>
      </c>
      <c r="V7" s="33" t="s">
        <v>192</v>
      </c>
      <c r="W7" s="34" t="s">
        <v>11</v>
      </c>
      <c r="X7" s="34" t="s">
        <v>12</v>
      </c>
      <c r="Y7" s="34" t="s">
        <v>13</v>
      </c>
    </row>
    <row r="8" spans="2:26" ht="17">
      <c r="B8" s="17" t="s">
        <v>18</v>
      </c>
      <c r="C8" s="25">
        <f>INT(275*MONTH(C4)/9)-IF(C7="Y",1,2)*INT((MONTH(C4)+9)/12)+DAY(C4)-30</f>
        <v>227</v>
      </c>
      <c r="D8" s="90"/>
      <c r="E8" s="18" t="str">
        <f>IF(AND(J8&gt;=$J$4,J8&lt;=$J$6,I8&gt;=$I$4,I8&lt;=$I$6),IF(VLOOKUP(G8,$C$19:$D$24,2,FALSE)="yes","*","-"),"")</f>
        <v/>
      </c>
      <c r="F8" s="27">
        <v>1</v>
      </c>
      <c r="G8" s="84" t="s">
        <v>203</v>
      </c>
      <c r="H8" s="26" t="s">
        <v>28</v>
      </c>
      <c r="I8" s="19">
        <f>IF(SIN($N$118*N8)&lt;0,ACOS((SIN($N$118*M8)-SIN($N$118*J8)*SIN($N$118*$C$13))/(COS($N$118*J8)*COS($N$118*$C$13)))/$N$118,360-ACOS((SIN($N$118*M8)-SIN($N$118*J8)*SIN($N$118*$C$13))/(COS($N$118*J8)*COS($N$118*$C$13)))/$N$118)</f>
        <v>359.4318533741075</v>
      </c>
      <c r="J8" s="19">
        <f t="shared" ref="J8:J39" si="0">ASIN(SIN($N$118*M8)*SIN($N$118*$C$13)+COS($N$118*M8)*COS($N$118*$C$13)*COS($N$118*N8))/$N$118</f>
        <v>51.101663336722169</v>
      </c>
      <c r="K8" s="26"/>
      <c r="L8" s="30">
        <v>0.74</v>
      </c>
      <c r="M8" s="31">
        <v>85.333333333333329</v>
      </c>
      <c r="N8" s="19">
        <f t="shared" ref="N8:N39" si="1">$C$16-((L8/24)*360)</f>
        <v>4.3892749998471121</v>
      </c>
      <c r="P8" s="13" t="str" cm="1">
        <f t="array" ref="P8:Y25">_xlfn._xlws.FILTER(E8:N116,E8:E116="*","")</f>
        <v>*</v>
      </c>
      <c r="Q8" s="56">
        <v>7</v>
      </c>
      <c r="R8" s="57" t="str">
        <v>-</v>
      </c>
      <c r="S8" s="57" t="str">
        <v>NGC 2403</v>
      </c>
      <c r="T8" s="58">
        <v>31.248301798138023</v>
      </c>
      <c r="U8" s="59">
        <v>38.083661820808395</v>
      </c>
      <c r="V8" s="13">
        <v>0</v>
      </c>
      <c r="W8" s="13">
        <v>7.6150000000000002</v>
      </c>
      <c r="X8" s="13">
        <v>65.599999999999994</v>
      </c>
      <c r="Y8" s="13">
        <v>-98.735725000152897</v>
      </c>
    </row>
    <row r="9" spans="2:26" ht="17">
      <c r="B9" s="17" t="s">
        <v>19</v>
      </c>
      <c r="C9" s="25" t="str">
        <f>IF(INT(MOD(C10+1.5,7))=1,"Monday",IF(INT(MOD(C10+1.5,7))=2,"Tuesday",IF(INT(MOD(C10+1.5,7))=3,"Wednesday",IF(INT(MOD(C10+1.5,7))=4,"Thursday",IF(INT(MOD(C10+1.5,7))=5,"Friday",IF(INT(MOD(C10+1.5,7))=6,"Saturday","Sunday"))))))</f>
        <v>Wednesday</v>
      </c>
      <c r="D9" s="90"/>
      <c r="E9" s="18" t="str">
        <f t="shared" ref="E9:E72" si="2">IF(AND(J9&gt;=$J$4,J9&lt;=$J$6,I9&gt;=$I$4,I9&lt;=$I$6),IF(VLOOKUP(G9,$C$19:$D$24,2,FALSE)="yes","*","-"),"")</f>
        <v/>
      </c>
      <c r="F9" s="27">
        <f>F8+1</f>
        <v>2</v>
      </c>
      <c r="G9" s="84" t="s">
        <v>203</v>
      </c>
      <c r="H9" s="26" t="s">
        <v>29</v>
      </c>
      <c r="I9" s="19">
        <f t="shared" ref="I9:I72" si="3">IF(SIN($N$118*N9)&lt;0,ACOS((SIN($N$118*M9)-SIN($N$118*J9)*SIN($N$118*$C$13))/(COS($N$118*J9)*COS($N$118*$C$13)))/$N$118,360-ACOS((SIN($N$118*M9)-SIN($N$118*J9)*SIN($N$118*$C$13))/(COS($N$118*J9)*COS($N$118*$C$13)))/$N$118)</f>
        <v>351.85563815284161</v>
      </c>
      <c r="J9" s="19">
        <f t="shared" si="0"/>
        <v>63.310677892456312</v>
      </c>
      <c r="K9" s="26" t="s">
        <v>136</v>
      </c>
      <c r="L9" s="30">
        <v>0.21666666666666667</v>
      </c>
      <c r="M9" s="31">
        <v>72.533333333333331</v>
      </c>
      <c r="N9" s="19">
        <f t="shared" si="1"/>
        <v>12.239274999847112</v>
      </c>
      <c r="P9" s="13" t="str">
        <v>*</v>
      </c>
      <c r="Q9" s="50">
        <v>14</v>
      </c>
      <c r="R9" s="14" t="str">
        <v>-</v>
      </c>
      <c r="S9" s="14" t="str">
        <v>NGC 869/884</v>
      </c>
      <c r="T9" s="60">
        <v>41.073055921626569</v>
      </c>
      <c r="U9" s="61">
        <v>73.986523210873727</v>
      </c>
      <c r="V9" s="13" t="str">
        <v>Double Cluster, h &amp; chi Persei</v>
      </c>
      <c r="W9" s="13">
        <v>2.3333333333333335</v>
      </c>
      <c r="X9" s="13">
        <v>57.133333333333333</v>
      </c>
      <c r="Y9" s="13">
        <v>-19.510725000152888</v>
      </c>
    </row>
    <row r="10" spans="2:26" ht="17" customHeight="1">
      <c r="B10" s="17" t="s">
        <v>20</v>
      </c>
      <c r="C10" s="69">
        <f>367*YEAR(C4)-INT(7/4*YEAR(C4))-INT(3*(INT((YEAR(C4)-8/7)/100)+1)/4)+1721059.5-1+C8+(3600*HOUR(C5)+60*MINUTE(C5)+SECOND(C5))/(24*3600)</f>
        <v>2460536.6666666665</v>
      </c>
      <c r="D10" s="91"/>
      <c r="E10" s="18" t="str">
        <f t="shared" si="2"/>
        <v/>
      </c>
      <c r="F10" s="27">
        <f t="shared" ref="F10:F73" si="4">F9+1</f>
        <v>3</v>
      </c>
      <c r="G10" s="84" t="s">
        <v>203</v>
      </c>
      <c r="H10" s="26" t="s">
        <v>30</v>
      </c>
      <c r="I10" s="19">
        <f t="shared" si="3"/>
        <v>4.3991705737536364</v>
      </c>
      <c r="J10" s="19">
        <f t="shared" si="0"/>
        <v>26.216228946243955</v>
      </c>
      <c r="K10" s="26"/>
      <c r="L10" s="30">
        <v>12.278333333333332</v>
      </c>
      <c r="M10" s="31">
        <v>69.466666666666669</v>
      </c>
      <c r="N10" s="19">
        <f t="shared" si="1"/>
        <v>-168.68572500015287</v>
      </c>
      <c r="P10" s="13" t="str">
        <v>*</v>
      </c>
      <c r="Q10" s="50">
        <v>22</v>
      </c>
      <c r="R10" s="14" t="str">
        <v>-</v>
      </c>
      <c r="S10" s="14" t="str">
        <v>NGC 7662</v>
      </c>
      <c r="T10" s="60">
        <v>265.84105498362976</v>
      </c>
      <c r="U10" s="61">
        <v>72.506534644960823</v>
      </c>
      <c r="V10" s="13" t="str">
        <v>Blue Snowball</v>
      </c>
      <c r="W10" s="13">
        <v>23.431666666666665</v>
      </c>
      <c r="X10" s="13">
        <v>42.55</v>
      </c>
      <c r="Y10" s="13">
        <v>-335.98572500015285</v>
      </c>
    </row>
    <row r="11" spans="2:26" ht="17" customHeight="1">
      <c r="B11" s="17" t="s">
        <v>21</v>
      </c>
      <c r="C11" s="69">
        <f>C10-2451545</f>
        <v>8991.6666666665114</v>
      </c>
      <c r="D11" s="91"/>
      <c r="E11" s="18" t="str">
        <f t="shared" si="2"/>
        <v/>
      </c>
      <c r="F11" s="27">
        <f t="shared" si="4"/>
        <v>4</v>
      </c>
      <c r="G11" s="84" t="s">
        <v>203</v>
      </c>
      <c r="H11" s="26" t="s">
        <v>31</v>
      </c>
      <c r="I11" s="19">
        <f t="shared" si="3"/>
        <v>327.51354233673271</v>
      </c>
      <c r="J11" s="19">
        <f t="shared" si="0"/>
        <v>53.199272401302643</v>
      </c>
      <c r="K11" s="26" t="s">
        <v>137</v>
      </c>
      <c r="L11" s="30">
        <v>21.03</v>
      </c>
      <c r="M11" s="31">
        <v>68.2</v>
      </c>
      <c r="N11" s="19">
        <f t="shared" si="1"/>
        <v>-299.96072500015293</v>
      </c>
      <c r="P11" s="13" t="str">
        <v>*</v>
      </c>
      <c r="Q11" s="50">
        <v>23</v>
      </c>
      <c r="R11" s="14" t="str">
        <v>-</v>
      </c>
      <c r="S11" s="14" t="str">
        <v>NGC 891</v>
      </c>
      <c r="T11" s="60">
        <v>98.634426976033467</v>
      </c>
      <c r="U11" s="61">
        <v>75.070232339054272</v>
      </c>
      <c r="V11" s="13" t="str">
        <v>Outer Limits Galaxy</v>
      </c>
      <c r="W11" s="13">
        <v>2.3766666666666669</v>
      </c>
      <c r="X11" s="13">
        <v>42.35</v>
      </c>
      <c r="Y11" s="13">
        <v>-20.160725000152894</v>
      </c>
    </row>
    <row r="12" spans="2:26" ht="17" customHeight="1">
      <c r="B12" s="64" t="s">
        <v>196</v>
      </c>
      <c r="C12" s="65" t="s">
        <v>197</v>
      </c>
      <c r="D12" s="92"/>
      <c r="E12" s="18" t="str">
        <f t="shared" si="2"/>
        <v/>
      </c>
      <c r="F12" s="27">
        <f t="shared" si="4"/>
        <v>5</v>
      </c>
      <c r="G12" s="84" t="s">
        <v>203</v>
      </c>
      <c r="H12" s="26" t="s">
        <v>32</v>
      </c>
      <c r="I12" s="19">
        <f t="shared" si="3"/>
        <v>29.411877618201938</v>
      </c>
      <c r="J12" s="19">
        <f t="shared" si="0"/>
        <v>59.973931423590187</v>
      </c>
      <c r="K12" s="26" t="s">
        <v>174</v>
      </c>
      <c r="L12" s="30">
        <v>3.78</v>
      </c>
      <c r="M12" s="31">
        <v>68.099999999999994</v>
      </c>
      <c r="N12" s="19">
        <f t="shared" si="1"/>
        <v>-41.210725000152891</v>
      </c>
      <c r="P12" s="13" t="str">
        <v>*</v>
      </c>
      <c r="Q12" s="50">
        <v>24</v>
      </c>
      <c r="R12" s="14" t="str">
        <v>-</v>
      </c>
      <c r="S12" s="14" t="str">
        <v>NGC 1275</v>
      </c>
      <c r="T12" s="60">
        <v>88.751094593369075</v>
      </c>
      <c r="U12" s="61">
        <v>64.926434224692997</v>
      </c>
      <c r="V12" s="13" t="str">
        <v>Perseus A</v>
      </c>
      <c r="W12" s="13">
        <v>3.33</v>
      </c>
      <c r="X12" s="13">
        <v>41.516666666666666</v>
      </c>
      <c r="Y12" s="13">
        <v>-34.460725000152891</v>
      </c>
    </row>
    <row r="13" spans="2:26" ht="17" customHeight="1">
      <c r="B13" s="21" t="s">
        <v>22</v>
      </c>
      <c r="C13" s="156">
        <f>VLOOKUP(C12,$B$29:$D$33,2,FALSE)</f>
        <v>46.45</v>
      </c>
      <c r="D13" s="93"/>
      <c r="E13" s="18" t="str">
        <f t="shared" si="2"/>
        <v/>
      </c>
      <c r="F13" s="27">
        <f t="shared" si="4"/>
        <v>6</v>
      </c>
      <c r="G13" s="84" t="s">
        <v>203</v>
      </c>
      <c r="H13" s="26" t="s">
        <v>33</v>
      </c>
      <c r="I13" s="19">
        <f t="shared" si="3"/>
        <v>331.77790098558114</v>
      </c>
      <c r="J13" s="19">
        <f t="shared" si="0"/>
        <v>36.210066055428136</v>
      </c>
      <c r="K13" s="26" t="s">
        <v>138</v>
      </c>
      <c r="L13" s="30">
        <v>17.976666666666667</v>
      </c>
      <c r="M13" s="31">
        <v>66.63333333333334</v>
      </c>
      <c r="N13" s="19">
        <f t="shared" si="1"/>
        <v>-254.16072500015287</v>
      </c>
      <c r="P13" s="13" t="str">
        <v>*</v>
      </c>
      <c r="Q13" s="50">
        <v>25</v>
      </c>
      <c r="R13" s="14" t="str">
        <v>-</v>
      </c>
      <c r="S13" s="14" t="str">
        <v>NGC 2419</v>
      </c>
      <c r="T13" s="60">
        <v>55.868640505273461</v>
      </c>
      <c r="U13" s="61">
        <v>21.761061930015014</v>
      </c>
      <c r="V13" s="13" t="str">
        <v>Intergalactic Wanderer</v>
      </c>
      <c r="W13" s="13">
        <v>7.6349999999999998</v>
      </c>
      <c r="X13" s="13">
        <v>38.883333333333333</v>
      </c>
      <c r="Y13" s="13">
        <v>-99.03572500015288</v>
      </c>
    </row>
    <row r="14" spans="2:26" ht="17" customHeight="1">
      <c r="B14" s="17" t="s">
        <v>23</v>
      </c>
      <c r="C14" s="156">
        <f>VLOOKUP(C12,$B$29:$D$33,3,FALSE)</f>
        <v>7.42</v>
      </c>
      <c r="D14" s="93"/>
      <c r="E14" s="18" t="str">
        <f t="shared" si="2"/>
        <v>*</v>
      </c>
      <c r="F14" s="27">
        <f t="shared" si="4"/>
        <v>7</v>
      </c>
      <c r="G14" s="84" t="s">
        <v>203</v>
      </c>
      <c r="H14" s="26" t="s">
        <v>34</v>
      </c>
      <c r="I14" s="19">
        <f t="shared" si="3"/>
        <v>31.248301798138023</v>
      </c>
      <c r="J14" s="19">
        <f t="shared" si="0"/>
        <v>38.083661820808395</v>
      </c>
      <c r="K14" s="26"/>
      <c r="L14" s="30">
        <v>7.6150000000000002</v>
      </c>
      <c r="M14" s="31">
        <v>65.599999999999994</v>
      </c>
      <c r="N14" s="19">
        <f t="shared" si="1"/>
        <v>-98.735725000152897</v>
      </c>
      <c r="P14" s="13" t="str">
        <v>*</v>
      </c>
      <c r="Q14" s="50">
        <v>28</v>
      </c>
      <c r="R14" s="14" t="str">
        <v>-</v>
      </c>
      <c r="S14" s="14" t="str">
        <v>NGC 752</v>
      </c>
      <c r="T14" s="60">
        <v>125.35618362384237</v>
      </c>
      <c r="U14" s="61">
        <v>76.461001413422863</v>
      </c>
      <c r="V14" s="13">
        <v>0</v>
      </c>
      <c r="W14" s="13">
        <v>1.9633333333333334</v>
      </c>
      <c r="X14" s="13">
        <v>37.68333333333333</v>
      </c>
      <c r="Y14" s="13">
        <v>-13.960725000152891</v>
      </c>
    </row>
    <row r="15" spans="2:26" ht="17" customHeight="1">
      <c r="B15" s="17" t="s">
        <v>24</v>
      </c>
      <c r="C15" s="22">
        <f>MOD(HOUR(C5)+(MINUTE(C5)/60)+(SECOND(C5)/60)-C6,24)</f>
        <v>3</v>
      </c>
      <c r="D15" s="94"/>
      <c r="E15" s="18" t="str">
        <f t="shared" si="2"/>
        <v/>
      </c>
      <c r="F15" s="27">
        <f t="shared" si="4"/>
        <v>8</v>
      </c>
      <c r="G15" s="84" t="s">
        <v>203</v>
      </c>
      <c r="H15" s="26" t="s">
        <v>35</v>
      </c>
      <c r="I15" s="19">
        <f t="shared" si="3"/>
        <v>10.444941095575651</v>
      </c>
      <c r="J15" s="19">
        <f t="shared" si="0"/>
        <v>72.714112187394832</v>
      </c>
      <c r="K15" s="26"/>
      <c r="L15" s="30">
        <v>1.4916666666666667</v>
      </c>
      <c r="M15" s="31">
        <v>63.3</v>
      </c>
      <c r="N15" s="19">
        <f t="shared" si="1"/>
        <v>-6.8857250001528882</v>
      </c>
      <c r="P15" s="13" t="str">
        <v>*</v>
      </c>
      <c r="Q15" s="50">
        <v>30</v>
      </c>
      <c r="R15" s="14" t="str">
        <v>-</v>
      </c>
      <c r="S15" s="14" t="str">
        <v>NGC 7331</v>
      </c>
      <c r="T15" s="60">
        <v>259.19996389256505</v>
      </c>
      <c r="U15" s="61">
        <v>60.252796061182273</v>
      </c>
      <c r="V15" s="13">
        <v>0</v>
      </c>
      <c r="W15" s="13">
        <v>22.618333333333332</v>
      </c>
      <c r="X15" s="13">
        <v>34.416666666666664</v>
      </c>
      <c r="Y15" s="13">
        <v>-323.78572500015287</v>
      </c>
    </row>
    <row r="16" spans="2:26" ht="17" customHeight="1">
      <c r="B16" s="17" t="s">
        <v>25</v>
      </c>
      <c r="C16" s="22">
        <f>MOD(100.46+0.985647*C11+C14+15*C15, 360)</f>
        <v>15.489274999847112</v>
      </c>
      <c r="D16" s="94"/>
      <c r="E16" s="18" t="str">
        <f t="shared" si="2"/>
        <v/>
      </c>
      <c r="F16" s="27">
        <f t="shared" si="4"/>
        <v>9</v>
      </c>
      <c r="G16" s="84" t="s">
        <v>203</v>
      </c>
      <c r="H16" s="26" t="s">
        <v>36</v>
      </c>
      <c r="I16" s="19">
        <f t="shared" si="3"/>
        <v>323.84475805761701</v>
      </c>
      <c r="J16" s="19">
        <f t="shared" si="0"/>
        <v>66.115785596217307</v>
      </c>
      <c r="K16" s="26" t="s">
        <v>139</v>
      </c>
      <c r="L16" s="30">
        <v>22.946666666666665</v>
      </c>
      <c r="M16" s="31">
        <v>62.616666666666667</v>
      </c>
      <c r="N16" s="19">
        <f t="shared" si="1"/>
        <v>-328.71072500015288</v>
      </c>
      <c r="P16" s="13" t="str">
        <v>*</v>
      </c>
      <c r="Q16" s="50">
        <v>31</v>
      </c>
      <c r="R16" s="14" t="str">
        <v>-</v>
      </c>
      <c r="S16" s="14" t="str">
        <v>IC 405</v>
      </c>
      <c r="T16" s="60">
        <v>80.695326097080766</v>
      </c>
      <c r="U16" s="61">
        <v>41.422301644634338</v>
      </c>
      <c r="V16" s="13" t="str">
        <v>Flaming Star Nebula</v>
      </c>
      <c r="W16" s="13">
        <v>5.27</v>
      </c>
      <c r="X16" s="13">
        <v>34.266666666666666</v>
      </c>
      <c r="Y16" s="13">
        <v>-63.560725000152885</v>
      </c>
    </row>
    <row r="17" spans="2:25" ht="17" customHeight="1">
      <c r="B17" s="27" t="s">
        <v>198</v>
      </c>
      <c r="C17" s="71" t="s">
        <v>199</v>
      </c>
      <c r="D17" s="95"/>
      <c r="E17" s="18" t="str">
        <f t="shared" si="2"/>
        <v/>
      </c>
      <c r="F17" s="27">
        <f t="shared" si="4"/>
        <v>10</v>
      </c>
      <c r="G17" s="84" t="s">
        <v>203</v>
      </c>
      <c r="H17" s="26" t="s">
        <v>37</v>
      </c>
      <c r="I17" s="19">
        <f t="shared" si="3"/>
        <v>19.331606665077146</v>
      </c>
      <c r="J17" s="19">
        <f t="shared" si="0"/>
        <v>73.88837813726434</v>
      </c>
      <c r="K17" s="26" t="s">
        <v>175</v>
      </c>
      <c r="L17" s="30">
        <v>1.7666666666666666</v>
      </c>
      <c r="M17" s="31">
        <v>61.25</v>
      </c>
      <c r="N17" s="19">
        <f t="shared" si="1"/>
        <v>-11.010725000152888</v>
      </c>
      <c r="P17" s="13" t="str">
        <v>*</v>
      </c>
      <c r="Q17" s="50">
        <v>41</v>
      </c>
      <c r="R17" s="14" t="str">
        <v>-</v>
      </c>
      <c r="S17" s="14" t="str">
        <v>none</v>
      </c>
      <c r="T17" s="60">
        <v>108.16893363098121</v>
      </c>
      <c r="U17" s="61">
        <v>37.895646646364554</v>
      </c>
      <c r="V17" s="13" t="str">
        <v>Hyades</v>
      </c>
      <c r="W17" s="13">
        <v>4.45</v>
      </c>
      <c r="X17" s="13">
        <v>16</v>
      </c>
      <c r="Y17" s="13">
        <v>-51.260725000152888</v>
      </c>
    </row>
    <row r="18" spans="2:25" ht="17" customHeight="1">
      <c r="B18" s="43"/>
      <c r="C18" s="27" t="s">
        <v>200</v>
      </c>
      <c r="D18" s="84" t="s">
        <v>239</v>
      </c>
      <c r="E18" s="18" t="str">
        <f t="shared" si="2"/>
        <v/>
      </c>
      <c r="F18" s="27">
        <f t="shared" si="4"/>
        <v>11</v>
      </c>
      <c r="G18" s="84" t="s">
        <v>203</v>
      </c>
      <c r="H18" s="26" t="s">
        <v>38</v>
      </c>
      <c r="I18" s="19">
        <f t="shared" si="3"/>
        <v>324.43827707208408</v>
      </c>
      <c r="J18" s="19">
        <f t="shared" si="0"/>
        <v>69.256186666341307</v>
      </c>
      <c r="K18" s="26" t="s">
        <v>140</v>
      </c>
      <c r="L18" s="30">
        <v>23.344999999999999</v>
      </c>
      <c r="M18" s="31">
        <v>61.2</v>
      </c>
      <c r="N18" s="19">
        <f t="shared" si="1"/>
        <v>-334.68572500015284</v>
      </c>
      <c r="P18" s="13" t="str">
        <v>*</v>
      </c>
      <c r="Q18" s="50">
        <v>42</v>
      </c>
      <c r="R18" s="14" t="str">
        <v>-</v>
      </c>
      <c r="S18" s="14" t="str">
        <v>NGC 7006</v>
      </c>
      <c r="T18" s="60">
        <v>259.46874449191898</v>
      </c>
      <c r="U18" s="61">
        <v>32.120546770621395</v>
      </c>
      <c r="V18" s="13">
        <v>0</v>
      </c>
      <c r="W18" s="13">
        <v>21.024999999999999</v>
      </c>
      <c r="X18" s="13">
        <v>16.183333333333334</v>
      </c>
      <c r="Y18" s="13">
        <v>-299.88572500015289</v>
      </c>
    </row>
    <row r="19" spans="2:25" ht="17" customHeight="1">
      <c r="B19" s="174" t="s">
        <v>202</v>
      </c>
      <c r="C19" s="66" t="s">
        <v>203</v>
      </c>
      <c r="D19" s="71" t="s">
        <v>240</v>
      </c>
      <c r="E19" s="18" t="str">
        <f t="shared" si="2"/>
        <v/>
      </c>
      <c r="F19" s="27">
        <f t="shared" si="4"/>
        <v>12</v>
      </c>
      <c r="G19" s="84" t="s">
        <v>203</v>
      </c>
      <c r="H19" s="26" t="s">
        <v>39</v>
      </c>
      <c r="I19" s="19">
        <f t="shared" si="3"/>
        <v>314.87204256685857</v>
      </c>
      <c r="J19" s="19">
        <f t="shared" si="0"/>
        <v>49.797901674573467</v>
      </c>
      <c r="K19" s="26" t="s">
        <v>176</v>
      </c>
      <c r="L19" s="30">
        <v>20.58</v>
      </c>
      <c r="M19" s="31">
        <v>60.15</v>
      </c>
      <c r="N19" s="19">
        <f t="shared" si="1"/>
        <v>-293.21072500015288</v>
      </c>
      <c r="P19" s="13" t="str">
        <v>*</v>
      </c>
      <c r="Q19" s="50">
        <v>43</v>
      </c>
      <c r="R19" s="14" t="str">
        <v>-</v>
      </c>
      <c r="S19" s="14" t="str">
        <v>NGC 7814</v>
      </c>
      <c r="T19" s="60">
        <v>206.65128542503635</v>
      </c>
      <c r="U19" s="61">
        <v>57.357951020000122</v>
      </c>
      <c r="V19" s="13" t="str">
        <v>Little Sombrero Galaxy</v>
      </c>
      <c r="W19" s="13">
        <v>0.06</v>
      </c>
      <c r="X19" s="13">
        <v>16.149999999999999</v>
      </c>
      <c r="Y19" s="13">
        <v>14.589274999847111</v>
      </c>
    </row>
    <row r="20" spans="2:25" ht="17" customHeight="1">
      <c r="B20" s="174"/>
      <c r="C20" s="67" t="s">
        <v>201</v>
      </c>
      <c r="D20" s="71" t="s">
        <v>240</v>
      </c>
      <c r="E20" s="18" t="str">
        <f t="shared" si="2"/>
        <v/>
      </c>
      <c r="F20" s="27">
        <f t="shared" si="4"/>
        <v>13</v>
      </c>
      <c r="G20" s="84" t="s">
        <v>203</v>
      </c>
      <c r="H20" s="26" t="s">
        <v>40</v>
      </c>
      <c r="I20" s="19">
        <f t="shared" si="3"/>
        <v>10.732527189180956</v>
      </c>
      <c r="J20" s="19">
        <f t="shared" si="0"/>
        <v>77.83846045415892</v>
      </c>
      <c r="K20" s="26" t="s">
        <v>141</v>
      </c>
      <c r="L20" s="30">
        <v>1.3183333333333334</v>
      </c>
      <c r="M20" s="31">
        <v>58.333333333333336</v>
      </c>
      <c r="N20" s="19">
        <f t="shared" si="1"/>
        <v>-4.2857250001528904</v>
      </c>
      <c r="P20" s="13" t="str">
        <v>*</v>
      </c>
      <c r="Q20" s="50">
        <v>44</v>
      </c>
      <c r="R20" s="14" t="str">
        <v>-</v>
      </c>
      <c r="S20" s="14" t="str">
        <v>NGC 7479</v>
      </c>
      <c r="T20" s="60">
        <v>225.41308726976976</v>
      </c>
      <c r="U20" s="61">
        <v>47.887143986138426</v>
      </c>
      <c r="V20" s="13">
        <v>0</v>
      </c>
      <c r="W20" s="13">
        <v>23.081666666666667</v>
      </c>
      <c r="X20" s="13">
        <v>12.316666666666666</v>
      </c>
      <c r="Y20" s="13">
        <v>-330.73572500015291</v>
      </c>
    </row>
    <row r="21" spans="2:25" ht="17" customHeight="1">
      <c r="B21" s="174"/>
      <c r="C21" s="67"/>
      <c r="D21" s="71"/>
      <c r="E21" s="18" t="str">
        <f t="shared" si="2"/>
        <v>*</v>
      </c>
      <c r="F21" s="27">
        <f t="shared" si="4"/>
        <v>14</v>
      </c>
      <c r="G21" s="84" t="s">
        <v>203</v>
      </c>
      <c r="H21" s="26" t="s">
        <v>41</v>
      </c>
      <c r="I21" s="19">
        <f t="shared" si="3"/>
        <v>41.073055921626569</v>
      </c>
      <c r="J21" s="19">
        <f t="shared" si="0"/>
        <v>73.986523210873727</v>
      </c>
      <c r="K21" s="26" t="s">
        <v>142</v>
      </c>
      <c r="L21" s="30">
        <v>2.3333333333333335</v>
      </c>
      <c r="M21" s="31">
        <v>57.133333333333333</v>
      </c>
      <c r="N21" s="19">
        <f t="shared" si="1"/>
        <v>-19.510725000152888</v>
      </c>
      <c r="P21" s="13" t="str">
        <v>*</v>
      </c>
      <c r="Q21" s="50">
        <v>47</v>
      </c>
      <c r="R21" s="14" t="str">
        <v>-</v>
      </c>
      <c r="S21" s="14" t="str">
        <v>NGC 6934</v>
      </c>
      <c r="T21" s="60">
        <v>258.06892724930725</v>
      </c>
      <c r="U21" s="61">
        <v>21.160433018595889</v>
      </c>
      <c r="V21" s="13">
        <v>0</v>
      </c>
      <c r="W21" s="13">
        <v>20.57</v>
      </c>
      <c r="X21" s="13">
        <v>7.4</v>
      </c>
      <c r="Y21" s="13">
        <v>-293.0607250001529</v>
      </c>
    </row>
    <row r="22" spans="2:25" ht="17" customHeight="1">
      <c r="B22" s="174"/>
      <c r="C22" s="67"/>
      <c r="D22" s="71"/>
      <c r="E22" s="18" t="str">
        <f t="shared" si="2"/>
        <v/>
      </c>
      <c r="F22" s="27">
        <f t="shared" si="4"/>
        <v>15</v>
      </c>
      <c r="G22" s="84" t="s">
        <v>203</v>
      </c>
      <c r="H22" s="26" t="s">
        <v>42</v>
      </c>
      <c r="I22" s="19">
        <f t="shared" si="3"/>
        <v>305.52852614489075</v>
      </c>
      <c r="J22" s="19">
        <f t="shared" si="0"/>
        <v>39.852042014631188</v>
      </c>
      <c r="K22" s="26" t="s">
        <v>177</v>
      </c>
      <c r="L22" s="30">
        <v>19.746666666666666</v>
      </c>
      <c r="M22" s="31">
        <v>50.516666666666666</v>
      </c>
      <c r="N22" s="19">
        <f t="shared" si="1"/>
        <v>-280.71072500015288</v>
      </c>
      <c r="P22" s="13" t="str">
        <v>*</v>
      </c>
      <c r="Q22" s="50">
        <v>51</v>
      </c>
      <c r="R22" s="14" t="str">
        <v>-</v>
      </c>
      <c r="S22" s="14" t="str">
        <v>IC 1613</v>
      </c>
      <c r="T22" s="60">
        <v>178.98372646667218</v>
      </c>
      <c r="U22" s="61">
        <v>45.662323860447209</v>
      </c>
      <c r="V22" s="13">
        <v>0</v>
      </c>
      <c r="W22" s="13">
        <v>1.08</v>
      </c>
      <c r="X22" s="13">
        <v>2.1166666666666667</v>
      </c>
      <c r="Y22" s="13">
        <v>-0.71072500015289108</v>
      </c>
    </row>
    <row r="23" spans="2:25" ht="17" customHeight="1">
      <c r="B23" s="174"/>
      <c r="C23" s="67"/>
      <c r="D23" s="71"/>
      <c r="E23" s="18" t="str">
        <f t="shared" si="2"/>
        <v/>
      </c>
      <c r="F23" s="27">
        <f t="shared" si="4"/>
        <v>16</v>
      </c>
      <c r="G23" s="84" t="s">
        <v>203</v>
      </c>
      <c r="H23" s="26" t="s">
        <v>43</v>
      </c>
      <c r="I23" s="19">
        <f t="shared" si="3"/>
        <v>292.56745067018312</v>
      </c>
      <c r="J23" s="19">
        <f t="shared" si="0"/>
        <v>62.363738722897367</v>
      </c>
      <c r="K23" s="26"/>
      <c r="L23" s="30">
        <v>22.254999999999999</v>
      </c>
      <c r="M23" s="31">
        <v>49.883333333333333</v>
      </c>
      <c r="N23" s="19">
        <f t="shared" si="1"/>
        <v>-318.33572500015288</v>
      </c>
      <c r="P23" s="13" t="str">
        <v>*</v>
      </c>
      <c r="Q23" s="50">
        <v>56</v>
      </c>
      <c r="R23" s="14" t="str">
        <v>-</v>
      </c>
      <c r="S23" s="14" t="str">
        <v>NGC 246</v>
      </c>
      <c r="T23" s="60">
        <v>184.29573701332512</v>
      </c>
      <c r="U23" s="61">
        <v>31.570093584060288</v>
      </c>
      <c r="V23" s="13" t="str">
        <v>Skull Nebula</v>
      </c>
      <c r="W23" s="13">
        <v>0.78333333333333333</v>
      </c>
      <c r="X23" s="13">
        <v>-11.883333333333333</v>
      </c>
      <c r="Y23" s="13">
        <v>3.7392749998471118</v>
      </c>
    </row>
    <row r="24" spans="2:25" ht="17" customHeight="1">
      <c r="B24" s="175"/>
      <c r="C24" s="68"/>
      <c r="D24" s="71"/>
      <c r="E24" s="18" t="str">
        <f t="shared" si="2"/>
        <v/>
      </c>
      <c r="F24" s="27">
        <f t="shared" si="4"/>
        <v>17</v>
      </c>
      <c r="G24" s="84" t="s">
        <v>203</v>
      </c>
      <c r="H24" s="26" t="s">
        <v>44</v>
      </c>
      <c r="I24" s="19">
        <f t="shared" si="3"/>
        <v>295.49659405808848</v>
      </c>
      <c r="J24" s="19">
        <f t="shared" si="0"/>
        <v>84.728651335335101</v>
      </c>
      <c r="K24" s="26"/>
      <c r="L24" s="30">
        <v>0.55333333333333334</v>
      </c>
      <c r="M24" s="31">
        <v>48.5</v>
      </c>
      <c r="N24" s="19">
        <f t="shared" si="1"/>
        <v>7.1892749998471128</v>
      </c>
      <c r="P24" s="13" t="str">
        <v>*</v>
      </c>
      <c r="Q24" s="50">
        <v>62</v>
      </c>
      <c r="R24" s="14" t="str">
        <v>-</v>
      </c>
      <c r="S24" s="14" t="str">
        <v>NGC 247</v>
      </c>
      <c r="T24" s="60">
        <v>183.76462960271039</v>
      </c>
      <c r="U24" s="61">
        <v>22.699265867400541</v>
      </c>
      <c r="V24" s="13">
        <v>0</v>
      </c>
      <c r="W24" s="13">
        <v>0.78500000000000003</v>
      </c>
      <c r="X24" s="13">
        <v>-20.766666666666666</v>
      </c>
      <c r="Y24" s="13">
        <v>3.7142749998471114</v>
      </c>
    </row>
    <row r="25" spans="2:25" ht="17" customHeight="1">
      <c r="E25" s="18" t="str">
        <f t="shared" si="2"/>
        <v/>
      </c>
      <c r="F25" s="27">
        <f t="shared" si="4"/>
        <v>18</v>
      </c>
      <c r="G25" s="84" t="s">
        <v>203</v>
      </c>
      <c r="H25" s="26" t="s">
        <v>45</v>
      </c>
      <c r="I25" s="19">
        <f t="shared" si="3"/>
        <v>297.95379248172821</v>
      </c>
      <c r="J25" s="19">
        <f t="shared" si="0"/>
        <v>85.683729006550564</v>
      </c>
      <c r="K25" s="26"/>
      <c r="L25" s="30">
        <v>0.65</v>
      </c>
      <c r="M25" s="31">
        <v>48.333333333333336</v>
      </c>
      <c r="N25" s="19">
        <f t="shared" si="1"/>
        <v>5.7392749998471118</v>
      </c>
      <c r="P25" s="13" t="str">
        <v>*</v>
      </c>
      <c r="Q25" s="50">
        <v>65</v>
      </c>
      <c r="R25" s="14" t="str">
        <v>-</v>
      </c>
      <c r="S25" s="14" t="str">
        <v>NGC 253</v>
      </c>
      <c r="T25" s="60">
        <v>183.41601173085451</v>
      </c>
      <c r="U25" s="61">
        <v>18.192950732519435</v>
      </c>
      <c r="V25" s="13" t="str">
        <v>Sculptor Galaxy</v>
      </c>
      <c r="W25" s="13">
        <v>0.79333333333333333</v>
      </c>
      <c r="X25" s="13">
        <v>-25.283333333333335</v>
      </c>
      <c r="Y25" s="13">
        <v>3.5892749998471132</v>
      </c>
    </row>
    <row r="26" spans="2:25" ht="17" customHeight="1">
      <c r="E26" s="18" t="str">
        <f t="shared" si="2"/>
        <v/>
      </c>
      <c r="F26" s="27">
        <f t="shared" si="4"/>
        <v>19</v>
      </c>
      <c r="G26" s="84" t="s">
        <v>203</v>
      </c>
      <c r="H26" s="26" t="s">
        <v>46</v>
      </c>
      <c r="I26" s="19">
        <f t="shared" si="3"/>
        <v>289.01734727071653</v>
      </c>
      <c r="J26" s="19">
        <f t="shared" si="0"/>
        <v>58.270231386933382</v>
      </c>
      <c r="K26" s="26" t="s">
        <v>143</v>
      </c>
      <c r="L26" s="30">
        <v>21.891666666666666</v>
      </c>
      <c r="M26" s="31">
        <v>47.266666666666666</v>
      </c>
      <c r="N26" s="19">
        <f t="shared" si="1"/>
        <v>-312.88572500015289</v>
      </c>
      <c r="Q26" s="50"/>
      <c r="T26" s="60"/>
      <c r="U26" s="61"/>
    </row>
    <row r="27" spans="2:25" ht="17" customHeight="1">
      <c r="B27" s="176" t="s">
        <v>204</v>
      </c>
      <c r="C27" s="176"/>
      <c r="D27" s="176"/>
      <c r="E27" s="18" t="str">
        <f t="shared" si="2"/>
        <v/>
      </c>
      <c r="F27" s="27">
        <f t="shared" si="4"/>
        <v>20</v>
      </c>
      <c r="G27" s="84" t="s">
        <v>203</v>
      </c>
      <c r="H27" s="26" t="s">
        <v>47</v>
      </c>
      <c r="I27" s="19">
        <f t="shared" si="3"/>
        <v>290.10120120718</v>
      </c>
      <c r="J27" s="19">
        <f t="shared" si="0"/>
        <v>48.331481172851724</v>
      </c>
      <c r="K27" s="26" t="s">
        <v>144</v>
      </c>
      <c r="L27" s="30">
        <v>20.98</v>
      </c>
      <c r="M27" s="31">
        <v>44.333333333333336</v>
      </c>
      <c r="N27" s="19">
        <f t="shared" si="1"/>
        <v>-299.21072500015288</v>
      </c>
      <c r="Q27" s="50"/>
      <c r="T27" s="60"/>
      <c r="U27" s="61"/>
    </row>
    <row r="28" spans="2:25" ht="17" customHeight="1">
      <c r="B28" s="96" t="s">
        <v>205</v>
      </c>
      <c r="C28" s="97" t="s">
        <v>206</v>
      </c>
      <c r="D28" s="98" t="s">
        <v>207</v>
      </c>
      <c r="E28" s="18" t="str">
        <f t="shared" si="2"/>
        <v/>
      </c>
      <c r="F28" s="27">
        <f t="shared" si="4"/>
        <v>21</v>
      </c>
      <c r="G28" s="84" t="s">
        <v>203</v>
      </c>
      <c r="H28" s="26" t="s">
        <v>48</v>
      </c>
      <c r="I28" s="19">
        <f t="shared" si="3"/>
        <v>6.0504898368231395</v>
      </c>
      <c r="J28" s="19">
        <f t="shared" si="0"/>
        <v>0.85698534808173543</v>
      </c>
      <c r="K28" s="26"/>
      <c r="L28" s="30">
        <v>12.47</v>
      </c>
      <c r="M28" s="31">
        <v>44.1</v>
      </c>
      <c r="N28" s="19">
        <f t="shared" si="1"/>
        <v>-171.5607250001529</v>
      </c>
      <c r="Q28" s="50"/>
      <c r="T28" s="60"/>
      <c r="U28" s="61"/>
    </row>
    <row r="29" spans="2:25" ht="17" customHeight="1">
      <c r="B29" s="99" t="s">
        <v>197</v>
      </c>
      <c r="C29" s="155">
        <v>46.45</v>
      </c>
      <c r="D29" s="155">
        <v>7.42</v>
      </c>
      <c r="E29" s="18" t="str">
        <f t="shared" si="2"/>
        <v>*</v>
      </c>
      <c r="F29" s="27">
        <f t="shared" si="4"/>
        <v>22</v>
      </c>
      <c r="G29" s="84" t="s">
        <v>203</v>
      </c>
      <c r="H29" s="26" t="s">
        <v>49</v>
      </c>
      <c r="I29" s="19">
        <f t="shared" si="3"/>
        <v>265.84105498362976</v>
      </c>
      <c r="J29" s="19">
        <f t="shared" si="0"/>
        <v>72.506534644960823</v>
      </c>
      <c r="K29" s="26" t="s">
        <v>145</v>
      </c>
      <c r="L29" s="30">
        <v>23.431666666666665</v>
      </c>
      <c r="M29" s="31">
        <v>42.55</v>
      </c>
      <c r="N29" s="19">
        <f t="shared" si="1"/>
        <v>-335.98572500015285</v>
      </c>
      <c r="Q29" s="50"/>
      <c r="T29" s="60"/>
      <c r="U29" s="61"/>
    </row>
    <row r="30" spans="2:25" ht="17" customHeight="1">
      <c r="B30" s="99"/>
      <c r="C30" s="155"/>
      <c r="D30" s="155"/>
      <c r="E30" s="18" t="str">
        <f t="shared" si="2"/>
        <v>*</v>
      </c>
      <c r="F30" s="27">
        <f t="shared" si="4"/>
        <v>23</v>
      </c>
      <c r="G30" s="84" t="s">
        <v>203</v>
      </c>
      <c r="H30" s="26" t="s">
        <v>50</v>
      </c>
      <c r="I30" s="19">
        <f t="shared" si="3"/>
        <v>98.634426976033467</v>
      </c>
      <c r="J30" s="19">
        <f t="shared" si="0"/>
        <v>75.070232339054272</v>
      </c>
      <c r="K30" s="26" t="s">
        <v>178</v>
      </c>
      <c r="L30" s="30">
        <v>2.3766666666666669</v>
      </c>
      <c r="M30" s="31">
        <v>42.35</v>
      </c>
      <c r="N30" s="19">
        <f t="shared" si="1"/>
        <v>-20.160725000152894</v>
      </c>
      <c r="Q30" s="50"/>
      <c r="T30" s="60"/>
      <c r="U30" s="61"/>
    </row>
    <row r="31" spans="2:25" ht="17" customHeight="1">
      <c r="B31" s="99"/>
      <c r="C31" s="155"/>
      <c r="D31" s="155"/>
      <c r="E31" s="18" t="str">
        <f t="shared" si="2"/>
        <v>*</v>
      </c>
      <c r="F31" s="27">
        <f t="shared" si="4"/>
        <v>24</v>
      </c>
      <c r="G31" s="84" t="s">
        <v>203</v>
      </c>
      <c r="H31" s="26" t="s">
        <v>51</v>
      </c>
      <c r="I31" s="19">
        <f t="shared" si="3"/>
        <v>88.751094593369075</v>
      </c>
      <c r="J31" s="19">
        <f t="shared" si="0"/>
        <v>64.926434224692997</v>
      </c>
      <c r="K31" s="26" t="s">
        <v>146</v>
      </c>
      <c r="L31" s="30">
        <v>3.33</v>
      </c>
      <c r="M31" s="31">
        <v>41.516666666666666</v>
      </c>
      <c r="N31" s="19">
        <f t="shared" si="1"/>
        <v>-34.460725000152891</v>
      </c>
      <c r="Q31" s="50"/>
      <c r="T31" s="60"/>
      <c r="U31" s="61"/>
    </row>
    <row r="32" spans="2:25" ht="17" customHeight="1">
      <c r="B32" s="99"/>
      <c r="C32" s="155"/>
      <c r="D32" s="155"/>
      <c r="E32" s="18" t="str">
        <f t="shared" si="2"/>
        <v>*</v>
      </c>
      <c r="F32" s="27">
        <f t="shared" si="4"/>
        <v>25</v>
      </c>
      <c r="G32" s="84" t="s">
        <v>203</v>
      </c>
      <c r="H32" s="26" t="s">
        <v>52</v>
      </c>
      <c r="I32" s="19">
        <f t="shared" si="3"/>
        <v>55.868640505273461</v>
      </c>
      <c r="J32" s="19">
        <f t="shared" si="0"/>
        <v>21.761061930015014</v>
      </c>
      <c r="K32" s="26" t="s">
        <v>179</v>
      </c>
      <c r="L32" s="30">
        <v>7.6349999999999998</v>
      </c>
      <c r="M32" s="31">
        <v>38.883333333333333</v>
      </c>
      <c r="N32" s="19">
        <f t="shared" si="1"/>
        <v>-99.03572500015288</v>
      </c>
      <c r="Q32" s="50"/>
      <c r="T32" s="60"/>
      <c r="U32" s="61"/>
    </row>
    <row r="33" spans="2:21" ht="17" customHeight="1">
      <c r="B33" s="99"/>
      <c r="C33" s="155"/>
      <c r="D33" s="155"/>
      <c r="E33" s="18" t="str">
        <f t="shared" si="2"/>
        <v/>
      </c>
      <c r="F33" s="27">
        <f t="shared" si="4"/>
        <v>26</v>
      </c>
      <c r="G33" s="84" t="s">
        <v>203</v>
      </c>
      <c r="H33" s="26" t="s">
        <v>53</v>
      </c>
      <c r="I33" s="19">
        <f t="shared" si="3"/>
        <v>8.7948622989287966</v>
      </c>
      <c r="J33" s="19">
        <f t="shared" si="0"/>
        <v>-5.1457966759984908</v>
      </c>
      <c r="K33" s="26" t="s">
        <v>180</v>
      </c>
      <c r="L33" s="30">
        <v>12.291666666666666</v>
      </c>
      <c r="M33" s="31">
        <v>37.81666666666667</v>
      </c>
      <c r="N33" s="19">
        <f t="shared" si="1"/>
        <v>-168.88572500015289</v>
      </c>
      <c r="Q33" s="50"/>
      <c r="T33" s="60"/>
      <c r="U33" s="61"/>
    </row>
    <row r="34" spans="2:21" ht="17" customHeight="1">
      <c r="E34" s="18" t="str">
        <f t="shared" si="2"/>
        <v/>
      </c>
      <c r="F34" s="27">
        <f t="shared" si="4"/>
        <v>27</v>
      </c>
      <c r="G34" s="84" t="s">
        <v>203</v>
      </c>
      <c r="H34" s="26" t="s">
        <v>54</v>
      </c>
      <c r="I34" s="19">
        <f t="shared" si="3"/>
        <v>288.92808631915392</v>
      </c>
      <c r="J34" s="19">
        <f t="shared" si="0"/>
        <v>37.753950492505027</v>
      </c>
      <c r="K34" s="26" t="s">
        <v>147</v>
      </c>
      <c r="L34" s="30">
        <v>20.2</v>
      </c>
      <c r="M34" s="31">
        <v>38.35</v>
      </c>
      <c r="N34" s="19">
        <f t="shared" si="1"/>
        <v>-287.51072500015289</v>
      </c>
      <c r="Q34" s="50"/>
      <c r="T34" s="60"/>
      <c r="U34" s="61"/>
    </row>
    <row r="35" spans="2:21" ht="17" customHeight="1">
      <c r="E35" s="18" t="str">
        <f t="shared" si="2"/>
        <v>*</v>
      </c>
      <c r="F35" s="27">
        <f t="shared" si="4"/>
        <v>28</v>
      </c>
      <c r="G35" s="84" t="s">
        <v>203</v>
      </c>
      <c r="H35" s="26" t="s">
        <v>55</v>
      </c>
      <c r="I35" s="19">
        <f t="shared" si="3"/>
        <v>125.35618362384237</v>
      </c>
      <c r="J35" s="19">
        <f t="shared" si="0"/>
        <v>76.461001413422863</v>
      </c>
      <c r="K35" s="26"/>
      <c r="L35" s="30">
        <v>1.9633333333333334</v>
      </c>
      <c r="M35" s="31">
        <v>37.68333333333333</v>
      </c>
      <c r="N35" s="19">
        <f t="shared" si="1"/>
        <v>-13.960725000152891</v>
      </c>
      <c r="Q35" s="50"/>
      <c r="T35" s="60"/>
      <c r="U35" s="61"/>
    </row>
    <row r="36" spans="2:21" ht="17" customHeight="1">
      <c r="B36" s="168" t="str">
        <f>CONCATENATE("Moon's illuminated fraction: ",TEXT(Illumination!C8*100,"0.00"),"%")</f>
        <v>Moon's illuminated fraction: 65.13%</v>
      </c>
      <c r="C36" s="169"/>
      <c r="D36" s="170"/>
      <c r="E36" s="18" t="str">
        <f t="shared" si="2"/>
        <v/>
      </c>
      <c r="F36" s="27">
        <f t="shared" si="4"/>
        <v>29</v>
      </c>
      <c r="G36" s="84" t="s">
        <v>203</v>
      </c>
      <c r="H36" s="26" t="s">
        <v>56</v>
      </c>
      <c r="I36" s="19">
        <f t="shared" si="3"/>
        <v>358.20434896449541</v>
      </c>
      <c r="J36" s="19">
        <f t="shared" si="0"/>
        <v>-6.4758624416320298</v>
      </c>
      <c r="K36" s="26"/>
      <c r="L36" s="30">
        <v>13.181666666666667</v>
      </c>
      <c r="M36" s="31">
        <v>37.049999999999997</v>
      </c>
      <c r="N36" s="19">
        <f t="shared" si="1"/>
        <v>-182.23572500015291</v>
      </c>
      <c r="Q36" s="50"/>
      <c r="T36" s="60"/>
      <c r="U36" s="61"/>
    </row>
    <row r="37" spans="2:21" ht="17" customHeight="1">
      <c r="E37" s="18" t="str">
        <f t="shared" si="2"/>
        <v>*</v>
      </c>
      <c r="F37" s="27">
        <f t="shared" si="4"/>
        <v>30</v>
      </c>
      <c r="G37" s="84" t="s">
        <v>203</v>
      </c>
      <c r="H37" s="26" t="s">
        <v>57</v>
      </c>
      <c r="I37" s="19">
        <f t="shared" si="3"/>
        <v>259.19996389256505</v>
      </c>
      <c r="J37" s="19">
        <f t="shared" si="0"/>
        <v>60.252796061182273</v>
      </c>
      <c r="K37" s="26"/>
      <c r="L37" s="30">
        <v>22.618333333333332</v>
      </c>
      <c r="M37" s="31">
        <v>34.416666666666664</v>
      </c>
      <c r="N37" s="19">
        <f t="shared" si="1"/>
        <v>-323.78572500015287</v>
      </c>
      <c r="Q37" s="50"/>
      <c r="T37" s="60"/>
      <c r="U37" s="61"/>
    </row>
    <row r="38" spans="2:21" ht="17" customHeight="1">
      <c r="E38" s="18" t="str">
        <f t="shared" si="2"/>
        <v>*</v>
      </c>
      <c r="F38" s="27">
        <f t="shared" si="4"/>
        <v>31</v>
      </c>
      <c r="G38" s="84" t="s">
        <v>203</v>
      </c>
      <c r="H38" s="26" t="s">
        <v>58</v>
      </c>
      <c r="I38" s="19">
        <f t="shared" si="3"/>
        <v>80.695326097080766</v>
      </c>
      <c r="J38" s="19">
        <f t="shared" si="0"/>
        <v>41.422301644634338</v>
      </c>
      <c r="K38" s="26" t="s">
        <v>148</v>
      </c>
      <c r="L38" s="30">
        <v>5.27</v>
      </c>
      <c r="M38" s="31">
        <v>34.266666666666666</v>
      </c>
      <c r="N38" s="19">
        <f t="shared" si="1"/>
        <v>-63.560725000152885</v>
      </c>
      <c r="Q38" s="50"/>
      <c r="T38" s="60"/>
      <c r="U38" s="61"/>
    </row>
    <row r="39" spans="2:21" ht="17" customHeight="1">
      <c r="E39" s="18" t="str">
        <f t="shared" si="2"/>
        <v/>
      </c>
      <c r="F39" s="27">
        <f t="shared" si="4"/>
        <v>32</v>
      </c>
      <c r="G39" s="84" t="s">
        <v>203</v>
      </c>
      <c r="H39" s="26" t="s">
        <v>59</v>
      </c>
      <c r="I39" s="19">
        <f t="shared" si="3"/>
        <v>4.2606144211513923</v>
      </c>
      <c r="J39" s="19">
        <f t="shared" si="0"/>
        <v>-10.889506458946839</v>
      </c>
      <c r="K39" s="26" t="s">
        <v>149</v>
      </c>
      <c r="L39" s="30">
        <v>12.701666666666666</v>
      </c>
      <c r="M39" s="31">
        <v>32.533333333333331</v>
      </c>
      <c r="N39" s="19">
        <f t="shared" si="1"/>
        <v>-175.03572500015289</v>
      </c>
      <c r="Q39" s="50"/>
      <c r="T39" s="60"/>
      <c r="U39" s="61"/>
    </row>
    <row r="40" spans="2:21" ht="17" customHeight="1">
      <c r="E40" s="18" t="str">
        <f t="shared" si="2"/>
        <v/>
      </c>
      <c r="F40" s="27">
        <f t="shared" si="4"/>
        <v>33</v>
      </c>
      <c r="G40" s="84" t="s">
        <v>203</v>
      </c>
      <c r="H40" s="26" t="s">
        <v>60</v>
      </c>
      <c r="I40" s="19">
        <f t="shared" si="3"/>
        <v>275.12538302321548</v>
      </c>
      <c r="J40" s="19">
        <f t="shared" ref="J40:J71" si="5">ASIN(SIN($N$118*M40)*SIN($N$118*$C$13)+COS($N$118*M40)*COS($N$118*$C$13)*COS($N$118*N40))/$N$118</f>
        <v>41.428229614154759</v>
      </c>
      <c r="K40" s="26" t="s">
        <v>181</v>
      </c>
      <c r="L40" s="30">
        <v>20.94</v>
      </c>
      <c r="M40" s="31">
        <v>31.716666666666665</v>
      </c>
      <c r="N40" s="19">
        <f t="shared" ref="N40:N71" si="6">$C$16-((L40/24)*360)</f>
        <v>-298.61072500015291</v>
      </c>
      <c r="Q40" s="50"/>
      <c r="T40" s="60"/>
      <c r="U40" s="61"/>
    </row>
    <row r="41" spans="2:21" ht="17" customHeight="1">
      <c r="E41" s="18" t="str">
        <f t="shared" si="2"/>
        <v/>
      </c>
      <c r="F41" s="27">
        <f t="shared" si="4"/>
        <v>34</v>
      </c>
      <c r="G41" s="84" t="s">
        <v>203</v>
      </c>
      <c r="H41" s="26" t="s">
        <v>61</v>
      </c>
      <c r="I41" s="19">
        <f t="shared" si="3"/>
        <v>275.8647584552549</v>
      </c>
      <c r="J41" s="19">
        <f t="shared" si="5"/>
        <v>38.99628291895268</v>
      </c>
      <c r="K41" s="26" t="s">
        <v>182</v>
      </c>
      <c r="L41" s="30">
        <v>20.761666666666667</v>
      </c>
      <c r="M41" s="31">
        <v>30.716666666666665</v>
      </c>
      <c r="N41" s="19">
        <f t="shared" si="6"/>
        <v>-295.9357250001529</v>
      </c>
      <c r="Q41" s="50"/>
      <c r="T41" s="60"/>
      <c r="U41" s="61"/>
    </row>
    <row r="42" spans="2:21" ht="17" customHeight="1">
      <c r="E42" s="18" t="str">
        <f t="shared" si="2"/>
        <v/>
      </c>
      <c r="F42" s="27">
        <f t="shared" si="4"/>
        <v>35</v>
      </c>
      <c r="G42" s="84" t="s">
        <v>203</v>
      </c>
      <c r="H42" s="26" t="s">
        <v>62</v>
      </c>
      <c r="I42" s="19">
        <f t="shared" si="3"/>
        <v>0.42560237729847727</v>
      </c>
      <c r="J42" s="19">
        <f t="shared" si="5"/>
        <v>-15.565478608831166</v>
      </c>
      <c r="K42" s="26" t="s">
        <v>183</v>
      </c>
      <c r="L42" s="30">
        <v>13.001666666666667</v>
      </c>
      <c r="M42" s="31">
        <v>27.983333333333334</v>
      </c>
      <c r="N42" s="19">
        <f t="shared" si="6"/>
        <v>-179.53572500015287</v>
      </c>
      <c r="Q42" s="50"/>
      <c r="T42" s="60"/>
      <c r="U42" s="61"/>
    </row>
    <row r="43" spans="2:21" ht="17" customHeight="1">
      <c r="E43" s="18" t="str">
        <f t="shared" si="2"/>
        <v/>
      </c>
      <c r="F43" s="27">
        <f t="shared" si="4"/>
        <v>36</v>
      </c>
      <c r="G43" s="84" t="s">
        <v>203</v>
      </c>
      <c r="H43" s="26" t="s">
        <v>63</v>
      </c>
      <c r="I43" s="19">
        <f t="shared" si="3"/>
        <v>5.9414725615804951</v>
      </c>
      <c r="J43" s="19">
        <f t="shared" si="5"/>
        <v>-15.351552640969956</v>
      </c>
      <c r="K43" s="26"/>
      <c r="L43" s="30">
        <v>12.6</v>
      </c>
      <c r="M43" s="31">
        <v>27.966666666666665</v>
      </c>
      <c r="N43" s="19">
        <f t="shared" si="6"/>
        <v>-173.51072500015289</v>
      </c>
      <c r="Q43" s="50"/>
      <c r="T43" s="60"/>
      <c r="U43" s="61"/>
    </row>
    <row r="44" spans="2:21" ht="17" customHeight="1">
      <c r="E44" s="18" t="str">
        <f t="shared" si="2"/>
        <v/>
      </c>
      <c r="F44" s="27">
        <f t="shared" si="4"/>
        <v>37</v>
      </c>
      <c r="G44" s="84" t="s">
        <v>203</v>
      </c>
      <c r="H44" s="26" t="s">
        <v>64</v>
      </c>
      <c r="I44" s="19">
        <f t="shared" si="3"/>
        <v>277.47882441530101</v>
      </c>
      <c r="J44" s="19">
        <f t="shared" si="5"/>
        <v>30.580956956685537</v>
      </c>
      <c r="K44" s="26"/>
      <c r="L44" s="30">
        <v>20.2</v>
      </c>
      <c r="M44" s="31">
        <v>26.483333333333334</v>
      </c>
      <c r="N44" s="19">
        <f t="shared" si="6"/>
        <v>-287.51072500015289</v>
      </c>
      <c r="Q44" s="50"/>
      <c r="T44" s="60"/>
      <c r="U44" s="61"/>
    </row>
    <row r="45" spans="2:21" ht="17" customHeight="1">
      <c r="E45" s="18" t="str">
        <f t="shared" si="2"/>
        <v/>
      </c>
      <c r="F45" s="27">
        <f t="shared" si="4"/>
        <v>38</v>
      </c>
      <c r="G45" s="84" t="s">
        <v>203</v>
      </c>
      <c r="H45" s="26" t="s">
        <v>65</v>
      </c>
      <c r="I45" s="19">
        <f t="shared" si="3"/>
        <v>6.0388120214493073</v>
      </c>
      <c r="J45" s="19">
        <f t="shared" si="5"/>
        <v>-17.333812528162078</v>
      </c>
      <c r="K45" s="26" t="s">
        <v>150</v>
      </c>
      <c r="L45" s="30">
        <v>12.605</v>
      </c>
      <c r="M45" s="31">
        <v>25.983333333333334</v>
      </c>
      <c r="N45" s="19">
        <f t="shared" si="6"/>
        <v>-173.58572500015291</v>
      </c>
      <c r="Q45" s="50"/>
      <c r="T45" s="60"/>
      <c r="U45" s="61"/>
    </row>
    <row r="46" spans="2:21" ht="17" customHeight="1">
      <c r="E46" s="18" t="str">
        <f t="shared" si="2"/>
        <v/>
      </c>
      <c r="F46" s="27">
        <f t="shared" si="4"/>
        <v>39</v>
      </c>
      <c r="G46" s="84" t="s">
        <v>203</v>
      </c>
      <c r="H46" s="27" t="s">
        <v>66</v>
      </c>
      <c r="I46" s="19">
        <f t="shared" si="3"/>
        <v>70.620097794497653</v>
      </c>
      <c r="J46" s="19">
        <f t="shared" si="5"/>
        <v>10.511256311132755</v>
      </c>
      <c r="K46" s="26" t="s">
        <v>151</v>
      </c>
      <c r="L46" s="30">
        <v>7.4866666666666664</v>
      </c>
      <c r="M46" s="31">
        <v>20.916666666666668</v>
      </c>
      <c r="N46" s="19">
        <f t="shared" si="6"/>
        <v>-96.810725000152871</v>
      </c>
      <c r="Q46" s="50"/>
      <c r="T46" s="60"/>
      <c r="U46" s="61"/>
    </row>
    <row r="47" spans="2:21" ht="17" customHeight="1">
      <c r="E47" s="18" t="str">
        <f t="shared" si="2"/>
        <v/>
      </c>
      <c r="F47" s="27">
        <f t="shared" si="4"/>
        <v>40</v>
      </c>
      <c r="G47" s="84" t="s">
        <v>203</v>
      </c>
      <c r="H47" s="26" t="s">
        <v>67</v>
      </c>
      <c r="I47" s="19">
        <f t="shared" si="3"/>
        <v>25.965018912274907</v>
      </c>
      <c r="J47" s="19">
        <f t="shared" si="5"/>
        <v>-21.238444699689605</v>
      </c>
      <c r="K47" s="26"/>
      <c r="L47" s="30">
        <v>11.335000000000001</v>
      </c>
      <c r="M47" s="31">
        <v>18.350000000000001</v>
      </c>
      <c r="N47" s="19">
        <f t="shared" si="6"/>
        <v>-154.53572500015289</v>
      </c>
      <c r="Q47" s="50"/>
      <c r="T47" s="60"/>
      <c r="U47" s="61"/>
    </row>
    <row r="48" spans="2:21" ht="17" customHeight="1">
      <c r="E48" s="18" t="str">
        <f t="shared" si="2"/>
        <v>*</v>
      </c>
      <c r="F48" s="27">
        <f t="shared" si="4"/>
        <v>41</v>
      </c>
      <c r="G48" s="84" t="s">
        <v>203</v>
      </c>
      <c r="H48" s="28" t="s">
        <v>68</v>
      </c>
      <c r="I48" s="19">
        <f t="shared" si="3"/>
        <v>108.16893363098121</v>
      </c>
      <c r="J48" s="19">
        <f t="shared" si="5"/>
        <v>37.895646646364554</v>
      </c>
      <c r="K48" s="26" t="s">
        <v>152</v>
      </c>
      <c r="L48" s="30">
        <v>4.45</v>
      </c>
      <c r="M48" s="31">
        <v>16</v>
      </c>
      <c r="N48" s="19">
        <f t="shared" si="6"/>
        <v>-51.260725000152888</v>
      </c>
      <c r="Q48" s="50"/>
      <c r="T48" s="60"/>
      <c r="U48" s="61"/>
    </row>
    <row r="49" spans="2:21" ht="17" customHeight="1">
      <c r="E49" s="18" t="str">
        <f t="shared" si="2"/>
        <v>*</v>
      </c>
      <c r="F49" s="27">
        <f t="shared" si="4"/>
        <v>42</v>
      </c>
      <c r="G49" s="84" t="s">
        <v>203</v>
      </c>
      <c r="H49" s="26" t="s">
        <v>69</v>
      </c>
      <c r="I49" s="19">
        <f t="shared" si="3"/>
        <v>259.46874449191898</v>
      </c>
      <c r="J49" s="19">
        <f t="shared" si="5"/>
        <v>32.120546770621395</v>
      </c>
      <c r="K49" s="26"/>
      <c r="L49" s="30">
        <v>21.024999999999999</v>
      </c>
      <c r="M49" s="31">
        <v>16.183333333333334</v>
      </c>
      <c r="N49" s="19">
        <f t="shared" si="6"/>
        <v>-299.88572500015289</v>
      </c>
      <c r="Q49" s="50"/>
      <c r="T49" s="60"/>
      <c r="U49" s="61"/>
    </row>
    <row r="50" spans="2:21" ht="17" customHeight="1">
      <c r="E50" s="18" t="str">
        <f t="shared" si="2"/>
        <v>*</v>
      </c>
      <c r="F50" s="27">
        <f t="shared" si="4"/>
        <v>43</v>
      </c>
      <c r="G50" s="84" t="s">
        <v>203</v>
      </c>
      <c r="H50" s="26" t="s">
        <v>70</v>
      </c>
      <c r="I50" s="19">
        <f t="shared" si="3"/>
        <v>206.65128542503635</v>
      </c>
      <c r="J50" s="19">
        <f t="shared" si="5"/>
        <v>57.357951020000122</v>
      </c>
      <c r="K50" s="26" t="s">
        <v>184</v>
      </c>
      <c r="L50" s="30">
        <v>0.06</v>
      </c>
      <c r="M50" s="31">
        <v>16.149999999999999</v>
      </c>
      <c r="N50" s="19">
        <f t="shared" si="6"/>
        <v>14.589274999847111</v>
      </c>
      <c r="Q50" s="50"/>
      <c r="T50" s="60"/>
      <c r="U50" s="61"/>
    </row>
    <row r="51" spans="2:21" ht="17" customHeight="1">
      <c r="E51" s="18" t="str">
        <f t="shared" si="2"/>
        <v>*</v>
      </c>
      <c r="F51" s="27">
        <f t="shared" si="4"/>
        <v>44</v>
      </c>
      <c r="G51" s="84" t="s">
        <v>203</v>
      </c>
      <c r="H51" s="26" t="s">
        <v>71</v>
      </c>
      <c r="I51" s="19">
        <f t="shared" si="3"/>
        <v>225.41308726976976</v>
      </c>
      <c r="J51" s="19">
        <f t="shared" si="5"/>
        <v>47.887143986138426</v>
      </c>
      <c r="K51" s="26"/>
      <c r="L51" s="30">
        <v>23.081666666666667</v>
      </c>
      <c r="M51" s="31">
        <v>12.316666666666666</v>
      </c>
      <c r="N51" s="19">
        <f t="shared" si="6"/>
        <v>-330.73572500015291</v>
      </c>
      <c r="Q51" s="50"/>
      <c r="T51" s="60"/>
      <c r="U51" s="61"/>
    </row>
    <row r="52" spans="2:21" ht="17" customHeight="1">
      <c r="E52" s="18" t="str">
        <f t="shared" si="2"/>
        <v/>
      </c>
      <c r="F52" s="27">
        <f t="shared" si="4"/>
        <v>45</v>
      </c>
      <c r="G52" s="84" t="s">
        <v>203</v>
      </c>
      <c r="H52" s="26" t="s">
        <v>72</v>
      </c>
      <c r="I52" s="19">
        <f t="shared" si="3"/>
        <v>349.37975125690627</v>
      </c>
      <c r="J52" s="19">
        <f t="shared" si="5"/>
        <v>-34.099470852397317</v>
      </c>
      <c r="K52" s="26"/>
      <c r="L52" s="30">
        <v>13.625</v>
      </c>
      <c r="M52" s="31">
        <v>8.8833333333333329</v>
      </c>
      <c r="N52" s="19">
        <f t="shared" si="6"/>
        <v>-188.88572500015289</v>
      </c>
      <c r="Q52" s="50"/>
      <c r="T52" s="60"/>
      <c r="U52" s="61"/>
    </row>
    <row r="53" spans="2:21" ht="17" customHeight="1">
      <c r="E53" s="18" t="str">
        <f t="shared" si="2"/>
        <v/>
      </c>
      <c r="F53" s="27">
        <f t="shared" si="4"/>
        <v>46</v>
      </c>
      <c r="G53" s="84" t="s">
        <v>203</v>
      </c>
      <c r="H53" s="26" t="s">
        <v>73</v>
      </c>
      <c r="I53" s="19">
        <f t="shared" si="3"/>
        <v>88.043589381078874</v>
      </c>
      <c r="J53" s="19">
        <f t="shared" si="5"/>
        <v>10.22745984205782</v>
      </c>
      <c r="K53" s="26" t="s">
        <v>153</v>
      </c>
      <c r="L53" s="30">
        <v>6.6533333333333333</v>
      </c>
      <c r="M53" s="31">
        <v>8.7333333333333325</v>
      </c>
      <c r="N53" s="19">
        <f t="shared" si="6"/>
        <v>-84.310725000152885</v>
      </c>
      <c r="Q53" s="50"/>
      <c r="T53" s="60"/>
      <c r="U53" s="61"/>
    </row>
    <row r="54" spans="2:21" ht="17" customHeight="1">
      <c r="E54" s="18" t="str">
        <f t="shared" si="2"/>
        <v>*</v>
      </c>
      <c r="F54" s="27">
        <f t="shared" si="4"/>
        <v>47</v>
      </c>
      <c r="G54" s="84" t="s">
        <v>203</v>
      </c>
      <c r="H54" s="26" t="s">
        <v>74</v>
      </c>
      <c r="I54" s="19">
        <f t="shared" si="3"/>
        <v>258.06892724930725</v>
      </c>
      <c r="J54" s="19">
        <f t="shared" si="5"/>
        <v>21.160433018595889</v>
      </c>
      <c r="K54" s="26"/>
      <c r="L54" s="30">
        <v>20.57</v>
      </c>
      <c r="M54" s="31">
        <v>7.4</v>
      </c>
      <c r="N54" s="19">
        <f t="shared" si="6"/>
        <v>-293.0607250001529</v>
      </c>
      <c r="Q54" s="50"/>
      <c r="T54" s="60"/>
      <c r="U54" s="61"/>
    </row>
    <row r="55" spans="2:21" ht="17" customHeight="1">
      <c r="B55" s="157" t="s">
        <v>240</v>
      </c>
      <c r="E55" s="18" t="str">
        <f t="shared" si="2"/>
        <v/>
      </c>
      <c r="F55" s="27">
        <f t="shared" si="4"/>
        <v>48</v>
      </c>
      <c r="G55" s="84" t="s">
        <v>203</v>
      </c>
      <c r="H55" s="26" t="s">
        <v>75</v>
      </c>
      <c r="I55" s="19">
        <f t="shared" si="3"/>
        <v>60.981702872483538</v>
      </c>
      <c r="J55" s="19">
        <f t="shared" si="5"/>
        <v>-15.931106718658205</v>
      </c>
      <c r="K55" s="26"/>
      <c r="L55" s="30">
        <v>9.1716666666666669</v>
      </c>
      <c r="M55" s="31">
        <v>7.0333333333333332</v>
      </c>
      <c r="N55" s="19">
        <f t="shared" si="6"/>
        <v>-122.08572500015288</v>
      </c>
      <c r="Q55" s="50"/>
      <c r="T55" s="60"/>
      <c r="U55" s="61"/>
    </row>
    <row r="56" spans="2:21" ht="17" customHeight="1">
      <c r="B56" s="157" t="s">
        <v>241</v>
      </c>
      <c r="E56" s="18" t="str">
        <f t="shared" si="2"/>
        <v/>
      </c>
      <c r="F56" s="27">
        <f t="shared" si="4"/>
        <v>49</v>
      </c>
      <c r="G56" s="84" t="s">
        <v>203</v>
      </c>
      <c r="H56" s="26" t="s">
        <v>76</v>
      </c>
      <c r="I56" s="19">
        <f t="shared" si="3"/>
        <v>91.885348848262296</v>
      </c>
      <c r="J56" s="19">
        <f t="shared" si="5"/>
        <v>8.7638243981343535</v>
      </c>
      <c r="K56" s="26" t="s">
        <v>154</v>
      </c>
      <c r="L56" s="30">
        <v>6.5383333333333331</v>
      </c>
      <c r="M56" s="31">
        <v>5.05</v>
      </c>
      <c r="N56" s="19">
        <f t="shared" si="6"/>
        <v>-82.585725000152891</v>
      </c>
      <c r="Q56" s="50"/>
      <c r="T56" s="60"/>
      <c r="U56" s="61"/>
    </row>
    <row r="57" spans="2:21" ht="17" customHeight="1">
      <c r="E57" s="18" t="str">
        <f t="shared" si="2"/>
        <v/>
      </c>
      <c r="F57" s="27">
        <f t="shared" si="4"/>
        <v>50</v>
      </c>
      <c r="G57" s="84" t="s">
        <v>203</v>
      </c>
      <c r="H57" s="26" t="s">
        <v>77</v>
      </c>
      <c r="I57" s="19">
        <f t="shared" si="3"/>
        <v>91.995327787929625</v>
      </c>
      <c r="J57" s="19">
        <f t="shared" si="5"/>
        <v>8.6141175983703313</v>
      </c>
      <c r="K57" s="26" t="s">
        <v>185</v>
      </c>
      <c r="L57" s="30">
        <v>6.54</v>
      </c>
      <c r="M57" s="31">
        <v>4.8666666666666671</v>
      </c>
      <c r="N57" s="19">
        <f t="shared" si="6"/>
        <v>-82.610725000152897</v>
      </c>
      <c r="Q57" s="50"/>
      <c r="T57" s="60"/>
      <c r="U57" s="61"/>
    </row>
    <row r="58" spans="2:21" ht="17" customHeight="1">
      <c r="E58" s="18" t="str">
        <f t="shared" si="2"/>
        <v>*</v>
      </c>
      <c r="F58" s="27">
        <f t="shared" si="4"/>
        <v>51</v>
      </c>
      <c r="G58" s="84" t="s">
        <v>203</v>
      </c>
      <c r="H58" s="26" t="s">
        <v>78</v>
      </c>
      <c r="I58" s="19">
        <f t="shared" si="3"/>
        <v>178.98372646667218</v>
      </c>
      <c r="J58" s="19">
        <f t="shared" si="5"/>
        <v>45.662323860447209</v>
      </c>
      <c r="K58" s="26"/>
      <c r="L58" s="30">
        <v>1.08</v>
      </c>
      <c r="M58" s="31">
        <v>2.1166666666666667</v>
      </c>
      <c r="N58" s="19">
        <f t="shared" si="6"/>
        <v>-0.71072500015289108</v>
      </c>
      <c r="Q58" s="50"/>
      <c r="T58" s="60"/>
      <c r="U58" s="61"/>
    </row>
    <row r="59" spans="2:21" ht="17" customHeight="1">
      <c r="E59" s="18" t="str">
        <f t="shared" si="2"/>
        <v/>
      </c>
      <c r="F59" s="27">
        <f t="shared" si="4"/>
        <v>52</v>
      </c>
      <c r="G59" s="84" t="s">
        <v>203</v>
      </c>
      <c r="H59" s="26" t="s">
        <v>79</v>
      </c>
      <c r="I59" s="19">
        <f t="shared" si="3"/>
        <v>5.0930292482768911</v>
      </c>
      <c r="J59" s="19">
        <f t="shared" si="5"/>
        <v>-49.247744181160968</v>
      </c>
      <c r="K59" s="26"/>
      <c r="L59" s="30">
        <v>12.81</v>
      </c>
      <c r="M59" s="31">
        <v>-5.8</v>
      </c>
      <c r="N59" s="19">
        <f t="shared" si="6"/>
        <v>-176.66072500015292</v>
      </c>
      <c r="Q59" s="50"/>
      <c r="T59" s="60"/>
      <c r="U59" s="61"/>
    </row>
    <row r="60" spans="2:21" ht="17" customHeight="1">
      <c r="E60" s="18" t="str">
        <f t="shared" si="2"/>
        <v/>
      </c>
      <c r="F60" s="27">
        <f t="shared" si="4"/>
        <v>53</v>
      </c>
      <c r="G60" s="84" t="s">
        <v>203</v>
      </c>
      <c r="H60" s="26" t="s">
        <v>80</v>
      </c>
      <c r="I60" s="19">
        <f t="shared" si="3"/>
        <v>58.548286490208142</v>
      </c>
      <c r="J60" s="19">
        <f t="shared" si="5"/>
        <v>-35.935695592401707</v>
      </c>
      <c r="K60" s="26" t="s">
        <v>26</v>
      </c>
      <c r="L60" s="30">
        <v>10.086666666666666</v>
      </c>
      <c r="M60" s="31">
        <v>-7.7166666666666668</v>
      </c>
      <c r="N60" s="19">
        <f t="shared" si="6"/>
        <v>-135.81072500015287</v>
      </c>
      <c r="Q60" s="50"/>
      <c r="T60" s="60"/>
      <c r="U60" s="61"/>
    </row>
    <row r="61" spans="2:21" ht="17" customHeight="1">
      <c r="E61" s="18" t="str">
        <f t="shared" si="2"/>
        <v/>
      </c>
      <c r="F61" s="27">
        <f t="shared" si="4"/>
        <v>54</v>
      </c>
      <c r="G61" s="84" t="s">
        <v>203</v>
      </c>
      <c r="H61" s="26" t="s">
        <v>81</v>
      </c>
      <c r="I61" s="19">
        <f t="shared" si="3"/>
        <v>86.984405896333897</v>
      </c>
      <c r="J61" s="19">
        <f t="shared" si="5"/>
        <v>-17.803816071765258</v>
      </c>
      <c r="K61" s="26"/>
      <c r="L61" s="30">
        <v>8.0033333333333339</v>
      </c>
      <c r="M61" s="31">
        <v>-10.783333333333333</v>
      </c>
      <c r="N61" s="19">
        <f t="shared" si="6"/>
        <v>-104.56072500015289</v>
      </c>
      <c r="Q61" s="50"/>
      <c r="T61" s="60"/>
      <c r="U61" s="61"/>
    </row>
    <row r="62" spans="2:21" ht="17" customHeight="1">
      <c r="E62" s="18" t="str">
        <f t="shared" si="2"/>
        <v/>
      </c>
      <c r="F62" s="27">
        <f t="shared" si="4"/>
        <v>55</v>
      </c>
      <c r="G62" s="84" t="s">
        <v>203</v>
      </c>
      <c r="H62" s="26" t="s">
        <v>82</v>
      </c>
      <c r="I62" s="19">
        <f t="shared" si="3"/>
        <v>239.50998628697005</v>
      </c>
      <c r="J62" s="19">
        <f t="shared" si="5"/>
        <v>11.572162018406573</v>
      </c>
      <c r="K62" s="26" t="s">
        <v>155</v>
      </c>
      <c r="L62" s="30">
        <v>21.07</v>
      </c>
      <c r="M62" s="31">
        <v>-11.366666666666667</v>
      </c>
      <c r="N62" s="19">
        <f t="shared" si="6"/>
        <v>-300.5607250001529</v>
      </c>
      <c r="Q62" s="50"/>
      <c r="T62" s="60"/>
      <c r="U62" s="61"/>
    </row>
    <row r="63" spans="2:21" ht="17" customHeight="1">
      <c r="E63" s="18" t="str">
        <f t="shared" si="2"/>
        <v>*</v>
      </c>
      <c r="F63" s="27">
        <f t="shared" si="4"/>
        <v>56</v>
      </c>
      <c r="G63" s="84" t="s">
        <v>203</v>
      </c>
      <c r="H63" s="27" t="s">
        <v>83</v>
      </c>
      <c r="I63" s="19">
        <f t="shared" si="3"/>
        <v>184.29573701332512</v>
      </c>
      <c r="J63" s="19">
        <f t="shared" si="5"/>
        <v>31.570093584060288</v>
      </c>
      <c r="K63" s="26" t="s">
        <v>186</v>
      </c>
      <c r="L63" s="30">
        <v>0.78333333333333333</v>
      </c>
      <c r="M63" s="31">
        <v>-11.883333333333333</v>
      </c>
      <c r="N63" s="19">
        <f t="shared" si="6"/>
        <v>3.7392749998471118</v>
      </c>
      <c r="Q63" s="50"/>
      <c r="T63" s="60"/>
      <c r="U63" s="61"/>
    </row>
    <row r="64" spans="2:21" ht="17" customHeight="1">
      <c r="E64" s="18" t="str">
        <f t="shared" si="2"/>
        <v/>
      </c>
      <c r="F64" s="27">
        <f t="shared" si="4"/>
        <v>57</v>
      </c>
      <c r="G64" s="84" t="s">
        <v>203</v>
      </c>
      <c r="H64" s="26" t="s">
        <v>84</v>
      </c>
      <c r="I64" s="19">
        <f t="shared" si="3"/>
        <v>252.11527749375023</v>
      </c>
      <c r="J64" s="19">
        <f t="shared" si="5"/>
        <v>-3.5003285258740484</v>
      </c>
      <c r="K64" s="26" t="s">
        <v>156</v>
      </c>
      <c r="L64" s="30">
        <v>19.748333333333335</v>
      </c>
      <c r="M64" s="31">
        <v>-14.8</v>
      </c>
      <c r="N64" s="19">
        <f t="shared" si="6"/>
        <v>-280.73572500015291</v>
      </c>
      <c r="Q64" s="50"/>
      <c r="T64" s="60"/>
      <c r="U64" s="61"/>
    </row>
    <row r="65" spans="5:21" ht="17" customHeight="1">
      <c r="E65" s="18" t="str">
        <f t="shared" si="2"/>
        <v/>
      </c>
      <c r="F65" s="27">
        <f t="shared" si="4"/>
        <v>58</v>
      </c>
      <c r="G65" s="84" t="s">
        <v>203</v>
      </c>
      <c r="H65" s="26" t="s">
        <v>85</v>
      </c>
      <c r="I65" s="19">
        <f t="shared" si="3"/>
        <v>98.130485685612427</v>
      </c>
      <c r="J65" s="19">
        <f t="shared" si="5"/>
        <v>-13.942164625388683</v>
      </c>
      <c r="K65" s="26"/>
      <c r="L65" s="30">
        <v>7.2966666666666669</v>
      </c>
      <c r="M65" s="31">
        <v>-15.616666666666667</v>
      </c>
      <c r="N65" s="19">
        <f t="shared" si="6"/>
        <v>-93.960725000152891</v>
      </c>
      <c r="Q65" s="50"/>
      <c r="T65" s="60"/>
      <c r="U65" s="61"/>
    </row>
    <row r="66" spans="5:21" ht="17" customHeight="1">
      <c r="E66" s="18" t="str">
        <f t="shared" si="2"/>
        <v/>
      </c>
      <c r="F66" s="27">
        <f t="shared" si="4"/>
        <v>59</v>
      </c>
      <c r="G66" s="84" t="s">
        <v>203</v>
      </c>
      <c r="H66" s="26" t="s">
        <v>86</v>
      </c>
      <c r="I66" s="19">
        <f t="shared" si="3"/>
        <v>62.572180645268638</v>
      </c>
      <c r="J66" s="19">
        <f t="shared" si="5"/>
        <v>-47.465395333141309</v>
      </c>
      <c r="K66" s="26" t="s">
        <v>157</v>
      </c>
      <c r="L66" s="30">
        <v>10.413333333333334</v>
      </c>
      <c r="M66" s="31">
        <v>-18.633333333333333</v>
      </c>
      <c r="N66" s="19">
        <f t="shared" si="6"/>
        <v>-140.71072500015291</v>
      </c>
      <c r="Q66" s="50"/>
      <c r="T66" s="60"/>
      <c r="U66" s="61"/>
    </row>
    <row r="67" spans="5:21" ht="17" customHeight="1">
      <c r="E67" s="18" t="str">
        <f t="shared" si="2"/>
        <v/>
      </c>
      <c r="F67" s="27">
        <f t="shared" si="4"/>
        <v>60</v>
      </c>
      <c r="G67" s="84" t="s">
        <v>203</v>
      </c>
      <c r="H67" s="26" t="s">
        <v>87</v>
      </c>
      <c r="I67" s="19">
        <f t="shared" si="3"/>
        <v>29.144693251933823</v>
      </c>
      <c r="J67" s="19">
        <f t="shared" si="5"/>
        <v>-59.777920094990776</v>
      </c>
      <c r="K67" s="26" t="s">
        <v>158</v>
      </c>
      <c r="L67" s="30">
        <v>12.031666666666666</v>
      </c>
      <c r="M67" s="31">
        <v>-18.866666666666667</v>
      </c>
      <c r="N67" s="19">
        <f t="shared" si="6"/>
        <v>-164.98572500015288</v>
      </c>
      <c r="Q67" s="50"/>
      <c r="T67" s="60"/>
      <c r="U67" s="61"/>
    </row>
    <row r="68" spans="5:21" ht="17" customHeight="1">
      <c r="E68" s="18" t="str">
        <f t="shared" si="2"/>
        <v/>
      </c>
      <c r="F68" s="27">
        <f t="shared" si="4"/>
        <v>61</v>
      </c>
      <c r="G68" s="84" t="s">
        <v>203</v>
      </c>
      <c r="H68" s="26" t="s">
        <v>88</v>
      </c>
      <c r="I68" s="19">
        <f t="shared" si="3"/>
        <v>29.156439992575148</v>
      </c>
      <c r="J68" s="19">
        <f t="shared" si="5"/>
        <v>-59.793503207911868</v>
      </c>
      <c r="K68" s="26" t="s">
        <v>158</v>
      </c>
      <c r="L68" s="30">
        <v>12.031666666666666</v>
      </c>
      <c r="M68" s="31">
        <v>-18.883333333333333</v>
      </c>
      <c r="N68" s="19">
        <f t="shared" si="6"/>
        <v>-164.98572500015288</v>
      </c>
      <c r="Q68" s="50"/>
      <c r="T68" s="60"/>
      <c r="U68" s="61"/>
    </row>
    <row r="69" spans="5:21" ht="17" customHeight="1">
      <c r="E69" s="18" t="str">
        <f t="shared" si="2"/>
        <v>*</v>
      </c>
      <c r="F69" s="27">
        <f t="shared" si="4"/>
        <v>62</v>
      </c>
      <c r="G69" s="84" t="s">
        <v>203</v>
      </c>
      <c r="H69" s="26" t="s">
        <v>89</v>
      </c>
      <c r="I69" s="19">
        <f t="shared" si="3"/>
        <v>183.76462960271039</v>
      </c>
      <c r="J69" s="19">
        <f t="shared" si="5"/>
        <v>22.699265867400541</v>
      </c>
      <c r="K69" s="26"/>
      <c r="L69" s="30">
        <v>0.78500000000000003</v>
      </c>
      <c r="M69" s="31">
        <v>-20.766666666666666</v>
      </c>
      <c r="N69" s="19">
        <f t="shared" si="6"/>
        <v>3.7142749998471114</v>
      </c>
      <c r="Q69" s="50"/>
      <c r="T69" s="60"/>
      <c r="U69" s="61"/>
    </row>
    <row r="70" spans="5:21" ht="17" customHeight="1">
      <c r="E70" s="18" t="str">
        <f t="shared" si="2"/>
        <v/>
      </c>
      <c r="F70" s="27">
        <f t="shared" si="4"/>
        <v>63</v>
      </c>
      <c r="G70" s="84" t="s">
        <v>203</v>
      </c>
      <c r="H70" s="26" t="s">
        <v>90</v>
      </c>
      <c r="I70" s="19">
        <f t="shared" si="3"/>
        <v>216.55007612361658</v>
      </c>
      <c r="J70" s="19">
        <f t="shared" si="5"/>
        <v>14.451110317238541</v>
      </c>
      <c r="K70" s="26" t="s">
        <v>159</v>
      </c>
      <c r="L70" s="30">
        <v>22.493333333333332</v>
      </c>
      <c r="M70" s="31">
        <v>-20.8</v>
      </c>
      <c r="N70" s="19">
        <f t="shared" si="6"/>
        <v>-321.91072500015287</v>
      </c>
      <c r="Q70" s="50"/>
      <c r="T70" s="60"/>
      <c r="U70" s="61"/>
    </row>
    <row r="71" spans="5:21" ht="17" customHeight="1">
      <c r="E71" s="18" t="str">
        <f t="shared" si="2"/>
        <v/>
      </c>
      <c r="F71" s="27">
        <f t="shared" si="4"/>
        <v>64</v>
      </c>
      <c r="G71" s="84" t="s">
        <v>203</v>
      </c>
      <c r="H71" s="26" t="s">
        <v>91</v>
      </c>
      <c r="I71" s="19">
        <f t="shared" si="3"/>
        <v>105.00568378731602</v>
      </c>
      <c r="J71" s="19">
        <f t="shared" si="5"/>
        <v>-20.585013848617528</v>
      </c>
      <c r="K71" s="26" t="s">
        <v>187</v>
      </c>
      <c r="L71" s="30">
        <v>7.3133333333333335</v>
      </c>
      <c r="M71" s="31">
        <v>-24.95</v>
      </c>
      <c r="N71" s="19">
        <f t="shared" si="6"/>
        <v>-94.210725000152891</v>
      </c>
      <c r="Q71" s="50"/>
      <c r="T71" s="60"/>
      <c r="U71" s="61"/>
    </row>
    <row r="72" spans="5:21" ht="17" customHeight="1">
      <c r="E72" s="18" t="str">
        <f t="shared" si="2"/>
        <v>*</v>
      </c>
      <c r="F72" s="27">
        <f t="shared" si="4"/>
        <v>65</v>
      </c>
      <c r="G72" s="84" t="s">
        <v>203</v>
      </c>
      <c r="H72" s="26" t="s">
        <v>92</v>
      </c>
      <c r="I72" s="19">
        <f t="shared" si="3"/>
        <v>183.41601173085451</v>
      </c>
      <c r="J72" s="19">
        <f t="shared" ref="J72:J103" si="7">ASIN(SIN($N$118*M72)*SIN($N$118*$C$13)+COS($N$118*M72)*COS($N$118*$C$13)*COS($N$118*N72))/$N$118</f>
        <v>18.192950732519435</v>
      </c>
      <c r="K72" s="26" t="s">
        <v>160</v>
      </c>
      <c r="L72" s="30">
        <v>0.79333333333333333</v>
      </c>
      <c r="M72" s="31">
        <v>-25.283333333333335</v>
      </c>
      <c r="N72" s="19">
        <f t="shared" ref="N72:N103" si="8">$C$16-((L72/24)*360)</f>
        <v>3.5892749998471132</v>
      </c>
      <c r="Q72" s="50"/>
      <c r="T72" s="60"/>
      <c r="U72" s="61"/>
    </row>
    <row r="73" spans="5:21" ht="17" customHeight="1">
      <c r="E73" s="18" t="str">
        <f t="shared" ref="E73:E116" si="9">IF(AND(J73&gt;=$J$4,J73&lt;=$J$6,I73&gt;=$I$4,I73&lt;=$I$6),IF(VLOOKUP(G73,$C$19:$D$24,2,FALSE)="yes","*","-"),"")</f>
        <v/>
      </c>
      <c r="F73" s="27">
        <f t="shared" si="4"/>
        <v>66</v>
      </c>
      <c r="G73" s="84" t="s">
        <v>203</v>
      </c>
      <c r="H73" s="26" t="s">
        <v>93</v>
      </c>
      <c r="I73" s="19">
        <f t="shared" ref="I73:I116" si="10">IF(SIN($N$118*N73)&lt;0,ACOS((SIN($N$118*M73)-SIN($N$118*J73)*SIN($N$118*$C$13))/(COS($N$118*J73)*COS($N$118*$C$13)))/$N$118,360-ACOS((SIN($N$118*M73)-SIN($N$118*J73)*SIN($N$118*$C$13))/(COS($N$118*J73)*COS($N$118*$C$13)))/$N$118)</f>
        <v>307.39944763613465</v>
      </c>
      <c r="J73" s="19">
        <f t="shared" si="7"/>
        <v>-62.26199162172631</v>
      </c>
      <c r="K73" s="26"/>
      <c r="L73" s="30">
        <v>14.66</v>
      </c>
      <c r="M73" s="31">
        <v>-26.533333333333335</v>
      </c>
      <c r="N73" s="19">
        <f t="shared" si="8"/>
        <v>-204.41072500015289</v>
      </c>
      <c r="Q73" s="50"/>
      <c r="T73" s="60"/>
      <c r="U73" s="61"/>
    </row>
    <row r="74" spans="5:21" ht="17" customHeight="1">
      <c r="E74" s="18" t="str">
        <f t="shared" si="9"/>
        <v/>
      </c>
      <c r="F74" s="27">
        <f t="shared" ref="F74:F116" si="11">F73+1</f>
        <v>67</v>
      </c>
      <c r="G74" s="84" t="s">
        <v>203</v>
      </c>
      <c r="H74" s="26" t="s">
        <v>94</v>
      </c>
      <c r="I74" s="19">
        <f t="shared" si="10"/>
        <v>157.34097627950328</v>
      </c>
      <c r="J74" s="19">
        <f t="shared" si="7"/>
        <v>9.7226029614234974</v>
      </c>
      <c r="K74" s="26"/>
      <c r="L74" s="30">
        <v>2.7716666666666665</v>
      </c>
      <c r="M74" s="31">
        <v>-30.283333333333335</v>
      </c>
      <c r="N74" s="19">
        <f t="shared" si="8"/>
        <v>-26.085725000152884</v>
      </c>
      <c r="Q74" s="50"/>
      <c r="T74" s="60"/>
      <c r="U74" s="61"/>
    </row>
    <row r="75" spans="5:21" ht="17" customHeight="1">
      <c r="E75" s="18" t="str">
        <f t="shared" si="9"/>
        <v/>
      </c>
      <c r="F75" s="27">
        <f t="shared" si="11"/>
        <v>68</v>
      </c>
      <c r="G75" s="84" t="s">
        <v>203</v>
      </c>
      <c r="H75" s="26" t="s">
        <v>95</v>
      </c>
      <c r="I75" s="19">
        <f t="shared" si="10"/>
        <v>242.61283598526143</v>
      </c>
      <c r="J75" s="19">
        <f t="shared" si="7"/>
        <v>-25.83693627243925</v>
      </c>
      <c r="K75" s="26"/>
      <c r="L75" s="30">
        <v>19.031666666666666</v>
      </c>
      <c r="M75" s="31">
        <v>-36.950000000000003</v>
      </c>
      <c r="N75" s="19">
        <f t="shared" si="8"/>
        <v>-269.98572500015285</v>
      </c>
      <c r="Q75" s="50"/>
      <c r="T75" s="60"/>
      <c r="U75" s="61"/>
    </row>
    <row r="76" spans="5:21" ht="17" customHeight="1">
      <c r="E76" s="18" t="str">
        <f t="shared" si="9"/>
        <v/>
      </c>
      <c r="F76" s="27">
        <f t="shared" si="11"/>
        <v>69</v>
      </c>
      <c r="G76" s="84" t="s">
        <v>203</v>
      </c>
      <c r="H76" s="26" t="s">
        <v>96</v>
      </c>
      <c r="I76" s="19">
        <f t="shared" si="10"/>
        <v>257.87499025485766</v>
      </c>
      <c r="J76" s="19">
        <f t="shared" si="7"/>
        <v>-43.410246909200161</v>
      </c>
      <c r="K76" s="26" t="s">
        <v>188</v>
      </c>
      <c r="L76" s="30">
        <v>17.228333333333332</v>
      </c>
      <c r="M76" s="32">
        <v>-37.1</v>
      </c>
      <c r="N76" s="19">
        <f t="shared" si="8"/>
        <v>-242.9357250001529</v>
      </c>
      <c r="Q76" s="50"/>
      <c r="T76" s="60"/>
      <c r="U76" s="61"/>
    </row>
    <row r="77" spans="5:21" ht="17" customHeight="1">
      <c r="E77" s="18" t="str">
        <f t="shared" si="9"/>
        <v/>
      </c>
      <c r="F77" s="27">
        <f t="shared" si="11"/>
        <v>70</v>
      </c>
      <c r="G77" s="84" t="s">
        <v>203</v>
      </c>
      <c r="H77" s="26" t="s">
        <v>97</v>
      </c>
      <c r="I77" s="19">
        <f t="shared" si="10"/>
        <v>181.40348223906841</v>
      </c>
      <c r="J77" s="19">
        <f t="shared" si="7"/>
        <v>5.851778936911864</v>
      </c>
      <c r="K77" s="26" t="s">
        <v>189</v>
      </c>
      <c r="L77" s="30">
        <v>0.91499999999999992</v>
      </c>
      <c r="M77" s="31">
        <v>-37.68333333333333</v>
      </c>
      <c r="N77" s="19">
        <f t="shared" si="8"/>
        <v>1.7642749998471121</v>
      </c>
      <c r="Q77" s="50"/>
      <c r="T77" s="60"/>
      <c r="U77" s="61"/>
    </row>
    <row r="78" spans="5:21" ht="17" customHeight="1">
      <c r="E78" s="18" t="str">
        <f t="shared" si="9"/>
        <v/>
      </c>
      <c r="F78" s="27">
        <f t="shared" si="11"/>
        <v>71</v>
      </c>
      <c r="G78" s="84" t="s">
        <v>203</v>
      </c>
      <c r="H78" s="26" t="s">
        <v>98</v>
      </c>
      <c r="I78" s="19">
        <f t="shared" si="10"/>
        <v>111.8373836851147</v>
      </c>
      <c r="J78" s="19">
        <f t="shared" si="7"/>
        <v>-34.68669077885211</v>
      </c>
      <c r="K78" s="26"/>
      <c r="L78" s="30">
        <v>7.8716666666666661</v>
      </c>
      <c r="M78" s="31">
        <v>-38.549999999999997</v>
      </c>
      <c r="N78" s="19">
        <f t="shared" si="8"/>
        <v>-102.58572500015288</v>
      </c>
      <c r="Q78" s="50"/>
      <c r="T78" s="60"/>
      <c r="U78" s="61"/>
    </row>
    <row r="79" spans="5:21" ht="17" customHeight="1">
      <c r="E79" s="18" t="str">
        <f t="shared" si="9"/>
        <v/>
      </c>
      <c r="F79" s="27">
        <f t="shared" si="11"/>
        <v>72</v>
      </c>
      <c r="G79" s="84" t="s">
        <v>203</v>
      </c>
      <c r="H79" s="26" t="s">
        <v>99</v>
      </c>
      <c r="I79" s="19">
        <f t="shared" si="10"/>
        <v>189.11239380031424</v>
      </c>
      <c r="J79" s="19">
        <f t="shared" si="7"/>
        <v>3.7223172427741908</v>
      </c>
      <c r="K79" s="26"/>
      <c r="L79" s="30">
        <v>0.24833333333333335</v>
      </c>
      <c r="M79" s="31">
        <v>-39.18333333333333</v>
      </c>
      <c r="N79" s="19">
        <f t="shared" si="8"/>
        <v>11.764274999847112</v>
      </c>
      <c r="Q79" s="50"/>
      <c r="T79" s="60"/>
      <c r="U79" s="61"/>
    </row>
    <row r="80" spans="5:21" ht="17" customHeight="1">
      <c r="E80" s="18" t="str">
        <f t="shared" si="9"/>
        <v/>
      </c>
      <c r="F80" s="27">
        <f t="shared" si="11"/>
        <v>73</v>
      </c>
      <c r="G80" s="84" t="s">
        <v>203</v>
      </c>
      <c r="H80" s="26" t="s">
        <v>100</v>
      </c>
      <c r="I80" s="19">
        <f t="shared" si="10"/>
        <v>135.52554259459944</v>
      </c>
      <c r="J80" s="19">
        <f t="shared" si="7"/>
        <v>-13.133128119624686</v>
      </c>
      <c r="K80" s="26"/>
      <c r="L80" s="30">
        <v>5.2350000000000003</v>
      </c>
      <c r="M80" s="32">
        <v>-40.049999999999997</v>
      </c>
      <c r="N80" s="19">
        <f t="shared" si="8"/>
        <v>-63.035725000152894</v>
      </c>
      <c r="Q80" s="50"/>
      <c r="T80" s="60"/>
      <c r="U80" s="61"/>
    </row>
    <row r="81" spans="5:21" ht="17" customHeight="1">
      <c r="E81" s="18" t="str">
        <f t="shared" si="9"/>
        <v/>
      </c>
      <c r="F81" s="27">
        <f t="shared" si="11"/>
        <v>74</v>
      </c>
      <c r="G81" s="84" t="s">
        <v>203</v>
      </c>
      <c r="H81" s="27" t="s">
        <v>101</v>
      </c>
      <c r="I81" s="19">
        <f t="shared" si="10"/>
        <v>95.131922446949062</v>
      </c>
      <c r="J81" s="19">
        <f t="shared" si="7"/>
        <v>-58.218655373591531</v>
      </c>
      <c r="K81" s="26" t="s">
        <v>161</v>
      </c>
      <c r="L81" s="30">
        <v>10.128333333333334</v>
      </c>
      <c r="M81" s="31">
        <v>-40.43333333333333</v>
      </c>
      <c r="N81" s="19">
        <f t="shared" si="8"/>
        <v>-136.4357250001529</v>
      </c>
      <c r="Q81" s="50"/>
      <c r="T81" s="60"/>
      <c r="U81" s="61"/>
    </row>
    <row r="82" spans="5:21" ht="17" customHeight="1">
      <c r="E82" s="18" t="str">
        <f t="shared" si="9"/>
        <v/>
      </c>
      <c r="F82" s="27">
        <f t="shared" si="11"/>
        <v>75</v>
      </c>
      <c r="G82" s="84" t="s">
        <v>203</v>
      </c>
      <c r="H82" s="26" t="s">
        <v>102</v>
      </c>
      <c r="I82" s="19">
        <f t="shared" si="10"/>
        <v>260.13787059375102</v>
      </c>
      <c r="J82" s="19">
        <f t="shared" si="7"/>
        <v>-53.304541489774756</v>
      </c>
      <c r="K82" s="26"/>
      <c r="L82" s="30">
        <v>16.426666666666666</v>
      </c>
      <c r="M82" s="31">
        <v>-40.666666666666664</v>
      </c>
      <c r="N82" s="19">
        <f t="shared" si="8"/>
        <v>-230.91072500015287</v>
      </c>
      <c r="Q82" s="50"/>
      <c r="T82" s="60"/>
      <c r="U82" s="61"/>
    </row>
    <row r="83" spans="5:21" ht="17" customHeight="1">
      <c r="E83" s="18" t="str">
        <f t="shared" si="9"/>
        <v/>
      </c>
      <c r="F83" s="27">
        <f t="shared" si="11"/>
        <v>76</v>
      </c>
      <c r="G83" s="84" t="s">
        <v>203</v>
      </c>
      <c r="H83" s="26" t="s">
        <v>103</v>
      </c>
      <c r="I83" s="19">
        <f t="shared" si="10"/>
        <v>254.6973225006908</v>
      </c>
      <c r="J83" s="19">
        <f t="shared" si="7"/>
        <v>-49.041314786071872</v>
      </c>
      <c r="K83" s="26"/>
      <c r="L83" s="30">
        <v>16.899999999999999</v>
      </c>
      <c r="M83" s="31">
        <v>-41.8</v>
      </c>
      <c r="N83" s="19">
        <f t="shared" si="8"/>
        <v>-238.01072500015286</v>
      </c>
      <c r="Q83" s="50"/>
      <c r="T83" s="60"/>
      <c r="U83" s="61"/>
    </row>
    <row r="84" spans="5:21" ht="17" customHeight="1">
      <c r="E84" s="18" t="str">
        <f t="shared" si="9"/>
        <v/>
      </c>
      <c r="F84" s="27">
        <f t="shared" si="11"/>
        <v>77</v>
      </c>
      <c r="G84" s="84" t="s">
        <v>203</v>
      </c>
      <c r="H84" s="26" t="s">
        <v>104</v>
      </c>
      <c r="I84" s="19">
        <f t="shared" si="10"/>
        <v>307.28892087868479</v>
      </c>
      <c r="J84" s="19">
        <f t="shared" si="7"/>
        <v>-84.592447076691784</v>
      </c>
      <c r="K84" s="26" t="s">
        <v>190</v>
      </c>
      <c r="L84" s="30">
        <v>13.425000000000001</v>
      </c>
      <c r="M84" s="32">
        <v>-43.016666666666666</v>
      </c>
      <c r="N84" s="19">
        <f t="shared" si="8"/>
        <v>-185.88572500015292</v>
      </c>
      <c r="Q84" s="50"/>
      <c r="T84" s="60"/>
      <c r="U84" s="61"/>
    </row>
    <row r="85" spans="5:21" ht="17" customHeight="1">
      <c r="E85" s="18" t="str">
        <f t="shared" si="9"/>
        <v/>
      </c>
      <c r="F85" s="27">
        <f t="shared" si="11"/>
        <v>78</v>
      </c>
      <c r="G85" s="84" t="s">
        <v>203</v>
      </c>
      <c r="H85" s="26" t="s">
        <v>105</v>
      </c>
      <c r="I85" s="19">
        <f t="shared" si="10"/>
        <v>243.28709618694762</v>
      </c>
      <c r="J85" s="19">
        <f t="shared" si="7"/>
        <v>-38.091942759753685</v>
      </c>
      <c r="K85" s="26"/>
      <c r="L85" s="30">
        <v>18.133333333333333</v>
      </c>
      <c r="M85" s="31">
        <v>-43.7</v>
      </c>
      <c r="N85" s="19">
        <f t="shared" si="8"/>
        <v>-256.51072500015289</v>
      </c>
      <c r="Q85" s="50"/>
      <c r="T85" s="60"/>
      <c r="U85" s="61"/>
    </row>
    <row r="86" spans="5:21" ht="17" customHeight="1">
      <c r="E86" s="18" t="str">
        <f t="shared" si="9"/>
        <v/>
      </c>
      <c r="F86" s="27">
        <f t="shared" si="11"/>
        <v>79</v>
      </c>
      <c r="G86" s="84" t="s">
        <v>203</v>
      </c>
      <c r="H86" s="26" t="s">
        <v>106</v>
      </c>
      <c r="I86" s="19">
        <f t="shared" si="10"/>
        <v>105.12780818812215</v>
      </c>
      <c r="J86" s="19">
        <f t="shared" si="7"/>
        <v>-62.00668613716428</v>
      </c>
      <c r="K86" s="26"/>
      <c r="L86" s="30">
        <v>10.293333333333333</v>
      </c>
      <c r="M86" s="31">
        <v>-46.416666666666664</v>
      </c>
      <c r="N86" s="19">
        <f t="shared" si="8"/>
        <v>-138.91072500015289</v>
      </c>
      <c r="Q86" s="50"/>
      <c r="T86" s="60"/>
      <c r="U86" s="61"/>
    </row>
    <row r="87" spans="5:21" ht="17" customHeight="1">
      <c r="E87" s="18" t="str">
        <f t="shared" si="9"/>
        <v/>
      </c>
      <c r="F87" s="27">
        <f t="shared" si="11"/>
        <v>80</v>
      </c>
      <c r="G87" s="84" t="s">
        <v>203</v>
      </c>
      <c r="H87" s="26" t="s">
        <v>107</v>
      </c>
      <c r="I87" s="19">
        <f t="shared" si="10"/>
        <v>254.04034464352793</v>
      </c>
      <c r="J87" s="19">
        <f t="shared" si="7"/>
        <v>-85.638831361489537</v>
      </c>
      <c r="K87" s="26" t="s">
        <v>162</v>
      </c>
      <c r="L87" s="30">
        <v>13.446666666666667</v>
      </c>
      <c r="M87" s="31">
        <v>-47.483333333333334</v>
      </c>
      <c r="N87" s="19">
        <f t="shared" si="8"/>
        <v>-186.21072500015288</v>
      </c>
      <c r="Q87" s="50"/>
      <c r="T87" s="60"/>
      <c r="U87" s="61"/>
    </row>
    <row r="88" spans="5:21" ht="17" customHeight="1">
      <c r="E88" s="18" t="str">
        <f t="shared" si="9"/>
        <v/>
      </c>
      <c r="F88" s="27">
        <f t="shared" si="11"/>
        <v>81</v>
      </c>
      <c r="G88" s="84" t="s">
        <v>203</v>
      </c>
      <c r="H88" s="26" t="s">
        <v>108</v>
      </c>
      <c r="I88" s="19">
        <f t="shared" si="10"/>
        <v>242.24231679189086</v>
      </c>
      <c r="J88" s="19">
        <f t="shared" si="7"/>
        <v>-46.798629669648292</v>
      </c>
      <c r="K88" s="26"/>
      <c r="L88" s="30">
        <v>17.425000000000001</v>
      </c>
      <c r="M88" s="31">
        <v>-48.416666666666664</v>
      </c>
      <c r="N88" s="19">
        <f t="shared" si="8"/>
        <v>-245.88572500015289</v>
      </c>
      <c r="Q88" s="50"/>
      <c r="T88" s="60"/>
      <c r="U88" s="61"/>
    </row>
    <row r="89" spans="5:21" ht="17" customHeight="1">
      <c r="E89" s="18" t="str">
        <f t="shared" si="9"/>
        <v/>
      </c>
      <c r="F89" s="27">
        <f t="shared" si="11"/>
        <v>82</v>
      </c>
      <c r="G89" s="84" t="s">
        <v>203</v>
      </c>
      <c r="H89" s="26" t="s">
        <v>109</v>
      </c>
      <c r="I89" s="19">
        <f t="shared" si="10"/>
        <v>245.72504408538765</v>
      </c>
      <c r="J89" s="19">
        <f t="shared" si="7"/>
        <v>-53.764707832773979</v>
      </c>
      <c r="K89" s="26"/>
      <c r="L89" s="30">
        <v>16.688333333333333</v>
      </c>
      <c r="M89" s="31">
        <v>-48.766666666666666</v>
      </c>
      <c r="N89" s="19">
        <f t="shared" si="8"/>
        <v>-234.83572500015288</v>
      </c>
      <c r="Q89" s="50"/>
      <c r="T89" s="60"/>
      <c r="U89" s="61"/>
    </row>
    <row r="90" spans="5:21" ht="17" customHeight="1">
      <c r="E90" s="18" t="str">
        <f t="shared" si="9"/>
        <v/>
      </c>
      <c r="F90" s="27">
        <f t="shared" si="11"/>
        <v>83</v>
      </c>
      <c r="G90" s="84" t="s">
        <v>203</v>
      </c>
      <c r="H90" s="26" t="s">
        <v>110</v>
      </c>
      <c r="I90" s="19">
        <f t="shared" si="10"/>
        <v>190.49896465430032</v>
      </c>
      <c r="J90" s="19">
        <f t="shared" si="7"/>
        <v>-86.928818773977582</v>
      </c>
      <c r="K90" s="26"/>
      <c r="L90" s="30">
        <v>13.09</v>
      </c>
      <c r="M90" s="31">
        <v>-49.466666666666669</v>
      </c>
      <c r="N90" s="19">
        <f t="shared" si="8"/>
        <v>-180.86072500015288</v>
      </c>
      <c r="Q90" s="50"/>
      <c r="T90" s="60"/>
      <c r="U90" s="61"/>
    </row>
    <row r="91" spans="5:21" ht="17" customHeight="1">
      <c r="E91" s="18" t="str">
        <f t="shared" si="9"/>
        <v/>
      </c>
      <c r="F91" s="27">
        <f t="shared" si="11"/>
        <v>84</v>
      </c>
      <c r="G91" s="84" t="s">
        <v>203</v>
      </c>
      <c r="H91" s="26" t="s">
        <v>111</v>
      </c>
      <c r="I91" s="19">
        <f t="shared" si="10"/>
        <v>231.94399109481677</v>
      </c>
      <c r="J91" s="19">
        <f t="shared" si="7"/>
        <v>-81.211017757686633</v>
      </c>
      <c r="K91" s="26"/>
      <c r="L91" s="30">
        <v>13.773333333333333</v>
      </c>
      <c r="M91" s="31">
        <v>-51.366666666666667</v>
      </c>
      <c r="N91" s="19">
        <f t="shared" si="8"/>
        <v>-191.11072500015288</v>
      </c>
      <c r="Q91" s="50"/>
      <c r="T91" s="60"/>
      <c r="U91" s="61"/>
    </row>
    <row r="92" spans="5:21" ht="17" customHeight="1">
      <c r="E92" s="18" t="str">
        <f t="shared" si="9"/>
        <v/>
      </c>
      <c r="F92" s="27">
        <f t="shared" si="11"/>
        <v>85</v>
      </c>
      <c r="G92" s="84" t="s">
        <v>203</v>
      </c>
      <c r="H92" s="26" t="s">
        <v>112</v>
      </c>
      <c r="I92" s="19">
        <f t="shared" si="10"/>
        <v>124.07771905642377</v>
      </c>
      <c r="J92" s="19">
        <f t="shared" si="7"/>
        <v>-48.713538646551783</v>
      </c>
      <c r="K92" s="26" t="s">
        <v>191</v>
      </c>
      <c r="L92" s="30">
        <v>8.67</v>
      </c>
      <c r="M92" s="32">
        <v>-53.06666666666667</v>
      </c>
      <c r="N92" s="19">
        <f t="shared" si="8"/>
        <v>-114.5607250001529</v>
      </c>
      <c r="Q92" s="50"/>
      <c r="T92" s="60"/>
      <c r="U92" s="61"/>
    </row>
    <row r="93" spans="5:21" ht="17" customHeight="1">
      <c r="E93" s="18" t="str">
        <f t="shared" si="9"/>
        <v/>
      </c>
      <c r="F93" s="27">
        <f t="shared" si="11"/>
        <v>86</v>
      </c>
      <c r="G93" s="84" t="s">
        <v>203</v>
      </c>
      <c r="H93" s="26" t="s">
        <v>113</v>
      </c>
      <c r="I93" s="19">
        <f t="shared" si="10"/>
        <v>233.84724983264118</v>
      </c>
      <c r="J93" s="19">
        <f t="shared" si="7"/>
        <v>-46.517494801847036</v>
      </c>
      <c r="K93" s="26"/>
      <c r="L93" s="30">
        <v>17.678333333333335</v>
      </c>
      <c r="M93" s="31">
        <v>-53.666666666666664</v>
      </c>
      <c r="N93" s="19">
        <f t="shared" si="8"/>
        <v>-249.6857250001529</v>
      </c>
      <c r="Q93" s="50"/>
      <c r="T93" s="60"/>
      <c r="U93" s="61"/>
    </row>
    <row r="94" spans="5:21" ht="17" customHeight="1">
      <c r="E94" s="18" t="str">
        <f t="shared" si="9"/>
        <v/>
      </c>
      <c r="F94" s="27">
        <f t="shared" si="11"/>
        <v>87</v>
      </c>
      <c r="G94" s="84" t="s">
        <v>203</v>
      </c>
      <c r="H94" s="26" t="s">
        <v>114</v>
      </c>
      <c r="I94" s="19">
        <f t="shared" si="10"/>
        <v>161.4250936189307</v>
      </c>
      <c r="J94" s="19">
        <f t="shared" si="7"/>
        <v>-15.312820935382071</v>
      </c>
      <c r="K94" s="26"/>
      <c r="L94" s="30">
        <v>3.2050000000000001</v>
      </c>
      <c r="M94" s="31">
        <v>-55.216666666666669</v>
      </c>
      <c r="N94" s="19">
        <f t="shared" si="8"/>
        <v>-32.585725000152891</v>
      </c>
      <c r="Q94" s="50"/>
      <c r="T94" s="60"/>
      <c r="U94" s="61"/>
    </row>
    <row r="95" spans="5:21" ht="17" customHeight="1">
      <c r="E95" s="18" t="str">
        <f t="shared" si="9"/>
        <v/>
      </c>
      <c r="F95" s="27">
        <f t="shared" si="11"/>
        <v>88</v>
      </c>
      <c r="G95" s="84" t="s">
        <v>203</v>
      </c>
      <c r="H95" s="26" t="s">
        <v>115</v>
      </c>
      <c r="I95" s="19">
        <f t="shared" si="10"/>
        <v>233.20056620165175</v>
      </c>
      <c r="J95" s="19">
        <f t="shared" si="7"/>
        <v>-68.733229990815147</v>
      </c>
      <c r="K95" s="26"/>
      <c r="L95" s="30">
        <v>15.095000000000001</v>
      </c>
      <c r="M95" s="31">
        <v>-55.6</v>
      </c>
      <c r="N95" s="19">
        <f t="shared" si="8"/>
        <v>-210.9357250001529</v>
      </c>
      <c r="Q95" s="50"/>
      <c r="T95" s="60"/>
      <c r="U95" s="61"/>
    </row>
    <row r="96" spans="5:21" ht="17" customHeight="1">
      <c r="E96" s="18" t="str">
        <f t="shared" si="9"/>
        <v/>
      </c>
      <c r="F96" s="27">
        <f t="shared" si="11"/>
        <v>89</v>
      </c>
      <c r="G96" s="84" t="s">
        <v>203</v>
      </c>
      <c r="H96" s="26" t="s">
        <v>116</v>
      </c>
      <c r="I96" s="19">
        <f t="shared" si="10"/>
        <v>230.46641913969421</v>
      </c>
      <c r="J96" s="19">
        <f t="shared" si="7"/>
        <v>-58.543149843810973</v>
      </c>
      <c r="K96" s="26" t="s">
        <v>163</v>
      </c>
      <c r="L96" s="30">
        <v>16.315000000000001</v>
      </c>
      <c r="M96" s="31">
        <v>-57.9</v>
      </c>
      <c r="N96" s="19">
        <f t="shared" si="8"/>
        <v>-229.23572500015288</v>
      </c>
      <c r="Q96" s="50"/>
      <c r="T96" s="60"/>
      <c r="U96" s="61"/>
    </row>
    <row r="97" spans="5:21" ht="17" customHeight="1">
      <c r="E97" s="18" t="str">
        <f t="shared" si="9"/>
        <v/>
      </c>
      <c r="F97" s="27">
        <f t="shared" si="11"/>
        <v>90</v>
      </c>
      <c r="G97" s="84" t="s">
        <v>203</v>
      </c>
      <c r="H97" s="27" t="s">
        <v>117</v>
      </c>
      <c r="I97" s="19">
        <f t="shared" si="10"/>
        <v>130.54891897094762</v>
      </c>
      <c r="J97" s="19">
        <f t="shared" si="7"/>
        <v>-55.446458206661042</v>
      </c>
      <c r="K97" s="26"/>
      <c r="L97" s="30">
        <v>9.3566666666666674</v>
      </c>
      <c r="M97" s="31">
        <v>-58.31666666666667</v>
      </c>
      <c r="N97" s="19">
        <f t="shared" si="8"/>
        <v>-124.86072500015291</v>
      </c>
      <c r="Q97" s="50"/>
      <c r="T97" s="60"/>
      <c r="U97" s="61"/>
    </row>
    <row r="98" spans="5:21" ht="17" customHeight="1">
      <c r="E98" s="18" t="str">
        <f t="shared" si="9"/>
        <v/>
      </c>
      <c r="F98" s="27">
        <f t="shared" si="11"/>
        <v>91</v>
      </c>
      <c r="G98" s="84" t="s">
        <v>203</v>
      </c>
      <c r="H98" s="26" t="s">
        <v>118</v>
      </c>
      <c r="I98" s="19">
        <f t="shared" si="10"/>
        <v>135.81848288686794</v>
      </c>
      <c r="J98" s="19">
        <f t="shared" si="7"/>
        <v>-68.870435857050722</v>
      </c>
      <c r="K98" s="26"/>
      <c r="L98" s="30">
        <v>11.106666666666667</v>
      </c>
      <c r="M98" s="31">
        <v>-58.666666666666664</v>
      </c>
      <c r="N98" s="19">
        <f t="shared" si="8"/>
        <v>-151.11072500015288</v>
      </c>
      <c r="Q98" s="50"/>
      <c r="T98" s="60"/>
      <c r="U98" s="61"/>
    </row>
    <row r="99" spans="5:21" ht="17" customHeight="1">
      <c r="E99" s="18" t="str">
        <f t="shared" si="9"/>
        <v/>
      </c>
      <c r="F99" s="27">
        <f t="shared" si="11"/>
        <v>92</v>
      </c>
      <c r="G99" s="84" t="s">
        <v>203</v>
      </c>
      <c r="H99" s="26" t="s">
        <v>119</v>
      </c>
      <c r="I99" s="19">
        <f t="shared" si="10"/>
        <v>136.13787948002252</v>
      </c>
      <c r="J99" s="19">
        <f t="shared" si="7"/>
        <v>-65.747289045825653</v>
      </c>
      <c r="K99" s="26" t="s">
        <v>164</v>
      </c>
      <c r="L99" s="30">
        <v>10.73</v>
      </c>
      <c r="M99" s="31">
        <v>-59.866666666666667</v>
      </c>
      <c r="N99" s="19">
        <f t="shared" si="8"/>
        <v>-145.46072500015288</v>
      </c>
      <c r="Q99" s="50"/>
      <c r="T99" s="60"/>
      <c r="U99" s="61"/>
    </row>
    <row r="100" spans="5:21" ht="17" customHeight="1">
      <c r="E100" s="18" t="str">
        <f t="shared" si="9"/>
        <v/>
      </c>
      <c r="F100" s="27">
        <f t="shared" si="11"/>
        <v>93</v>
      </c>
      <c r="G100" s="84" t="s">
        <v>203</v>
      </c>
      <c r="H100" s="26" t="s">
        <v>120</v>
      </c>
      <c r="I100" s="19">
        <f t="shared" si="10"/>
        <v>219.29994069299758</v>
      </c>
      <c r="J100" s="19">
        <f t="shared" si="7"/>
        <v>-37.888075727016229</v>
      </c>
      <c r="K100" s="26"/>
      <c r="L100" s="30">
        <v>19.181666666666668</v>
      </c>
      <c r="M100" s="31">
        <v>-59.983333333333334</v>
      </c>
      <c r="N100" s="19">
        <f t="shared" si="8"/>
        <v>-272.23572500015291</v>
      </c>
      <c r="Q100" s="50"/>
      <c r="T100" s="60"/>
      <c r="U100" s="61"/>
    </row>
    <row r="101" spans="5:21" ht="17" customHeight="1">
      <c r="E101" s="18" t="str">
        <f t="shared" si="9"/>
        <v/>
      </c>
      <c r="F101" s="27">
        <f t="shared" si="11"/>
        <v>94</v>
      </c>
      <c r="G101" s="84" t="s">
        <v>203</v>
      </c>
      <c r="H101" s="26" t="s">
        <v>121</v>
      </c>
      <c r="I101" s="19">
        <f t="shared" si="10"/>
        <v>175.70360562162364</v>
      </c>
      <c r="J101" s="19">
        <f t="shared" si="7"/>
        <v>-76.062637862011272</v>
      </c>
      <c r="K101" s="26" t="s">
        <v>165</v>
      </c>
      <c r="L101" s="30">
        <v>12.893333333333333</v>
      </c>
      <c r="M101" s="31">
        <v>-60.333333333333336</v>
      </c>
      <c r="N101" s="19">
        <f t="shared" si="8"/>
        <v>-177.91072500015287</v>
      </c>
      <c r="Q101" s="50"/>
      <c r="T101" s="60"/>
      <c r="U101" s="61"/>
    </row>
    <row r="102" spans="5:21" ht="17" customHeight="1">
      <c r="E102" s="18" t="str">
        <f t="shared" si="9"/>
        <v/>
      </c>
      <c r="F102" s="27">
        <f t="shared" si="11"/>
        <v>95</v>
      </c>
      <c r="G102" s="84" t="s">
        <v>203</v>
      </c>
      <c r="H102" s="26" t="s">
        <v>122</v>
      </c>
      <c r="I102" s="19">
        <f t="shared" si="10"/>
        <v>225.13149371521664</v>
      </c>
      <c r="J102" s="19">
        <f t="shared" si="7"/>
        <v>-60.328975587173872</v>
      </c>
      <c r="K102" s="26"/>
      <c r="L102" s="30">
        <v>16.061666666666667</v>
      </c>
      <c r="M102" s="31">
        <v>-60.5</v>
      </c>
      <c r="N102" s="19">
        <f t="shared" si="8"/>
        <v>-225.4357250001529</v>
      </c>
      <c r="Q102" s="50"/>
      <c r="T102" s="60"/>
      <c r="U102" s="61"/>
    </row>
    <row r="103" spans="5:21" ht="17" customHeight="1">
      <c r="E103" s="18" t="str">
        <f t="shared" si="9"/>
        <v/>
      </c>
      <c r="F103" s="27">
        <f t="shared" si="11"/>
        <v>96</v>
      </c>
      <c r="G103" s="84" t="s">
        <v>203</v>
      </c>
      <c r="H103" s="26" t="s">
        <v>123</v>
      </c>
      <c r="I103" s="19">
        <f t="shared" si="10"/>
        <v>137.5346671455774</v>
      </c>
      <c r="J103" s="19">
        <f t="shared" si="7"/>
        <v>-45.61994489752297</v>
      </c>
      <c r="K103" s="26"/>
      <c r="L103" s="30">
        <v>7.9716666666666667</v>
      </c>
      <c r="M103" s="31">
        <v>-60.866666666666667</v>
      </c>
      <c r="N103" s="19">
        <f t="shared" si="8"/>
        <v>-104.08572500015289</v>
      </c>
      <c r="Q103" s="50"/>
      <c r="T103" s="60"/>
      <c r="U103" s="61"/>
    </row>
    <row r="104" spans="5:21" ht="17" customHeight="1">
      <c r="E104" s="18" t="str">
        <f t="shared" si="9"/>
        <v/>
      </c>
      <c r="F104" s="27">
        <f t="shared" si="11"/>
        <v>97</v>
      </c>
      <c r="G104" s="84" t="s">
        <v>203</v>
      </c>
      <c r="H104" s="26" t="s">
        <v>124</v>
      </c>
      <c r="I104" s="19">
        <f t="shared" si="10"/>
        <v>148.649216345257</v>
      </c>
      <c r="J104" s="19">
        <f t="shared" ref="J104:J116" si="12">ASIN(SIN($N$118*M104)*SIN($N$118*$C$13)+COS($N$118*M104)*COS($N$118*$C$13)*COS($N$118*N104))/$N$118</f>
        <v>-70.467813748021399</v>
      </c>
      <c r="K104" s="26"/>
      <c r="L104" s="30">
        <v>11.601666666666667</v>
      </c>
      <c r="M104" s="31">
        <v>-61.616666666666667</v>
      </c>
      <c r="N104" s="19">
        <f t="shared" ref="N104:N116" si="13">$C$16-((L104/24)*360)</f>
        <v>-158.53572500015289</v>
      </c>
      <c r="Q104" s="50"/>
      <c r="T104" s="60"/>
      <c r="U104" s="61"/>
    </row>
    <row r="105" spans="5:21" ht="17" customHeight="1">
      <c r="E105" s="18" t="str">
        <f t="shared" si="9"/>
        <v/>
      </c>
      <c r="F105" s="27">
        <f t="shared" si="11"/>
        <v>98</v>
      </c>
      <c r="G105" s="84" t="s">
        <v>203</v>
      </c>
      <c r="H105" s="26" t="s">
        <v>125</v>
      </c>
      <c r="I105" s="19">
        <f t="shared" si="10"/>
        <v>172.2342347207962</v>
      </c>
      <c r="J105" s="19">
        <f t="shared" si="12"/>
        <v>-73.252896770802877</v>
      </c>
      <c r="K105" s="26"/>
      <c r="L105" s="30">
        <v>12.705</v>
      </c>
      <c r="M105" s="31">
        <v>-62.966666666666669</v>
      </c>
      <c r="N105" s="19">
        <f t="shared" si="13"/>
        <v>-175.08572500015291</v>
      </c>
      <c r="Q105" s="50"/>
      <c r="T105" s="60"/>
      <c r="U105" s="61"/>
    </row>
    <row r="106" spans="5:21" ht="17" customHeight="1">
      <c r="E106" s="18" t="str">
        <f t="shared" si="9"/>
        <v/>
      </c>
      <c r="F106" s="27">
        <f t="shared" si="11"/>
        <v>99</v>
      </c>
      <c r="G106" s="84" t="s">
        <v>203</v>
      </c>
      <c r="H106" s="28" t="s">
        <v>68</v>
      </c>
      <c r="I106" s="19">
        <f t="shared" si="10"/>
        <v>176.43973745035171</v>
      </c>
      <c r="J106" s="19">
        <f t="shared" si="12"/>
        <v>-73.40202286342651</v>
      </c>
      <c r="K106" s="26" t="s">
        <v>166</v>
      </c>
      <c r="L106" s="30">
        <v>12.883333333333333</v>
      </c>
      <c r="M106" s="32">
        <v>-63</v>
      </c>
      <c r="N106" s="19">
        <f t="shared" si="13"/>
        <v>-177.76072500015289</v>
      </c>
      <c r="Q106" s="50"/>
      <c r="T106" s="60"/>
      <c r="U106" s="61"/>
    </row>
    <row r="107" spans="5:21" ht="17" customHeight="1">
      <c r="E107" s="18" t="str">
        <f t="shared" si="9"/>
        <v/>
      </c>
      <c r="F107" s="27">
        <f t="shared" si="11"/>
        <v>100</v>
      </c>
      <c r="G107" s="84" t="s">
        <v>203</v>
      </c>
      <c r="H107" s="26" t="s">
        <v>126</v>
      </c>
      <c r="I107" s="19">
        <f t="shared" si="10"/>
        <v>151.81492817113059</v>
      </c>
      <c r="J107" s="19">
        <f t="shared" si="12"/>
        <v>-69.551340190298376</v>
      </c>
      <c r="K107" s="26" t="s">
        <v>167</v>
      </c>
      <c r="L107" s="30">
        <v>11.61</v>
      </c>
      <c r="M107" s="32">
        <v>-63.033333333333331</v>
      </c>
      <c r="N107" s="19">
        <f t="shared" si="13"/>
        <v>-158.66072500015287</v>
      </c>
      <c r="Q107" s="50"/>
      <c r="T107" s="60"/>
      <c r="U107" s="61"/>
    </row>
    <row r="108" spans="5:21" ht="17" customHeight="1">
      <c r="E108" s="18" t="str">
        <f t="shared" si="9"/>
        <v/>
      </c>
      <c r="F108" s="27">
        <f t="shared" si="11"/>
        <v>101</v>
      </c>
      <c r="G108" s="84" t="s">
        <v>203</v>
      </c>
      <c r="H108" s="26" t="s">
        <v>127</v>
      </c>
      <c r="I108" s="19">
        <f t="shared" si="10"/>
        <v>214.98523795719547</v>
      </c>
      <c r="J108" s="19">
        <f t="shared" si="12"/>
        <v>-39.806637575559826</v>
      </c>
      <c r="K108" s="26"/>
      <c r="L108" s="30">
        <v>19.163333333333334</v>
      </c>
      <c r="M108" s="31">
        <v>-63.85</v>
      </c>
      <c r="N108" s="19">
        <f t="shared" si="13"/>
        <v>-271.96072500015288</v>
      </c>
      <c r="Q108" s="50"/>
      <c r="T108" s="60"/>
      <c r="U108" s="61"/>
    </row>
    <row r="109" spans="5:21" ht="17" customHeight="1">
      <c r="E109" s="18" t="str">
        <f t="shared" si="9"/>
        <v/>
      </c>
      <c r="F109" s="27">
        <f t="shared" si="11"/>
        <v>102</v>
      </c>
      <c r="G109" s="84" t="s">
        <v>203</v>
      </c>
      <c r="H109" s="26" t="s">
        <v>128</v>
      </c>
      <c r="I109" s="19">
        <f t="shared" si="10"/>
        <v>145.94699959015537</v>
      </c>
      <c r="J109" s="19">
        <f t="shared" si="12"/>
        <v>-63.949789210993288</v>
      </c>
      <c r="K109" s="26" t="s">
        <v>168</v>
      </c>
      <c r="L109" s="30">
        <v>10.72</v>
      </c>
      <c r="M109" s="31">
        <v>-64.400000000000006</v>
      </c>
      <c r="N109" s="19">
        <f t="shared" si="13"/>
        <v>-145.3107250001529</v>
      </c>
      <c r="Q109" s="50"/>
      <c r="T109" s="60"/>
      <c r="U109" s="61"/>
    </row>
    <row r="110" spans="5:21" ht="17" customHeight="1">
      <c r="E110" s="18" t="str">
        <f t="shared" si="9"/>
        <v/>
      </c>
      <c r="F110" s="27">
        <f t="shared" si="11"/>
        <v>103</v>
      </c>
      <c r="G110" s="84" t="s">
        <v>203</v>
      </c>
      <c r="H110" s="26" t="s">
        <v>129</v>
      </c>
      <c r="I110" s="19">
        <f t="shared" si="10"/>
        <v>155.61258476190505</v>
      </c>
      <c r="J110" s="19">
        <f t="shared" si="12"/>
        <v>-36.139147930160846</v>
      </c>
      <c r="K110" s="26" t="s">
        <v>169</v>
      </c>
      <c r="L110" s="30">
        <v>5.6449999999999996</v>
      </c>
      <c r="M110" s="32">
        <v>-69.099999999999994</v>
      </c>
      <c r="N110" s="19">
        <f t="shared" si="13"/>
        <v>-69.185725000152885</v>
      </c>
      <c r="Q110" s="50"/>
      <c r="T110" s="60"/>
      <c r="U110" s="61"/>
    </row>
    <row r="111" spans="5:21" ht="17" customHeight="1">
      <c r="E111" s="18" t="str">
        <f t="shared" si="9"/>
        <v/>
      </c>
      <c r="F111" s="27">
        <f t="shared" si="11"/>
        <v>104</v>
      </c>
      <c r="G111" s="84" t="s">
        <v>203</v>
      </c>
      <c r="H111" s="26" t="s">
        <v>130</v>
      </c>
      <c r="I111" s="19">
        <f t="shared" si="10"/>
        <v>179.88529286224554</v>
      </c>
      <c r="J111" s="19">
        <f t="shared" si="12"/>
        <v>-27.300214301690833</v>
      </c>
      <c r="K111" s="26"/>
      <c r="L111" s="30">
        <v>1.0533333333333332</v>
      </c>
      <c r="M111" s="31">
        <v>-70.849999999999994</v>
      </c>
      <c r="N111" s="19">
        <f t="shared" si="13"/>
        <v>-0.31072500015288718</v>
      </c>
      <c r="Q111" s="50"/>
      <c r="T111" s="60"/>
      <c r="U111" s="61"/>
    </row>
    <row r="112" spans="5:21" ht="17" customHeight="1">
      <c r="E112" s="18" t="str">
        <f t="shared" si="9"/>
        <v/>
      </c>
      <c r="F112" s="27">
        <f t="shared" si="11"/>
        <v>105</v>
      </c>
      <c r="G112" s="84" t="s">
        <v>203</v>
      </c>
      <c r="H112" s="26" t="s">
        <v>131</v>
      </c>
      <c r="I112" s="19">
        <f t="shared" si="10"/>
        <v>179.53347720142898</v>
      </c>
      <c r="J112" s="19">
        <f t="shared" si="12"/>
        <v>-65.565013706801778</v>
      </c>
      <c r="K112" s="26"/>
      <c r="L112" s="30">
        <v>12.993333333333334</v>
      </c>
      <c r="M112" s="31">
        <v>-70.88333333333334</v>
      </c>
      <c r="N112" s="19">
        <f t="shared" si="13"/>
        <v>-179.41072500015289</v>
      </c>
      <c r="Q112" s="50"/>
      <c r="T112" s="60"/>
      <c r="U112" s="61"/>
    </row>
    <row r="113" spans="5:21" ht="17" customHeight="1">
      <c r="E113" s="18" t="str">
        <f t="shared" si="9"/>
        <v/>
      </c>
      <c r="F113" s="27">
        <f t="shared" si="11"/>
        <v>106</v>
      </c>
      <c r="G113" s="84" t="s">
        <v>203</v>
      </c>
      <c r="H113" s="26" t="s">
        <v>132</v>
      </c>
      <c r="I113" s="19">
        <f t="shared" si="10"/>
        <v>183.30676360825294</v>
      </c>
      <c r="J113" s="19">
        <f t="shared" si="12"/>
        <v>-28.721657861998658</v>
      </c>
      <c r="K113" s="26" t="s">
        <v>170</v>
      </c>
      <c r="L113" s="30">
        <v>0.40166666666666667</v>
      </c>
      <c r="M113" s="32">
        <v>-72.083333333333329</v>
      </c>
      <c r="N113" s="19">
        <f t="shared" si="13"/>
        <v>9.4642749998471114</v>
      </c>
      <c r="Q113" s="50"/>
      <c r="T113" s="60"/>
      <c r="U113" s="61"/>
    </row>
    <row r="114" spans="5:21" ht="17" customHeight="1">
      <c r="E114" s="18" t="str">
        <f t="shared" si="9"/>
        <v/>
      </c>
      <c r="F114" s="27">
        <f t="shared" si="11"/>
        <v>107</v>
      </c>
      <c r="G114" s="84" t="s">
        <v>203</v>
      </c>
      <c r="H114" s="26" t="s">
        <v>133</v>
      </c>
      <c r="I114" s="19">
        <f t="shared" si="10"/>
        <v>204.69040261713636</v>
      </c>
      <c r="J114" s="19">
        <f t="shared" si="12"/>
        <v>-55.359804579937808</v>
      </c>
      <c r="K114" s="26"/>
      <c r="L114" s="30">
        <v>16.43</v>
      </c>
      <c r="M114" s="31">
        <v>-72.2</v>
      </c>
      <c r="N114" s="19">
        <f t="shared" si="13"/>
        <v>-230.96072500015288</v>
      </c>
      <c r="Q114" s="50"/>
      <c r="T114" s="60"/>
      <c r="U114" s="61"/>
    </row>
    <row r="115" spans="5:21" ht="17" customHeight="1">
      <c r="E115" s="18" t="str">
        <f t="shared" si="9"/>
        <v/>
      </c>
      <c r="F115" s="27">
        <f t="shared" si="11"/>
        <v>108</v>
      </c>
      <c r="G115" s="84" t="s">
        <v>203</v>
      </c>
      <c r="H115" s="26" t="s">
        <v>134</v>
      </c>
      <c r="I115" s="19">
        <f t="shared" si="10"/>
        <v>173.98790742566734</v>
      </c>
      <c r="J115" s="19">
        <f t="shared" si="12"/>
        <v>-63.45461337224291</v>
      </c>
      <c r="K115" s="26"/>
      <c r="L115" s="30">
        <v>12.43</v>
      </c>
      <c r="M115" s="31">
        <v>-72.666666666666671</v>
      </c>
      <c r="N115" s="19">
        <f t="shared" si="13"/>
        <v>-170.96072500015291</v>
      </c>
      <c r="Q115" s="50"/>
      <c r="T115" s="60"/>
      <c r="U115" s="61"/>
    </row>
    <row r="116" spans="5:21" ht="17" customHeight="1">
      <c r="E116" s="18" t="str">
        <f t="shared" si="9"/>
        <v/>
      </c>
      <c r="F116" s="27">
        <f t="shared" si="11"/>
        <v>109</v>
      </c>
      <c r="G116" s="84" t="s">
        <v>203</v>
      </c>
      <c r="H116" s="26" t="s">
        <v>135</v>
      </c>
      <c r="I116" s="19">
        <f t="shared" si="10"/>
        <v>169.68828168967863</v>
      </c>
      <c r="J116" s="19">
        <f t="shared" si="12"/>
        <v>-52.694923456533601</v>
      </c>
      <c r="K116" s="26"/>
      <c r="L116" s="30">
        <v>10.158333333333333</v>
      </c>
      <c r="M116" s="31">
        <v>-80.86666666666666</v>
      </c>
      <c r="N116" s="19">
        <f t="shared" si="13"/>
        <v>-136.88572500015289</v>
      </c>
      <c r="Q116" s="51"/>
      <c r="R116" s="47"/>
      <c r="S116" s="47"/>
      <c r="T116" s="62"/>
      <c r="U116" s="63"/>
    </row>
    <row r="118" spans="5:21">
      <c r="M118" s="100" t="s">
        <v>208</v>
      </c>
      <c r="N118" s="70">
        <f>PI()/180</f>
        <v>1.7453292519943295E-2</v>
      </c>
    </row>
  </sheetData>
  <sheetProtection sheet="1" objects="1" scenarios="1"/>
  <mergeCells count="6">
    <mergeCell ref="B36:D36"/>
    <mergeCell ref="B2:C2"/>
    <mergeCell ref="F2:N2"/>
    <mergeCell ref="Q2:X2"/>
    <mergeCell ref="B19:B24"/>
    <mergeCell ref="B27:D27"/>
  </mergeCells>
  <conditionalFormatting sqref="F8:F116">
    <cfRule type="expression" dxfId="2" priority="1">
      <formula>AND($I8&gt;=$I$4,$I8&lt;=$I$6,$J8&gt;=$J$4,$J8&lt;=$J$6)</formula>
    </cfRule>
  </conditionalFormatting>
  <conditionalFormatting sqref="I8:I116">
    <cfRule type="expression" dxfId="1" priority="12">
      <formula>AND($I8&gt;=$I$4,$I8&lt;=$I$6)</formula>
    </cfRule>
  </conditionalFormatting>
  <conditionalFormatting sqref="J8:J116">
    <cfRule type="expression" dxfId="0" priority="11">
      <formula>AND($J8&gt;=$J$4,$J8&lt;=$J$6)</formula>
    </cfRule>
  </conditionalFormatting>
  <dataValidations count="3">
    <dataValidation type="list" allowBlank="1" showInputMessage="1" showErrorMessage="1" sqref="G8:G116" xr:uid="{F9DBD25E-147E-B64A-A101-6A0D8E10E6E7}">
      <formula1>$C$19:$C$24</formula1>
    </dataValidation>
    <dataValidation type="list" allowBlank="1" showInputMessage="1" showErrorMessage="1" sqref="C12" xr:uid="{D873A431-B2FC-164E-8D74-6B6B25CA65C2}">
      <formula1>$B$29:$B$33</formula1>
    </dataValidation>
    <dataValidation type="list" allowBlank="1" showInputMessage="1" showErrorMessage="1" sqref="D19:D24" xr:uid="{B493E24D-C802-F74D-BF05-C035985715D0}">
      <formula1>$B$55:$B$56</formula1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8104F-5EE1-A443-9CE5-50E3471276B0}">
  <dimension ref="B1:J209"/>
  <sheetViews>
    <sheetView showGridLines="0" workbookViewId="0">
      <selection activeCell="C21" sqref="C21"/>
    </sheetView>
  </sheetViews>
  <sheetFormatPr baseColWidth="10" defaultRowHeight="13"/>
  <cols>
    <col min="1" max="1" width="10.83203125" style="141" customWidth="1"/>
    <col min="2" max="2" width="15.83203125" style="141" customWidth="1"/>
    <col min="3" max="3" width="13.33203125" style="141" customWidth="1"/>
    <col min="4" max="4" width="15.83203125" style="141" customWidth="1"/>
    <col min="5" max="7" width="10.83203125" style="141" customWidth="1"/>
    <col min="8" max="10" width="12.1640625" style="141" customWidth="1"/>
    <col min="11" max="22" width="10.83203125" style="141" customWidth="1"/>
    <col min="23" max="23" width="10.1640625" style="141" bestFit="1" customWidth="1"/>
    <col min="24" max="247" width="8.83203125" style="141" customWidth="1"/>
    <col min="248" max="248" width="7.83203125" style="141" customWidth="1"/>
    <col min="249" max="249" width="7.5" style="141" customWidth="1"/>
    <col min="250" max="250" width="9" style="141" customWidth="1"/>
    <col min="251" max="251" width="8.33203125" style="141" customWidth="1"/>
    <col min="252" max="254" width="8.5" style="141" bestFit="1" customWidth="1"/>
    <col min="255" max="255" width="10" style="141" bestFit="1" customWidth="1"/>
    <col min="256" max="256" width="8.1640625" style="141" bestFit="1" customWidth="1"/>
    <col min="257" max="258" width="8.5" style="141" bestFit="1" customWidth="1"/>
    <col min="259" max="259" width="6" style="141" bestFit="1" customWidth="1"/>
    <col min="260" max="260" width="8.83203125" style="141" customWidth="1"/>
    <col min="261" max="261" width="8.5" style="141" bestFit="1" customWidth="1"/>
    <col min="262" max="262" width="7.1640625" style="141" bestFit="1" customWidth="1"/>
    <col min="263" max="263" width="4.5" style="141" bestFit="1" customWidth="1"/>
    <col min="264" max="264" width="5.5" style="141" bestFit="1" customWidth="1"/>
    <col min="265" max="267" width="6.1640625" style="141" bestFit="1" customWidth="1"/>
    <col min="268" max="268" width="7.1640625" style="141" bestFit="1" customWidth="1"/>
    <col min="269" max="278" width="8.83203125" style="141" customWidth="1"/>
    <col min="279" max="279" width="10" style="141" bestFit="1" customWidth="1"/>
    <col min="280" max="503" width="8.83203125" style="141" customWidth="1"/>
    <col min="504" max="504" width="7.83203125" style="141" customWidth="1"/>
    <col min="505" max="505" width="7.5" style="141" customWidth="1"/>
    <col min="506" max="506" width="9" style="141" customWidth="1"/>
    <col min="507" max="507" width="8.33203125" style="141" customWidth="1"/>
    <col min="508" max="510" width="8.5" style="141" bestFit="1" customWidth="1"/>
    <col min="511" max="511" width="10" style="141" bestFit="1" customWidth="1"/>
    <col min="512" max="512" width="8.1640625" style="141" bestFit="1" customWidth="1"/>
    <col min="513" max="514" width="8.5" style="141" bestFit="1" customWidth="1"/>
    <col min="515" max="515" width="6" style="141" bestFit="1" customWidth="1"/>
    <col min="516" max="516" width="8.83203125" style="141" customWidth="1"/>
    <col min="517" max="517" width="8.5" style="141" bestFit="1" customWidth="1"/>
    <col min="518" max="518" width="7.1640625" style="141" bestFit="1" customWidth="1"/>
    <col min="519" max="519" width="4.5" style="141" bestFit="1" customWidth="1"/>
    <col min="520" max="520" width="5.5" style="141" bestFit="1" customWidth="1"/>
    <col min="521" max="523" width="6.1640625" style="141" bestFit="1" customWidth="1"/>
    <col min="524" max="524" width="7.1640625" style="141" bestFit="1" customWidth="1"/>
    <col min="525" max="534" width="8.83203125" style="141" customWidth="1"/>
    <col min="535" max="535" width="10" style="141" bestFit="1" customWidth="1"/>
    <col min="536" max="759" width="8.83203125" style="141" customWidth="1"/>
    <col min="760" max="760" width="7.83203125" style="141" customWidth="1"/>
    <col min="761" max="761" width="7.5" style="141" customWidth="1"/>
    <col min="762" max="762" width="9" style="141" customWidth="1"/>
    <col min="763" max="763" width="8.33203125" style="141" customWidth="1"/>
    <col min="764" max="766" width="8.5" style="141" bestFit="1" customWidth="1"/>
    <col min="767" max="767" width="10" style="141" bestFit="1" customWidth="1"/>
    <col min="768" max="768" width="8.1640625" style="141" bestFit="1" customWidth="1"/>
    <col min="769" max="770" width="8.5" style="141" bestFit="1" customWidth="1"/>
    <col min="771" max="771" width="6" style="141" bestFit="1" customWidth="1"/>
    <col min="772" max="772" width="8.83203125" style="141" customWidth="1"/>
    <col min="773" max="773" width="8.5" style="141" bestFit="1" customWidth="1"/>
    <col min="774" max="774" width="7.1640625" style="141" bestFit="1" customWidth="1"/>
    <col min="775" max="775" width="4.5" style="141" bestFit="1" customWidth="1"/>
    <col min="776" max="776" width="5.5" style="141" bestFit="1" customWidth="1"/>
    <col min="777" max="779" width="6.1640625" style="141" bestFit="1" customWidth="1"/>
    <col min="780" max="780" width="7.1640625" style="141" bestFit="1" customWidth="1"/>
    <col min="781" max="790" width="8.83203125" style="141" customWidth="1"/>
    <col min="791" max="791" width="10" style="141" bestFit="1" customWidth="1"/>
    <col min="792" max="1015" width="8.83203125" style="141" customWidth="1"/>
    <col min="1016" max="1016" width="7.83203125" style="141" customWidth="1"/>
    <col min="1017" max="1017" width="7.5" style="141" customWidth="1"/>
    <col min="1018" max="1018" width="9" style="141" customWidth="1"/>
    <col min="1019" max="1019" width="8.33203125" style="141" customWidth="1"/>
    <col min="1020" max="1022" width="8.5" style="141" bestFit="1" customWidth="1"/>
    <col min="1023" max="1023" width="10" style="141" bestFit="1" customWidth="1"/>
    <col min="1024" max="1024" width="8.1640625" style="141" bestFit="1" customWidth="1"/>
    <col min="1025" max="1026" width="8.5" style="141" bestFit="1" customWidth="1"/>
    <col min="1027" max="1027" width="6" style="141" bestFit="1" customWidth="1"/>
    <col min="1028" max="1028" width="8.83203125" style="141" customWidth="1"/>
    <col min="1029" max="1029" width="8.5" style="141" bestFit="1" customWidth="1"/>
    <col min="1030" max="1030" width="7.1640625" style="141" bestFit="1" customWidth="1"/>
    <col min="1031" max="1031" width="4.5" style="141" bestFit="1" customWidth="1"/>
    <col min="1032" max="1032" width="5.5" style="141" bestFit="1" customWidth="1"/>
    <col min="1033" max="1035" width="6.1640625" style="141" bestFit="1" customWidth="1"/>
    <col min="1036" max="1036" width="7.1640625" style="141" bestFit="1" customWidth="1"/>
    <col min="1037" max="1046" width="8.83203125" style="141" customWidth="1"/>
    <col min="1047" max="1047" width="10" style="141" bestFit="1" customWidth="1"/>
    <col min="1048" max="1271" width="8.83203125" style="141" customWidth="1"/>
    <col min="1272" max="1272" width="7.83203125" style="141" customWidth="1"/>
    <col min="1273" max="1273" width="7.5" style="141" customWidth="1"/>
    <col min="1274" max="1274" width="9" style="141" customWidth="1"/>
    <col min="1275" max="1275" width="8.33203125" style="141" customWidth="1"/>
    <col min="1276" max="1278" width="8.5" style="141" bestFit="1" customWidth="1"/>
    <col min="1279" max="1279" width="10" style="141" bestFit="1" customWidth="1"/>
    <col min="1280" max="1280" width="8.1640625" style="141" bestFit="1" customWidth="1"/>
    <col min="1281" max="1282" width="8.5" style="141" bestFit="1" customWidth="1"/>
    <col min="1283" max="1283" width="6" style="141" bestFit="1" customWidth="1"/>
    <col min="1284" max="1284" width="8.83203125" style="141" customWidth="1"/>
    <col min="1285" max="1285" width="8.5" style="141" bestFit="1" customWidth="1"/>
    <col min="1286" max="1286" width="7.1640625" style="141" bestFit="1" customWidth="1"/>
    <col min="1287" max="1287" width="4.5" style="141" bestFit="1" customWidth="1"/>
    <col min="1288" max="1288" width="5.5" style="141" bestFit="1" customWidth="1"/>
    <col min="1289" max="1291" width="6.1640625" style="141" bestFit="1" customWidth="1"/>
    <col min="1292" max="1292" width="7.1640625" style="141" bestFit="1" customWidth="1"/>
    <col min="1293" max="1302" width="8.83203125" style="141" customWidth="1"/>
    <col min="1303" max="1303" width="10" style="141" bestFit="1" customWidth="1"/>
    <col min="1304" max="1527" width="8.83203125" style="141" customWidth="1"/>
    <col min="1528" max="1528" width="7.83203125" style="141" customWidth="1"/>
    <col min="1529" max="1529" width="7.5" style="141" customWidth="1"/>
    <col min="1530" max="1530" width="9" style="141" customWidth="1"/>
    <col min="1531" max="1531" width="8.33203125" style="141" customWidth="1"/>
    <col min="1532" max="1534" width="8.5" style="141" bestFit="1" customWidth="1"/>
    <col min="1535" max="1535" width="10" style="141" bestFit="1" customWidth="1"/>
    <col min="1536" max="1536" width="8.1640625" style="141" bestFit="1" customWidth="1"/>
    <col min="1537" max="1538" width="8.5" style="141" bestFit="1" customWidth="1"/>
    <col min="1539" max="1539" width="6" style="141" bestFit="1" customWidth="1"/>
    <col min="1540" max="1540" width="8.83203125" style="141" customWidth="1"/>
    <col min="1541" max="1541" width="8.5" style="141" bestFit="1" customWidth="1"/>
    <col min="1542" max="1542" width="7.1640625" style="141" bestFit="1" customWidth="1"/>
    <col min="1543" max="1543" width="4.5" style="141" bestFit="1" customWidth="1"/>
    <col min="1544" max="1544" width="5.5" style="141" bestFit="1" customWidth="1"/>
    <col min="1545" max="1547" width="6.1640625" style="141" bestFit="1" customWidth="1"/>
    <col min="1548" max="1548" width="7.1640625" style="141" bestFit="1" customWidth="1"/>
    <col min="1549" max="1558" width="8.83203125" style="141" customWidth="1"/>
    <col min="1559" max="1559" width="10" style="141" bestFit="1" customWidth="1"/>
    <col min="1560" max="1783" width="8.83203125" style="141" customWidth="1"/>
    <col min="1784" max="1784" width="7.83203125" style="141" customWidth="1"/>
    <col min="1785" max="1785" width="7.5" style="141" customWidth="1"/>
    <col min="1786" max="1786" width="9" style="141" customWidth="1"/>
    <col min="1787" max="1787" width="8.33203125" style="141" customWidth="1"/>
    <col min="1788" max="1790" width="8.5" style="141" bestFit="1" customWidth="1"/>
    <col min="1791" max="1791" width="10" style="141" bestFit="1" customWidth="1"/>
    <col min="1792" max="1792" width="8.1640625" style="141" bestFit="1" customWidth="1"/>
    <col min="1793" max="1794" width="8.5" style="141" bestFit="1" customWidth="1"/>
    <col min="1795" max="1795" width="6" style="141" bestFit="1" customWidth="1"/>
    <col min="1796" max="1796" width="8.83203125" style="141" customWidth="1"/>
    <col min="1797" max="1797" width="8.5" style="141" bestFit="1" customWidth="1"/>
    <col min="1798" max="1798" width="7.1640625" style="141" bestFit="1" customWidth="1"/>
    <col min="1799" max="1799" width="4.5" style="141" bestFit="1" customWidth="1"/>
    <col min="1800" max="1800" width="5.5" style="141" bestFit="1" customWidth="1"/>
    <col min="1801" max="1803" width="6.1640625" style="141" bestFit="1" customWidth="1"/>
    <col min="1804" max="1804" width="7.1640625" style="141" bestFit="1" customWidth="1"/>
    <col min="1805" max="1814" width="8.83203125" style="141" customWidth="1"/>
    <col min="1815" max="1815" width="10" style="141" bestFit="1" customWidth="1"/>
    <col min="1816" max="2039" width="8.83203125" style="141" customWidth="1"/>
    <col min="2040" max="2040" width="7.83203125" style="141" customWidth="1"/>
    <col min="2041" max="2041" width="7.5" style="141" customWidth="1"/>
    <col min="2042" max="2042" width="9" style="141" customWidth="1"/>
    <col min="2043" max="2043" width="8.33203125" style="141" customWidth="1"/>
    <col min="2044" max="2046" width="8.5" style="141" bestFit="1" customWidth="1"/>
    <col min="2047" max="2047" width="10" style="141" bestFit="1" customWidth="1"/>
    <col min="2048" max="2048" width="8.1640625" style="141" bestFit="1" customWidth="1"/>
    <col min="2049" max="2050" width="8.5" style="141" bestFit="1" customWidth="1"/>
    <col min="2051" max="2051" width="6" style="141" bestFit="1" customWidth="1"/>
    <col min="2052" max="2052" width="8.83203125" style="141" customWidth="1"/>
    <col min="2053" max="2053" width="8.5" style="141" bestFit="1" customWidth="1"/>
    <col min="2054" max="2054" width="7.1640625" style="141" bestFit="1" customWidth="1"/>
    <col min="2055" max="2055" width="4.5" style="141" bestFit="1" customWidth="1"/>
    <col min="2056" max="2056" width="5.5" style="141" bestFit="1" customWidth="1"/>
    <col min="2057" max="2059" width="6.1640625" style="141" bestFit="1" customWidth="1"/>
    <col min="2060" max="2060" width="7.1640625" style="141" bestFit="1" customWidth="1"/>
    <col min="2061" max="2070" width="8.83203125" style="141" customWidth="1"/>
    <col min="2071" max="2071" width="10" style="141" bestFit="1" customWidth="1"/>
    <col min="2072" max="2295" width="8.83203125" style="141" customWidth="1"/>
    <col min="2296" max="2296" width="7.83203125" style="141" customWidth="1"/>
    <col min="2297" max="2297" width="7.5" style="141" customWidth="1"/>
    <col min="2298" max="2298" width="9" style="141" customWidth="1"/>
    <col min="2299" max="2299" width="8.33203125" style="141" customWidth="1"/>
    <col min="2300" max="2302" width="8.5" style="141" bestFit="1" customWidth="1"/>
    <col min="2303" max="2303" width="10" style="141" bestFit="1" customWidth="1"/>
    <col min="2304" max="2304" width="8.1640625" style="141" bestFit="1" customWidth="1"/>
    <col min="2305" max="2306" width="8.5" style="141" bestFit="1" customWidth="1"/>
    <col min="2307" max="2307" width="6" style="141" bestFit="1" customWidth="1"/>
    <col min="2308" max="2308" width="8.83203125" style="141" customWidth="1"/>
    <col min="2309" max="2309" width="8.5" style="141" bestFit="1" customWidth="1"/>
    <col min="2310" max="2310" width="7.1640625" style="141" bestFit="1" customWidth="1"/>
    <col min="2311" max="2311" width="4.5" style="141" bestFit="1" customWidth="1"/>
    <col min="2312" max="2312" width="5.5" style="141" bestFit="1" customWidth="1"/>
    <col min="2313" max="2315" width="6.1640625" style="141" bestFit="1" customWidth="1"/>
    <col min="2316" max="2316" width="7.1640625" style="141" bestFit="1" customWidth="1"/>
    <col min="2317" max="2326" width="8.83203125" style="141" customWidth="1"/>
    <col min="2327" max="2327" width="10" style="141" bestFit="1" customWidth="1"/>
    <col min="2328" max="2551" width="8.83203125" style="141" customWidth="1"/>
    <col min="2552" max="2552" width="7.83203125" style="141" customWidth="1"/>
    <col min="2553" max="2553" width="7.5" style="141" customWidth="1"/>
    <col min="2554" max="2554" width="9" style="141" customWidth="1"/>
    <col min="2555" max="2555" width="8.33203125" style="141" customWidth="1"/>
    <col min="2556" max="2558" width="8.5" style="141" bestFit="1" customWidth="1"/>
    <col min="2559" max="2559" width="10" style="141" bestFit="1" customWidth="1"/>
    <col min="2560" max="2560" width="8.1640625" style="141" bestFit="1" customWidth="1"/>
    <col min="2561" max="2562" width="8.5" style="141" bestFit="1" customWidth="1"/>
    <col min="2563" max="2563" width="6" style="141" bestFit="1" customWidth="1"/>
    <col min="2564" max="2564" width="8.83203125" style="141" customWidth="1"/>
    <col min="2565" max="2565" width="8.5" style="141" bestFit="1" customWidth="1"/>
    <col min="2566" max="2566" width="7.1640625" style="141" bestFit="1" customWidth="1"/>
    <col min="2567" max="2567" width="4.5" style="141" bestFit="1" customWidth="1"/>
    <col min="2568" max="2568" width="5.5" style="141" bestFit="1" customWidth="1"/>
    <col min="2569" max="2571" width="6.1640625" style="141" bestFit="1" customWidth="1"/>
    <col min="2572" max="2572" width="7.1640625" style="141" bestFit="1" customWidth="1"/>
    <col min="2573" max="2582" width="8.83203125" style="141" customWidth="1"/>
    <col min="2583" max="2583" width="10" style="141" bestFit="1" customWidth="1"/>
    <col min="2584" max="2807" width="8.83203125" style="141" customWidth="1"/>
    <col min="2808" max="2808" width="7.83203125" style="141" customWidth="1"/>
    <col min="2809" max="2809" width="7.5" style="141" customWidth="1"/>
    <col min="2810" max="2810" width="9" style="141" customWidth="1"/>
    <col min="2811" max="2811" width="8.33203125" style="141" customWidth="1"/>
    <col min="2812" max="2814" width="8.5" style="141" bestFit="1" customWidth="1"/>
    <col min="2815" max="2815" width="10" style="141" bestFit="1" customWidth="1"/>
    <col min="2816" max="2816" width="8.1640625" style="141" bestFit="1" customWidth="1"/>
    <col min="2817" max="2818" width="8.5" style="141" bestFit="1" customWidth="1"/>
    <col min="2819" max="2819" width="6" style="141" bestFit="1" customWidth="1"/>
    <col min="2820" max="2820" width="8.83203125" style="141" customWidth="1"/>
    <col min="2821" max="2821" width="8.5" style="141" bestFit="1" customWidth="1"/>
    <col min="2822" max="2822" width="7.1640625" style="141" bestFit="1" customWidth="1"/>
    <col min="2823" max="2823" width="4.5" style="141" bestFit="1" customWidth="1"/>
    <col min="2824" max="2824" width="5.5" style="141" bestFit="1" customWidth="1"/>
    <col min="2825" max="2827" width="6.1640625" style="141" bestFit="1" customWidth="1"/>
    <col min="2828" max="2828" width="7.1640625" style="141" bestFit="1" customWidth="1"/>
    <col min="2829" max="2838" width="8.83203125" style="141" customWidth="1"/>
    <col min="2839" max="2839" width="10" style="141" bestFit="1" customWidth="1"/>
    <col min="2840" max="3063" width="8.83203125" style="141" customWidth="1"/>
    <col min="3064" max="3064" width="7.83203125" style="141" customWidth="1"/>
    <col min="3065" max="3065" width="7.5" style="141" customWidth="1"/>
    <col min="3066" max="3066" width="9" style="141" customWidth="1"/>
    <col min="3067" max="3067" width="8.33203125" style="141" customWidth="1"/>
    <col min="3068" max="3070" width="8.5" style="141" bestFit="1" customWidth="1"/>
    <col min="3071" max="3071" width="10" style="141" bestFit="1" customWidth="1"/>
    <col min="3072" max="3072" width="8.1640625" style="141" bestFit="1" customWidth="1"/>
    <col min="3073" max="3074" width="8.5" style="141" bestFit="1" customWidth="1"/>
    <col min="3075" max="3075" width="6" style="141" bestFit="1" customWidth="1"/>
    <col min="3076" max="3076" width="8.83203125" style="141" customWidth="1"/>
    <col min="3077" max="3077" width="8.5" style="141" bestFit="1" customWidth="1"/>
    <col min="3078" max="3078" width="7.1640625" style="141" bestFit="1" customWidth="1"/>
    <col min="3079" max="3079" width="4.5" style="141" bestFit="1" customWidth="1"/>
    <col min="3080" max="3080" width="5.5" style="141" bestFit="1" customWidth="1"/>
    <col min="3081" max="3083" width="6.1640625" style="141" bestFit="1" customWidth="1"/>
    <col min="3084" max="3084" width="7.1640625" style="141" bestFit="1" customWidth="1"/>
    <col min="3085" max="3094" width="8.83203125" style="141" customWidth="1"/>
    <col min="3095" max="3095" width="10" style="141" bestFit="1" customWidth="1"/>
    <col min="3096" max="3319" width="8.83203125" style="141" customWidth="1"/>
    <col min="3320" max="3320" width="7.83203125" style="141" customWidth="1"/>
    <col min="3321" max="3321" width="7.5" style="141" customWidth="1"/>
    <col min="3322" max="3322" width="9" style="141" customWidth="1"/>
    <col min="3323" max="3323" width="8.33203125" style="141" customWidth="1"/>
    <col min="3324" max="3326" width="8.5" style="141" bestFit="1" customWidth="1"/>
    <col min="3327" max="3327" width="10" style="141" bestFit="1" customWidth="1"/>
    <col min="3328" max="3328" width="8.1640625" style="141" bestFit="1" customWidth="1"/>
    <col min="3329" max="3330" width="8.5" style="141" bestFit="1" customWidth="1"/>
    <col min="3331" max="3331" width="6" style="141" bestFit="1" customWidth="1"/>
    <col min="3332" max="3332" width="8.83203125" style="141" customWidth="1"/>
    <col min="3333" max="3333" width="8.5" style="141" bestFit="1" customWidth="1"/>
    <col min="3334" max="3334" width="7.1640625" style="141" bestFit="1" customWidth="1"/>
    <col min="3335" max="3335" width="4.5" style="141" bestFit="1" customWidth="1"/>
    <col min="3336" max="3336" width="5.5" style="141" bestFit="1" customWidth="1"/>
    <col min="3337" max="3339" width="6.1640625" style="141" bestFit="1" customWidth="1"/>
    <col min="3340" max="3340" width="7.1640625" style="141" bestFit="1" customWidth="1"/>
    <col min="3341" max="3350" width="8.83203125" style="141" customWidth="1"/>
    <col min="3351" max="3351" width="10" style="141" bestFit="1" customWidth="1"/>
    <col min="3352" max="3575" width="8.83203125" style="141" customWidth="1"/>
    <col min="3576" max="3576" width="7.83203125" style="141" customWidth="1"/>
    <col min="3577" max="3577" width="7.5" style="141" customWidth="1"/>
    <col min="3578" max="3578" width="9" style="141" customWidth="1"/>
    <col min="3579" max="3579" width="8.33203125" style="141" customWidth="1"/>
    <col min="3580" max="3582" width="8.5" style="141" bestFit="1" customWidth="1"/>
    <col min="3583" max="3583" width="10" style="141" bestFit="1" customWidth="1"/>
    <col min="3584" max="3584" width="8.1640625" style="141" bestFit="1" customWidth="1"/>
    <col min="3585" max="3586" width="8.5" style="141" bestFit="1" customWidth="1"/>
    <col min="3587" max="3587" width="6" style="141" bestFit="1" customWidth="1"/>
    <col min="3588" max="3588" width="8.83203125" style="141" customWidth="1"/>
    <col min="3589" max="3589" width="8.5" style="141" bestFit="1" customWidth="1"/>
    <col min="3590" max="3590" width="7.1640625" style="141" bestFit="1" customWidth="1"/>
    <col min="3591" max="3591" width="4.5" style="141" bestFit="1" customWidth="1"/>
    <col min="3592" max="3592" width="5.5" style="141" bestFit="1" customWidth="1"/>
    <col min="3593" max="3595" width="6.1640625" style="141" bestFit="1" customWidth="1"/>
    <col min="3596" max="3596" width="7.1640625" style="141" bestFit="1" customWidth="1"/>
    <col min="3597" max="3606" width="8.83203125" style="141" customWidth="1"/>
    <col min="3607" max="3607" width="10" style="141" bestFit="1" customWidth="1"/>
    <col min="3608" max="3831" width="8.83203125" style="141" customWidth="1"/>
    <col min="3832" max="3832" width="7.83203125" style="141" customWidth="1"/>
    <col min="3833" max="3833" width="7.5" style="141" customWidth="1"/>
    <col min="3834" max="3834" width="9" style="141" customWidth="1"/>
    <col min="3835" max="3835" width="8.33203125" style="141" customWidth="1"/>
    <col min="3836" max="3838" width="8.5" style="141" bestFit="1" customWidth="1"/>
    <col min="3839" max="3839" width="10" style="141" bestFit="1" customWidth="1"/>
    <col min="3840" max="3840" width="8.1640625" style="141" bestFit="1" customWidth="1"/>
    <col min="3841" max="3842" width="8.5" style="141" bestFit="1" customWidth="1"/>
    <col min="3843" max="3843" width="6" style="141" bestFit="1" customWidth="1"/>
    <col min="3844" max="3844" width="8.83203125" style="141" customWidth="1"/>
    <col min="3845" max="3845" width="8.5" style="141" bestFit="1" customWidth="1"/>
    <col min="3846" max="3846" width="7.1640625" style="141" bestFit="1" customWidth="1"/>
    <col min="3847" max="3847" width="4.5" style="141" bestFit="1" customWidth="1"/>
    <col min="3848" max="3848" width="5.5" style="141" bestFit="1" customWidth="1"/>
    <col min="3849" max="3851" width="6.1640625" style="141" bestFit="1" customWidth="1"/>
    <col min="3852" max="3852" width="7.1640625" style="141" bestFit="1" customWidth="1"/>
    <col min="3853" max="3862" width="8.83203125" style="141" customWidth="1"/>
    <col min="3863" max="3863" width="10" style="141" bestFit="1" customWidth="1"/>
    <col min="3864" max="4087" width="8.83203125" style="141" customWidth="1"/>
    <col min="4088" max="4088" width="7.83203125" style="141" customWidth="1"/>
    <col min="4089" max="4089" width="7.5" style="141" customWidth="1"/>
    <col min="4090" max="4090" width="9" style="141" customWidth="1"/>
    <col min="4091" max="4091" width="8.33203125" style="141" customWidth="1"/>
    <col min="4092" max="4094" width="8.5" style="141" bestFit="1" customWidth="1"/>
    <col min="4095" max="4095" width="10" style="141" bestFit="1" customWidth="1"/>
    <col min="4096" max="4096" width="8.1640625" style="141" bestFit="1" customWidth="1"/>
    <col min="4097" max="4098" width="8.5" style="141" bestFit="1" customWidth="1"/>
    <col min="4099" max="4099" width="6" style="141" bestFit="1" customWidth="1"/>
    <col min="4100" max="4100" width="8.83203125" style="141" customWidth="1"/>
    <col min="4101" max="4101" width="8.5" style="141" bestFit="1" customWidth="1"/>
    <col min="4102" max="4102" width="7.1640625" style="141" bestFit="1" customWidth="1"/>
    <col min="4103" max="4103" width="4.5" style="141" bestFit="1" customWidth="1"/>
    <col min="4104" max="4104" width="5.5" style="141" bestFit="1" customWidth="1"/>
    <col min="4105" max="4107" width="6.1640625" style="141" bestFit="1" customWidth="1"/>
    <col min="4108" max="4108" width="7.1640625" style="141" bestFit="1" customWidth="1"/>
    <col min="4109" max="4118" width="8.83203125" style="141" customWidth="1"/>
    <col min="4119" max="4119" width="10" style="141" bestFit="1" customWidth="1"/>
    <col min="4120" max="4343" width="8.83203125" style="141" customWidth="1"/>
    <col min="4344" max="4344" width="7.83203125" style="141" customWidth="1"/>
    <col min="4345" max="4345" width="7.5" style="141" customWidth="1"/>
    <col min="4346" max="4346" width="9" style="141" customWidth="1"/>
    <col min="4347" max="4347" width="8.33203125" style="141" customWidth="1"/>
    <col min="4348" max="4350" width="8.5" style="141" bestFit="1" customWidth="1"/>
    <col min="4351" max="4351" width="10" style="141" bestFit="1" customWidth="1"/>
    <col min="4352" max="4352" width="8.1640625" style="141" bestFit="1" customWidth="1"/>
    <col min="4353" max="4354" width="8.5" style="141" bestFit="1" customWidth="1"/>
    <col min="4355" max="4355" width="6" style="141" bestFit="1" customWidth="1"/>
    <col min="4356" max="4356" width="8.83203125" style="141" customWidth="1"/>
    <col min="4357" max="4357" width="8.5" style="141" bestFit="1" customWidth="1"/>
    <col min="4358" max="4358" width="7.1640625" style="141" bestFit="1" customWidth="1"/>
    <col min="4359" max="4359" width="4.5" style="141" bestFit="1" customWidth="1"/>
    <col min="4360" max="4360" width="5.5" style="141" bestFit="1" customWidth="1"/>
    <col min="4361" max="4363" width="6.1640625" style="141" bestFit="1" customWidth="1"/>
    <col min="4364" max="4364" width="7.1640625" style="141" bestFit="1" customWidth="1"/>
    <col min="4365" max="4374" width="8.83203125" style="141" customWidth="1"/>
    <col min="4375" max="4375" width="10" style="141" bestFit="1" customWidth="1"/>
    <col min="4376" max="4599" width="8.83203125" style="141" customWidth="1"/>
    <col min="4600" max="4600" width="7.83203125" style="141" customWidth="1"/>
    <col min="4601" max="4601" width="7.5" style="141" customWidth="1"/>
    <col min="4602" max="4602" width="9" style="141" customWidth="1"/>
    <col min="4603" max="4603" width="8.33203125" style="141" customWidth="1"/>
    <col min="4604" max="4606" width="8.5" style="141" bestFit="1" customWidth="1"/>
    <col min="4607" max="4607" width="10" style="141" bestFit="1" customWidth="1"/>
    <col min="4608" max="4608" width="8.1640625" style="141" bestFit="1" customWidth="1"/>
    <col min="4609" max="4610" width="8.5" style="141" bestFit="1" customWidth="1"/>
    <col min="4611" max="4611" width="6" style="141" bestFit="1" customWidth="1"/>
    <col min="4612" max="4612" width="8.83203125" style="141" customWidth="1"/>
    <col min="4613" max="4613" width="8.5" style="141" bestFit="1" customWidth="1"/>
    <col min="4614" max="4614" width="7.1640625" style="141" bestFit="1" customWidth="1"/>
    <col min="4615" max="4615" width="4.5" style="141" bestFit="1" customWidth="1"/>
    <col min="4616" max="4616" width="5.5" style="141" bestFit="1" customWidth="1"/>
    <col min="4617" max="4619" width="6.1640625" style="141" bestFit="1" customWidth="1"/>
    <col min="4620" max="4620" width="7.1640625" style="141" bestFit="1" customWidth="1"/>
    <col min="4621" max="4630" width="8.83203125" style="141" customWidth="1"/>
    <col min="4631" max="4631" width="10" style="141" bestFit="1" customWidth="1"/>
    <col min="4632" max="4855" width="8.83203125" style="141" customWidth="1"/>
    <col min="4856" max="4856" width="7.83203125" style="141" customWidth="1"/>
    <col min="4857" max="4857" width="7.5" style="141" customWidth="1"/>
    <col min="4858" max="4858" width="9" style="141" customWidth="1"/>
    <col min="4859" max="4859" width="8.33203125" style="141" customWidth="1"/>
    <col min="4860" max="4862" width="8.5" style="141" bestFit="1" customWidth="1"/>
    <col min="4863" max="4863" width="10" style="141" bestFit="1" customWidth="1"/>
    <col min="4864" max="4864" width="8.1640625" style="141" bestFit="1" customWidth="1"/>
    <col min="4865" max="4866" width="8.5" style="141" bestFit="1" customWidth="1"/>
    <col min="4867" max="4867" width="6" style="141" bestFit="1" customWidth="1"/>
    <col min="4868" max="4868" width="8.83203125" style="141" customWidth="1"/>
    <col min="4869" max="4869" width="8.5" style="141" bestFit="1" customWidth="1"/>
    <col min="4870" max="4870" width="7.1640625" style="141" bestFit="1" customWidth="1"/>
    <col min="4871" max="4871" width="4.5" style="141" bestFit="1" customWidth="1"/>
    <col min="4872" max="4872" width="5.5" style="141" bestFit="1" customWidth="1"/>
    <col min="4873" max="4875" width="6.1640625" style="141" bestFit="1" customWidth="1"/>
    <col min="4876" max="4876" width="7.1640625" style="141" bestFit="1" customWidth="1"/>
    <col min="4877" max="4886" width="8.83203125" style="141" customWidth="1"/>
    <col min="4887" max="4887" width="10" style="141" bestFit="1" customWidth="1"/>
    <col min="4888" max="5111" width="8.83203125" style="141" customWidth="1"/>
    <col min="5112" max="5112" width="7.83203125" style="141" customWidth="1"/>
    <col min="5113" max="5113" width="7.5" style="141" customWidth="1"/>
    <col min="5114" max="5114" width="9" style="141" customWidth="1"/>
    <col min="5115" max="5115" width="8.33203125" style="141" customWidth="1"/>
    <col min="5116" max="5118" width="8.5" style="141" bestFit="1" customWidth="1"/>
    <col min="5119" max="5119" width="10" style="141" bestFit="1" customWidth="1"/>
    <col min="5120" max="5120" width="8.1640625" style="141" bestFit="1" customWidth="1"/>
    <col min="5121" max="5122" width="8.5" style="141" bestFit="1" customWidth="1"/>
    <col min="5123" max="5123" width="6" style="141" bestFit="1" customWidth="1"/>
    <col min="5124" max="5124" width="8.83203125" style="141" customWidth="1"/>
    <col min="5125" max="5125" width="8.5" style="141" bestFit="1" customWidth="1"/>
    <col min="5126" max="5126" width="7.1640625" style="141" bestFit="1" customWidth="1"/>
    <col min="5127" max="5127" width="4.5" style="141" bestFit="1" customWidth="1"/>
    <col min="5128" max="5128" width="5.5" style="141" bestFit="1" customWidth="1"/>
    <col min="5129" max="5131" width="6.1640625" style="141" bestFit="1" customWidth="1"/>
    <col min="5132" max="5132" width="7.1640625" style="141" bestFit="1" customWidth="1"/>
    <col min="5133" max="5142" width="8.83203125" style="141" customWidth="1"/>
    <col min="5143" max="5143" width="10" style="141" bestFit="1" customWidth="1"/>
    <col min="5144" max="5367" width="8.83203125" style="141" customWidth="1"/>
    <col min="5368" max="5368" width="7.83203125" style="141" customWidth="1"/>
    <col min="5369" max="5369" width="7.5" style="141" customWidth="1"/>
    <col min="5370" max="5370" width="9" style="141" customWidth="1"/>
    <col min="5371" max="5371" width="8.33203125" style="141" customWidth="1"/>
    <col min="5372" max="5374" width="8.5" style="141" bestFit="1" customWidth="1"/>
    <col min="5375" max="5375" width="10" style="141" bestFit="1" customWidth="1"/>
    <col min="5376" max="5376" width="8.1640625" style="141" bestFit="1" customWidth="1"/>
    <col min="5377" max="5378" width="8.5" style="141" bestFit="1" customWidth="1"/>
    <col min="5379" max="5379" width="6" style="141" bestFit="1" customWidth="1"/>
    <col min="5380" max="5380" width="8.83203125" style="141" customWidth="1"/>
    <col min="5381" max="5381" width="8.5" style="141" bestFit="1" customWidth="1"/>
    <col min="5382" max="5382" width="7.1640625" style="141" bestFit="1" customWidth="1"/>
    <col min="5383" max="5383" width="4.5" style="141" bestFit="1" customWidth="1"/>
    <col min="5384" max="5384" width="5.5" style="141" bestFit="1" customWidth="1"/>
    <col min="5385" max="5387" width="6.1640625" style="141" bestFit="1" customWidth="1"/>
    <col min="5388" max="5388" width="7.1640625" style="141" bestFit="1" customWidth="1"/>
    <col min="5389" max="5398" width="8.83203125" style="141" customWidth="1"/>
    <col min="5399" max="5399" width="10" style="141" bestFit="1" customWidth="1"/>
    <col min="5400" max="5623" width="8.83203125" style="141" customWidth="1"/>
    <col min="5624" max="5624" width="7.83203125" style="141" customWidth="1"/>
    <col min="5625" max="5625" width="7.5" style="141" customWidth="1"/>
    <col min="5626" max="5626" width="9" style="141" customWidth="1"/>
    <col min="5627" max="5627" width="8.33203125" style="141" customWidth="1"/>
    <col min="5628" max="5630" width="8.5" style="141" bestFit="1" customWidth="1"/>
    <col min="5631" max="5631" width="10" style="141" bestFit="1" customWidth="1"/>
    <col min="5632" max="5632" width="8.1640625" style="141" bestFit="1" customWidth="1"/>
    <col min="5633" max="5634" width="8.5" style="141" bestFit="1" customWidth="1"/>
    <col min="5635" max="5635" width="6" style="141" bestFit="1" customWidth="1"/>
    <col min="5636" max="5636" width="8.83203125" style="141" customWidth="1"/>
    <col min="5637" max="5637" width="8.5" style="141" bestFit="1" customWidth="1"/>
    <col min="5638" max="5638" width="7.1640625" style="141" bestFit="1" customWidth="1"/>
    <col min="5639" max="5639" width="4.5" style="141" bestFit="1" customWidth="1"/>
    <col min="5640" max="5640" width="5.5" style="141" bestFit="1" customWidth="1"/>
    <col min="5641" max="5643" width="6.1640625" style="141" bestFit="1" customWidth="1"/>
    <col min="5644" max="5644" width="7.1640625" style="141" bestFit="1" customWidth="1"/>
    <col min="5645" max="5654" width="8.83203125" style="141" customWidth="1"/>
    <col min="5655" max="5655" width="10" style="141" bestFit="1" customWidth="1"/>
    <col min="5656" max="5879" width="8.83203125" style="141" customWidth="1"/>
    <col min="5880" max="5880" width="7.83203125" style="141" customWidth="1"/>
    <col min="5881" max="5881" width="7.5" style="141" customWidth="1"/>
    <col min="5882" max="5882" width="9" style="141" customWidth="1"/>
    <col min="5883" max="5883" width="8.33203125" style="141" customWidth="1"/>
    <col min="5884" max="5886" width="8.5" style="141" bestFit="1" customWidth="1"/>
    <col min="5887" max="5887" width="10" style="141" bestFit="1" customWidth="1"/>
    <col min="5888" max="5888" width="8.1640625" style="141" bestFit="1" customWidth="1"/>
    <col min="5889" max="5890" width="8.5" style="141" bestFit="1" customWidth="1"/>
    <col min="5891" max="5891" width="6" style="141" bestFit="1" customWidth="1"/>
    <col min="5892" max="5892" width="8.83203125" style="141" customWidth="1"/>
    <col min="5893" max="5893" width="8.5" style="141" bestFit="1" customWidth="1"/>
    <col min="5894" max="5894" width="7.1640625" style="141" bestFit="1" customWidth="1"/>
    <col min="5895" max="5895" width="4.5" style="141" bestFit="1" customWidth="1"/>
    <col min="5896" max="5896" width="5.5" style="141" bestFit="1" customWidth="1"/>
    <col min="5897" max="5899" width="6.1640625" style="141" bestFit="1" customWidth="1"/>
    <col min="5900" max="5900" width="7.1640625" style="141" bestFit="1" customWidth="1"/>
    <col min="5901" max="5910" width="8.83203125" style="141" customWidth="1"/>
    <col min="5911" max="5911" width="10" style="141" bestFit="1" customWidth="1"/>
    <col min="5912" max="6135" width="8.83203125" style="141" customWidth="1"/>
    <col min="6136" max="6136" width="7.83203125" style="141" customWidth="1"/>
    <col min="6137" max="6137" width="7.5" style="141" customWidth="1"/>
    <col min="6138" max="6138" width="9" style="141" customWidth="1"/>
    <col min="6139" max="6139" width="8.33203125" style="141" customWidth="1"/>
    <col min="6140" max="6142" width="8.5" style="141" bestFit="1" customWidth="1"/>
    <col min="6143" max="6143" width="10" style="141" bestFit="1" customWidth="1"/>
    <col min="6144" max="6144" width="8.1640625" style="141" bestFit="1" customWidth="1"/>
    <col min="6145" max="6146" width="8.5" style="141" bestFit="1" customWidth="1"/>
    <col min="6147" max="6147" width="6" style="141" bestFit="1" customWidth="1"/>
    <col min="6148" max="6148" width="8.83203125" style="141" customWidth="1"/>
    <col min="6149" max="6149" width="8.5" style="141" bestFit="1" customWidth="1"/>
    <col min="6150" max="6150" width="7.1640625" style="141" bestFit="1" customWidth="1"/>
    <col min="6151" max="6151" width="4.5" style="141" bestFit="1" customWidth="1"/>
    <col min="6152" max="6152" width="5.5" style="141" bestFit="1" customWidth="1"/>
    <col min="6153" max="6155" width="6.1640625" style="141" bestFit="1" customWidth="1"/>
    <col min="6156" max="6156" width="7.1640625" style="141" bestFit="1" customWidth="1"/>
    <col min="6157" max="6166" width="8.83203125" style="141" customWidth="1"/>
    <col min="6167" max="6167" width="10" style="141" bestFit="1" customWidth="1"/>
    <col min="6168" max="6391" width="8.83203125" style="141" customWidth="1"/>
    <col min="6392" max="6392" width="7.83203125" style="141" customWidth="1"/>
    <col min="6393" max="6393" width="7.5" style="141" customWidth="1"/>
    <col min="6394" max="6394" width="9" style="141" customWidth="1"/>
    <col min="6395" max="6395" width="8.33203125" style="141" customWidth="1"/>
    <col min="6396" max="6398" width="8.5" style="141" bestFit="1" customWidth="1"/>
    <col min="6399" max="6399" width="10" style="141" bestFit="1" customWidth="1"/>
    <col min="6400" max="6400" width="8.1640625" style="141" bestFit="1" customWidth="1"/>
    <col min="6401" max="6402" width="8.5" style="141" bestFit="1" customWidth="1"/>
    <col min="6403" max="6403" width="6" style="141" bestFit="1" customWidth="1"/>
    <col min="6404" max="6404" width="8.83203125" style="141" customWidth="1"/>
    <col min="6405" max="6405" width="8.5" style="141" bestFit="1" customWidth="1"/>
    <col min="6406" max="6406" width="7.1640625" style="141" bestFit="1" customWidth="1"/>
    <col min="6407" max="6407" width="4.5" style="141" bestFit="1" customWidth="1"/>
    <col min="6408" max="6408" width="5.5" style="141" bestFit="1" customWidth="1"/>
    <col min="6409" max="6411" width="6.1640625" style="141" bestFit="1" customWidth="1"/>
    <col min="6412" max="6412" width="7.1640625" style="141" bestFit="1" customWidth="1"/>
    <col min="6413" max="6422" width="8.83203125" style="141" customWidth="1"/>
    <col min="6423" max="6423" width="10" style="141" bestFit="1" customWidth="1"/>
    <col min="6424" max="6647" width="8.83203125" style="141" customWidth="1"/>
    <col min="6648" max="6648" width="7.83203125" style="141" customWidth="1"/>
    <col min="6649" max="6649" width="7.5" style="141" customWidth="1"/>
    <col min="6650" max="6650" width="9" style="141" customWidth="1"/>
    <col min="6651" max="6651" width="8.33203125" style="141" customWidth="1"/>
    <col min="6652" max="6654" width="8.5" style="141" bestFit="1" customWidth="1"/>
    <col min="6655" max="6655" width="10" style="141" bestFit="1" customWidth="1"/>
    <col min="6656" max="6656" width="8.1640625" style="141" bestFit="1" customWidth="1"/>
    <col min="6657" max="6658" width="8.5" style="141" bestFit="1" customWidth="1"/>
    <col min="6659" max="6659" width="6" style="141" bestFit="1" customWidth="1"/>
    <col min="6660" max="6660" width="8.83203125" style="141" customWidth="1"/>
    <col min="6661" max="6661" width="8.5" style="141" bestFit="1" customWidth="1"/>
    <col min="6662" max="6662" width="7.1640625" style="141" bestFit="1" customWidth="1"/>
    <col min="6663" max="6663" width="4.5" style="141" bestFit="1" customWidth="1"/>
    <col min="6664" max="6664" width="5.5" style="141" bestFit="1" customWidth="1"/>
    <col min="6665" max="6667" width="6.1640625" style="141" bestFit="1" customWidth="1"/>
    <col min="6668" max="6668" width="7.1640625" style="141" bestFit="1" customWidth="1"/>
    <col min="6669" max="6678" width="8.83203125" style="141" customWidth="1"/>
    <col min="6679" max="6679" width="10" style="141" bestFit="1" customWidth="1"/>
    <col min="6680" max="6903" width="8.83203125" style="141" customWidth="1"/>
    <col min="6904" max="6904" width="7.83203125" style="141" customWidth="1"/>
    <col min="6905" max="6905" width="7.5" style="141" customWidth="1"/>
    <col min="6906" max="6906" width="9" style="141" customWidth="1"/>
    <col min="6907" max="6907" width="8.33203125" style="141" customWidth="1"/>
    <col min="6908" max="6910" width="8.5" style="141" bestFit="1" customWidth="1"/>
    <col min="6911" max="6911" width="10" style="141" bestFit="1" customWidth="1"/>
    <col min="6912" max="6912" width="8.1640625" style="141" bestFit="1" customWidth="1"/>
    <col min="6913" max="6914" width="8.5" style="141" bestFit="1" customWidth="1"/>
    <col min="6915" max="6915" width="6" style="141" bestFit="1" customWidth="1"/>
    <col min="6916" max="6916" width="8.83203125" style="141" customWidth="1"/>
    <col min="6917" max="6917" width="8.5" style="141" bestFit="1" customWidth="1"/>
    <col min="6918" max="6918" width="7.1640625" style="141" bestFit="1" customWidth="1"/>
    <col min="6919" max="6919" width="4.5" style="141" bestFit="1" customWidth="1"/>
    <col min="6920" max="6920" width="5.5" style="141" bestFit="1" customWidth="1"/>
    <col min="6921" max="6923" width="6.1640625" style="141" bestFit="1" customWidth="1"/>
    <col min="6924" max="6924" width="7.1640625" style="141" bestFit="1" customWidth="1"/>
    <col min="6925" max="6934" width="8.83203125" style="141" customWidth="1"/>
    <col min="6935" max="6935" width="10" style="141" bestFit="1" customWidth="1"/>
    <col min="6936" max="7159" width="8.83203125" style="141" customWidth="1"/>
    <col min="7160" max="7160" width="7.83203125" style="141" customWidth="1"/>
    <col min="7161" max="7161" width="7.5" style="141" customWidth="1"/>
    <col min="7162" max="7162" width="9" style="141" customWidth="1"/>
    <col min="7163" max="7163" width="8.33203125" style="141" customWidth="1"/>
    <col min="7164" max="7166" width="8.5" style="141" bestFit="1" customWidth="1"/>
    <col min="7167" max="7167" width="10" style="141" bestFit="1" customWidth="1"/>
    <col min="7168" max="7168" width="8.1640625" style="141" bestFit="1" customWidth="1"/>
    <col min="7169" max="7170" width="8.5" style="141" bestFit="1" customWidth="1"/>
    <col min="7171" max="7171" width="6" style="141" bestFit="1" customWidth="1"/>
    <col min="7172" max="7172" width="8.83203125" style="141" customWidth="1"/>
    <col min="7173" max="7173" width="8.5" style="141" bestFit="1" customWidth="1"/>
    <col min="7174" max="7174" width="7.1640625" style="141" bestFit="1" customWidth="1"/>
    <col min="7175" max="7175" width="4.5" style="141" bestFit="1" customWidth="1"/>
    <col min="7176" max="7176" width="5.5" style="141" bestFit="1" customWidth="1"/>
    <col min="7177" max="7179" width="6.1640625" style="141" bestFit="1" customWidth="1"/>
    <col min="7180" max="7180" width="7.1640625" style="141" bestFit="1" customWidth="1"/>
    <col min="7181" max="7190" width="8.83203125" style="141" customWidth="1"/>
    <col min="7191" max="7191" width="10" style="141" bestFit="1" customWidth="1"/>
    <col min="7192" max="7415" width="8.83203125" style="141" customWidth="1"/>
    <col min="7416" max="7416" width="7.83203125" style="141" customWidth="1"/>
    <col min="7417" max="7417" width="7.5" style="141" customWidth="1"/>
    <col min="7418" max="7418" width="9" style="141" customWidth="1"/>
    <col min="7419" max="7419" width="8.33203125" style="141" customWidth="1"/>
    <col min="7420" max="7422" width="8.5" style="141" bestFit="1" customWidth="1"/>
    <col min="7423" max="7423" width="10" style="141" bestFit="1" customWidth="1"/>
    <col min="7424" max="7424" width="8.1640625" style="141" bestFit="1" customWidth="1"/>
    <col min="7425" max="7426" width="8.5" style="141" bestFit="1" customWidth="1"/>
    <col min="7427" max="7427" width="6" style="141" bestFit="1" customWidth="1"/>
    <col min="7428" max="7428" width="8.83203125" style="141" customWidth="1"/>
    <col min="7429" max="7429" width="8.5" style="141" bestFit="1" customWidth="1"/>
    <col min="7430" max="7430" width="7.1640625" style="141" bestFit="1" customWidth="1"/>
    <col min="7431" max="7431" width="4.5" style="141" bestFit="1" customWidth="1"/>
    <col min="7432" max="7432" width="5.5" style="141" bestFit="1" customWidth="1"/>
    <col min="7433" max="7435" width="6.1640625" style="141" bestFit="1" customWidth="1"/>
    <col min="7436" max="7436" width="7.1640625" style="141" bestFit="1" customWidth="1"/>
    <col min="7437" max="7446" width="8.83203125" style="141" customWidth="1"/>
    <col min="7447" max="7447" width="10" style="141" bestFit="1" customWidth="1"/>
    <col min="7448" max="7671" width="8.83203125" style="141" customWidth="1"/>
    <col min="7672" max="7672" width="7.83203125" style="141" customWidth="1"/>
    <col min="7673" max="7673" width="7.5" style="141" customWidth="1"/>
    <col min="7674" max="7674" width="9" style="141" customWidth="1"/>
    <col min="7675" max="7675" width="8.33203125" style="141" customWidth="1"/>
    <col min="7676" max="7678" width="8.5" style="141" bestFit="1" customWidth="1"/>
    <col min="7679" max="7679" width="10" style="141" bestFit="1" customWidth="1"/>
    <col min="7680" max="7680" width="8.1640625" style="141" bestFit="1" customWidth="1"/>
    <col min="7681" max="7682" width="8.5" style="141" bestFit="1" customWidth="1"/>
    <col min="7683" max="7683" width="6" style="141" bestFit="1" customWidth="1"/>
    <col min="7684" max="7684" width="8.83203125" style="141" customWidth="1"/>
    <col min="7685" max="7685" width="8.5" style="141" bestFit="1" customWidth="1"/>
    <col min="7686" max="7686" width="7.1640625" style="141" bestFit="1" customWidth="1"/>
    <col min="7687" max="7687" width="4.5" style="141" bestFit="1" customWidth="1"/>
    <col min="7688" max="7688" width="5.5" style="141" bestFit="1" customWidth="1"/>
    <col min="7689" max="7691" width="6.1640625" style="141" bestFit="1" customWidth="1"/>
    <col min="7692" max="7692" width="7.1640625" style="141" bestFit="1" customWidth="1"/>
    <col min="7693" max="7702" width="8.83203125" style="141" customWidth="1"/>
    <col min="7703" max="7703" width="10" style="141" bestFit="1" customWidth="1"/>
    <col min="7704" max="7927" width="8.83203125" style="141" customWidth="1"/>
    <col min="7928" max="7928" width="7.83203125" style="141" customWidth="1"/>
    <col min="7929" max="7929" width="7.5" style="141" customWidth="1"/>
    <col min="7930" max="7930" width="9" style="141" customWidth="1"/>
    <col min="7931" max="7931" width="8.33203125" style="141" customWidth="1"/>
    <col min="7932" max="7934" width="8.5" style="141" bestFit="1" customWidth="1"/>
    <col min="7935" max="7935" width="10" style="141" bestFit="1" customWidth="1"/>
    <col min="7936" max="7936" width="8.1640625" style="141" bestFit="1" customWidth="1"/>
    <col min="7937" max="7938" width="8.5" style="141" bestFit="1" customWidth="1"/>
    <col min="7939" max="7939" width="6" style="141" bestFit="1" customWidth="1"/>
    <col min="7940" max="7940" width="8.83203125" style="141" customWidth="1"/>
    <col min="7941" max="7941" width="8.5" style="141" bestFit="1" customWidth="1"/>
    <col min="7942" max="7942" width="7.1640625" style="141" bestFit="1" customWidth="1"/>
    <col min="7943" max="7943" width="4.5" style="141" bestFit="1" customWidth="1"/>
    <col min="7944" max="7944" width="5.5" style="141" bestFit="1" customWidth="1"/>
    <col min="7945" max="7947" width="6.1640625" style="141" bestFit="1" customWidth="1"/>
    <col min="7948" max="7948" width="7.1640625" style="141" bestFit="1" customWidth="1"/>
    <col min="7949" max="7958" width="8.83203125" style="141" customWidth="1"/>
    <col min="7959" max="7959" width="10" style="141" bestFit="1" customWidth="1"/>
    <col min="7960" max="8183" width="8.83203125" style="141" customWidth="1"/>
    <col min="8184" max="8184" width="7.83203125" style="141" customWidth="1"/>
    <col min="8185" max="8185" width="7.5" style="141" customWidth="1"/>
    <col min="8186" max="8186" width="9" style="141" customWidth="1"/>
    <col min="8187" max="8187" width="8.33203125" style="141" customWidth="1"/>
    <col min="8188" max="8190" width="8.5" style="141" bestFit="1" customWidth="1"/>
    <col min="8191" max="8191" width="10" style="141" bestFit="1" customWidth="1"/>
    <col min="8192" max="8192" width="8.1640625" style="141" bestFit="1" customWidth="1"/>
    <col min="8193" max="8194" width="8.5" style="141" bestFit="1" customWidth="1"/>
    <col min="8195" max="8195" width="6" style="141" bestFit="1" customWidth="1"/>
    <col min="8196" max="8196" width="8.83203125" style="141" customWidth="1"/>
    <col min="8197" max="8197" width="8.5" style="141" bestFit="1" customWidth="1"/>
    <col min="8198" max="8198" width="7.1640625" style="141" bestFit="1" customWidth="1"/>
    <col min="8199" max="8199" width="4.5" style="141" bestFit="1" customWidth="1"/>
    <col min="8200" max="8200" width="5.5" style="141" bestFit="1" customWidth="1"/>
    <col min="8201" max="8203" width="6.1640625" style="141" bestFit="1" customWidth="1"/>
    <col min="8204" max="8204" width="7.1640625" style="141" bestFit="1" customWidth="1"/>
    <col min="8205" max="8214" width="8.83203125" style="141" customWidth="1"/>
    <col min="8215" max="8215" width="10" style="141" bestFit="1" customWidth="1"/>
    <col min="8216" max="8439" width="8.83203125" style="141" customWidth="1"/>
    <col min="8440" max="8440" width="7.83203125" style="141" customWidth="1"/>
    <col min="8441" max="8441" width="7.5" style="141" customWidth="1"/>
    <col min="8442" max="8442" width="9" style="141" customWidth="1"/>
    <col min="8443" max="8443" width="8.33203125" style="141" customWidth="1"/>
    <col min="8444" max="8446" width="8.5" style="141" bestFit="1" customWidth="1"/>
    <col min="8447" max="8447" width="10" style="141" bestFit="1" customWidth="1"/>
    <col min="8448" max="8448" width="8.1640625" style="141" bestFit="1" customWidth="1"/>
    <col min="8449" max="8450" width="8.5" style="141" bestFit="1" customWidth="1"/>
    <col min="8451" max="8451" width="6" style="141" bestFit="1" customWidth="1"/>
    <col min="8452" max="8452" width="8.83203125" style="141" customWidth="1"/>
    <col min="8453" max="8453" width="8.5" style="141" bestFit="1" customWidth="1"/>
    <col min="8454" max="8454" width="7.1640625" style="141" bestFit="1" customWidth="1"/>
    <col min="8455" max="8455" width="4.5" style="141" bestFit="1" customWidth="1"/>
    <col min="8456" max="8456" width="5.5" style="141" bestFit="1" customWidth="1"/>
    <col min="8457" max="8459" width="6.1640625" style="141" bestFit="1" customWidth="1"/>
    <col min="8460" max="8460" width="7.1640625" style="141" bestFit="1" customWidth="1"/>
    <col min="8461" max="8470" width="8.83203125" style="141" customWidth="1"/>
    <col min="8471" max="8471" width="10" style="141" bestFit="1" customWidth="1"/>
    <col min="8472" max="8695" width="8.83203125" style="141" customWidth="1"/>
    <col min="8696" max="8696" width="7.83203125" style="141" customWidth="1"/>
    <col min="8697" max="8697" width="7.5" style="141" customWidth="1"/>
    <col min="8698" max="8698" width="9" style="141" customWidth="1"/>
    <col min="8699" max="8699" width="8.33203125" style="141" customWidth="1"/>
    <col min="8700" max="8702" width="8.5" style="141" bestFit="1" customWidth="1"/>
    <col min="8703" max="8703" width="10" style="141" bestFit="1" customWidth="1"/>
    <col min="8704" max="8704" width="8.1640625" style="141" bestFit="1" customWidth="1"/>
    <col min="8705" max="8706" width="8.5" style="141" bestFit="1" customWidth="1"/>
    <col min="8707" max="8707" width="6" style="141" bestFit="1" customWidth="1"/>
    <col min="8708" max="8708" width="8.83203125" style="141" customWidth="1"/>
    <col min="8709" max="8709" width="8.5" style="141" bestFit="1" customWidth="1"/>
    <col min="8710" max="8710" width="7.1640625" style="141" bestFit="1" customWidth="1"/>
    <col min="8711" max="8711" width="4.5" style="141" bestFit="1" customWidth="1"/>
    <col min="8712" max="8712" width="5.5" style="141" bestFit="1" customWidth="1"/>
    <col min="8713" max="8715" width="6.1640625" style="141" bestFit="1" customWidth="1"/>
    <col min="8716" max="8716" width="7.1640625" style="141" bestFit="1" customWidth="1"/>
    <col min="8717" max="8726" width="8.83203125" style="141" customWidth="1"/>
    <col min="8727" max="8727" width="10" style="141" bestFit="1" customWidth="1"/>
    <col min="8728" max="8951" width="8.83203125" style="141" customWidth="1"/>
    <col min="8952" max="8952" width="7.83203125" style="141" customWidth="1"/>
    <col min="8953" max="8953" width="7.5" style="141" customWidth="1"/>
    <col min="8954" max="8954" width="9" style="141" customWidth="1"/>
    <col min="8955" max="8955" width="8.33203125" style="141" customWidth="1"/>
    <col min="8956" max="8958" width="8.5" style="141" bestFit="1" customWidth="1"/>
    <col min="8959" max="8959" width="10" style="141" bestFit="1" customWidth="1"/>
    <col min="8960" max="8960" width="8.1640625" style="141" bestFit="1" customWidth="1"/>
    <col min="8961" max="8962" width="8.5" style="141" bestFit="1" customWidth="1"/>
    <col min="8963" max="8963" width="6" style="141" bestFit="1" customWidth="1"/>
    <col min="8964" max="8964" width="8.83203125" style="141" customWidth="1"/>
    <col min="8965" max="8965" width="8.5" style="141" bestFit="1" customWidth="1"/>
    <col min="8966" max="8966" width="7.1640625" style="141" bestFit="1" customWidth="1"/>
    <col min="8967" max="8967" width="4.5" style="141" bestFit="1" customWidth="1"/>
    <col min="8968" max="8968" width="5.5" style="141" bestFit="1" customWidth="1"/>
    <col min="8969" max="8971" width="6.1640625" style="141" bestFit="1" customWidth="1"/>
    <col min="8972" max="8972" width="7.1640625" style="141" bestFit="1" customWidth="1"/>
    <col min="8973" max="8982" width="8.83203125" style="141" customWidth="1"/>
    <col min="8983" max="8983" width="10" style="141" bestFit="1" customWidth="1"/>
    <col min="8984" max="9207" width="8.83203125" style="141" customWidth="1"/>
    <col min="9208" max="9208" width="7.83203125" style="141" customWidth="1"/>
    <col min="9209" max="9209" width="7.5" style="141" customWidth="1"/>
    <col min="9210" max="9210" width="9" style="141" customWidth="1"/>
    <col min="9211" max="9211" width="8.33203125" style="141" customWidth="1"/>
    <col min="9212" max="9214" width="8.5" style="141" bestFit="1" customWidth="1"/>
    <col min="9215" max="9215" width="10" style="141" bestFit="1" customWidth="1"/>
    <col min="9216" max="9216" width="8.1640625" style="141" bestFit="1" customWidth="1"/>
    <col min="9217" max="9218" width="8.5" style="141" bestFit="1" customWidth="1"/>
    <col min="9219" max="9219" width="6" style="141" bestFit="1" customWidth="1"/>
    <col min="9220" max="9220" width="8.83203125" style="141" customWidth="1"/>
    <col min="9221" max="9221" width="8.5" style="141" bestFit="1" customWidth="1"/>
    <col min="9222" max="9222" width="7.1640625" style="141" bestFit="1" customWidth="1"/>
    <col min="9223" max="9223" width="4.5" style="141" bestFit="1" customWidth="1"/>
    <col min="9224" max="9224" width="5.5" style="141" bestFit="1" customWidth="1"/>
    <col min="9225" max="9227" width="6.1640625" style="141" bestFit="1" customWidth="1"/>
    <col min="9228" max="9228" width="7.1640625" style="141" bestFit="1" customWidth="1"/>
    <col min="9229" max="9238" width="8.83203125" style="141" customWidth="1"/>
    <col min="9239" max="9239" width="10" style="141" bestFit="1" customWidth="1"/>
    <col min="9240" max="9463" width="8.83203125" style="141" customWidth="1"/>
    <col min="9464" max="9464" width="7.83203125" style="141" customWidth="1"/>
    <col min="9465" max="9465" width="7.5" style="141" customWidth="1"/>
    <col min="9466" max="9466" width="9" style="141" customWidth="1"/>
    <col min="9467" max="9467" width="8.33203125" style="141" customWidth="1"/>
    <col min="9468" max="9470" width="8.5" style="141" bestFit="1" customWidth="1"/>
    <col min="9471" max="9471" width="10" style="141" bestFit="1" customWidth="1"/>
    <col min="9472" max="9472" width="8.1640625" style="141" bestFit="1" customWidth="1"/>
    <col min="9473" max="9474" width="8.5" style="141" bestFit="1" customWidth="1"/>
    <col min="9475" max="9475" width="6" style="141" bestFit="1" customWidth="1"/>
    <col min="9476" max="9476" width="8.83203125" style="141" customWidth="1"/>
    <col min="9477" max="9477" width="8.5" style="141" bestFit="1" customWidth="1"/>
    <col min="9478" max="9478" width="7.1640625" style="141" bestFit="1" customWidth="1"/>
    <col min="9479" max="9479" width="4.5" style="141" bestFit="1" customWidth="1"/>
    <col min="9480" max="9480" width="5.5" style="141" bestFit="1" customWidth="1"/>
    <col min="9481" max="9483" width="6.1640625" style="141" bestFit="1" customWidth="1"/>
    <col min="9484" max="9484" width="7.1640625" style="141" bestFit="1" customWidth="1"/>
    <col min="9485" max="9494" width="8.83203125" style="141" customWidth="1"/>
    <col min="9495" max="9495" width="10" style="141" bestFit="1" customWidth="1"/>
    <col min="9496" max="9719" width="8.83203125" style="141" customWidth="1"/>
    <col min="9720" max="9720" width="7.83203125" style="141" customWidth="1"/>
    <col min="9721" max="9721" width="7.5" style="141" customWidth="1"/>
    <col min="9722" max="9722" width="9" style="141" customWidth="1"/>
    <col min="9723" max="9723" width="8.33203125" style="141" customWidth="1"/>
    <col min="9724" max="9726" width="8.5" style="141" bestFit="1" customWidth="1"/>
    <col min="9727" max="9727" width="10" style="141" bestFit="1" customWidth="1"/>
    <col min="9728" max="9728" width="8.1640625" style="141" bestFit="1" customWidth="1"/>
    <col min="9729" max="9730" width="8.5" style="141" bestFit="1" customWidth="1"/>
    <col min="9731" max="9731" width="6" style="141" bestFit="1" customWidth="1"/>
    <col min="9732" max="9732" width="8.83203125" style="141" customWidth="1"/>
    <col min="9733" max="9733" width="8.5" style="141" bestFit="1" customWidth="1"/>
    <col min="9734" max="9734" width="7.1640625" style="141" bestFit="1" customWidth="1"/>
    <col min="9735" max="9735" width="4.5" style="141" bestFit="1" customWidth="1"/>
    <col min="9736" max="9736" width="5.5" style="141" bestFit="1" customWidth="1"/>
    <col min="9737" max="9739" width="6.1640625" style="141" bestFit="1" customWidth="1"/>
    <col min="9740" max="9740" width="7.1640625" style="141" bestFit="1" customWidth="1"/>
    <col min="9741" max="9750" width="8.83203125" style="141" customWidth="1"/>
    <col min="9751" max="9751" width="10" style="141" bestFit="1" customWidth="1"/>
    <col min="9752" max="9975" width="8.83203125" style="141" customWidth="1"/>
    <col min="9976" max="9976" width="7.83203125" style="141" customWidth="1"/>
    <col min="9977" max="9977" width="7.5" style="141" customWidth="1"/>
    <col min="9978" max="9978" width="9" style="141" customWidth="1"/>
    <col min="9979" max="9979" width="8.33203125" style="141" customWidth="1"/>
    <col min="9980" max="9982" width="8.5" style="141" bestFit="1" customWidth="1"/>
    <col min="9983" max="9983" width="10" style="141" bestFit="1" customWidth="1"/>
    <col min="9984" max="9984" width="8.1640625" style="141" bestFit="1" customWidth="1"/>
    <col min="9985" max="9986" width="8.5" style="141" bestFit="1" customWidth="1"/>
    <col min="9987" max="9987" width="6" style="141" bestFit="1" customWidth="1"/>
    <col min="9988" max="9988" width="8.83203125" style="141" customWidth="1"/>
    <col min="9989" max="9989" width="8.5" style="141" bestFit="1" customWidth="1"/>
    <col min="9990" max="9990" width="7.1640625" style="141" bestFit="1" customWidth="1"/>
    <col min="9991" max="9991" width="4.5" style="141" bestFit="1" customWidth="1"/>
    <col min="9992" max="9992" width="5.5" style="141" bestFit="1" customWidth="1"/>
    <col min="9993" max="9995" width="6.1640625" style="141" bestFit="1" customWidth="1"/>
    <col min="9996" max="9996" width="7.1640625" style="141" bestFit="1" customWidth="1"/>
    <col min="9997" max="10006" width="8.83203125" style="141" customWidth="1"/>
    <col min="10007" max="10007" width="10" style="141" bestFit="1" customWidth="1"/>
    <col min="10008" max="10231" width="8.83203125" style="141" customWidth="1"/>
    <col min="10232" max="10232" width="7.83203125" style="141" customWidth="1"/>
    <col min="10233" max="10233" width="7.5" style="141" customWidth="1"/>
    <col min="10234" max="10234" width="9" style="141" customWidth="1"/>
    <col min="10235" max="10235" width="8.33203125" style="141" customWidth="1"/>
    <col min="10236" max="10238" width="8.5" style="141" bestFit="1" customWidth="1"/>
    <col min="10239" max="10239" width="10" style="141" bestFit="1" customWidth="1"/>
    <col min="10240" max="10240" width="8.1640625" style="141" bestFit="1" customWidth="1"/>
    <col min="10241" max="10242" width="8.5" style="141" bestFit="1" customWidth="1"/>
    <col min="10243" max="10243" width="6" style="141" bestFit="1" customWidth="1"/>
    <col min="10244" max="10244" width="8.83203125" style="141" customWidth="1"/>
    <col min="10245" max="10245" width="8.5" style="141" bestFit="1" customWidth="1"/>
    <col min="10246" max="10246" width="7.1640625" style="141" bestFit="1" customWidth="1"/>
    <col min="10247" max="10247" width="4.5" style="141" bestFit="1" customWidth="1"/>
    <col min="10248" max="10248" width="5.5" style="141" bestFit="1" customWidth="1"/>
    <col min="10249" max="10251" width="6.1640625" style="141" bestFit="1" customWidth="1"/>
    <col min="10252" max="10252" width="7.1640625" style="141" bestFit="1" customWidth="1"/>
    <col min="10253" max="10262" width="8.83203125" style="141" customWidth="1"/>
    <col min="10263" max="10263" width="10" style="141" bestFit="1" customWidth="1"/>
    <col min="10264" max="10487" width="8.83203125" style="141" customWidth="1"/>
    <col min="10488" max="10488" width="7.83203125" style="141" customWidth="1"/>
    <col min="10489" max="10489" width="7.5" style="141" customWidth="1"/>
    <col min="10490" max="10490" width="9" style="141" customWidth="1"/>
    <col min="10491" max="10491" width="8.33203125" style="141" customWidth="1"/>
    <col min="10492" max="10494" width="8.5" style="141" bestFit="1" customWidth="1"/>
    <col min="10495" max="10495" width="10" style="141" bestFit="1" customWidth="1"/>
    <col min="10496" max="10496" width="8.1640625" style="141" bestFit="1" customWidth="1"/>
    <col min="10497" max="10498" width="8.5" style="141" bestFit="1" customWidth="1"/>
    <col min="10499" max="10499" width="6" style="141" bestFit="1" customWidth="1"/>
    <col min="10500" max="10500" width="8.83203125" style="141" customWidth="1"/>
    <col min="10501" max="10501" width="8.5" style="141" bestFit="1" customWidth="1"/>
    <col min="10502" max="10502" width="7.1640625" style="141" bestFit="1" customWidth="1"/>
    <col min="10503" max="10503" width="4.5" style="141" bestFit="1" customWidth="1"/>
    <col min="10504" max="10504" width="5.5" style="141" bestFit="1" customWidth="1"/>
    <col min="10505" max="10507" width="6.1640625" style="141" bestFit="1" customWidth="1"/>
    <col min="10508" max="10508" width="7.1640625" style="141" bestFit="1" customWidth="1"/>
    <col min="10509" max="10518" width="8.83203125" style="141" customWidth="1"/>
    <col min="10519" max="10519" width="10" style="141" bestFit="1" customWidth="1"/>
    <col min="10520" max="10743" width="8.83203125" style="141" customWidth="1"/>
    <col min="10744" max="10744" width="7.83203125" style="141" customWidth="1"/>
    <col min="10745" max="10745" width="7.5" style="141" customWidth="1"/>
    <col min="10746" max="10746" width="9" style="141" customWidth="1"/>
    <col min="10747" max="10747" width="8.33203125" style="141" customWidth="1"/>
    <col min="10748" max="10750" width="8.5" style="141" bestFit="1" customWidth="1"/>
    <col min="10751" max="10751" width="10" style="141" bestFit="1" customWidth="1"/>
    <col min="10752" max="10752" width="8.1640625" style="141" bestFit="1" customWidth="1"/>
    <col min="10753" max="10754" width="8.5" style="141" bestFit="1" customWidth="1"/>
    <col min="10755" max="10755" width="6" style="141" bestFit="1" customWidth="1"/>
    <col min="10756" max="10756" width="8.83203125" style="141" customWidth="1"/>
    <col min="10757" max="10757" width="8.5" style="141" bestFit="1" customWidth="1"/>
    <col min="10758" max="10758" width="7.1640625" style="141" bestFit="1" customWidth="1"/>
    <col min="10759" max="10759" width="4.5" style="141" bestFit="1" customWidth="1"/>
    <col min="10760" max="10760" width="5.5" style="141" bestFit="1" customWidth="1"/>
    <col min="10761" max="10763" width="6.1640625" style="141" bestFit="1" customWidth="1"/>
    <col min="10764" max="10764" width="7.1640625" style="141" bestFit="1" customWidth="1"/>
    <col min="10765" max="10774" width="8.83203125" style="141" customWidth="1"/>
    <col min="10775" max="10775" width="10" style="141" bestFit="1" customWidth="1"/>
    <col min="10776" max="10999" width="8.83203125" style="141" customWidth="1"/>
    <col min="11000" max="11000" width="7.83203125" style="141" customWidth="1"/>
    <col min="11001" max="11001" width="7.5" style="141" customWidth="1"/>
    <col min="11002" max="11002" width="9" style="141" customWidth="1"/>
    <col min="11003" max="11003" width="8.33203125" style="141" customWidth="1"/>
    <col min="11004" max="11006" width="8.5" style="141" bestFit="1" customWidth="1"/>
    <col min="11007" max="11007" width="10" style="141" bestFit="1" customWidth="1"/>
    <col min="11008" max="11008" width="8.1640625" style="141" bestFit="1" customWidth="1"/>
    <col min="11009" max="11010" width="8.5" style="141" bestFit="1" customWidth="1"/>
    <col min="11011" max="11011" width="6" style="141" bestFit="1" customWidth="1"/>
    <col min="11012" max="11012" width="8.83203125" style="141" customWidth="1"/>
    <col min="11013" max="11013" width="8.5" style="141" bestFit="1" customWidth="1"/>
    <col min="11014" max="11014" width="7.1640625" style="141" bestFit="1" customWidth="1"/>
    <col min="11015" max="11015" width="4.5" style="141" bestFit="1" customWidth="1"/>
    <col min="11016" max="11016" width="5.5" style="141" bestFit="1" customWidth="1"/>
    <col min="11017" max="11019" width="6.1640625" style="141" bestFit="1" customWidth="1"/>
    <col min="11020" max="11020" width="7.1640625" style="141" bestFit="1" customWidth="1"/>
    <col min="11021" max="11030" width="8.83203125" style="141" customWidth="1"/>
    <col min="11031" max="11031" width="10" style="141" bestFit="1" customWidth="1"/>
    <col min="11032" max="11255" width="8.83203125" style="141" customWidth="1"/>
    <col min="11256" max="11256" width="7.83203125" style="141" customWidth="1"/>
    <col min="11257" max="11257" width="7.5" style="141" customWidth="1"/>
    <col min="11258" max="11258" width="9" style="141" customWidth="1"/>
    <col min="11259" max="11259" width="8.33203125" style="141" customWidth="1"/>
    <col min="11260" max="11262" width="8.5" style="141" bestFit="1" customWidth="1"/>
    <col min="11263" max="11263" width="10" style="141" bestFit="1" customWidth="1"/>
    <col min="11264" max="11264" width="8.1640625" style="141" bestFit="1" customWidth="1"/>
    <col min="11265" max="11266" width="8.5" style="141" bestFit="1" customWidth="1"/>
    <col min="11267" max="11267" width="6" style="141" bestFit="1" customWidth="1"/>
    <col min="11268" max="11268" width="8.83203125" style="141" customWidth="1"/>
    <col min="11269" max="11269" width="8.5" style="141" bestFit="1" customWidth="1"/>
    <col min="11270" max="11270" width="7.1640625" style="141" bestFit="1" customWidth="1"/>
    <col min="11271" max="11271" width="4.5" style="141" bestFit="1" customWidth="1"/>
    <col min="11272" max="11272" width="5.5" style="141" bestFit="1" customWidth="1"/>
    <col min="11273" max="11275" width="6.1640625" style="141" bestFit="1" customWidth="1"/>
    <col min="11276" max="11276" width="7.1640625" style="141" bestFit="1" customWidth="1"/>
    <col min="11277" max="11286" width="8.83203125" style="141" customWidth="1"/>
    <col min="11287" max="11287" width="10" style="141" bestFit="1" customWidth="1"/>
    <col min="11288" max="11511" width="8.83203125" style="141" customWidth="1"/>
    <col min="11512" max="11512" width="7.83203125" style="141" customWidth="1"/>
    <col min="11513" max="11513" width="7.5" style="141" customWidth="1"/>
    <col min="11514" max="11514" width="9" style="141" customWidth="1"/>
    <col min="11515" max="11515" width="8.33203125" style="141" customWidth="1"/>
    <col min="11516" max="11518" width="8.5" style="141" bestFit="1" customWidth="1"/>
    <col min="11519" max="11519" width="10" style="141" bestFit="1" customWidth="1"/>
    <col min="11520" max="11520" width="8.1640625" style="141" bestFit="1" customWidth="1"/>
    <col min="11521" max="11522" width="8.5" style="141" bestFit="1" customWidth="1"/>
    <col min="11523" max="11523" width="6" style="141" bestFit="1" customWidth="1"/>
    <col min="11524" max="11524" width="8.83203125" style="141" customWidth="1"/>
    <col min="11525" max="11525" width="8.5" style="141" bestFit="1" customWidth="1"/>
    <col min="11526" max="11526" width="7.1640625" style="141" bestFit="1" customWidth="1"/>
    <col min="11527" max="11527" width="4.5" style="141" bestFit="1" customWidth="1"/>
    <col min="11528" max="11528" width="5.5" style="141" bestFit="1" customWidth="1"/>
    <col min="11529" max="11531" width="6.1640625" style="141" bestFit="1" customWidth="1"/>
    <col min="11532" max="11532" width="7.1640625" style="141" bestFit="1" customWidth="1"/>
    <col min="11533" max="11542" width="8.83203125" style="141" customWidth="1"/>
    <col min="11543" max="11543" width="10" style="141" bestFit="1" customWidth="1"/>
    <col min="11544" max="11767" width="8.83203125" style="141" customWidth="1"/>
    <col min="11768" max="11768" width="7.83203125" style="141" customWidth="1"/>
    <col min="11769" max="11769" width="7.5" style="141" customWidth="1"/>
    <col min="11770" max="11770" width="9" style="141" customWidth="1"/>
    <col min="11771" max="11771" width="8.33203125" style="141" customWidth="1"/>
    <col min="11772" max="11774" width="8.5" style="141" bestFit="1" customWidth="1"/>
    <col min="11775" max="11775" width="10" style="141" bestFit="1" customWidth="1"/>
    <col min="11776" max="11776" width="8.1640625" style="141" bestFit="1" customWidth="1"/>
    <col min="11777" max="11778" width="8.5" style="141" bestFit="1" customWidth="1"/>
    <col min="11779" max="11779" width="6" style="141" bestFit="1" customWidth="1"/>
    <col min="11780" max="11780" width="8.83203125" style="141" customWidth="1"/>
    <col min="11781" max="11781" width="8.5" style="141" bestFit="1" customWidth="1"/>
    <col min="11782" max="11782" width="7.1640625" style="141" bestFit="1" customWidth="1"/>
    <col min="11783" max="11783" width="4.5" style="141" bestFit="1" customWidth="1"/>
    <col min="11784" max="11784" width="5.5" style="141" bestFit="1" customWidth="1"/>
    <col min="11785" max="11787" width="6.1640625" style="141" bestFit="1" customWidth="1"/>
    <col min="11788" max="11788" width="7.1640625" style="141" bestFit="1" customWidth="1"/>
    <col min="11789" max="11798" width="8.83203125" style="141" customWidth="1"/>
    <col min="11799" max="11799" width="10" style="141" bestFit="1" customWidth="1"/>
    <col min="11800" max="12023" width="8.83203125" style="141" customWidth="1"/>
    <col min="12024" max="12024" width="7.83203125" style="141" customWidth="1"/>
    <col min="12025" max="12025" width="7.5" style="141" customWidth="1"/>
    <col min="12026" max="12026" width="9" style="141" customWidth="1"/>
    <col min="12027" max="12027" width="8.33203125" style="141" customWidth="1"/>
    <col min="12028" max="12030" width="8.5" style="141" bestFit="1" customWidth="1"/>
    <col min="12031" max="12031" width="10" style="141" bestFit="1" customWidth="1"/>
    <col min="12032" max="12032" width="8.1640625" style="141" bestFit="1" customWidth="1"/>
    <col min="12033" max="12034" width="8.5" style="141" bestFit="1" customWidth="1"/>
    <col min="12035" max="12035" width="6" style="141" bestFit="1" customWidth="1"/>
    <col min="12036" max="12036" width="8.83203125" style="141" customWidth="1"/>
    <col min="12037" max="12037" width="8.5" style="141" bestFit="1" customWidth="1"/>
    <col min="12038" max="12038" width="7.1640625" style="141" bestFit="1" customWidth="1"/>
    <col min="12039" max="12039" width="4.5" style="141" bestFit="1" customWidth="1"/>
    <col min="12040" max="12040" width="5.5" style="141" bestFit="1" customWidth="1"/>
    <col min="12041" max="12043" width="6.1640625" style="141" bestFit="1" customWidth="1"/>
    <col min="12044" max="12044" width="7.1640625" style="141" bestFit="1" customWidth="1"/>
    <col min="12045" max="12054" width="8.83203125" style="141" customWidth="1"/>
    <col min="12055" max="12055" width="10" style="141" bestFit="1" customWidth="1"/>
    <col min="12056" max="12279" width="8.83203125" style="141" customWidth="1"/>
    <col min="12280" max="12280" width="7.83203125" style="141" customWidth="1"/>
    <col min="12281" max="12281" width="7.5" style="141" customWidth="1"/>
    <col min="12282" max="12282" width="9" style="141" customWidth="1"/>
    <col min="12283" max="12283" width="8.33203125" style="141" customWidth="1"/>
    <col min="12284" max="12286" width="8.5" style="141" bestFit="1" customWidth="1"/>
    <col min="12287" max="12287" width="10" style="141" bestFit="1" customWidth="1"/>
    <col min="12288" max="12288" width="8.1640625" style="141" bestFit="1" customWidth="1"/>
    <col min="12289" max="12290" width="8.5" style="141" bestFit="1" customWidth="1"/>
    <col min="12291" max="12291" width="6" style="141" bestFit="1" customWidth="1"/>
    <col min="12292" max="12292" width="8.83203125" style="141" customWidth="1"/>
    <col min="12293" max="12293" width="8.5" style="141" bestFit="1" customWidth="1"/>
    <col min="12294" max="12294" width="7.1640625" style="141" bestFit="1" customWidth="1"/>
    <col min="12295" max="12295" width="4.5" style="141" bestFit="1" customWidth="1"/>
    <col min="12296" max="12296" width="5.5" style="141" bestFit="1" customWidth="1"/>
    <col min="12297" max="12299" width="6.1640625" style="141" bestFit="1" customWidth="1"/>
    <col min="12300" max="12300" width="7.1640625" style="141" bestFit="1" customWidth="1"/>
    <col min="12301" max="12310" width="8.83203125" style="141" customWidth="1"/>
    <col min="12311" max="12311" width="10" style="141" bestFit="1" customWidth="1"/>
    <col min="12312" max="12535" width="8.83203125" style="141" customWidth="1"/>
    <col min="12536" max="12536" width="7.83203125" style="141" customWidth="1"/>
    <col min="12537" max="12537" width="7.5" style="141" customWidth="1"/>
    <col min="12538" max="12538" width="9" style="141" customWidth="1"/>
    <col min="12539" max="12539" width="8.33203125" style="141" customWidth="1"/>
    <col min="12540" max="12542" width="8.5" style="141" bestFit="1" customWidth="1"/>
    <col min="12543" max="12543" width="10" style="141" bestFit="1" customWidth="1"/>
    <col min="12544" max="12544" width="8.1640625" style="141" bestFit="1" customWidth="1"/>
    <col min="12545" max="12546" width="8.5" style="141" bestFit="1" customWidth="1"/>
    <col min="12547" max="12547" width="6" style="141" bestFit="1" customWidth="1"/>
    <col min="12548" max="12548" width="8.83203125" style="141" customWidth="1"/>
    <col min="12549" max="12549" width="8.5" style="141" bestFit="1" customWidth="1"/>
    <col min="12550" max="12550" width="7.1640625" style="141" bestFit="1" customWidth="1"/>
    <col min="12551" max="12551" width="4.5" style="141" bestFit="1" customWidth="1"/>
    <col min="12552" max="12552" width="5.5" style="141" bestFit="1" customWidth="1"/>
    <col min="12553" max="12555" width="6.1640625" style="141" bestFit="1" customWidth="1"/>
    <col min="12556" max="12556" width="7.1640625" style="141" bestFit="1" customWidth="1"/>
    <col min="12557" max="12566" width="8.83203125" style="141" customWidth="1"/>
    <col min="12567" max="12567" width="10" style="141" bestFit="1" customWidth="1"/>
    <col min="12568" max="12791" width="8.83203125" style="141" customWidth="1"/>
    <col min="12792" max="12792" width="7.83203125" style="141" customWidth="1"/>
    <col min="12793" max="12793" width="7.5" style="141" customWidth="1"/>
    <col min="12794" max="12794" width="9" style="141" customWidth="1"/>
    <col min="12795" max="12795" width="8.33203125" style="141" customWidth="1"/>
    <col min="12796" max="12798" width="8.5" style="141" bestFit="1" customWidth="1"/>
    <col min="12799" max="12799" width="10" style="141" bestFit="1" customWidth="1"/>
    <col min="12800" max="12800" width="8.1640625" style="141" bestFit="1" customWidth="1"/>
    <col min="12801" max="12802" width="8.5" style="141" bestFit="1" customWidth="1"/>
    <col min="12803" max="12803" width="6" style="141" bestFit="1" customWidth="1"/>
    <col min="12804" max="12804" width="8.83203125" style="141" customWidth="1"/>
    <col min="12805" max="12805" width="8.5" style="141" bestFit="1" customWidth="1"/>
    <col min="12806" max="12806" width="7.1640625" style="141" bestFit="1" customWidth="1"/>
    <col min="12807" max="12807" width="4.5" style="141" bestFit="1" customWidth="1"/>
    <col min="12808" max="12808" width="5.5" style="141" bestFit="1" customWidth="1"/>
    <col min="12809" max="12811" width="6.1640625" style="141" bestFit="1" customWidth="1"/>
    <col min="12812" max="12812" width="7.1640625" style="141" bestFit="1" customWidth="1"/>
    <col min="12813" max="12822" width="8.83203125" style="141" customWidth="1"/>
    <col min="12823" max="12823" width="10" style="141" bestFit="1" customWidth="1"/>
    <col min="12824" max="13047" width="8.83203125" style="141" customWidth="1"/>
    <col min="13048" max="13048" width="7.83203125" style="141" customWidth="1"/>
    <col min="13049" max="13049" width="7.5" style="141" customWidth="1"/>
    <col min="13050" max="13050" width="9" style="141" customWidth="1"/>
    <col min="13051" max="13051" width="8.33203125" style="141" customWidth="1"/>
    <col min="13052" max="13054" width="8.5" style="141" bestFit="1" customWidth="1"/>
    <col min="13055" max="13055" width="10" style="141" bestFit="1" customWidth="1"/>
    <col min="13056" max="13056" width="8.1640625" style="141" bestFit="1" customWidth="1"/>
    <col min="13057" max="13058" width="8.5" style="141" bestFit="1" customWidth="1"/>
    <col min="13059" max="13059" width="6" style="141" bestFit="1" customWidth="1"/>
    <col min="13060" max="13060" width="8.83203125" style="141" customWidth="1"/>
    <col min="13061" max="13061" width="8.5" style="141" bestFit="1" customWidth="1"/>
    <col min="13062" max="13062" width="7.1640625" style="141" bestFit="1" customWidth="1"/>
    <col min="13063" max="13063" width="4.5" style="141" bestFit="1" customWidth="1"/>
    <col min="13064" max="13064" width="5.5" style="141" bestFit="1" customWidth="1"/>
    <col min="13065" max="13067" width="6.1640625" style="141" bestFit="1" customWidth="1"/>
    <col min="13068" max="13068" width="7.1640625" style="141" bestFit="1" customWidth="1"/>
    <col min="13069" max="13078" width="8.83203125" style="141" customWidth="1"/>
    <col min="13079" max="13079" width="10" style="141" bestFit="1" customWidth="1"/>
    <col min="13080" max="13303" width="8.83203125" style="141" customWidth="1"/>
    <col min="13304" max="13304" width="7.83203125" style="141" customWidth="1"/>
    <col min="13305" max="13305" width="7.5" style="141" customWidth="1"/>
    <col min="13306" max="13306" width="9" style="141" customWidth="1"/>
    <col min="13307" max="13307" width="8.33203125" style="141" customWidth="1"/>
    <col min="13308" max="13310" width="8.5" style="141" bestFit="1" customWidth="1"/>
    <col min="13311" max="13311" width="10" style="141" bestFit="1" customWidth="1"/>
    <col min="13312" max="13312" width="8.1640625" style="141" bestFit="1" customWidth="1"/>
    <col min="13313" max="13314" width="8.5" style="141" bestFit="1" customWidth="1"/>
    <col min="13315" max="13315" width="6" style="141" bestFit="1" customWidth="1"/>
    <col min="13316" max="13316" width="8.83203125" style="141" customWidth="1"/>
    <col min="13317" max="13317" width="8.5" style="141" bestFit="1" customWidth="1"/>
    <col min="13318" max="13318" width="7.1640625" style="141" bestFit="1" customWidth="1"/>
    <col min="13319" max="13319" width="4.5" style="141" bestFit="1" customWidth="1"/>
    <col min="13320" max="13320" width="5.5" style="141" bestFit="1" customWidth="1"/>
    <col min="13321" max="13323" width="6.1640625" style="141" bestFit="1" customWidth="1"/>
    <col min="13324" max="13324" width="7.1640625" style="141" bestFit="1" customWidth="1"/>
    <col min="13325" max="13334" width="8.83203125" style="141" customWidth="1"/>
    <col min="13335" max="13335" width="10" style="141" bestFit="1" customWidth="1"/>
    <col min="13336" max="13559" width="8.83203125" style="141" customWidth="1"/>
    <col min="13560" max="13560" width="7.83203125" style="141" customWidth="1"/>
    <col min="13561" max="13561" width="7.5" style="141" customWidth="1"/>
    <col min="13562" max="13562" width="9" style="141" customWidth="1"/>
    <col min="13563" max="13563" width="8.33203125" style="141" customWidth="1"/>
    <col min="13564" max="13566" width="8.5" style="141" bestFit="1" customWidth="1"/>
    <col min="13567" max="13567" width="10" style="141" bestFit="1" customWidth="1"/>
    <col min="13568" max="13568" width="8.1640625" style="141" bestFit="1" customWidth="1"/>
    <col min="13569" max="13570" width="8.5" style="141" bestFit="1" customWidth="1"/>
    <col min="13571" max="13571" width="6" style="141" bestFit="1" customWidth="1"/>
    <col min="13572" max="13572" width="8.83203125" style="141" customWidth="1"/>
    <col min="13573" max="13573" width="8.5" style="141" bestFit="1" customWidth="1"/>
    <col min="13574" max="13574" width="7.1640625" style="141" bestFit="1" customWidth="1"/>
    <col min="13575" max="13575" width="4.5" style="141" bestFit="1" customWidth="1"/>
    <col min="13576" max="13576" width="5.5" style="141" bestFit="1" customWidth="1"/>
    <col min="13577" max="13579" width="6.1640625" style="141" bestFit="1" customWidth="1"/>
    <col min="13580" max="13580" width="7.1640625" style="141" bestFit="1" customWidth="1"/>
    <col min="13581" max="13590" width="8.83203125" style="141" customWidth="1"/>
    <col min="13591" max="13591" width="10" style="141" bestFit="1" customWidth="1"/>
    <col min="13592" max="13815" width="8.83203125" style="141" customWidth="1"/>
    <col min="13816" max="13816" width="7.83203125" style="141" customWidth="1"/>
    <col min="13817" max="13817" width="7.5" style="141" customWidth="1"/>
    <col min="13818" max="13818" width="9" style="141" customWidth="1"/>
    <col min="13819" max="13819" width="8.33203125" style="141" customWidth="1"/>
    <col min="13820" max="13822" width="8.5" style="141" bestFit="1" customWidth="1"/>
    <col min="13823" max="13823" width="10" style="141" bestFit="1" customWidth="1"/>
    <col min="13824" max="13824" width="8.1640625" style="141" bestFit="1" customWidth="1"/>
    <col min="13825" max="13826" width="8.5" style="141" bestFit="1" customWidth="1"/>
    <col min="13827" max="13827" width="6" style="141" bestFit="1" customWidth="1"/>
    <col min="13828" max="13828" width="8.83203125" style="141" customWidth="1"/>
    <col min="13829" max="13829" width="8.5" style="141" bestFit="1" customWidth="1"/>
    <col min="13830" max="13830" width="7.1640625" style="141" bestFit="1" customWidth="1"/>
    <col min="13831" max="13831" width="4.5" style="141" bestFit="1" customWidth="1"/>
    <col min="13832" max="13832" width="5.5" style="141" bestFit="1" customWidth="1"/>
    <col min="13833" max="13835" width="6.1640625" style="141" bestFit="1" customWidth="1"/>
    <col min="13836" max="13836" width="7.1640625" style="141" bestFit="1" customWidth="1"/>
    <col min="13837" max="13846" width="8.83203125" style="141" customWidth="1"/>
    <col min="13847" max="13847" width="10" style="141" bestFit="1" customWidth="1"/>
    <col min="13848" max="14071" width="8.83203125" style="141" customWidth="1"/>
    <col min="14072" max="14072" width="7.83203125" style="141" customWidth="1"/>
    <col min="14073" max="14073" width="7.5" style="141" customWidth="1"/>
    <col min="14074" max="14074" width="9" style="141" customWidth="1"/>
    <col min="14075" max="14075" width="8.33203125" style="141" customWidth="1"/>
    <col min="14076" max="14078" width="8.5" style="141" bestFit="1" customWidth="1"/>
    <col min="14079" max="14079" width="10" style="141" bestFit="1" customWidth="1"/>
    <col min="14080" max="14080" width="8.1640625" style="141" bestFit="1" customWidth="1"/>
    <col min="14081" max="14082" width="8.5" style="141" bestFit="1" customWidth="1"/>
    <col min="14083" max="14083" width="6" style="141" bestFit="1" customWidth="1"/>
    <col min="14084" max="14084" width="8.83203125" style="141" customWidth="1"/>
    <col min="14085" max="14085" width="8.5" style="141" bestFit="1" customWidth="1"/>
    <col min="14086" max="14086" width="7.1640625" style="141" bestFit="1" customWidth="1"/>
    <col min="14087" max="14087" width="4.5" style="141" bestFit="1" customWidth="1"/>
    <col min="14088" max="14088" width="5.5" style="141" bestFit="1" customWidth="1"/>
    <col min="14089" max="14091" width="6.1640625" style="141" bestFit="1" customWidth="1"/>
    <col min="14092" max="14092" width="7.1640625" style="141" bestFit="1" customWidth="1"/>
    <col min="14093" max="14102" width="8.83203125" style="141" customWidth="1"/>
    <col min="14103" max="14103" width="10" style="141" bestFit="1" customWidth="1"/>
    <col min="14104" max="14327" width="8.83203125" style="141" customWidth="1"/>
    <col min="14328" max="14328" width="7.83203125" style="141" customWidth="1"/>
    <col min="14329" max="14329" width="7.5" style="141" customWidth="1"/>
    <col min="14330" max="14330" width="9" style="141" customWidth="1"/>
    <col min="14331" max="14331" width="8.33203125" style="141" customWidth="1"/>
    <col min="14332" max="14334" width="8.5" style="141" bestFit="1" customWidth="1"/>
    <col min="14335" max="14335" width="10" style="141" bestFit="1" customWidth="1"/>
    <col min="14336" max="14336" width="8.1640625" style="141" bestFit="1" customWidth="1"/>
    <col min="14337" max="14338" width="8.5" style="141" bestFit="1" customWidth="1"/>
    <col min="14339" max="14339" width="6" style="141" bestFit="1" customWidth="1"/>
    <col min="14340" max="14340" width="8.83203125" style="141" customWidth="1"/>
    <col min="14341" max="14341" width="8.5" style="141" bestFit="1" customWidth="1"/>
    <col min="14342" max="14342" width="7.1640625" style="141" bestFit="1" customWidth="1"/>
    <col min="14343" max="14343" width="4.5" style="141" bestFit="1" customWidth="1"/>
    <col min="14344" max="14344" width="5.5" style="141" bestFit="1" customWidth="1"/>
    <col min="14345" max="14347" width="6.1640625" style="141" bestFit="1" customWidth="1"/>
    <col min="14348" max="14348" width="7.1640625" style="141" bestFit="1" customWidth="1"/>
    <col min="14349" max="14358" width="8.83203125" style="141" customWidth="1"/>
    <col min="14359" max="14359" width="10" style="141" bestFit="1" customWidth="1"/>
    <col min="14360" max="14583" width="8.83203125" style="141" customWidth="1"/>
    <col min="14584" max="14584" width="7.83203125" style="141" customWidth="1"/>
    <col min="14585" max="14585" width="7.5" style="141" customWidth="1"/>
    <col min="14586" max="14586" width="9" style="141" customWidth="1"/>
    <col min="14587" max="14587" width="8.33203125" style="141" customWidth="1"/>
    <col min="14588" max="14590" width="8.5" style="141" bestFit="1" customWidth="1"/>
    <col min="14591" max="14591" width="10" style="141" bestFit="1" customWidth="1"/>
    <col min="14592" max="14592" width="8.1640625" style="141" bestFit="1" customWidth="1"/>
    <col min="14593" max="14594" width="8.5" style="141" bestFit="1" customWidth="1"/>
    <col min="14595" max="14595" width="6" style="141" bestFit="1" customWidth="1"/>
    <col min="14596" max="14596" width="8.83203125" style="141" customWidth="1"/>
    <col min="14597" max="14597" width="8.5" style="141" bestFit="1" customWidth="1"/>
    <col min="14598" max="14598" width="7.1640625" style="141" bestFit="1" customWidth="1"/>
    <col min="14599" max="14599" width="4.5" style="141" bestFit="1" customWidth="1"/>
    <col min="14600" max="14600" width="5.5" style="141" bestFit="1" customWidth="1"/>
    <col min="14601" max="14603" width="6.1640625" style="141" bestFit="1" customWidth="1"/>
    <col min="14604" max="14604" width="7.1640625" style="141" bestFit="1" customWidth="1"/>
    <col min="14605" max="14614" width="8.83203125" style="141" customWidth="1"/>
    <col min="14615" max="14615" width="10" style="141" bestFit="1" customWidth="1"/>
    <col min="14616" max="14839" width="8.83203125" style="141" customWidth="1"/>
    <col min="14840" max="14840" width="7.83203125" style="141" customWidth="1"/>
    <col min="14841" max="14841" width="7.5" style="141" customWidth="1"/>
    <col min="14842" max="14842" width="9" style="141" customWidth="1"/>
    <col min="14843" max="14843" width="8.33203125" style="141" customWidth="1"/>
    <col min="14844" max="14846" width="8.5" style="141" bestFit="1" customWidth="1"/>
    <col min="14847" max="14847" width="10" style="141" bestFit="1" customWidth="1"/>
    <col min="14848" max="14848" width="8.1640625" style="141" bestFit="1" customWidth="1"/>
    <col min="14849" max="14850" width="8.5" style="141" bestFit="1" customWidth="1"/>
    <col min="14851" max="14851" width="6" style="141" bestFit="1" customWidth="1"/>
    <col min="14852" max="14852" width="8.83203125" style="141" customWidth="1"/>
    <col min="14853" max="14853" width="8.5" style="141" bestFit="1" customWidth="1"/>
    <col min="14854" max="14854" width="7.1640625" style="141" bestFit="1" customWidth="1"/>
    <col min="14855" max="14855" width="4.5" style="141" bestFit="1" customWidth="1"/>
    <col min="14856" max="14856" width="5.5" style="141" bestFit="1" customWidth="1"/>
    <col min="14857" max="14859" width="6.1640625" style="141" bestFit="1" customWidth="1"/>
    <col min="14860" max="14860" width="7.1640625" style="141" bestFit="1" customWidth="1"/>
    <col min="14861" max="14870" width="8.83203125" style="141" customWidth="1"/>
    <col min="14871" max="14871" width="10" style="141" bestFit="1" customWidth="1"/>
    <col min="14872" max="15095" width="8.83203125" style="141" customWidth="1"/>
    <col min="15096" max="15096" width="7.83203125" style="141" customWidth="1"/>
    <col min="15097" max="15097" width="7.5" style="141" customWidth="1"/>
    <col min="15098" max="15098" width="9" style="141" customWidth="1"/>
    <col min="15099" max="15099" width="8.33203125" style="141" customWidth="1"/>
    <col min="15100" max="15102" width="8.5" style="141" bestFit="1" customWidth="1"/>
    <col min="15103" max="15103" width="10" style="141" bestFit="1" customWidth="1"/>
    <col min="15104" max="15104" width="8.1640625" style="141" bestFit="1" customWidth="1"/>
    <col min="15105" max="15106" width="8.5" style="141" bestFit="1" customWidth="1"/>
    <col min="15107" max="15107" width="6" style="141" bestFit="1" customWidth="1"/>
    <col min="15108" max="15108" width="8.83203125" style="141" customWidth="1"/>
    <col min="15109" max="15109" width="8.5" style="141" bestFit="1" customWidth="1"/>
    <col min="15110" max="15110" width="7.1640625" style="141" bestFit="1" customWidth="1"/>
    <col min="15111" max="15111" width="4.5" style="141" bestFit="1" customWidth="1"/>
    <col min="15112" max="15112" width="5.5" style="141" bestFit="1" customWidth="1"/>
    <col min="15113" max="15115" width="6.1640625" style="141" bestFit="1" customWidth="1"/>
    <col min="15116" max="15116" width="7.1640625" style="141" bestFit="1" customWidth="1"/>
    <col min="15117" max="15126" width="8.83203125" style="141" customWidth="1"/>
    <col min="15127" max="15127" width="10" style="141" bestFit="1" customWidth="1"/>
    <col min="15128" max="15351" width="8.83203125" style="141" customWidth="1"/>
    <col min="15352" max="15352" width="7.83203125" style="141" customWidth="1"/>
    <col min="15353" max="15353" width="7.5" style="141" customWidth="1"/>
    <col min="15354" max="15354" width="9" style="141" customWidth="1"/>
    <col min="15355" max="15355" width="8.33203125" style="141" customWidth="1"/>
    <col min="15356" max="15358" width="8.5" style="141" bestFit="1" customWidth="1"/>
    <col min="15359" max="15359" width="10" style="141" bestFit="1" customWidth="1"/>
    <col min="15360" max="15360" width="8.1640625" style="141" bestFit="1" customWidth="1"/>
    <col min="15361" max="15362" width="8.5" style="141" bestFit="1" customWidth="1"/>
    <col min="15363" max="15363" width="6" style="141" bestFit="1" customWidth="1"/>
    <col min="15364" max="15364" width="8.83203125" style="141" customWidth="1"/>
    <col min="15365" max="15365" width="8.5" style="141" bestFit="1" customWidth="1"/>
    <col min="15366" max="15366" width="7.1640625" style="141" bestFit="1" customWidth="1"/>
    <col min="15367" max="15367" width="4.5" style="141" bestFit="1" customWidth="1"/>
    <col min="15368" max="15368" width="5.5" style="141" bestFit="1" customWidth="1"/>
    <col min="15369" max="15371" width="6.1640625" style="141" bestFit="1" customWidth="1"/>
    <col min="15372" max="15372" width="7.1640625" style="141" bestFit="1" customWidth="1"/>
    <col min="15373" max="15382" width="8.83203125" style="141" customWidth="1"/>
    <col min="15383" max="15383" width="10" style="141" bestFit="1" customWidth="1"/>
    <col min="15384" max="15607" width="8.83203125" style="141" customWidth="1"/>
    <col min="15608" max="15608" width="7.83203125" style="141" customWidth="1"/>
    <col min="15609" max="15609" width="7.5" style="141" customWidth="1"/>
    <col min="15610" max="15610" width="9" style="141" customWidth="1"/>
    <col min="15611" max="15611" width="8.33203125" style="141" customWidth="1"/>
    <col min="15612" max="15614" width="8.5" style="141" bestFit="1" customWidth="1"/>
    <col min="15615" max="15615" width="10" style="141" bestFit="1" customWidth="1"/>
    <col min="15616" max="15616" width="8.1640625" style="141" bestFit="1" customWidth="1"/>
    <col min="15617" max="15618" width="8.5" style="141" bestFit="1" customWidth="1"/>
    <col min="15619" max="15619" width="6" style="141" bestFit="1" customWidth="1"/>
    <col min="15620" max="15620" width="8.83203125" style="141" customWidth="1"/>
    <col min="15621" max="15621" width="8.5" style="141" bestFit="1" customWidth="1"/>
    <col min="15622" max="15622" width="7.1640625" style="141" bestFit="1" customWidth="1"/>
    <col min="15623" max="15623" width="4.5" style="141" bestFit="1" customWidth="1"/>
    <col min="15624" max="15624" width="5.5" style="141" bestFit="1" customWidth="1"/>
    <col min="15625" max="15627" width="6.1640625" style="141" bestFit="1" customWidth="1"/>
    <col min="15628" max="15628" width="7.1640625" style="141" bestFit="1" customWidth="1"/>
    <col min="15629" max="15638" width="8.83203125" style="141" customWidth="1"/>
    <col min="15639" max="15639" width="10" style="141" bestFit="1" customWidth="1"/>
    <col min="15640" max="15863" width="8.83203125" style="141" customWidth="1"/>
    <col min="15864" max="15864" width="7.83203125" style="141" customWidth="1"/>
    <col min="15865" max="15865" width="7.5" style="141" customWidth="1"/>
    <col min="15866" max="15866" width="9" style="141" customWidth="1"/>
    <col min="15867" max="15867" width="8.33203125" style="141" customWidth="1"/>
    <col min="15868" max="15870" width="8.5" style="141" bestFit="1" customWidth="1"/>
    <col min="15871" max="15871" width="10" style="141" bestFit="1" customWidth="1"/>
    <col min="15872" max="15872" width="8.1640625" style="141" bestFit="1" customWidth="1"/>
    <col min="15873" max="15874" width="8.5" style="141" bestFit="1" customWidth="1"/>
    <col min="15875" max="15875" width="6" style="141" bestFit="1" customWidth="1"/>
    <col min="15876" max="15876" width="8.83203125" style="141" customWidth="1"/>
    <col min="15877" max="15877" width="8.5" style="141" bestFit="1" customWidth="1"/>
    <col min="15878" max="15878" width="7.1640625" style="141" bestFit="1" customWidth="1"/>
    <col min="15879" max="15879" width="4.5" style="141" bestFit="1" customWidth="1"/>
    <col min="15880" max="15880" width="5.5" style="141" bestFit="1" customWidth="1"/>
    <col min="15881" max="15883" width="6.1640625" style="141" bestFit="1" customWidth="1"/>
    <col min="15884" max="15884" width="7.1640625" style="141" bestFit="1" customWidth="1"/>
    <col min="15885" max="15894" width="8.83203125" style="141" customWidth="1"/>
    <col min="15895" max="15895" width="10" style="141" bestFit="1" customWidth="1"/>
    <col min="15896" max="16119" width="8.83203125" style="141" customWidth="1"/>
    <col min="16120" max="16120" width="7.83203125" style="141" customWidth="1"/>
    <col min="16121" max="16121" width="7.5" style="141" customWidth="1"/>
    <col min="16122" max="16122" width="9" style="141" customWidth="1"/>
    <col min="16123" max="16123" width="8.33203125" style="141" customWidth="1"/>
    <col min="16124" max="16126" width="8.5" style="141" bestFit="1" customWidth="1"/>
    <col min="16127" max="16127" width="10" style="141" bestFit="1" customWidth="1"/>
    <col min="16128" max="16128" width="8.1640625" style="141" bestFit="1" customWidth="1"/>
    <col min="16129" max="16130" width="8.5" style="141" bestFit="1" customWidth="1"/>
    <col min="16131" max="16131" width="6" style="141" bestFit="1" customWidth="1"/>
    <col min="16132" max="16132" width="8.83203125" style="141" customWidth="1"/>
    <col min="16133" max="16133" width="8.5" style="141" bestFit="1" customWidth="1"/>
    <col min="16134" max="16134" width="7.1640625" style="141" bestFit="1" customWidth="1"/>
    <col min="16135" max="16135" width="4.5" style="141" bestFit="1" customWidth="1"/>
    <col min="16136" max="16136" width="5.5" style="141" bestFit="1" customWidth="1"/>
    <col min="16137" max="16139" width="6.1640625" style="141" bestFit="1" customWidth="1"/>
    <col min="16140" max="16140" width="7.1640625" style="141" bestFit="1" customWidth="1"/>
    <col min="16141" max="16150" width="8.83203125" style="141" customWidth="1"/>
    <col min="16151" max="16151" width="10" style="141" bestFit="1" customWidth="1"/>
    <col min="16152" max="16384" width="8.83203125" style="141" customWidth="1"/>
  </cols>
  <sheetData>
    <row r="1" spans="2:10" s="101" customFormat="1" ht="14" customHeight="1"/>
    <row r="2" spans="2:10" s="101" customFormat="1" ht="14" customHeight="1">
      <c r="B2" s="102" t="s">
        <v>208</v>
      </c>
      <c r="C2" s="103">
        <f>PI()/180</f>
        <v>1.7453292519943295E-2</v>
      </c>
      <c r="F2" s="104" t="s">
        <v>209</v>
      </c>
      <c r="G2" s="105">
        <f>Illumination!C21</f>
        <v>117.24008279478824</v>
      </c>
      <c r="H2" s="106"/>
      <c r="I2" s="107"/>
      <c r="J2" s="108"/>
    </row>
    <row r="3" spans="2:10" s="101" customFormat="1" ht="14" customHeight="1">
      <c r="B3" s="109" t="s">
        <v>210</v>
      </c>
      <c r="C3" s="110">
        <f>(Visibility!C10-2451545)/36525</f>
        <v>0.24617841660962386</v>
      </c>
      <c r="F3" s="111" t="s">
        <v>211</v>
      </c>
      <c r="G3" s="112">
        <v>200</v>
      </c>
      <c r="H3" s="112"/>
      <c r="I3" s="112" t="s">
        <v>212</v>
      </c>
      <c r="J3" s="113">
        <f>MOD(360-Illumination!G2+180,360)</f>
        <v>62.759917205211764</v>
      </c>
    </row>
    <row r="4" spans="2:10" s="101" customFormat="1" ht="14" customHeight="1">
      <c r="B4" s="109" t="s">
        <v>213</v>
      </c>
      <c r="C4" s="110">
        <f>MOD(297.8502042+445267.1115168*$C$3-0.00163*POWER($C$3,2)+(POWER($C$3,3)/545868)-(POWER($C$3,4)/113065000),360)</f>
        <v>113.00258698972175</v>
      </c>
      <c r="F4" s="111" t="s">
        <v>214</v>
      </c>
      <c r="G4" s="112">
        <f>2/G3</f>
        <v>0.01</v>
      </c>
      <c r="H4" s="112"/>
      <c r="I4" s="112" t="s">
        <v>215</v>
      </c>
      <c r="J4" s="114">
        <f>COS(RADIANS(J3))</f>
        <v>0.45772003016345619</v>
      </c>
    </row>
    <row r="5" spans="2:10" s="101" customFormat="1" ht="14" customHeight="1">
      <c r="B5" s="109" t="s">
        <v>216</v>
      </c>
      <c r="C5" s="110">
        <f>MOD(357.5291092+35999.0502909*$C$3-0.0001536*POWER($C$3,2)+(POWER($C$3,3)/24490000),360)</f>
        <v>219.71829995584631</v>
      </c>
      <c r="F5" s="111"/>
      <c r="G5" s="112"/>
      <c r="H5" s="112"/>
      <c r="I5" s="112" t="s">
        <v>217</v>
      </c>
      <c r="J5" s="115">
        <f>ABS(J4)</f>
        <v>0.45772003016345619</v>
      </c>
    </row>
    <row r="6" spans="2:10" s="101" customFormat="1" ht="14" customHeight="1">
      <c r="B6" s="109" t="s">
        <v>218</v>
      </c>
      <c r="C6" s="110">
        <f>MOD(134.9634114+477198.8676313*$C$3+0.008997*POWER($C$3,2)+(POWER($C$3,3)/69699)-(POWER($C$3,4)/14712000),360)</f>
        <v>251.02559824523632</v>
      </c>
      <c r="F6" s="116"/>
      <c r="G6" s="117"/>
      <c r="H6" s="117"/>
      <c r="I6" s="117" t="s">
        <v>219</v>
      </c>
      <c r="J6" s="118">
        <v>1</v>
      </c>
    </row>
    <row r="7" spans="2:10" s="101" customFormat="1" ht="14" customHeight="1">
      <c r="B7" s="109" t="s">
        <v>220</v>
      </c>
      <c r="C7" s="110">
        <f>180-C4-6.289*SIN($C$2*C6)+2.1*SIN($C$2*C5)-1.274*SIN($C$2*(2*C4-C6))-0.658*SIN($C$2*2*C4)-0.214*SIN($C$2*2*C6)-0.11*SIN($C$2*C4)</f>
        <v>72.382104774920208</v>
      </c>
      <c r="F7" s="111"/>
      <c r="G7" s="112"/>
      <c r="H7" s="112"/>
      <c r="I7" s="112"/>
      <c r="J7" s="115"/>
    </row>
    <row r="8" spans="2:10" s="101" customFormat="1" ht="14" customHeight="1">
      <c r="B8" s="119" t="s">
        <v>221</v>
      </c>
      <c r="C8" s="120">
        <f>(1+COS($C$2*C7))/2</f>
        <v>0.65133379330437913</v>
      </c>
      <c r="F8" s="121" t="s">
        <v>201</v>
      </c>
      <c r="G8" s="122" t="s">
        <v>222</v>
      </c>
      <c r="H8" s="122" t="s">
        <v>223</v>
      </c>
      <c r="I8" s="122" t="s">
        <v>224</v>
      </c>
      <c r="J8" s="123" t="s">
        <v>225</v>
      </c>
    </row>
    <row r="9" spans="2:10" s="101" customFormat="1" ht="14" customHeight="1">
      <c r="F9" s="124">
        <v>-1</v>
      </c>
      <c r="G9" s="125">
        <f t="shared" ref="G9:G72" si="0">IFERROR(IF(SQRT(1-(F9*F9)/($J$5*$J$5))&lt;0.05,0,SQRT(1-(F9*F9)/($J$5*$J$5))),0)</f>
        <v>0</v>
      </c>
      <c r="H9" s="125">
        <f t="shared" ref="H9:H72" si="1">CHOOSE(MATCH($J$3,degrees),IF(F9&lt;0,IFERROR(1-G9,1),0),0,0,IF(F9&gt;0,IFERROR(1-G9,1),0))</f>
        <v>1</v>
      </c>
      <c r="I9" s="125">
        <f t="shared" ref="I9:I72" si="2">CHOOSE(MATCH($J$3,degrees),IF(F9&lt;0,2*G9,2),IF(F9&lt;0,0,1-G9),IF(F9&gt;0,0,1-G9),IF(F9&gt;0,2*G9,2))</f>
        <v>0</v>
      </c>
      <c r="J9" s="114">
        <f t="shared" ref="J9:J72" si="3">CHOOSE(MATCH($J$3,degrees),IF(F9&lt;0,G9+1,2),IF(F9&lt;0,2,2*G9),IF(F9&gt;0,2,2*G9),IF(F9&gt;0,G9+1,2))</f>
        <v>1</v>
      </c>
    </row>
    <row r="10" spans="2:10" s="101" customFormat="1" ht="14" customHeight="1">
      <c r="F10" s="124">
        <f t="shared" ref="F10:F73" si="4">F9+$G$4</f>
        <v>-0.99</v>
      </c>
      <c r="G10" s="125">
        <f t="shared" si="0"/>
        <v>0</v>
      </c>
      <c r="H10" s="125">
        <f t="shared" si="1"/>
        <v>1</v>
      </c>
      <c r="I10" s="125">
        <f t="shared" si="2"/>
        <v>0</v>
      </c>
      <c r="J10" s="114">
        <f t="shared" si="3"/>
        <v>1</v>
      </c>
    </row>
    <row r="11" spans="2:10" s="101" customFormat="1" ht="16" customHeight="1">
      <c r="F11" s="124">
        <f t="shared" si="4"/>
        <v>-0.98</v>
      </c>
      <c r="G11" s="125">
        <f t="shared" si="0"/>
        <v>0</v>
      </c>
      <c r="H11" s="125">
        <f t="shared" si="1"/>
        <v>1</v>
      </c>
      <c r="I11" s="125">
        <f t="shared" si="2"/>
        <v>0</v>
      </c>
      <c r="J11" s="114">
        <f t="shared" si="3"/>
        <v>1</v>
      </c>
    </row>
    <row r="12" spans="2:10" s="101" customFormat="1" ht="16" customHeight="1">
      <c r="F12" s="124">
        <f t="shared" si="4"/>
        <v>-0.97</v>
      </c>
      <c r="G12" s="125">
        <f t="shared" si="0"/>
        <v>0</v>
      </c>
      <c r="H12" s="125">
        <f t="shared" si="1"/>
        <v>1</v>
      </c>
      <c r="I12" s="125">
        <f t="shared" si="2"/>
        <v>0</v>
      </c>
      <c r="J12" s="114">
        <f t="shared" si="3"/>
        <v>1</v>
      </c>
    </row>
    <row r="13" spans="2:10" s="101" customFormat="1" ht="16" customHeight="1">
      <c r="F13" s="124">
        <f t="shared" si="4"/>
        <v>-0.96</v>
      </c>
      <c r="G13" s="125">
        <f t="shared" si="0"/>
        <v>0</v>
      </c>
      <c r="H13" s="125">
        <f t="shared" si="1"/>
        <v>1</v>
      </c>
      <c r="I13" s="125">
        <f t="shared" si="2"/>
        <v>0</v>
      </c>
      <c r="J13" s="114">
        <f t="shared" si="3"/>
        <v>1</v>
      </c>
    </row>
    <row r="14" spans="2:10" s="101" customFormat="1" ht="16" customHeight="1">
      <c r="E14" s="126"/>
      <c r="F14" s="124">
        <f t="shared" si="4"/>
        <v>-0.95</v>
      </c>
      <c r="G14" s="125">
        <f t="shared" si="0"/>
        <v>0</v>
      </c>
      <c r="H14" s="125">
        <f t="shared" si="1"/>
        <v>1</v>
      </c>
      <c r="I14" s="125">
        <f t="shared" si="2"/>
        <v>0</v>
      </c>
      <c r="J14" s="114">
        <f t="shared" si="3"/>
        <v>1</v>
      </c>
    </row>
    <row r="15" spans="2:10" s="101" customFormat="1" ht="16" customHeight="1">
      <c r="E15" s="126"/>
      <c r="F15" s="124">
        <f t="shared" si="4"/>
        <v>-0.94</v>
      </c>
      <c r="G15" s="125">
        <f t="shared" si="0"/>
        <v>0</v>
      </c>
      <c r="H15" s="125">
        <f t="shared" si="1"/>
        <v>1</v>
      </c>
      <c r="I15" s="125">
        <f t="shared" si="2"/>
        <v>0</v>
      </c>
      <c r="J15" s="114">
        <f t="shared" si="3"/>
        <v>1</v>
      </c>
    </row>
    <row r="16" spans="2:10" s="101" customFormat="1" ht="16" customHeight="1">
      <c r="E16" s="126"/>
      <c r="F16" s="124">
        <f t="shared" si="4"/>
        <v>-0.92999999999999994</v>
      </c>
      <c r="G16" s="125">
        <f t="shared" si="0"/>
        <v>0</v>
      </c>
      <c r="H16" s="125">
        <f t="shared" si="1"/>
        <v>1</v>
      </c>
      <c r="I16" s="125">
        <f t="shared" si="2"/>
        <v>0</v>
      </c>
      <c r="J16" s="114">
        <f t="shared" si="3"/>
        <v>1</v>
      </c>
    </row>
    <row r="17" spans="2:10" s="101" customFormat="1" ht="16" customHeight="1">
      <c r="E17" s="126"/>
      <c r="F17" s="124">
        <f t="shared" si="4"/>
        <v>-0.91999999999999993</v>
      </c>
      <c r="G17" s="125">
        <f t="shared" si="0"/>
        <v>0</v>
      </c>
      <c r="H17" s="125">
        <f t="shared" si="1"/>
        <v>1</v>
      </c>
      <c r="I17" s="125">
        <f t="shared" si="2"/>
        <v>0</v>
      </c>
      <c r="J17" s="114">
        <f t="shared" si="3"/>
        <v>1</v>
      </c>
    </row>
    <row r="18" spans="2:10" s="101" customFormat="1" ht="16" customHeight="1">
      <c r="E18" s="126"/>
      <c r="F18" s="124">
        <f t="shared" si="4"/>
        <v>-0.90999999999999992</v>
      </c>
      <c r="G18" s="125">
        <f t="shared" si="0"/>
        <v>0</v>
      </c>
      <c r="H18" s="125">
        <f t="shared" si="1"/>
        <v>1</v>
      </c>
      <c r="I18" s="125">
        <f t="shared" si="2"/>
        <v>0</v>
      </c>
      <c r="J18" s="114">
        <f t="shared" si="3"/>
        <v>1</v>
      </c>
    </row>
    <row r="19" spans="2:10" s="101" customFormat="1" ht="16" customHeight="1">
      <c r="B19" s="127" t="s">
        <v>226</v>
      </c>
      <c r="C19" s="128">
        <v>2460438.64</v>
      </c>
      <c r="D19" s="101" t="s">
        <v>227</v>
      </c>
      <c r="E19" s="126"/>
      <c r="F19" s="124">
        <f t="shared" si="4"/>
        <v>-0.89999999999999991</v>
      </c>
      <c r="G19" s="125">
        <f t="shared" si="0"/>
        <v>0</v>
      </c>
      <c r="H19" s="125">
        <f t="shared" si="1"/>
        <v>1</v>
      </c>
      <c r="I19" s="125">
        <f t="shared" si="2"/>
        <v>0</v>
      </c>
      <c r="J19" s="114">
        <f t="shared" si="3"/>
        <v>1</v>
      </c>
    </row>
    <row r="20" spans="2:10" s="101" customFormat="1" ht="16" customHeight="1">
      <c r="B20" s="129" t="s">
        <v>228</v>
      </c>
      <c r="C20" s="130">
        <f>((Visibility!C10-C19)/29.530588853)-INT((Visibility!C10-C19)/29.530588853)</f>
        <v>0.31949583377246382</v>
      </c>
      <c r="D20" s="101" t="str">
        <f>IF(C20&lt;0.5,"(before FM)","(after FM)")</f>
        <v>(before FM)</v>
      </c>
      <c r="E20" s="126"/>
      <c r="F20" s="124">
        <f t="shared" si="4"/>
        <v>-0.8899999999999999</v>
      </c>
      <c r="G20" s="125">
        <f t="shared" si="0"/>
        <v>0</v>
      </c>
      <c r="H20" s="125">
        <f t="shared" si="1"/>
        <v>1</v>
      </c>
      <c r="I20" s="125">
        <f t="shared" si="2"/>
        <v>0</v>
      </c>
      <c r="J20" s="114">
        <f t="shared" si="3"/>
        <v>1</v>
      </c>
    </row>
    <row r="21" spans="2:10" s="101" customFormat="1" ht="16" customHeight="1">
      <c r="B21" s="119" t="s">
        <v>229</v>
      </c>
      <c r="C21" s="131">
        <f>IF(C20&lt;0.5,180*C8,360-180*C8)</f>
        <v>117.24008279478824</v>
      </c>
      <c r="E21" s="126"/>
      <c r="F21" s="124">
        <f t="shared" si="4"/>
        <v>-0.87999999999999989</v>
      </c>
      <c r="G21" s="125">
        <f t="shared" si="0"/>
        <v>0</v>
      </c>
      <c r="H21" s="125">
        <f t="shared" si="1"/>
        <v>1</v>
      </c>
      <c r="I21" s="125">
        <f t="shared" si="2"/>
        <v>0</v>
      </c>
      <c r="J21" s="114">
        <f t="shared" si="3"/>
        <v>1</v>
      </c>
    </row>
    <row r="22" spans="2:10" s="101" customFormat="1" ht="16" customHeight="1">
      <c r="E22" s="126"/>
      <c r="F22" s="124">
        <f t="shared" si="4"/>
        <v>-0.86999999999999988</v>
      </c>
      <c r="G22" s="125">
        <f t="shared" si="0"/>
        <v>0</v>
      </c>
      <c r="H22" s="125">
        <f t="shared" si="1"/>
        <v>1</v>
      </c>
      <c r="I22" s="125">
        <f t="shared" si="2"/>
        <v>0</v>
      </c>
      <c r="J22" s="114">
        <f t="shared" si="3"/>
        <v>1</v>
      </c>
    </row>
    <row r="23" spans="2:10" s="101" customFormat="1" ht="16" customHeight="1">
      <c r="B23" s="132">
        <v>0</v>
      </c>
      <c r="C23" s="133">
        <v>0</v>
      </c>
      <c r="D23" s="134" t="s">
        <v>230</v>
      </c>
      <c r="F23" s="124">
        <f t="shared" si="4"/>
        <v>-0.85999999999999988</v>
      </c>
      <c r="G23" s="125">
        <f t="shared" si="0"/>
        <v>0</v>
      </c>
      <c r="H23" s="125">
        <f t="shared" si="1"/>
        <v>1</v>
      </c>
      <c r="I23" s="125">
        <f t="shared" si="2"/>
        <v>0</v>
      </c>
      <c r="J23" s="114">
        <f t="shared" si="3"/>
        <v>1</v>
      </c>
    </row>
    <row r="24" spans="2:10" s="101" customFormat="1" ht="16" customHeight="1">
      <c r="B24" s="135">
        <f t="shared" ref="B24:B31" si="5">B23+45</f>
        <v>45</v>
      </c>
      <c r="C24" s="136">
        <f t="shared" ref="C24:C31" si="6">B24-22.5</f>
        <v>22.5</v>
      </c>
      <c r="D24" s="137" t="s">
        <v>231</v>
      </c>
      <c r="F24" s="124">
        <f t="shared" si="4"/>
        <v>-0.84999999999999987</v>
      </c>
      <c r="G24" s="125">
        <f t="shared" si="0"/>
        <v>0</v>
      </c>
      <c r="H24" s="125">
        <f t="shared" si="1"/>
        <v>1</v>
      </c>
      <c r="I24" s="125">
        <f t="shared" si="2"/>
        <v>0</v>
      </c>
      <c r="J24" s="114">
        <f t="shared" si="3"/>
        <v>1</v>
      </c>
    </row>
    <row r="25" spans="2:10" s="101" customFormat="1" ht="16" customHeight="1">
      <c r="B25" s="135">
        <f t="shared" si="5"/>
        <v>90</v>
      </c>
      <c r="C25" s="136">
        <f t="shared" si="6"/>
        <v>67.5</v>
      </c>
      <c r="D25" s="137" t="s">
        <v>232</v>
      </c>
      <c r="F25" s="124">
        <f t="shared" si="4"/>
        <v>-0.83999999999999986</v>
      </c>
      <c r="G25" s="125">
        <f t="shared" si="0"/>
        <v>0</v>
      </c>
      <c r="H25" s="125">
        <f t="shared" si="1"/>
        <v>1</v>
      </c>
      <c r="I25" s="125">
        <f t="shared" si="2"/>
        <v>0</v>
      </c>
      <c r="J25" s="114">
        <f t="shared" si="3"/>
        <v>1</v>
      </c>
    </row>
    <row r="26" spans="2:10" s="101" customFormat="1" ht="16" customHeight="1">
      <c r="B26" s="135">
        <f t="shared" si="5"/>
        <v>135</v>
      </c>
      <c r="C26" s="136">
        <f t="shared" si="6"/>
        <v>112.5</v>
      </c>
      <c r="D26" s="137" t="s">
        <v>233</v>
      </c>
      <c r="F26" s="124">
        <f t="shared" si="4"/>
        <v>-0.82999999999999985</v>
      </c>
      <c r="G26" s="125">
        <f t="shared" si="0"/>
        <v>0</v>
      </c>
      <c r="H26" s="125">
        <f t="shared" si="1"/>
        <v>1</v>
      </c>
      <c r="I26" s="125">
        <f t="shared" si="2"/>
        <v>0</v>
      </c>
      <c r="J26" s="114">
        <f t="shared" si="3"/>
        <v>1</v>
      </c>
    </row>
    <row r="27" spans="2:10" s="101" customFormat="1" ht="16" customHeight="1">
      <c r="B27" s="135">
        <f t="shared" si="5"/>
        <v>180</v>
      </c>
      <c r="C27" s="136">
        <f t="shared" si="6"/>
        <v>157.5</v>
      </c>
      <c r="D27" s="137" t="s">
        <v>234</v>
      </c>
      <c r="F27" s="124">
        <f t="shared" si="4"/>
        <v>-0.81999999999999984</v>
      </c>
      <c r="G27" s="125">
        <f t="shared" si="0"/>
        <v>0</v>
      </c>
      <c r="H27" s="125">
        <f t="shared" si="1"/>
        <v>1</v>
      </c>
      <c r="I27" s="125">
        <f t="shared" si="2"/>
        <v>0</v>
      </c>
      <c r="J27" s="114">
        <f t="shared" si="3"/>
        <v>1</v>
      </c>
    </row>
    <row r="28" spans="2:10" s="101" customFormat="1" ht="16" customHeight="1">
      <c r="B28" s="135">
        <f t="shared" si="5"/>
        <v>225</v>
      </c>
      <c r="C28" s="136">
        <f t="shared" si="6"/>
        <v>202.5</v>
      </c>
      <c r="D28" s="137" t="s">
        <v>235</v>
      </c>
      <c r="F28" s="124">
        <f t="shared" si="4"/>
        <v>-0.80999999999999983</v>
      </c>
      <c r="G28" s="125">
        <f t="shared" si="0"/>
        <v>0</v>
      </c>
      <c r="H28" s="125">
        <f t="shared" si="1"/>
        <v>1</v>
      </c>
      <c r="I28" s="125">
        <f t="shared" si="2"/>
        <v>0</v>
      </c>
      <c r="J28" s="114">
        <f t="shared" si="3"/>
        <v>1</v>
      </c>
    </row>
    <row r="29" spans="2:10" s="101" customFormat="1" ht="16" customHeight="1">
      <c r="B29" s="135">
        <f t="shared" si="5"/>
        <v>270</v>
      </c>
      <c r="C29" s="136">
        <f t="shared" si="6"/>
        <v>247.5</v>
      </c>
      <c r="D29" s="137" t="s">
        <v>236</v>
      </c>
      <c r="F29" s="124">
        <f t="shared" si="4"/>
        <v>-0.79999999999999982</v>
      </c>
      <c r="G29" s="125">
        <f t="shared" si="0"/>
        <v>0</v>
      </c>
      <c r="H29" s="125">
        <f t="shared" si="1"/>
        <v>1</v>
      </c>
      <c r="I29" s="125">
        <f t="shared" si="2"/>
        <v>0</v>
      </c>
      <c r="J29" s="114">
        <f t="shared" si="3"/>
        <v>1</v>
      </c>
    </row>
    <row r="30" spans="2:10" s="101" customFormat="1" ht="16" customHeight="1">
      <c r="B30" s="135">
        <f t="shared" si="5"/>
        <v>315</v>
      </c>
      <c r="C30" s="136">
        <f t="shared" si="6"/>
        <v>292.5</v>
      </c>
      <c r="D30" s="137" t="s">
        <v>237</v>
      </c>
      <c r="F30" s="124">
        <f t="shared" si="4"/>
        <v>-0.78999999999999981</v>
      </c>
      <c r="G30" s="125">
        <f t="shared" si="0"/>
        <v>0</v>
      </c>
      <c r="H30" s="125">
        <f t="shared" si="1"/>
        <v>1</v>
      </c>
      <c r="I30" s="125">
        <f t="shared" si="2"/>
        <v>0</v>
      </c>
      <c r="J30" s="114">
        <f t="shared" si="3"/>
        <v>1</v>
      </c>
    </row>
    <row r="31" spans="2:10" s="101" customFormat="1" ht="16" customHeight="1">
      <c r="B31" s="138">
        <f t="shared" si="5"/>
        <v>360</v>
      </c>
      <c r="C31" s="139">
        <f t="shared" si="6"/>
        <v>337.5</v>
      </c>
      <c r="D31" s="140" t="s">
        <v>230</v>
      </c>
      <c r="F31" s="124">
        <f t="shared" si="4"/>
        <v>-0.7799999999999998</v>
      </c>
      <c r="G31" s="125">
        <f t="shared" si="0"/>
        <v>0</v>
      </c>
      <c r="H31" s="125">
        <f t="shared" si="1"/>
        <v>1</v>
      </c>
      <c r="I31" s="125">
        <f t="shared" si="2"/>
        <v>0</v>
      </c>
      <c r="J31" s="114">
        <f t="shared" si="3"/>
        <v>1</v>
      </c>
    </row>
    <row r="32" spans="2:10" s="101" customFormat="1" ht="16" customHeight="1">
      <c r="F32" s="124">
        <f t="shared" si="4"/>
        <v>-0.7699999999999998</v>
      </c>
      <c r="G32" s="125">
        <f t="shared" si="0"/>
        <v>0</v>
      </c>
      <c r="H32" s="125">
        <f t="shared" si="1"/>
        <v>1</v>
      </c>
      <c r="I32" s="125">
        <f t="shared" si="2"/>
        <v>0</v>
      </c>
      <c r="J32" s="114">
        <f t="shared" si="3"/>
        <v>1</v>
      </c>
    </row>
    <row r="33" spans="6:10" s="101" customFormat="1" ht="16" customHeight="1">
      <c r="F33" s="124">
        <f t="shared" si="4"/>
        <v>-0.75999999999999979</v>
      </c>
      <c r="G33" s="125">
        <f t="shared" si="0"/>
        <v>0</v>
      </c>
      <c r="H33" s="125">
        <f t="shared" si="1"/>
        <v>1</v>
      </c>
      <c r="I33" s="125">
        <f t="shared" si="2"/>
        <v>0</v>
      </c>
      <c r="J33" s="114">
        <f t="shared" si="3"/>
        <v>1</v>
      </c>
    </row>
    <row r="34" spans="6:10" s="101" customFormat="1" ht="16" customHeight="1">
      <c r="F34" s="124">
        <f t="shared" si="4"/>
        <v>-0.74999999999999978</v>
      </c>
      <c r="G34" s="125">
        <f t="shared" si="0"/>
        <v>0</v>
      </c>
      <c r="H34" s="125">
        <f t="shared" si="1"/>
        <v>1</v>
      </c>
      <c r="I34" s="125">
        <f t="shared" si="2"/>
        <v>0</v>
      </c>
      <c r="J34" s="114">
        <f t="shared" si="3"/>
        <v>1</v>
      </c>
    </row>
    <row r="35" spans="6:10" s="101" customFormat="1" ht="16" customHeight="1">
      <c r="F35" s="124">
        <f t="shared" si="4"/>
        <v>-0.73999999999999977</v>
      </c>
      <c r="G35" s="125">
        <f t="shared" si="0"/>
        <v>0</v>
      </c>
      <c r="H35" s="125">
        <f t="shared" si="1"/>
        <v>1</v>
      </c>
      <c r="I35" s="125">
        <f t="shared" si="2"/>
        <v>0</v>
      </c>
      <c r="J35" s="114">
        <f t="shared" si="3"/>
        <v>1</v>
      </c>
    </row>
    <row r="36" spans="6:10" s="101" customFormat="1" ht="16" customHeight="1">
      <c r="F36" s="124">
        <f t="shared" si="4"/>
        <v>-0.72999999999999976</v>
      </c>
      <c r="G36" s="125">
        <f t="shared" si="0"/>
        <v>0</v>
      </c>
      <c r="H36" s="125">
        <f t="shared" si="1"/>
        <v>1</v>
      </c>
      <c r="I36" s="125">
        <f t="shared" si="2"/>
        <v>0</v>
      </c>
      <c r="J36" s="114">
        <f t="shared" si="3"/>
        <v>1</v>
      </c>
    </row>
    <row r="37" spans="6:10" s="101" customFormat="1" ht="16" customHeight="1">
      <c r="F37" s="124">
        <f t="shared" si="4"/>
        <v>-0.71999999999999975</v>
      </c>
      <c r="G37" s="125">
        <f t="shared" si="0"/>
        <v>0</v>
      </c>
      <c r="H37" s="125">
        <f t="shared" si="1"/>
        <v>1</v>
      </c>
      <c r="I37" s="125">
        <f t="shared" si="2"/>
        <v>0</v>
      </c>
      <c r="J37" s="114">
        <f t="shared" si="3"/>
        <v>1</v>
      </c>
    </row>
    <row r="38" spans="6:10" s="101" customFormat="1" ht="16" customHeight="1">
      <c r="F38" s="124">
        <f t="shared" si="4"/>
        <v>-0.70999999999999974</v>
      </c>
      <c r="G38" s="125">
        <f t="shared" si="0"/>
        <v>0</v>
      </c>
      <c r="H38" s="125">
        <f t="shared" si="1"/>
        <v>1</v>
      </c>
      <c r="I38" s="125">
        <f t="shared" si="2"/>
        <v>0</v>
      </c>
      <c r="J38" s="114">
        <f t="shared" si="3"/>
        <v>1</v>
      </c>
    </row>
    <row r="39" spans="6:10" s="101" customFormat="1" ht="16" customHeight="1">
      <c r="F39" s="124">
        <f t="shared" si="4"/>
        <v>-0.69999999999999973</v>
      </c>
      <c r="G39" s="125">
        <f t="shared" si="0"/>
        <v>0</v>
      </c>
      <c r="H39" s="125">
        <f t="shared" si="1"/>
        <v>1</v>
      </c>
      <c r="I39" s="125">
        <f t="shared" si="2"/>
        <v>0</v>
      </c>
      <c r="J39" s="114">
        <f t="shared" si="3"/>
        <v>1</v>
      </c>
    </row>
    <row r="40" spans="6:10" s="101" customFormat="1" ht="16" customHeight="1">
      <c r="F40" s="124">
        <f t="shared" si="4"/>
        <v>-0.68999999999999972</v>
      </c>
      <c r="G40" s="125">
        <f t="shared" si="0"/>
        <v>0</v>
      </c>
      <c r="H40" s="125">
        <f t="shared" si="1"/>
        <v>1</v>
      </c>
      <c r="I40" s="125">
        <f t="shared" si="2"/>
        <v>0</v>
      </c>
      <c r="J40" s="114">
        <f t="shared" si="3"/>
        <v>1</v>
      </c>
    </row>
    <row r="41" spans="6:10" s="101" customFormat="1" ht="16" customHeight="1">
      <c r="F41" s="124">
        <f t="shared" si="4"/>
        <v>-0.67999999999999972</v>
      </c>
      <c r="G41" s="125">
        <f t="shared" si="0"/>
        <v>0</v>
      </c>
      <c r="H41" s="125">
        <f t="shared" si="1"/>
        <v>1</v>
      </c>
      <c r="I41" s="125">
        <f t="shared" si="2"/>
        <v>0</v>
      </c>
      <c r="J41" s="114">
        <f t="shared" si="3"/>
        <v>1</v>
      </c>
    </row>
    <row r="42" spans="6:10" s="101" customFormat="1" ht="16" customHeight="1">
      <c r="F42" s="124">
        <f t="shared" si="4"/>
        <v>-0.66999999999999971</v>
      </c>
      <c r="G42" s="125">
        <f t="shared" si="0"/>
        <v>0</v>
      </c>
      <c r="H42" s="125">
        <f t="shared" si="1"/>
        <v>1</v>
      </c>
      <c r="I42" s="125">
        <f t="shared" si="2"/>
        <v>0</v>
      </c>
      <c r="J42" s="114">
        <f t="shared" si="3"/>
        <v>1</v>
      </c>
    </row>
    <row r="43" spans="6:10" s="101" customFormat="1" ht="16" customHeight="1">
      <c r="F43" s="124">
        <f t="shared" si="4"/>
        <v>-0.6599999999999997</v>
      </c>
      <c r="G43" s="125">
        <f t="shared" si="0"/>
        <v>0</v>
      </c>
      <c r="H43" s="125">
        <f t="shared" si="1"/>
        <v>1</v>
      </c>
      <c r="I43" s="125">
        <f t="shared" si="2"/>
        <v>0</v>
      </c>
      <c r="J43" s="114">
        <f t="shared" si="3"/>
        <v>1</v>
      </c>
    </row>
    <row r="44" spans="6:10" s="101" customFormat="1" ht="16" customHeight="1">
      <c r="F44" s="124">
        <f t="shared" si="4"/>
        <v>-0.64999999999999969</v>
      </c>
      <c r="G44" s="125">
        <f t="shared" si="0"/>
        <v>0</v>
      </c>
      <c r="H44" s="125">
        <f t="shared" si="1"/>
        <v>1</v>
      </c>
      <c r="I44" s="125">
        <f t="shared" si="2"/>
        <v>0</v>
      </c>
      <c r="J44" s="114">
        <f t="shared" si="3"/>
        <v>1</v>
      </c>
    </row>
    <row r="45" spans="6:10" s="101" customFormat="1" ht="16" customHeight="1">
      <c r="F45" s="124">
        <f t="shared" si="4"/>
        <v>-0.63999999999999968</v>
      </c>
      <c r="G45" s="125">
        <f t="shared" si="0"/>
        <v>0</v>
      </c>
      <c r="H45" s="125">
        <f t="shared" si="1"/>
        <v>1</v>
      </c>
      <c r="I45" s="125">
        <f t="shared" si="2"/>
        <v>0</v>
      </c>
      <c r="J45" s="114">
        <f t="shared" si="3"/>
        <v>1</v>
      </c>
    </row>
    <row r="46" spans="6:10" s="101" customFormat="1" ht="16" customHeight="1">
      <c r="F46" s="124">
        <f t="shared" si="4"/>
        <v>-0.62999999999999967</v>
      </c>
      <c r="G46" s="125">
        <f t="shared" si="0"/>
        <v>0</v>
      </c>
      <c r="H46" s="125">
        <f t="shared" si="1"/>
        <v>1</v>
      </c>
      <c r="I46" s="125">
        <f t="shared" si="2"/>
        <v>0</v>
      </c>
      <c r="J46" s="114">
        <f t="shared" si="3"/>
        <v>1</v>
      </c>
    </row>
    <row r="47" spans="6:10" s="101" customFormat="1" ht="16" customHeight="1">
      <c r="F47" s="124">
        <f t="shared" si="4"/>
        <v>-0.61999999999999966</v>
      </c>
      <c r="G47" s="125">
        <f t="shared" si="0"/>
        <v>0</v>
      </c>
      <c r="H47" s="125">
        <f t="shared" si="1"/>
        <v>1</v>
      </c>
      <c r="I47" s="125">
        <f t="shared" si="2"/>
        <v>0</v>
      </c>
      <c r="J47" s="114">
        <f t="shared" si="3"/>
        <v>1</v>
      </c>
    </row>
    <row r="48" spans="6:10" s="101" customFormat="1" ht="16" customHeight="1">
      <c r="F48" s="124">
        <f t="shared" si="4"/>
        <v>-0.60999999999999965</v>
      </c>
      <c r="G48" s="125">
        <f t="shared" si="0"/>
        <v>0</v>
      </c>
      <c r="H48" s="125">
        <f t="shared" si="1"/>
        <v>1</v>
      </c>
      <c r="I48" s="125">
        <f t="shared" si="2"/>
        <v>0</v>
      </c>
      <c r="J48" s="114">
        <f t="shared" si="3"/>
        <v>1</v>
      </c>
    </row>
    <row r="49" spans="6:10" s="101" customFormat="1" ht="16" customHeight="1">
      <c r="F49" s="124">
        <f t="shared" si="4"/>
        <v>-0.59999999999999964</v>
      </c>
      <c r="G49" s="125">
        <f t="shared" si="0"/>
        <v>0</v>
      </c>
      <c r="H49" s="125">
        <f t="shared" si="1"/>
        <v>1</v>
      </c>
      <c r="I49" s="125">
        <f t="shared" si="2"/>
        <v>0</v>
      </c>
      <c r="J49" s="114">
        <f t="shared" si="3"/>
        <v>1</v>
      </c>
    </row>
    <row r="50" spans="6:10" s="101" customFormat="1" ht="16" customHeight="1">
      <c r="F50" s="124">
        <f t="shared" si="4"/>
        <v>-0.58999999999999964</v>
      </c>
      <c r="G50" s="125">
        <f t="shared" si="0"/>
        <v>0</v>
      </c>
      <c r="H50" s="125">
        <f t="shared" si="1"/>
        <v>1</v>
      </c>
      <c r="I50" s="125">
        <f t="shared" si="2"/>
        <v>0</v>
      </c>
      <c r="J50" s="114">
        <f t="shared" si="3"/>
        <v>1</v>
      </c>
    </row>
    <row r="51" spans="6:10" s="101" customFormat="1" ht="16" customHeight="1">
      <c r="F51" s="124">
        <f t="shared" si="4"/>
        <v>-0.57999999999999963</v>
      </c>
      <c r="G51" s="125">
        <f t="shared" si="0"/>
        <v>0</v>
      </c>
      <c r="H51" s="125">
        <f t="shared" si="1"/>
        <v>1</v>
      </c>
      <c r="I51" s="125">
        <f t="shared" si="2"/>
        <v>0</v>
      </c>
      <c r="J51" s="114">
        <f t="shared" si="3"/>
        <v>1</v>
      </c>
    </row>
    <row r="52" spans="6:10" s="101" customFormat="1" ht="16" customHeight="1">
      <c r="F52" s="124">
        <f t="shared" si="4"/>
        <v>-0.56999999999999962</v>
      </c>
      <c r="G52" s="125">
        <f t="shared" si="0"/>
        <v>0</v>
      </c>
      <c r="H52" s="125">
        <f t="shared" si="1"/>
        <v>1</v>
      </c>
      <c r="I52" s="125">
        <f t="shared" si="2"/>
        <v>0</v>
      </c>
      <c r="J52" s="114">
        <f t="shared" si="3"/>
        <v>1</v>
      </c>
    </row>
    <row r="53" spans="6:10" s="101" customFormat="1" ht="16" customHeight="1">
      <c r="F53" s="124">
        <f t="shared" si="4"/>
        <v>-0.55999999999999961</v>
      </c>
      <c r="G53" s="125">
        <f t="shared" si="0"/>
        <v>0</v>
      </c>
      <c r="H53" s="125">
        <f t="shared" si="1"/>
        <v>1</v>
      </c>
      <c r="I53" s="125">
        <f t="shared" si="2"/>
        <v>0</v>
      </c>
      <c r="J53" s="114">
        <f t="shared" si="3"/>
        <v>1</v>
      </c>
    </row>
    <row r="54" spans="6:10" s="101" customFormat="1" ht="16" customHeight="1">
      <c r="F54" s="124">
        <f t="shared" si="4"/>
        <v>-0.5499999999999996</v>
      </c>
      <c r="G54" s="125">
        <f t="shared" si="0"/>
        <v>0</v>
      </c>
      <c r="H54" s="125">
        <f t="shared" si="1"/>
        <v>1</v>
      </c>
      <c r="I54" s="125">
        <f t="shared" si="2"/>
        <v>0</v>
      </c>
      <c r="J54" s="114">
        <f t="shared" si="3"/>
        <v>1</v>
      </c>
    </row>
    <row r="55" spans="6:10" s="101" customFormat="1" ht="16" customHeight="1">
      <c r="F55" s="124">
        <f t="shared" si="4"/>
        <v>-0.53999999999999959</v>
      </c>
      <c r="G55" s="125">
        <f t="shared" si="0"/>
        <v>0</v>
      </c>
      <c r="H55" s="125">
        <f t="shared" si="1"/>
        <v>1</v>
      </c>
      <c r="I55" s="125">
        <f t="shared" si="2"/>
        <v>0</v>
      </c>
      <c r="J55" s="114">
        <f t="shared" si="3"/>
        <v>1</v>
      </c>
    </row>
    <row r="56" spans="6:10" s="101" customFormat="1" ht="16" customHeight="1">
      <c r="F56" s="124">
        <f t="shared" si="4"/>
        <v>-0.52999999999999958</v>
      </c>
      <c r="G56" s="125">
        <f t="shared" si="0"/>
        <v>0</v>
      </c>
      <c r="H56" s="125">
        <f t="shared" si="1"/>
        <v>1</v>
      </c>
      <c r="I56" s="125">
        <f t="shared" si="2"/>
        <v>0</v>
      </c>
      <c r="J56" s="114">
        <f t="shared" si="3"/>
        <v>1</v>
      </c>
    </row>
    <row r="57" spans="6:10" s="101" customFormat="1" ht="16" customHeight="1">
      <c r="F57" s="124">
        <f t="shared" si="4"/>
        <v>-0.51999999999999957</v>
      </c>
      <c r="G57" s="125">
        <f t="shared" si="0"/>
        <v>0</v>
      </c>
      <c r="H57" s="125">
        <f t="shared" si="1"/>
        <v>1</v>
      </c>
      <c r="I57" s="125">
        <f t="shared" si="2"/>
        <v>0</v>
      </c>
      <c r="J57" s="114">
        <f t="shared" si="3"/>
        <v>1</v>
      </c>
    </row>
    <row r="58" spans="6:10" s="101" customFormat="1" ht="16" customHeight="1">
      <c r="F58" s="124">
        <f t="shared" si="4"/>
        <v>-0.50999999999999956</v>
      </c>
      <c r="G58" s="125">
        <f t="shared" si="0"/>
        <v>0</v>
      </c>
      <c r="H58" s="125">
        <f t="shared" si="1"/>
        <v>1</v>
      </c>
      <c r="I58" s="125">
        <f t="shared" si="2"/>
        <v>0</v>
      </c>
      <c r="J58" s="114">
        <f t="shared" si="3"/>
        <v>1</v>
      </c>
    </row>
    <row r="59" spans="6:10" s="101" customFormat="1" ht="16" customHeight="1">
      <c r="F59" s="124">
        <f t="shared" si="4"/>
        <v>-0.49999999999999956</v>
      </c>
      <c r="G59" s="125">
        <f t="shared" si="0"/>
        <v>0</v>
      </c>
      <c r="H59" s="125">
        <f t="shared" si="1"/>
        <v>1</v>
      </c>
      <c r="I59" s="125">
        <f t="shared" si="2"/>
        <v>0</v>
      </c>
      <c r="J59" s="114">
        <f t="shared" si="3"/>
        <v>1</v>
      </c>
    </row>
    <row r="60" spans="6:10" s="101" customFormat="1" ht="16" customHeight="1">
      <c r="F60" s="124">
        <f t="shared" si="4"/>
        <v>-0.48999999999999955</v>
      </c>
      <c r="G60" s="125">
        <f t="shared" si="0"/>
        <v>0</v>
      </c>
      <c r="H60" s="125">
        <f t="shared" si="1"/>
        <v>1</v>
      </c>
      <c r="I60" s="125">
        <f t="shared" si="2"/>
        <v>0</v>
      </c>
      <c r="J60" s="114">
        <f t="shared" si="3"/>
        <v>1</v>
      </c>
    </row>
    <row r="61" spans="6:10" s="101" customFormat="1" ht="16" customHeight="1">
      <c r="F61" s="124">
        <f t="shared" si="4"/>
        <v>-0.47999999999999954</v>
      </c>
      <c r="G61" s="125">
        <f t="shared" si="0"/>
        <v>0</v>
      </c>
      <c r="H61" s="125">
        <f t="shared" si="1"/>
        <v>1</v>
      </c>
      <c r="I61" s="125">
        <f t="shared" si="2"/>
        <v>0</v>
      </c>
      <c r="J61" s="114">
        <f t="shared" si="3"/>
        <v>1</v>
      </c>
    </row>
    <row r="62" spans="6:10" s="101" customFormat="1" ht="16" customHeight="1">
      <c r="F62" s="124">
        <f t="shared" si="4"/>
        <v>-0.46999999999999953</v>
      </c>
      <c r="G62" s="125">
        <f t="shared" si="0"/>
        <v>0</v>
      </c>
      <c r="H62" s="125">
        <f t="shared" si="1"/>
        <v>1</v>
      </c>
      <c r="I62" s="125">
        <f t="shared" si="2"/>
        <v>0</v>
      </c>
      <c r="J62" s="114">
        <f t="shared" si="3"/>
        <v>1</v>
      </c>
    </row>
    <row r="63" spans="6:10" s="101" customFormat="1" ht="16" customHeight="1">
      <c r="F63" s="124">
        <f t="shared" si="4"/>
        <v>-0.45999999999999952</v>
      </c>
      <c r="G63" s="125">
        <f t="shared" si="0"/>
        <v>0</v>
      </c>
      <c r="H63" s="125">
        <f t="shared" si="1"/>
        <v>1</v>
      </c>
      <c r="I63" s="125">
        <f t="shared" si="2"/>
        <v>0</v>
      </c>
      <c r="J63" s="114">
        <f t="shared" si="3"/>
        <v>1</v>
      </c>
    </row>
    <row r="64" spans="6:10" ht="16">
      <c r="F64" s="124">
        <f t="shared" si="4"/>
        <v>-0.44999999999999951</v>
      </c>
      <c r="G64" s="125">
        <f t="shared" si="0"/>
        <v>0.182888138763312</v>
      </c>
      <c r="H64" s="125">
        <f t="shared" si="1"/>
        <v>0.817111861236688</v>
      </c>
      <c r="I64" s="125">
        <f t="shared" si="2"/>
        <v>0.36577627752662401</v>
      </c>
      <c r="J64" s="114">
        <f t="shared" si="3"/>
        <v>1.1828881387633121</v>
      </c>
    </row>
    <row r="65" spans="6:10" ht="16">
      <c r="F65" s="124">
        <f t="shared" si="4"/>
        <v>-0.4399999999999995</v>
      </c>
      <c r="G65" s="125">
        <f t="shared" si="0"/>
        <v>0.27555149283510161</v>
      </c>
      <c r="H65" s="125">
        <f t="shared" si="1"/>
        <v>0.72444850716489839</v>
      </c>
      <c r="I65" s="125">
        <f t="shared" si="2"/>
        <v>0.55110298567020322</v>
      </c>
      <c r="J65" s="114">
        <f t="shared" si="3"/>
        <v>1.2755514928351017</v>
      </c>
    </row>
    <row r="66" spans="6:10" ht="16">
      <c r="F66" s="124">
        <f t="shared" si="4"/>
        <v>-0.42999999999999949</v>
      </c>
      <c r="G66" s="125">
        <f t="shared" si="0"/>
        <v>0.34271644243916621</v>
      </c>
      <c r="H66" s="125">
        <f t="shared" si="1"/>
        <v>0.65728355756083379</v>
      </c>
      <c r="I66" s="125">
        <f t="shared" si="2"/>
        <v>0.68543288487833243</v>
      </c>
      <c r="J66" s="114">
        <f t="shared" si="3"/>
        <v>1.3427164424391662</v>
      </c>
    </row>
    <row r="67" spans="6:10" ht="16">
      <c r="F67" s="124">
        <f t="shared" si="4"/>
        <v>-0.41999999999999948</v>
      </c>
      <c r="G67" s="125">
        <f t="shared" si="0"/>
        <v>0.39752468532636376</v>
      </c>
      <c r="H67" s="125">
        <f t="shared" si="1"/>
        <v>0.60247531467363624</v>
      </c>
      <c r="I67" s="125">
        <f t="shared" si="2"/>
        <v>0.79504937065272752</v>
      </c>
      <c r="J67" s="114">
        <f t="shared" si="3"/>
        <v>1.3975246853263639</v>
      </c>
    </row>
    <row r="68" spans="6:10" ht="16">
      <c r="F68" s="124">
        <f t="shared" si="4"/>
        <v>-0.40999999999999948</v>
      </c>
      <c r="G68" s="125">
        <f t="shared" si="0"/>
        <v>0.44457009771311806</v>
      </c>
      <c r="H68" s="125">
        <f t="shared" si="1"/>
        <v>0.55542990228688194</v>
      </c>
      <c r="I68" s="125">
        <f t="shared" si="2"/>
        <v>0.88914019542623612</v>
      </c>
      <c r="J68" s="114">
        <f t="shared" si="3"/>
        <v>1.4445700977131182</v>
      </c>
    </row>
    <row r="69" spans="6:10" ht="16">
      <c r="F69" s="124">
        <f t="shared" si="4"/>
        <v>-0.39999999999999947</v>
      </c>
      <c r="G69" s="125">
        <f t="shared" si="0"/>
        <v>0.48611176588171484</v>
      </c>
      <c r="H69" s="125">
        <f t="shared" si="1"/>
        <v>0.5138882341182851</v>
      </c>
      <c r="I69" s="125">
        <f t="shared" si="2"/>
        <v>0.97222353176342968</v>
      </c>
      <c r="J69" s="114">
        <f t="shared" si="3"/>
        <v>1.4861117658817149</v>
      </c>
    </row>
    <row r="70" spans="6:10" ht="16">
      <c r="F70" s="124">
        <f t="shared" si="4"/>
        <v>-0.38999999999999946</v>
      </c>
      <c r="G70" s="125">
        <f t="shared" si="0"/>
        <v>0.52346165751446183</v>
      </c>
      <c r="H70" s="125">
        <f t="shared" si="1"/>
        <v>0.47653834248553817</v>
      </c>
      <c r="I70" s="125">
        <f t="shared" si="2"/>
        <v>1.0469233150289237</v>
      </c>
      <c r="J70" s="114">
        <f t="shared" si="3"/>
        <v>1.5234616575144617</v>
      </c>
    </row>
    <row r="71" spans="6:10" ht="16">
      <c r="F71" s="124">
        <f t="shared" si="4"/>
        <v>-0.37999999999999945</v>
      </c>
      <c r="G71" s="125">
        <f t="shared" si="0"/>
        <v>0.55746295451634897</v>
      </c>
      <c r="H71" s="125">
        <f t="shared" si="1"/>
        <v>0.44253704548365103</v>
      </c>
      <c r="I71" s="125">
        <f t="shared" si="2"/>
        <v>1.1149259090326979</v>
      </c>
      <c r="J71" s="114">
        <f t="shared" si="3"/>
        <v>1.557462954516349</v>
      </c>
    </row>
    <row r="72" spans="6:10" ht="16">
      <c r="F72" s="124">
        <f t="shared" si="4"/>
        <v>-0.36999999999999944</v>
      </c>
      <c r="G72" s="125">
        <f t="shared" si="0"/>
        <v>0.58869615697706679</v>
      </c>
      <c r="H72" s="125">
        <f t="shared" si="1"/>
        <v>0.41130384302293321</v>
      </c>
      <c r="I72" s="125">
        <f t="shared" si="2"/>
        <v>1.1773923139541336</v>
      </c>
      <c r="J72" s="114">
        <f t="shared" si="3"/>
        <v>1.5886961569770668</v>
      </c>
    </row>
    <row r="73" spans="6:10" ht="16">
      <c r="F73" s="124">
        <f t="shared" si="4"/>
        <v>-0.35999999999999943</v>
      </c>
      <c r="G73" s="125">
        <f t="shared" ref="G73:G136" si="7">IFERROR(IF(SQRT(1-(F73*F73)/($J$5*$J$5))&lt;0.05,0,SQRT(1-(F73*F73)/($J$5*$J$5))),0)</f>
        <v>0.61758138381285266</v>
      </c>
      <c r="H73" s="125">
        <f t="shared" ref="H73:H136" si="8">CHOOSE(MATCH($J$3,degrees),IF(F73&lt;0,IFERROR(1-G73,1),0),0,0,IF(F73&gt;0,IFERROR(1-G73,1),0))</f>
        <v>0.38241861618714734</v>
      </c>
      <c r="I73" s="125">
        <f t="shared" ref="I73:I136" si="9">CHOOSE(MATCH($J$3,degrees),IF(F73&lt;0,2*G73,2),IF(F73&lt;0,0,1-G73),IF(F73&gt;0,0,1-G73),IF(F73&gt;0,2*G73,2))</f>
        <v>1.2351627676257053</v>
      </c>
      <c r="J73" s="114">
        <f t="shared" ref="J73:J136" si="10">CHOOSE(MATCH($J$3,degrees),IF(F73&lt;0,G73+1,2),IF(F73&lt;0,2,2*G73),IF(F73&gt;0,2,2*G73),IF(F73&gt;0,G73+1,2))</f>
        <v>1.6175813838128525</v>
      </c>
    </row>
    <row r="74" spans="6:10" ht="16">
      <c r="F74" s="124">
        <f t="shared" ref="F74:F137" si="11">F73+$G$4</f>
        <v>-0.34999999999999942</v>
      </c>
      <c r="G74" s="125">
        <f t="shared" si="7"/>
        <v>0.64443443951731016</v>
      </c>
      <c r="H74" s="125">
        <f t="shared" si="8"/>
        <v>0.35556556048268984</v>
      </c>
      <c r="I74" s="125">
        <f t="shared" si="9"/>
        <v>1.2888688790346203</v>
      </c>
      <c r="J74" s="114">
        <f t="shared" si="10"/>
        <v>1.6444344395173101</v>
      </c>
    </row>
    <row r="75" spans="6:10" ht="16">
      <c r="F75" s="124">
        <f t="shared" si="11"/>
        <v>-0.33999999999999941</v>
      </c>
      <c r="G75" s="125">
        <f t="shared" si="7"/>
        <v>0.66949989458620696</v>
      </c>
      <c r="H75" s="125">
        <f t="shared" si="8"/>
        <v>0.33050010541379304</v>
      </c>
      <c r="I75" s="125">
        <f t="shared" si="9"/>
        <v>1.3389997891724139</v>
      </c>
      <c r="J75" s="114">
        <f t="shared" si="10"/>
        <v>1.669499894586207</v>
      </c>
    </row>
    <row r="76" spans="6:10" ht="16">
      <c r="F76" s="124">
        <f t="shared" si="11"/>
        <v>-0.3299999999999994</v>
      </c>
      <c r="G76" s="125">
        <f t="shared" si="7"/>
        <v>0.69297175388110555</v>
      </c>
      <c r="H76" s="125">
        <f t="shared" si="8"/>
        <v>0.30702824611889445</v>
      </c>
      <c r="I76" s="125">
        <f t="shared" si="9"/>
        <v>1.3859435077622111</v>
      </c>
      <c r="J76" s="114">
        <f t="shared" si="10"/>
        <v>1.6929717538811055</v>
      </c>
    </row>
    <row r="77" spans="6:10" ht="16">
      <c r="F77" s="124">
        <f t="shared" si="11"/>
        <v>-0.3199999999999994</v>
      </c>
      <c r="G77" s="125">
        <f t="shared" si="7"/>
        <v>0.71500697571025806</v>
      </c>
      <c r="H77" s="125">
        <f t="shared" si="8"/>
        <v>0.28499302428974194</v>
      </c>
      <c r="I77" s="125">
        <f t="shared" si="9"/>
        <v>1.4300139514205161</v>
      </c>
      <c r="J77" s="114">
        <f t="shared" si="10"/>
        <v>1.7150069757102582</v>
      </c>
    </row>
    <row r="78" spans="6:10" ht="16">
      <c r="F78" s="124">
        <f t="shared" si="11"/>
        <v>-0.30999999999999939</v>
      </c>
      <c r="G78" s="125">
        <f t="shared" si="7"/>
        <v>0.73573465309360309</v>
      </c>
      <c r="H78" s="125">
        <f t="shared" si="8"/>
        <v>0.26426534690639691</v>
      </c>
      <c r="I78" s="125">
        <f t="shared" si="9"/>
        <v>1.4714693061872062</v>
      </c>
      <c r="J78" s="114">
        <f t="shared" si="10"/>
        <v>1.7357346530936031</v>
      </c>
    </row>
    <row r="79" spans="6:10" ht="16">
      <c r="F79" s="124">
        <f t="shared" si="11"/>
        <v>-0.29999999999999938</v>
      </c>
      <c r="G79" s="125">
        <f t="shared" si="7"/>
        <v>0.75526244777716856</v>
      </c>
      <c r="H79" s="125">
        <f t="shared" si="8"/>
        <v>0.24473755222283144</v>
      </c>
      <c r="I79" s="125">
        <f t="shared" si="9"/>
        <v>1.5105248955543371</v>
      </c>
      <c r="J79" s="114">
        <f t="shared" si="10"/>
        <v>1.7552624477771686</v>
      </c>
    </row>
    <row r="80" spans="6:10" ht="16">
      <c r="F80" s="124">
        <f t="shared" si="11"/>
        <v>-0.28999999999999937</v>
      </c>
      <c r="G80" s="125">
        <f t="shared" si="7"/>
        <v>0.77368122058966682</v>
      </c>
      <c r="H80" s="125">
        <f t="shared" si="8"/>
        <v>0.22631877941033318</v>
      </c>
      <c r="I80" s="125">
        <f t="shared" si="9"/>
        <v>1.5473624411793336</v>
      </c>
      <c r="J80" s="114">
        <f t="shared" si="10"/>
        <v>1.7736812205896668</v>
      </c>
    </row>
    <row r="81" spans="6:10" ht="16">
      <c r="F81" s="124">
        <f t="shared" si="11"/>
        <v>-0.27999999999999936</v>
      </c>
      <c r="G81" s="125">
        <f t="shared" si="7"/>
        <v>0.79106844076542071</v>
      </c>
      <c r="H81" s="125">
        <f t="shared" si="8"/>
        <v>0.20893155923457929</v>
      </c>
      <c r="I81" s="125">
        <f t="shared" si="9"/>
        <v>1.5821368815308414</v>
      </c>
      <c r="J81" s="114">
        <f t="shared" si="10"/>
        <v>1.7910684407654207</v>
      </c>
    </row>
    <row r="82" spans="6:10" ht="16">
      <c r="F82" s="124">
        <f t="shared" si="11"/>
        <v>-0.26999999999999935</v>
      </c>
      <c r="G82" s="125">
        <f t="shared" si="7"/>
        <v>0.80749074649070252</v>
      </c>
      <c r="H82" s="125">
        <f t="shared" si="8"/>
        <v>0.19250925350929748</v>
      </c>
      <c r="I82" s="125">
        <f t="shared" si="9"/>
        <v>1.614981492981405</v>
      </c>
      <c r="J82" s="114">
        <f t="shared" si="10"/>
        <v>1.8074907464907026</v>
      </c>
    </row>
    <row r="83" spans="6:10" ht="16">
      <c r="F83" s="124">
        <f t="shared" si="11"/>
        <v>-0.25999999999999934</v>
      </c>
      <c r="G83" s="125">
        <f t="shared" si="7"/>
        <v>0.82300590166313559</v>
      </c>
      <c r="H83" s="125">
        <f t="shared" si="8"/>
        <v>0.17699409833686441</v>
      </c>
      <c r="I83" s="125">
        <f t="shared" si="9"/>
        <v>1.6460118033262712</v>
      </c>
      <c r="J83" s="114">
        <f t="shared" si="10"/>
        <v>1.8230059016631355</v>
      </c>
    </row>
    <row r="84" spans="6:10" ht="16">
      <c r="F84" s="124">
        <f t="shared" si="11"/>
        <v>-0.24999999999999933</v>
      </c>
      <c r="G84" s="125">
        <f t="shared" si="7"/>
        <v>0.83766431432152488</v>
      </c>
      <c r="H84" s="125">
        <f t="shared" si="8"/>
        <v>0.16233568567847512</v>
      </c>
      <c r="I84" s="125">
        <f t="shared" si="9"/>
        <v>1.6753286286430498</v>
      </c>
      <c r="J84" s="114">
        <f t="shared" si="10"/>
        <v>1.837664314321525</v>
      </c>
    </row>
    <row r="85" spans="6:10" ht="16">
      <c r="F85" s="124">
        <f t="shared" si="11"/>
        <v>-0.23999999999999932</v>
      </c>
      <c r="G85" s="125">
        <f t="shared" si="7"/>
        <v>0.85151023106848867</v>
      </c>
      <c r="H85" s="125">
        <f t="shared" si="8"/>
        <v>0.14848976893151133</v>
      </c>
      <c r="I85" s="125">
        <f t="shared" si="9"/>
        <v>1.7030204621369773</v>
      </c>
      <c r="J85" s="114">
        <f t="shared" si="10"/>
        <v>1.8515102310684886</v>
      </c>
    </row>
    <row r="86" spans="6:10" ht="16">
      <c r="F86" s="124">
        <f t="shared" si="11"/>
        <v>-0.22999999999999932</v>
      </c>
      <c r="G86" s="125">
        <f t="shared" si="7"/>
        <v>0.8645826880941071</v>
      </c>
      <c r="H86" s="125">
        <f t="shared" si="8"/>
        <v>0.1354173119058929</v>
      </c>
      <c r="I86" s="125">
        <f t="shared" si="9"/>
        <v>1.7291653761882142</v>
      </c>
      <c r="J86" s="114">
        <f t="shared" si="10"/>
        <v>1.864582688094107</v>
      </c>
    </row>
    <row r="87" spans="6:10" ht="16">
      <c r="F87" s="124">
        <f t="shared" si="11"/>
        <v>-0.21999999999999931</v>
      </c>
      <c r="G87" s="125">
        <f t="shared" si="7"/>
        <v>0.87691627667692096</v>
      </c>
      <c r="H87" s="125">
        <f t="shared" si="8"/>
        <v>0.12308372332307904</v>
      </c>
      <c r="I87" s="125">
        <f t="shared" si="9"/>
        <v>1.7538325533538419</v>
      </c>
      <c r="J87" s="114">
        <f t="shared" si="10"/>
        <v>1.876916276676921</v>
      </c>
    </row>
    <row r="88" spans="6:10" ht="16">
      <c r="F88" s="124">
        <f t="shared" si="11"/>
        <v>-0.2099999999999993</v>
      </c>
      <c r="G88" s="125">
        <f t="shared" si="7"/>
        <v>0.88854176540045493</v>
      </c>
      <c r="H88" s="125">
        <f t="shared" si="8"/>
        <v>0.11145823459954507</v>
      </c>
      <c r="I88" s="125">
        <f t="shared" si="9"/>
        <v>1.7770835308009099</v>
      </c>
      <c r="J88" s="114">
        <f t="shared" si="10"/>
        <v>1.888541765400455</v>
      </c>
    </row>
    <row r="89" spans="6:10" ht="16">
      <c r="F89" s="124">
        <f t="shared" si="11"/>
        <v>-0.19999999999999929</v>
      </c>
      <c r="G89" s="125">
        <f t="shared" si="7"/>
        <v>0.89948661036847044</v>
      </c>
      <c r="H89" s="125">
        <f t="shared" si="8"/>
        <v>0.10051338963152956</v>
      </c>
      <c r="I89" s="125">
        <f t="shared" si="9"/>
        <v>1.7989732207369409</v>
      </c>
      <c r="J89" s="114">
        <f t="shared" si="10"/>
        <v>1.8994866103684704</v>
      </c>
    </row>
    <row r="90" spans="6:10" ht="16">
      <c r="F90" s="124">
        <f t="shared" si="11"/>
        <v>-0.18999999999999928</v>
      </c>
      <c r="G90" s="125">
        <f t="shared" si="7"/>
        <v>0.909775376900543</v>
      </c>
      <c r="H90" s="125">
        <f t="shared" si="8"/>
        <v>9.0224623099457002E-2</v>
      </c>
      <c r="I90" s="125">
        <f t="shared" si="9"/>
        <v>1.819550753801086</v>
      </c>
      <c r="J90" s="114">
        <f t="shared" si="10"/>
        <v>1.909775376900543</v>
      </c>
    </row>
    <row r="91" spans="6:10" ht="16">
      <c r="F91" s="124">
        <f t="shared" si="11"/>
        <v>-0.17999999999999927</v>
      </c>
      <c r="G91" s="125">
        <f t="shared" si="7"/>
        <v>0.91943009054960256</v>
      </c>
      <c r="H91" s="125">
        <f t="shared" si="8"/>
        <v>8.0569909450397437E-2</v>
      </c>
      <c r="I91" s="125">
        <f t="shared" si="9"/>
        <v>1.8388601810992051</v>
      </c>
      <c r="J91" s="114">
        <f t="shared" si="10"/>
        <v>1.9194300905496027</v>
      </c>
    </row>
    <row r="92" spans="6:10" ht="16">
      <c r="F92" s="124">
        <f t="shared" si="11"/>
        <v>-0.16999999999999926</v>
      </c>
      <c r="G92" s="125">
        <f t="shared" si="7"/>
        <v>0.92847053114933931</v>
      </c>
      <c r="H92" s="125">
        <f t="shared" si="8"/>
        <v>7.1529468850660693E-2</v>
      </c>
      <c r="I92" s="125">
        <f t="shared" si="9"/>
        <v>1.8569410622986786</v>
      </c>
      <c r="J92" s="114">
        <f t="shared" si="10"/>
        <v>1.9284705311493393</v>
      </c>
    </row>
    <row r="93" spans="6:10" ht="16">
      <c r="F93" s="124">
        <f t="shared" si="11"/>
        <v>-0.15999999999999925</v>
      </c>
      <c r="G93" s="125">
        <f t="shared" si="7"/>
        <v>0.93691448053095172</v>
      </c>
      <c r="H93" s="125">
        <f t="shared" si="8"/>
        <v>6.3085519469048279E-2</v>
      </c>
      <c r="I93" s="125">
        <f t="shared" si="9"/>
        <v>1.8738289610619034</v>
      </c>
      <c r="J93" s="114">
        <f t="shared" si="10"/>
        <v>1.9369144805309517</v>
      </c>
    </row>
    <row r="94" spans="6:10" ht="16">
      <c r="F94" s="124">
        <f t="shared" si="11"/>
        <v>-0.14999999999999925</v>
      </c>
      <c r="G94" s="125">
        <f t="shared" si="7"/>
        <v>0.94477793224418116</v>
      </c>
      <c r="H94" s="125">
        <f t="shared" si="8"/>
        <v>5.5222067755818838E-2</v>
      </c>
      <c r="I94" s="125">
        <f t="shared" si="9"/>
        <v>1.8895558644883623</v>
      </c>
      <c r="J94" s="114">
        <f t="shared" si="10"/>
        <v>1.9447779322441812</v>
      </c>
    </row>
    <row r="95" spans="6:10" ht="16">
      <c r="F95" s="124">
        <f t="shared" si="11"/>
        <v>-0.13999999999999924</v>
      </c>
      <c r="G95" s="125">
        <f t="shared" si="7"/>
        <v>0.95207526986775526</v>
      </c>
      <c r="H95" s="125">
        <f t="shared" si="8"/>
        <v>4.7924730132244742E-2</v>
      </c>
      <c r="I95" s="125">
        <f t="shared" si="9"/>
        <v>1.9041505397355105</v>
      </c>
      <c r="J95" s="114">
        <f t="shared" si="10"/>
        <v>1.9520752698677553</v>
      </c>
    </row>
    <row r="96" spans="6:10" ht="16">
      <c r="F96" s="124">
        <f t="shared" si="11"/>
        <v>-0.12999999999999923</v>
      </c>
      <c r="G96" s="125">
        <f t="shared" si="7"/>
        <v>0.95881941915205715</v>
      </c>
      <c r="H96" s="125">
        <f t="shared" si="8"/>
        <v>4.1180580847942849E-2</v>
      </c>
      <c r="I96" s="125">
        <f t="shared" si="9"/>
        <v>1.9176388383041143</v>
      </c>
      <c r="J96" s="114">
        <f t="shared" si="10"/>
        <v>1.9588194191520572</v>
      </c>
    </row>
    <row r="97" spans="6:10" ht="16">
      <c r="F97" s="124">
        <f t="shared" si="11"/>
        <v>-0.11999999999999923</v>
      </c>
      <c r="G97" s="125">
        <f t="shared" si="7"/>
        <v>0.96502197819716939</v>
      </c>
      <c r="H97" s="125">
        <f t="shared" si="8"/>
        <v>3.4978021802830606E-2</v>
      </c>
      <c r="I97" s="125">
        <f t="shared" si="9"/>
        <v>1.9300439563943388</v>
      </c>
      <c r="J97" s="114">
        <f t="shared" si="10"/>
        <v>1.9650219781971694</v>
      </c>
    </row>
    <row r="98" spans="6:10" ht="16">
      <c r="F98" s="124">
        <f t="shared" si="11"/>
        <v>-0.10999999999999924</v>
      </c>
      <c r="G98" s="125">
        <f t="shared" si="7"/>
        <v>0.97069332905672578</v>
      </c>
      <c r="H98" s="125">
        <f t="shared" si="8"/>
        <v>2.9306670943274216E-2</v>
      </c>
      <c r="I98" s="125">
        <f t="shared" si="9"/>
        <v>1.9413866581134516</v>
      </c>
      <c r="J98" s="114">
        <f t="shared" si="10"/>
        <v>1.9706933290567257</v>
      </c>
    </row>
    <row r="99" spans="6:10" ht="16">
      <c r="F99" s="124">
        <f t="shared" si="11"/>
        <v>-9.9999999999999242E-2</v>
      </c>
      <c r="G99" s="125">
        <f t="shared" si="7"/>
        <v>0.9758427335170563</v>
      </c>
      <c r="H99" s="125">
        <f t="shared" si="8"/>
        <v>2.4157266482943696E-2</v>
      </c>
      <c r="I99" s="125">
        <f t="shared" si="9"/>
        <v>1.9516854670341126</v>
      </c>
      <c r="J99" s="114">
        <f t="shared" si="10"/>
        <v>1.9758427335170563</v>
      </c>
    </row>
    <row r="100" spans="6:10" ht="16">
      <c r="F100" s="124">
        <f t="shared" si="11"/>
        <v>-8.9999999999999247E-2</v>
      </c>
      <c r="G100" s="125">
        <f t="shared" si="7"/>
        <v>0.98047841529123569</v>
      </c>
      <c r="H100" s="125">
        <f t="shared" si="8"/>
        <v>1.9521584708764306E-2</v>
      </c>
      <c r="I100" s="125">
        <f t="shared" si="9"/>
        <v>1.9609568305824714</v>
      </c>
      <c r="J100" s="114">
        <f t="shared" si="10"/>
        <v>1.9804784152912358</v>
      </c>
    </row>
    <row r="101" spans="6:10" ht="16">
      <c r="F101" s="124">
        <f t="shared" si="11"/>
        <v>-7.9999999999999252E-2</v>
      </c>
      <c r="G101" s="125">
        <f t="shared" si="7"/>
        <v>0.9846076304585224</v>
      </c>
      <c r="H101" s="125">
        <f t="shared" si="8"/>
        <v>1.5392369541477602E-2</v>
      </c>
      <c r="I101" s="125">
        <f t="shared" si="9"/>
        <v>1.9692152609170448</v>
      </c>
      <c r="J101" s="114">
        <f t="shared" si="10"/>
        <v>1.9846076304585223</v>
      </c>
    </row>
    <row r="102" spans="6:10" ht="16">
      <c r="F102" s="124">
        <f t="shared" si="11"/>
        <v>-6.9999999999999257E-2</v>
      </c>
      <c r="G102" s="125">
        <f t="shared" si="7"/>
        <v>0.98823672764851234</v>
      </c>
      <c r="H102" s="125">
        <f t="shared" si="8"/>
        <v>1.1763272351487664E-2</v>
      </c>
      <c r="I102" s="125">
        <f t="shared" si="9"/>
        <v>1.9764734552970247</v>
      </c>
      <c r="J102" s="114">
        <f t="shared" si="10"/>
        <v>1.9882367276485122</v>
      </c>
    </row>
    <row r="103" spans="6:10" ht="16">
      <c r="F103" s="124">
        <f t="shared" si="11"/>
        <v>-5.9999999999999255E-2</v>
      </c>
      <c r="G103" s="125">
        <f t="shared" si="7"/>
        <v>0.99137119919881411</v>
      </c>
      <c r="H103" s="125">
        <f t="shared" si="8"/>
        <v>8.6288008011858874E-3</v>
      </c>
      <c r="I103" s="125">
        <f t="shared" si="9"/>
        <v>1.9827423983976282</v>
      </c>
      <c r="J103" s="114">
        <f t="shared" si="10"/>
        <v>1.9913711991988141</v>
      </c>
    </row>
    <row r="104" spans="6:10" ht="16">
      <c r="F104" s="124">
        <f t="shared" si="11"/>
        <v>-4.9999999999999253E-2</v>
      </c>
      <c r="G104" s="125">
        <f t="shared" si="7"/>
        <v>0.99401572429187979</v>
      </c>
      <c r="H104" s="125">
        <f t="shared" si="8"/>
        <v>5.9842757081202125E-3</v>
      </c>
      <c r="I104" s="125">
        <f t="shared" si="9"/>
        <v>1.9880314485837596</v>
      </c>
      <c r="J104" s="114">
        <f t="shared" si="10"/>
        <v>1.9940157242918799</v>
      </c>
    </row>
    <row r="105" spans="6:10" ht="16">
      <c r="F105" s="124">
        <f t="shared" si="11"/>
        <v>-3.9999999999999251E-2</v>
      </c>
      <c r="G105" s="125">
        <f t="shared" si="7"/>
        <v>0.99617420489053354</v>
      </c>
      <c r="H105" s="125">
        <f t="shared" si="8"/>
        <v>3.8257951094664566E-3</v>
      </c>
      <c r="I105" s="125">
        <f t="shared" si="9"/>
        <v>1.9923484097810671</v>
      </c>
      <c r="J105" s="114">
        <f t="shared" si="10"/>
        <v>1.9961742048905335</v>
      </c>
    </row>
    <row r="106" spans="6:10" ht="16">
      <c r="F106" s="124">
        <f t="shared" si="11"/>
        <v>-2.9999999999999249E-2</v>
      </c>
      <c r="G106" s="125">
        <f t="shared" si="7"/>
        <v>0.99784979513463035</v>
      </c>
      <c r="H106" s="125">
        <f t="shared" si="8"/>
        <v>2.1502048653696537E-3</v>
      </c>
      <c r="I106" s="125">
        <f t="shared" si="9"/>
        <v>1.9956995902692607</v>
      </c>
      <c r="J106" s="114">
        <f t="shared" si="10"/>
        <v>1.9978497951346303</v>
      </c>
    </row>
    <row r="107" spans="6:10" ht="16">
      <c r="F107" s="124">
        <f t="shared" si="11"/>
        <v>-1.9999999999999248E-2</v>
      </c>
      <c r="G107" s="125">
        <f t="shared" si="7"/>
        <v>0.99904492472677209</v>
      </c>
      <c r="H107" s="125">
        <f t="shared" si="8"/>
        <v>9.5507527322791219E-4</v>
      </c>
      <c r="I107" s="125">
        <f t="shared" si="9"/>
        <v>1.9980898494535442</v>
      </c>
      <c r="J107" s="114">
        <f t="shared" si="10"/>
        <v>1.9990449247267721</v>
      </c>
    </row>
    <row r="108" spans="6:10" ht="16">
      <c r="F108" s="124">
        <f t="shared" si="11"/>
        <v>-9.9999999999992473E-3</v>
      </c>
      <c r="G108" s="125">
        <f t="shared" si="7"/>
        <v>0.99976131671793567</v>
      </c>
      <c r="H108" s="125">
        <f t="shared" si="8"/>
        <v>2.3868328206433365E-4</v>
      </c>
      <c r="I108" s="125">
        <f t="shared" si="9"/>
        <v>1.9995226334358713</v>
      </c>
      <c r="J108" s="114">
        <f t="shared" si="10"/>
        <v>1.9997613167179358</v>
      </c>
    </row>
    <row r="109" spans="6:10" ht="16">
      <c r="F109" s="124">
        <f t="shared" si="11"/>
        <v>7.5286998857393428E-16</v>
      </c>
      <c r="G109" s="125">
        <f t="shared" si="7"/>
        <v>1</v>
      </c>
      <c r="H109" s="125">
        <f t="shared" si="8"/>
        <v>0</v>
      </c>
      <c r="I109" s="125">
        <f t="shared" si="9"/>
        <v>2</v>
      </c>
      <c r="J109" s="114">
        <f t="shared" si="10"/>
        <v>2</v>
      </c>
    </row>
    <row r="110" spans="6:10" ht="16">
      <c r="F110" s="124">
        <f t="shared" si="11"/>
        <v>1.0000000000000753E-2</v>
      </c>
      <c r="G110" s="125">
        <f t="shared" si="7"/>
        <v>0.99976131671793556</v>
      </c>
      <c r="H110" s="125">
        <f t="shared" si="8"/>
        <v>0</v>
      </c>
      <c r="I110" s="125">
        <f t="shared" si="9"/>
        <v>2</v>
      </c>
      <c r="J110" s="114">
        <f t="shared" si="10"/>
        <v>2</v>
      </c>
    </row>
    <row r="111" spans="6:10" ht="16">
      <c r="F111" s="124">
        <f t="shared" si="11"/>
        <v>2.0000000000000753E-2</v>
      </c>
      <c r="G111" s="125">
        <f t="shared" si="7"/>
        <v>0.99904492472677198</v>
      </c>
      <c r="H111" s="125">
        <f t="shared" si="8"/>
        <v>0</v>
      </c>
      <c r="I111" s="125">
        <f t="shared" si="9"/>
        <v>2</v>
      </c>
      <c r="J111" s="114">
        <f t="shared" si="10"/>
        <v>2</v>
      </c>
    </row>
    <row r="112" spans="6:10" ht="16">
      <c r="F112" s="124">
        <f t="shared" si="11"/>
        <v>3.0000000000000755E-2</v>
      </c>
      <c r="G112" s="125">
        <f t="shared" si="7"/>
        <v>0.99784979513463012</v>
      </c>
      <c r="H112" s="125">
        <f t="shared" si="8"/>
        <v>0</v>
      </c>
      <c r="I112" s="125">
        <f t="shared" si="9"/>
        <v>2</v>
      </c>
      <c r="J112" s="114">
        <f t="shared" si="10"/>
        <v>2</v>
      </c>
    </row>
    <row r="113" spans="6:10" ht="16">
      <c r="F113" s="124">
        <f t="shared" si="11"/>
        <v>4.0000000000000757E-2</v>
      </c>
      <c r="G113" s="125">
        <f t="shared" si="7"/>
        <v>0.99617420489053321</v>
      </c>
      <c r="H113" s="125">
        <f t="shared" si="8"/>
        <v>0</v>
      </c>
      <c r="I113" s="125">
        <f t="shared" si="9"/>
        <v>2</v>
      </c>
      <c r="J113" s="114">
        <f t="shared" si="10"/>
        <v>2</v>
      </c>
    </row>
    <row r="114" spans="6:10" ht="16">
      <c r="F114" s="124">
        <f t="shared" si="11"/>
        <v>5.0000000000000759E-2</v>
      </c>
      <c r="G114" s="125">
        <f t="shared" si="7"/>
        <v>0.99401572429187945</v>
      </c>
      <c r="H114" s="125">
        <f t="shared" si="8"/>
        <v>0</v>
      </c>
      <c r="I114" s="125">
        <f t="shared" si="9"/>
        <v>2</v>
      </c>
      <c r="J114" s="114">
        <f t="shared" si="10"/>
        <v>2</v>
      </c>
    </row>
    <row r="115" spans="6:10" ht="16">
      <c r="F115" s="124">
        <f t="shared" si="11"/>
        <v>6.0000000000000761E-2</v>
      </c>
      <c r="G115" s="125">
        <f t="shared" si="7"/>
        <v>0.99137119919881367</v>
      </c>
      <c r="H115" s="125">
        <f t="shared" si="8"/>
        <v>0</v>
      </c>
      <c r="I115" s="125">
        <f t="shared" si="9"/>
        <v>2</v>
      </c>
      <c r="J115" s="114">
        <f t="shared" si="10"/>
        <v>2</v>
      </c>
    </row>
    <row r="116" spans="6:10" ht="16">
      <c r="F116" s="124">
        <f t="shared" si="11"/>
        <v>7.0000000000000756E-2</v>
      </c>
      <c r="G116" s="125">
        <f t="shared" si="7"/>
        <v>0.98823672764851189</v>
      </c>
      <c r="H116" s="125">
        <f t="shared" si="8"/>
        <v>0</v>
      </c>
      <c r="I116" s="125">
        <f t="shared" si="9"/>
        <v>2</v>
      </c>
      <c r="J116" s="114">
        <f t="shared" si="10"/>
        <v>2</v>
      </c>
    </row>
    <row r="117" spans="6:10" ht="16">
      <c r="F117" s="124">
        <f t="shared" si="11"/>
        <v>8.0000000000000751E-2</v>
      </c>
      <c r="G117" s="125">
        <f t="shared" si="7"/>
        <v>0.98460763045852173</v>
      </c>
      <c r="H117" s="125">
        <f t="shared" si="8"/>
        <v>0</v>
      </c>
      <c r="I117" s="125">
        <f t="shared" si="9"/>
        <v>2</v>
      </c>
      <c r="J117" s="114">
        <f t="shared" si="10"/>
        <v>2</v>
      </c>
    </row>
    <row r="118" spans="6:10" ht="16">
      <c r="F118" s="124">
        <f t="shared" si="11"/>
        <v>9.0000000000000746E-2</v>
      </c>
      <c r="G118" s="125">
        <f t="shared" si="7"/>
        <v>0.98047841529123503</v>
      </c>
      <c r="H118" s="125">
        <f t="shared" si="8"/>
        <v>0</v>
      </c>
      <c r="I118" s="125">
        <f t="shared" si="9"/>
        <v>2</v>
      </c>
      <c r="J118" s="114">
        <f t="shared" si="10"/>
        <v>2</v>
      </c>
    </row>
    <row r="119" spans="6:10" ht="16">
      <c r="F119" s="124">
        <f t="shared" si="11"/>
        <v>0.10000000000000074</v>
      </c>
      <c r="G119" s="125">
        <f t="shared" si="7"/>
        <v>0.97584273351705553</v>
      </c>
      <c r="H119" s="125">
        <f t="shared" si="8"/>
        <v>0</v>
      </c>
      <c r="I119" s="125">
        <f t="shared" si="9"/>
        <v>2</v>
      </c>
      <c r="J119" s="114">
        <f t="shared" si="10"/>
        <v>2</v>
      </c>
    </row>
    <row r="120" spans="6:10" ht="16">
      <c r="F120" s="124">
        <f t="shared" si="11"/>
        <v>0.11000000000000074</v>
      </c>
      <c r="G120" s="125">
        <f t="shared" si="7"/>
        <v>0.97069332905672501</v>
      </c>
      <c r="H120" s="125">
        <f t="shared" si="8"/>
        <v>0</v>
      </c>
      <c r="I120" s="125">
        <f t="shared" si="9"/>
        <v>2</v>
      </c>
      <c r="J120" s="114">
        <f t="shared" si="10"/>
        <v>2</v>
      </c>
    </row>
    <row r="121" spans="6:10" ht="16">
      <c r="F121" s="124">
        <f t="shared" si="11"/>
        <v>0.12000000000000073</v>
      </c>
      <c r="G121" s="125">
        <f t="shared" si="7"/>
        <v>0.96502197819716862</v>
      </c>
      <c r="H121" s="125">
        <f t="shared" si="8"/>
        <v>0</v>
      </c>
      <c r="I121" s="125">
        <f t="shared" si="9"/>
        <v>2</v>
      </c>
      <c r="J121" s="114">
        <f t="shared" si="10"/>
        <v>2</v>
      </c>
    </row>
    <row r="122" spans="6:10" ht="16">
      <c r="F122" s="124">
        <f t="shared" si="11"/>
        <v>0.13000000000000073</v>
      </c>
      <c r="G122" s="125">
        <f t="shared" si="7"/>
        <v>0.95881941915205615</v>
      </c>
      <c r="H122" s="125">
        <f t="shared" si="8"/>
        <v>0</v>
      </c>
      <c r="I122" s="125">
        <f t="shared" si="9"/>
        <v>2</v>
      </c>
      <c r="J122" s="114">
        <f t="shared" si="10"/>
        <v>2</v>
      </c>
    </row>
    <row r="123" spans="6:10" ht="16">
      <c r="F123" s="124">
        <f t="shared" si="11"/>
        <v>0.14000000000000073</v>
      </c>
      <c r="G123" s="125">
        <f t="shared" si="7"/>
        <v>0.95207526986775426</v>
      </c>
      <c r="H123" s="125">
        <f t="shared" si="8"/>
        <v>0</v>
      </c>
      <c r="I123" s="125">
        <f t="shared" si="9"/>
        <v>2</v>
      </c>
      <c r="J123" s="114">
        <f t="shared" si="10"/>
        <v>2</v>
      </c>
    </row>
    <row r="124" spans="6:10" ht="16">
      <c r="F124" s="124">
        <f t="shared" si="11"/>
        <v>0.15000000000000074</v>
      </c>
      <c r="G124" s="125">
        <f t="shared" si="7"/>
        <v>0.94477793224418005</v>
      </c>
      <c r="H124" s="125">
        <f t="shared" si="8"/>
        <v>0</v>
      </c>
      <c r="I124" s="125">
        <f t="shared" si="9"/>
        <v>2</v>
      </c>
      <c r="J124" s="114">
        <f t="shared" si="10"/>
        <v>2</v>
      </c>
    </row>
    <row r="125" spans="6:10" ht="16">
      <c r="F125" s="124">
        <f t="shared" si="11"/>
        <v>0.16000000000000075</v>
      </c>
      <c r="G125" s="125">
        <f t="shared" si="7"/>
        <v>0.9369144805309505</v>
      </c>
      <c r="H125" s="125">
        <f t="shared" si="8"/>
        <v>0</v>
      </c>
      <c r="I125" s="125">
        <f t="shared" si="9"/>
        <v>2</v>
      </c>
      <c r="J125" s="114">
        <f t="shared" si="10"/>
        <v>2</v>
      </c>
    </row>
    <row r="126" spans="6:10" ht="16">
      <c r="F126" s="124">
        <f t="shared" si="11"/>
        <v>0.17000000000000076</v>
      </c>
      <c r="G126" s="125">
        <f t="shared" si="7"/>
        <v>0.92847053114933797</v>
      </c>
      <c r="H126" s="125">
        <f t="shared" si="8"/>
        <v>0</v>
      </c>
      <c r="I126" s="125">
        <f t="shared" si="9"/>
        <v>2</v>
      </c>
      <c r="J126" s="114">
        <f t="shared" si="10"/>
        <v>2</v>
      </c>
    </row>
    <row r="127" spans="6:10" ht="16">
      <c r="F127" s="124">
        <f t="shared" si="11"/>
        <v>0.18000000000000077</v>
      </c>
      <c r="G127" s="125">
        <f t="shared" si="7"/>
        <v>0.91943009054960112</v>
      </c>
      <c r="H127" s="125">
        <f t="shared" si="8"/>
        <v>0</v>
      </c>
      <c r="I127" s="125">
        <f t="shared" si="9"/>
        <v>2</v>
      </c>
      <c r="J127" s="114">
        <f t="shared" si="10"/>
        <v>2</v>
      </c>
    </row>
    <row r="128" spans="6:10" ht="16">
      <c r="F128" s="124">
        <f t="shared" si="11"/>
        <v>0.19000000000000078</v>
      </c>
      <c r="G128" s="125">
        <f t="shared" si="7"/>
        <v>0.90977537690054155</v>
      </c>
      <c r="H128" s="125">
        <f t="shared" si="8"/>
        <v>0</v>
      </c>
      <c r="I128" s="125">
        <f t="shared" si="9"/>
        <v>2</v>
      </c>
      <c r="J128" s="114">
        <f t="shared" si="10"/>
        <v>2</v>
      </c>
    </row>
    <row r="129" spans="6:10" ht="16">
      <c r="F129" s="124">
        <f t="shared" si="11"/>
        <v>0.20000000000000079</v>
      </c>
      <c r="G129" s="125">
        <f t="shared" si="7"/>
        <v>0.89948661036846889</v>
      </c>
      <c r="H129" s="125">
        <f t="shared" si="8"/>
        <v>0</v>
      </c>
      <c r="I129" s="125">
        <f t="shared" si="9"/>
        <v>2</v>
      </c>
      <c r="J129" s="114">
        <f t="shared" si="10"/>
        <v>2</v>
      </c>
    </row>
    <row r="130" spans="6:10" ht="16">
      <c r="F130" s="124">
        <f t="shared" si="11"/>
        <v>0.2100000000000008</v>
      </c>
      <c r="G130" s="125">
        <f t="shared" si="7"/>
        <v>0.88854176540045315</v>
      </c>
      <c r="H130" s="125">
        <f t="shared" si="8"/>
        <v>0</v>
      </c>
      <c r="I130" s="125">
        <f t="shared" si="9"/>
        <v>2</v>
      </c>
      <c r="J130" s="114">
        <f t="shared" si="10"/>
        <v>2</v>
      </c>
    </row>
    <row r="131" spans="6:10" ht="16">
      <c r="F131" s="124">
        <f t="shared" si="11"/>
        <v>0.22000000000000081</v>
      </c>
      <c r="G131" s="125">
        <f t="shared" si="7"/>
        <v>0.87691627667691918</v>
      </c>
      <c r="H131" s="125">
        <f t="shared" si="8"/>
        <v>0</v>
      </c>
      <c r="I131" s="125">
        <f t="shared" si="9"/>
        <v>2</v>
      </c>
      <c r="J131" s="114">
        <f t="shared" si="10"/>
        <v>2</v>
      </c>
    </row>
    <row r="132" spans="6:10" ht="16">
      <c r="F132" s="124">
        <f t="shared" si="11"/>
        <v>0.23000000000000081</v>
      </c>
      <c r="G132" s="125">
        <f t="shared" si="7"/>
        <v>0.86458268809410521</v>
      </c>
      <c r="H132" s="125">
        <f t="shared" si="8"/>
        <v>0</v>
      </c>
      <c r="I132" s="125">
        <f t="shared" si="9"/>
        <v>2</v>
      </c>
      <c r="J132" s="114">
        <f t="shared" si="10"/>
        <v>2</v>
      </c>
    </row>
    <row r="133" spans="6:10" ht="16">
      <c r="F133" s="124">
        <f t="shared" si="11"/>
        <v>0.24000000000000082</v>
      </c>
      <c r="G133" s="125">
        <f t="shared" si="7"/>
        <v>0.85151023106848656</v>
      </c>
      <c r="H133" s="125">
        <f t="shared" si="8"/>
        <v>0</v>
      </c>
      <c r="I133" s="125">
        <f t="shared" si="9"/>
        <v>2</v>
      </c>
      <c r="J133" s="114">
        <f t="shared" si="10"/>
        <v>2</v>
      </c>
    </row>
    <row r="134" spans="6:10" ht="16">
      <c r="F134" s="124">
        <f t="shared" si="11"/>
        <v>0.25000000000000083</v>
      </c>
      <c r="G134" s="125">
        <f t="shared" si="7"/>
        <v>0.83766431432152277</v>
      </c>
      <c r="H134" s="125">
        <f t="shared" si="8"/>
        <v>0</v>
      </c>
      <c r="I134" s="125">
        <f t="shared" si="9"/>
        <v>2</v>
      </c>
      <c r="J134" s="114">
        <f t="shared" si="10"/>
        <v>2</v>
      </c>
    </row>
    <row r="135" spans="6:10" ht="16">
      <c r="F135" s="124">
        <f t="shared" si="11"/>
        <v>0.26000000000000084</v>
      </c>
      <c r="G135" s="125">
        <f t="shared" si="7"/>
        <v>0.82300590166313325</v>
      </c>
      <c r="H135" s="125">
        <f t="shared" si="8"/>
        <v>0</v>
      </c>
      <c r="I135" s="125">
        <f t="shared" si="9"/>
        <v>2</v>
      </c>
      <c r="J135" s="114">
        <f t="shared" si="10"/>
        <v>2</v>
      </c>
    </row>
    <row r="136" spans="6:10" ht="16">
      <c r="F136" s="124">
        <f t="shared" si="11"/>
        <v>0.27000000000000085</v>
      </c>
      <c r="G136" s="125">
        <f t="shared" si="7"/>
        <v>0.80749074649070007</v>
      </c>
      <c r="H136" s="125">
        <f t="shared" si="8"/>
        <v>0</v>
      </c>
      <c r="I136" s="125">
        <f t="shared" si="9"/>
        <v>2</v>
      </c>
      <c r="J136" s="114">
        <f t="shared" si="10"/>
        <v>2</v>
      </c>
    </row>
    <row r="137" spans="6:10" ht="16">
      <c r="F137" s="124">
        <f t="shared" si="11"/>
        <v>0.28000000000000086</v>
      </c>
      <c r="G137" s="125">
        <f t="shared" ref="G137:G200" si="12">IFERROR(IF(SQRT(1-(F137*F137)/($J$5*$J$5))&lt;0.05,0,SQRT(1-(F137*F137)/($J$5*$J$5))),0)</f>
        <v>0.79106844076541816</v>
      </c>
      <c r="H137" s="125">
        <f t="shared" ref="H137:H200" si="13">CHOOSE(MATCH($J$3,degrees),IF(F137&lt;0,IFERROR(1-G137,1),0),0,0,IF(F137&gt;0,IFERROR(1-G137,1),0))</f>
        <v>0</v>
      </c>
      <c r="I137" s="125">
        <f t="shared" ref="I137:I200" si="14">CHOOSE(MATCH($J$3,degrees),IF(F137&lt;0,2*G137,2),IF(F137&lt;0,0,1-G137),IF(F137&gt;0,0,1-G137),IF(F137&gt;0,2*G137,2))</f>
        <v>2</v>
      </c>
      <c r="J137" s="114">
        <f t="shared" ref="J137:J200" si="15">CHOOSE(MATCH($J$3,degrees),IF(F137&lt;0,G137+1,2),IF(F137&lt;0,2,2*G137),IF(F137&gt;0,2,2*G137),IF(F137&gt;0,G137+1,2))</f>
        <v>2</v>
      </c>
    </row>
    <row r="138" spans="6:10" ht="16">
      <c r="F138" s="124">
        <f t="shared" ref="F138:F201" si="16">F137+$G$4</f>
        <v>0.29000000000000087</v>
      </c>
      <c r="G138" s="125">
        <f t="shared" si="12"/>
        <v>0.77368122058966415</v>
      </c>
      <c r="H138" s="125">
        <f t="shared" si="13"/>
        <v>0</v>
      </c>
      <c r="I138" s="125">
        <f t="shared" si="14"/>
        <v>2</v>
      </c>
      <c r="J138" s="114">
        <f t="shared" si="15"/>
        <v>2</v>
      </c>
    </row>
    <row r="139" spans="6:10" ht="16">
      <c r="F139" s="124">
        <f t="shared" si="16"/>
        <v>0.30000000000000088</v>
      </c>
      <c r="G139" s="125">
        <f t="shared" si="12"/>
        <v>0.75526244777716567</v>
      </c>
      <c r="H139" s="125">
        <f t="shared" si="13"/>
        <v>0</v>
      </c>
      <c r="I139" s="125">
        <f t="shared" si="14"/>
        <v>2</v>
      </c>
      <c r="J139" s="114">
        <f t="shared" si="15"/>
        <v>2</v>
      </c>
    </row>
    <row r="140" spans="6:10" ht="16">
      <c r="F140" s="124">
        <f t="shared" si="16"/>
        <v>0.31000000000000089</v>
      </c>
      <c r="G140" s="125">
        <f t="shared" si="12"/>
        <v>0.73573465309360009</v>
      </c>
      <c r="H140" s="125">
        <f t="shared" si="13"/>
        <v>0</v>
      </c>
      <c r="I140" s="125">
        <f t="shared" si="14"/>
        <v>2</v>
      </c>
      <c r="J140" s="114">
        <f t="shared" si="15"/>
        <v>2</v>
      </c>
    </row>
    <row r="141" spans="6:10" ht="16">
      <c r="F141" s="124">
        <f t="shared" si="16"/>
        <v>0.32000000000000089</v>
      </c>
      <c r="G141" s="125">
        <f t="shared" si="12"/>
        <v>0.71500697571025496</v>
      </c>
      <c r="H141" s="125">
        <f t="shared" si="13"/>
        <v>0</v>
      </c>
      <c r="I141" s="125">
        <f t="shared" si="14"/>
        <v>2</v>
      </c>
      <c r="J141" s="114">
        <f t="shared" si="15"/>
        <v>2</v>
      </c>
    </row>
    <row r="142" spans="6:10" ht="16">
      <c r="F142" s="124">
        <f t="shared" si="16"/>
        <v>0.3300000000000009</v>
      </c>
      <c r="G142" s="125">
        <f t="shared" si="12"/>
        <v>0.6929717538811021</v>
      </c>
      <c r="H142" s="125">
        <f t="shared" si="13"/>
        <v>0</v>
      </c>
      <c r="I142" s="125">
        <f t="shared" si="14"/>
        <v>2</v>
      </c>
      <c r="J142" s="114">
        <f t="shared" si="15"/>
        <v>2</v>
      </c>
    </row>
    <row r="143" spans="6:10" ht="16">
      <c r="F143" s="124">
        <f t="shared" si="16"/>
        <v>0.34000000000000091</v>
      </c>
      <c r="G143" s="125">
        <f t="shared" si="12"/>
        <v>0.66949989458620329</v>
      </c>
      <c r="H143" s="125">
        <f t="shared" si="13"/>
        <v>0</v>
      </c>
      <c r="I143" s="125">
        <f t="shared" si="14"/>
        <v>2</v>
      </c>
      <c r="J143" s="114">
        <f t="shared" si="15"/>
        <v>2</v>
      </c>
    </row>
    <row r="144" spans="6:10" ht="16">
      <c r="F144" s="124">
        <f t="shared" si="16"/>
        <v>0.35000000000000092</v>
      </c>
      <c r="G144" s="125">
        <f t="shared" si="12"/>
        <v>0.64443443951730628</v>
      </c>
      <c r="H144" s="125">
        <f t="shared" si="13"/>
        <v>0</v>
      </c>
      <c r="I144" s="125">
        <f t="shared" si="14"/>
        <v>2</v>
      </c>
      <c r="J144" s="114">
        <f t="shared" si="15"/>
        <v>2</v>
      </c>
    </row>
    <row r="145" spans="6:10" ht="16">
      <c r="F145" s="124">
        <f t="shared" si="16"/>
        <v>0.36000000000000093</v>
      </c>
      <c r="G145" s="125">
        <f t="shared" si="12"/>
        <v>0.61758138381284855</v>
      </c>
      <c r="H145" s="125">
        <f t="shared" si="13"/>
        <v>0</v>
      </c>
      <c r="I145" s="125">
        <f t="shared" si="14"/>
        <v>2</v>
      </c>
      <c r="J145" s="114">
        <f t="shared" si="15"/>
        <v>2</v>
      </c>
    </row>
    <row r="146" spans="6:10" ht="16">
      <c r="F146" s="124">
        <f t="shared" si="16"/>
        <v>0.37000000000000094</v>
      </c>
      <c r="G146" s="125">
        <f t="shared" si="12"/>
        <v>0.58869615697706223</v>
      </c>
      <c r="H146" s="125">
        <f t="shared" si="13"/>
        <v>0</v>
      </c>
      <c r="I146" s="125">
        <f t="shared" si="14"/>
        <v>2</v>
      </c>
      <c r="J146" s="114">
        <f t="shared" si="15"/>
        <v>2</v>
      </c>
    </row>
    <row r="147" spans="6:10" ht="16">
      <c r="F147" s="124">
        <f t="shared" si="16"/>
        <v>0.38000000000000095</v>
      </c>
      <c r="G147" s="125">
        <f t="shared" si="12"/>
        <v>0.55746295451634409</v>
      </c>
      <c r="H147" s="125">
        <f t="shared" si="13"/>
        <v>0</v>
      </c>
      <c r="I147" s="125">
        <f t="shared" si="14"/>
        <v>2</v>
      </c>
      <c r="J147" s="114">
        <f t="shared" si="15"/>
        <v>2</v>
      </c>
    </row>
    <row r="148" spans="6:10" ht="16">
      <c r="F148" s="124">
        <f t="shared" si="16"/>
        <v>0.39000000000000096</v>
      </c>
      <c r="G148" s="125">
        <f t="shared" si="12"/>
        <v>0.52346165751445661</v>
      </c>
      <c r="H148" s="125">
        <f t="shared" si="13"/>
        <v>0</v>
      </c>
      <c r="I148" s="125">
        <f t="shared" si="14"/>
        <v>2</v>
      </c>
      <c r="J148" s="114">
        <f t="shared" si="15"/>
        <v>2</v>
      </c>
    </row>
    <row r="149" spans="6:10" ht="16">
      <c r="F149" s="124">
        <f t="shared" si="16"/>
        <v>0.40000000000000097</v>
      </c>
      <c r="G149" s="125">
        <f t="shared" si="12"/>
        <v>0.48611176588170901</v>
      </c>
      <c r="H149" s="125">
        <f t="shared" si="13"/>
        <v>0</v>
      </c>
      <c r="I149" s="125">
        <f t="shared" si="14"/>
        <v>2</v>
      </c>
      <c r="J149" s="114">
        <f t="shared" si="15"/>
        <v>2</v>
      </c>
    </row>
    <row r="150" spans="6:10" ht="16">
      <c r="F150" s="124">
        <f t="shared" si="16"/>
        <v>0.41000000000000097</v>
      </c>
      <c r="G150" s="125">
        <f t="shared" si="12"/>
        <v>0.44457009771311162</v>
      </c>
      <c r="H150" s="125">
        <f t="shared" si="13"/>
        <v>0</v>
      </c>
      <c r="I150" s="125">
        <f t="shared" si="14"/>
        <v>2</v>
      </c>
      <c r="J150" s="114">
        <f t="shared" si="15"/>
        <v>2</v>
      </c>
    </row>
    <row r="151" spans="6:10" ht="16">
      <c r="F151" s="124">
        <f t="shared" si="16"/>
        <v>0.42000000000000098</v>
      </c>
      <c r="G151" s="125">
        <f t="shared" si="12"/>
        <v>0.39752468532635604</v>
      </c>
      <c r="H151" s="125">
        <f t="shared" si="13"/>
        <v>0</v>
      </c>
      <c r="I151" s="125">
        <f t="shared" si="14"/>
        <v>2</v>
      </c>
      <c r="J151" s="114">
        <f t="shared" si="15"/>
        <v>2</v>
      </c>
    </row>
    <row r="152" spans="6:10" ht="16">
      <c r="F152" s="124">
        <f t="shared" si="16"/>
        <v>0.43000000000000099</v>
      </c>
      <c r="G152" s="125">
        <f t="shared" si="12"/>
        <v>0.34271644243915733</v>
      </c>
      <c r="H152" s="125">
        <f t="shared" si="13"/>
        <v>0</v>
      </c>
      <c r="I152" s="125">
        <f t="shared" si="14"/>
        <v>2</v>
      </c>
      <c r="J152" s="114">
        <f t="shared" si="15"/>
        <v>2</v>
      </c>
    </row>
    <row r="153" spans="6:10" ht="16">
      <c r="F153" s="124">
        <f t="shared" si="16"/>
        <v>0.440000000000001</v>
      </c>
      <c r="G153" s="125">
        <f t="shared" si="12"/>
        <v>0.27555149283509017</v>
      </c>
      <c r="H153" s="125">
        <f t="shared" si="13"/>
        <v>0</v>
      </c>
      <c r="I153" s="125">
        <f t="shared" si="14"/>
        <v>2</v>
      </c>
      <c r="J153" s="114">
        <f t="shared" si="15"/>
        <v>2</v>
      </c>
    </row>
    <row r="154" spans="6:10" ht="16">
      <c r="F154" s="124">
        <f t="shared" si="16"/>
        <v>0.45000000000000101</v>
      </c>
      <c r="G154" s="125">
        <f t="shared" si="12"/>
        <v>0.18288813876329441</v>
      </c>
      <c r="H154" s="125">
        <f t="shared" si="13"/>
        <v>0</v>
      </c>
      <c r="I154" s="125">
        <f t="shared" si="14"/>
        <v>2</v>
      </c>
      <c r="J154" s="114">
        <f t="shared" si="15"/>
        <v>2</v>
      </c>
    </row>
    <row r="155" spans="6:10" ht="16">
      <c r="F155" s="124">
        <f t="shared" si="16"/>
        <v>0.46000000000000102</v>
      </c>
      <c r="G155" s="125">
        <f t="shared" si="12"/>
        <v>0</v>
      </c>
      <c r="H155" s="125">
        <f t="shared" si="13"/>
        <v>0</v>
      </c>
      <c r="I155" s="125">
        <f t="shared" si="14"/>
        <v>2</v>
      </c>
      <c r="J155" s="114">
        <f t="shared" si="15"/>
        <v>2</v>
      </c>
    </row>
    <row r="156" spans="6:10" ht="16">
      <c r="F156" s="124">
        <f t="shared" si="16"/>
        <v>0.47000000000000103</v>
      </c>
      <c r="G156" s="125">
        <f t="shared" si="12"/>
        <v>0</v>
      </c>
      <c r="H156" s="125">
        <f t="shared" si="13"/>
        <v>0</v>
      </c>
      <c r="I156" s="125">
        <f t="shared" si="14"/>
        <v>2</v>
      </c>
      <c r="J156" s="114">
        <f t="shared" si="15"/>
        <v>2</v>
      </c>
    </row>
    <row r="157" spans="6:10" ht="16">
      <c r="F157" s="124">
        <f t="shared" si="16"/>
        <v>0.48000000000000104</v>
      </c>
      <c r="G157" s="125">
        <f t="shared" si="12"/>
        <v>0</v>
      </c>
      <c r="H157" s="125">
        <f t="shared" si="13"/>
        <v>0</v>
      </c>
      <c r="I157" s="125">
        <f t="shared" si="14"/>
        <v>2</v>
      </c>
      <c r="J157" s="114">
        <f t="shared" si="15"/>
        <v>2</v>
      </c>
    </row>
    <row r="158" spans="6:10" ht="16">
      <c r="F158" s="124">
        <f t="shared" si="16"/>
        <v>0.49000000000000105</v>
      </c>
      <c r="G158" s="125">
        <f t="shared" si="12"/>
        <v>0</v>
      </c>
      <c r="H158" s="125">
        <f t="shared" si="13"/>
        <v>0</v>
      </c>
      <c r="I158" s="125">
        <f t="shared" si="14"/>
        <v>2</v>
      </c>
      <c r="J158" s="114">
        <f t="shared" si="15"/>
        <v>2</v>
      </c>
    </row>
    <row r="159" spans="6:10" ht="16">
      <c r="F159" s="124">
        <f t="shared" si="16"/>
        <v>0.500000000000001</v>
      </c>
      <c r="G159" s="125">
        <f t="shared" si="12"/>
        <v>0</v>
      </c>
      <c r="H159" s="125">
        <f t="shared" si="13"/>
        <v>0</v>
      </c>
      <c r="I159" s="125">
        <f t="shared" si="14"/>
        <v>2</v>
      </c>
      <c r="J159" s="114">
        <f t="shared" si="15"/>
        <v>2</v>
      </c>
    </row>
    <row r="160" spans="6:10" ht="16">
      <c r="F160" s="124">
        <f t="shared" si="16"/>
        <v>0.51000000000000101</v>
      </c>
      <c r="G160" s="125">
        <f t="shared" si="12"/>
        <v>0</v>
      </c>
      <c r="H160" s="125">
        <f t="shared" si="13"/>
        <v>0</v>
      </c>
      <c r="I160" s="125">
        <f t="shared" si="14"/>
        <v>2</v>
      </c>
      <c r="J160" s="114">
        <f t="shared" si="15"/>
        <v>2</v>
      </c>
    </row>
    <row r="161" spans="6:10" ht="16">
      <c r="F161" s="124">
        <f t="shared" si="16"/>
        <v>0.52000000000000102</v>
      </c>
      <c r="G161" s="125">
        <f t="shared" si="12"/>
        <v>0</v>
      </c>
      <c r="H161" s="125">
        <f t="shared" si="13"/>
        <v>0</v>
      </c>
      <c r="I161" s="125">
        <f t="shared" si="14"/>
        <v>2</v>
      </c>
      <c r="J161" s="114">
        <f t="shared" si="15"/>
        <v>2</v>
      </c>
    </row>
    <row r="162" spans="6:10" ht="16">
      <c r="F162" s="124">
        <f t="shared" si="16"/>
        <v>0.53000000000000103</v>
      </c>
      <c r="G162" s="125">
        <f t="shared" si="12"/>
        <v>0</v>
      </c>
      <c r="H162" s="125">
        <f t="shared" si="13"/>
        <v>0</v>
      </c>
      <c r="I162" s="125">
        <f t="shared" si="14"/>
        <v>2</v>
      </c>
      <c r="J162" s="114">
        <f t="shared" si="15"/>
        <v>2</v>
      </c>
    </row>
    <row r="163" spans="6:10" ht="16">
      <c r="F163" s="124">
        <f t="shared" si="16"/>
        <v>0.54000000000000103</v>
      </c>
      <c r="G163" s="125">
        <f t="shared" si="12"/>
        <v>0</v>
      </c>
      <c r="H163" s="125">
        <f t="shared" si="13"/>
        <v>0</v>
      </c>
      <c r="I163" s="125">
        <f t="shared" si="14"/>
        <v>2</v>
      </c>
      <c r="J163" s="114">
        <f t="shared" si="15"/>
        <v>2</v>
      </c>
    </row>
    <row r="164" spans="6:10" ht="16">
      <c r="F164" s="124">
        <f t="shared" si="16"/>
        <v>0.55000000000000104</v>
      </c>
      <c r="G164" s="125">
        <f t="shared" si="12"/>
        <v>0</v>
      </c>
      <c r="H164" s="125">
        <f t="shared" si="13"/>
        <v>0</v>
      </c>
      <c r="I164" s="125">
        <f t="shared" si="14"/>
        <v>2</v>
      </c>
      <c r="J164" s="114">
        <f t="shared" si="15"/>
        <v>2</v>
      </c>
    </row>
    <row r="165" spans="6:10" ht="16">
      <c r="F165" s="124">
        <f t="shared" si="16"/>
        <v>0.56000000000000105</v>
      </c>
      <c r="G165" s="125">
        <f t="shared" si="12"/>
        <v>0</v>
      </c>
      <c r="H165" s="125">
        <f t="shared" si="13"/>
        <v>0</v>
      </c>
      <c r="I165" s="125">
        <f t="shared" si="14"/>
        <v>2</v>
      </c>
      <c r="J165" s="114">
        <f t="shared" si="15"/>
        <v>2</v>
      </c>
    </row>
    <row r="166" spans="6:10" ht="16">
      <c r="F166" s="124">
        <f t="shared" si="16"/>
        <v>0.57000000000000106</v>
      </c>
      <c r="G166" s="125">
        <f t="shared" si="12"/>
        <v>0</v>
      </c>
      <c r="H166" s="125">
        <f t="shared" si="13"/>
        <v>0</v>
      </c>
      <c r="I166" s="125">
        <f t="shared" si="14"/>
        <v>2</v>
      </c>
      <c r="J166" s="114">
        <f t="shared" si="15"/>
        <v>2</v>
      </c>
    </row>
    <row r="167" spans="6:10" ht="16">
      <c r="F167" s="124">
        <f t="shared" si="16"/>
        <v>0.58000000000000107</v>
      </c>
      <c r="G167" s="125">
        <f t="shared" si="12"/>
        <v>0</v>
      </c>
      <c r="H167" s="125">
        <f t="shared" si="13"/>
        <v>0</v>
      </c>
      <c r="I167" s="125">
        <f t="shared" si="14"/>
        <v>2</v>
      </c>
      <c r="J167" s="114">
        <f t="shared" si="15"/>
        <v>2</v>
      </c>
    </row>
    <row r="168" spans="6:10" ht="16">
      <c r="F168" s="124">
        <f t="shared" si="16"/>
        <v>0.59000000000000108</v>
      </c>
      <c r="G168" s="125">
        <f t="shared" si="12"/>
        <v>0</v>
      </c>
      <c r="H168" s="125">
        <f t="shared" si="13"/>
        <v>0</v>
      </c>
      <c r="I168" s="125">
        <f t="shared" si="14"/>
        <v>2</v>
      </c>
      <c r="J168" s="114">
        <f t="shared" si="15"/>
        <v>2</v>
      </c>
    </row>
    <row r="169" spans="6:10" ht="16">
      <c r="F169" s="124">
        <f t="shared" si="16"/>
        <v>0.60000000000000109</v>
      </c>
      <c r="G169" s="125">
        <f t="shared" si="12"/>
        <v>0</v>
      </c>
      <c r="H169" s="125">
        <f t="shared" si="13"/>
        <v>0</v>
      </c>
      <c r="I169" s="125">
        <f t="shared" si="14"/>
        <v>2</v>
      </c>
      <c r="J169" s="114">
        <f t="shared" si="15"/>
        <v>2</v>
      </c>
    </row>
    <row r="170" spans="6:10" ht="16">
      <c r="F170" s="124">
        <f t="shared" si="16"/>
        <v>0.6100000000000011</v>
      </c>
      <c r="G170" s="125">
        <f t="shared" si="12"/>
        <v>0</v>
      </c>
      <c r="H170" s="125">
        <f t="shared" si="13"/>
        <v>0</v>
      </c>
      <c r="I170" s="125">
        <f t="shared" si="14"/>
        <v>2</v>
      </c>
      <c r="J170" s="114">
        <f t="shared" si="15"/>
        <v>2</v>
      </c>
    </row>
    <row r="171" spans="6:10" ht="16">
      <c r="F171" s="124">
        <f t="shared" si="16"/>
        <v>0.62000000000000111</v>
      </c>
      <c r="G171" s="125">
        <f t="shared" si="12"/>
        <v>0</v>
      </c>
      <c r="H171" s="125">
        <f t="shared" si="13"/>
        <v>0</v>
      </c>
      <c r="I171" s="125">
        <f t="shared" si="14"/>
        <v>2</v>
      </c>
      <c r="J171" s="114">
        <f t="shared" si="15"/>
        <v>2</v>
      </c>
    </row>
    <row r="172" spans="6:10" ht="16">
      <c r="F172" s="124">
        <f t="shared" si="16"/>
        <v>0.63000000000000111</v>
      </c>
      <c r="G172" s="125">
        <f t="shared" si="12"/>
        <v>0</v>
      </c>
      <c r="H172" s="125">
        <f t="shared" si="13"/>
        <v>0</v>
      </c>
      <c r="I172" s="125">
        <f t="shared" si="14"/>
        <v>2</v>
      </c>
      <c r="J172" s="114">
        <f t="shared" si="15"/>
        <v>2</v>
      </c>
    </row>
    <row r="173" spans="6:10" ht="16">
      <c r="F173" s="124">
        <f t="shared" si="16"/>
        <v>0.64000000000000112</v>
      </c>
      <c r="G173" s="125">
        <f t="shared" si="12"/>
        <v>0</v>
      </c>
      <c r="H173" s="125">
        <f t="shared" si="13"/>
        <v>0</v>
      </c>
      <c r="I173" s="125">
        <f t="shared" si="14"/>
        <v>2</v>
      </c>
      <c r="J173" s="114">
        <f t="shared" si="15"/>
        <v>2</v>
      </c>
    </row>
    <row r="174" spans="6:10" ht="16">
      <c r="F174" s="124">
        <f t="shared" si="16"/>
        <v>0.65000000000000113</v>
      </c>
      <c r="G174" s="125">
        <f t="shared" si="12"/>
        <v>0</v>
      </c>
      <c r="H174" s="125">
        <f t="shared" si="13"/>
        <v>0</v>
      </c>
      <c r="I174" s="125">
        <f t="shared" si="14"/>
        <v>2</v>
      </c>
      <c r="J174" s="114">
        <f t="shared" si="15"/>
        <v>2</v>
      </c>
    </row>
    <row r="175" spans="6:10" ht="16">
      <c r="F175" s="124">
        <f t="shared" si="16"/>
        <v>0.66000000000000114</v>
      </c>
      <c r="G175" s="125">
        <f t="shared" si="12"/>
        <v>0</v>
      </c>
      <c r="H175" s="125">
        <f t="shared" si="13"/>
        <v>0</v>
      </c>
      <c r="I175" s="125">
        <f t="shared" si="14"/>
        <v>2</v>
      </c>
      <c r="J175" s="114">
        <f t="shared" si="15"/>
        <v>2</v>
      </c>
    </row>
    <row r="176" spans="6:10" ht="16">
      <c r="F176" s="124">
        <f t="shared" si="16"/>
        <v>0.67000000000000115</v>
      </c>
      <c r="G176" s="125">
        <f t="shared" si="12"/>
        <v>0</v>
      </c>
      <c r="H176" s="125">
        <f t="shared" si="13"/>
        <v>0</v>
      </c>
      <c r="I176" s="125">
        <f t="shared" si="14"/>
        <v>2</v>
      </c>
      <c r="J176" s="114">
        <f t="shared" si="15"/>
        <v>2</v>
      </c>
    </row>
    <row r="177" spans="6:10" ht="16">
      <c r="F177" s="124">
        <f t="shared" si="16"/>
        <v>0.68000000000000116</v>
      </c>
      <c r="G177" s="125">
        <f t="shared" si="12"/>
        <v>0</v>
      </c>
      <c r="H177" s="125">
        <f t="shared" si="13"/>
        <v>0</v>
      </c>
      <c r="I177" s="125">
        <f t="shared" si="14"/>
        <v>2</v>
      </c>
      <c r="J177" s="114">
        <f t="shared" si="15"/>
        <v>2</v>
      </c>
    </row>
    <row r="178" spans="6:10" ht="16">
      <c r="F178" s="124">
        <f t="shared" si="16"/>
        <v>0.69000000000000117</v>
      </c>
      <c r="G178" s="125">
        <f t="shared" si="12"/>
        <v>0</v>
      </c>
      <c r="H178" s="125">
        <f t="shared" si="13"/>
        <v>0</v>
      </c>
      <c r="I178" s="125">
        <f t="shared" si="14"/>
        <v>2</v>
      </c>
      <c r="J178" s="114">
        <f t="shared" si="15"/>
        <v>2</v>
      </c>
    </row>
    <row r="179" spans="6:10" ht="16">
      <c r="F179" s="124">
        <f t="shared" si="16"/>
        <v>0.70000000000000118</v>
      </c>
      <c r="G179" s="125">
        <f t="shared" si="12"/>
        <v>0</v>
      </c>
      <c r="H179" s="125">
        <f t="shared" si="13"/>
        <v>0</v>
      </c>
      <c r="I179" s="125">
        <f t="shared" si="14"/>
        <v>2</v>
      </c>
      <c r="J179" s="114">
        <f t="shared" si="15"/>
        <v>2</v>
      </c>
    </row>
    <row r="180" spans="6:10" ht="16">
      <c r="F180" s="124">
        <f t="shared" si="16"/>
        <v>0.71000000000000119</v>
      </c>
      <c r="G180" s="125">
        <f t="shared" si="12"/>
        <v>0</v>
      </c>
      <c r="H180" s="125">
        <f t="shared" si="13"/>
        <v>0</v>
      </c>
      <c r="I180" s="125">
        <f t="shared" si="14"/>
        <v>2</v>
      </c>
      <c r="J180" s="114">
        <f t="shared" si="15"/>
        <v>2</v>
      </c>
    </row>
    <row r="181" spans="6:10" ht="16">
      <c r="F181" s="124">
        <f t="shared" si="16"/>
        <v>0.72000000000000119</v>
      </c>
      <c r="G181" s="125">
        <f t="shared" si="12"/>
        <v>0</v>
      </c>
      <c r="H181" s="125">
        <f t="shared" si="13"/>
        <v>0</v>
      </c>
      <c r="I181" s="125">
        <f t="shared" si="14"/>
        <v>2</v>
      </c>
      <c r="J181" s="114">
        <f t="shared" si="15"/>
        <v>2</v>
      </c>
    </row>
    <row r="182" spans="6:10" ht="16">
      <c r="F182" s="124">
        <f t="shared" si="16"/>
        <v>0.7300000000000012</v>
      </c>
      <c r="G182" s="125">
        <f t="shared" si="12"/>
        <v>0</v>
      </c>
      <c r="H182" s="125">
        <f t="shared" si="13"/>
        <v>0</v>
      </c>
      <c r="I182" s="125">
        <f t="shared" si="14"/>
        <v>2</v>
      </c>
      <c r="J182" s="114">
        <f t="shared" si="15"/>
        <v>2</v>
      </c>
    </row>
    <row r="183" spans="6:10" ht="16">
      <c r="F183" s="124">
        <f t="shared" si="16"/>
        <v>0.74000000000000121</v>
      </c>
      <c r="G183" s="125">
        <f t="shared" si="12"/>
        <v>0</v>
      </c>
      <c r="H183" s="125">
        <f t="shared" si="13"/>
        <v>0</v>
      </c>
      <c r="I183" s="125">
        <f t="shared" si="14"/>
        <v>2</v>
      </c>
      <c r="J183" s="114">
        <f t="shared" si="15"/>
        <v>2</v>
      </c>
    </row>
    <row r="184" spans="6:10" ht="16">
      <c r="F184" s="124">
        <f t="shared" si="16"/>
        <v>0.75000000000000122</v>
      </c>
      <c r="G184" s="125">
        <f t="shared" si="12"/>
        <v>0</v>
      </c>
      <c r="H184" s="125">
        <f t="shared" si="13"/>
        <v>0</v>
      </c>
      <c r="I184" s="125">
        <f t="shared" si="14"/>
        <v>2</v>
      </c>
      <c r="J184" s="114">
        <f t="shared" si="15"/>
        <v>2</v>
      </c>
    </row>
    <row r="185" spans="6:10" ht="16">
      <c r="F185" s="124">
        <f t="shared" si="16"/>
        <v>0.76000000000000123</v>
      </c>
      <c r="G185" s="125">
        <f t="shared" si="12"/>
        <v>0</v>
      </c>
      <c r="H185" s="125">
        <f t="shared" si="13"/>
        <v>0</v>
      </c>
      <c r="I185" s="125">
        <f t="shared" si="14"/>
        <v>2</v>
      </c>
      <c r="J185" s="114">
        <f t="shared" si="15"/>
        <v>2</v>
      </c>
    </row>
    <row r="186" spans="6:10" ht="16">
      <c r="F186" s="124">
        <f t="shared" si="16"/>
        <v>0.77000000000000124</v>
      </c>
      <c r="G186" s="125">
        <f t="shared" si="12"/>
        <v>0</v>
      </c>
      <c r="H186" s="125">
        <f t="shared" si="13"/>
        <v>0</v>
      </c>
      <c r="I186" s="125">
        <f t="shared" si="14"/>
        <v>2</v>
      </c>
      <c r="J186" s="114">
        <f t="shared" si="15"/>
        <v>2</v>
      </c>
    </row>
    <row r="187" spans="6:10" ht="16">
      <c r="F187" s="124">
        <f t="shared" si="16"/>
        <v>0.78000000000000125</v>
      </c>
      <c r="G187" s="125">
        <f t="shared" si="12"/>
        <v>0</v>
      </c>
      <c r="H187" s="125">
        <f t="shared" si="13"/>
        <v>0</v>
      </c>
      <c r="I187" s="125">
        <f t="shared" si="14"/>
        <v>2</v>
      </c>
      <c r="J187" s="114">
        <f t="shared" si="15"/>
        <v>2</v>
      </c>
    </row>
    <row r="188" spans="6:10" ht="16">
      <c r="F188" s="124">
        <f t="shared" si="16"/>
        <v>0.79000000000000126</v>
      </c>
      <c r="G188" s="125">
        <f t="shared" si="12"/>
        <v>0</v>
      </c>
      <c r="H188" s="125">
        <f t="shared" si="13"/>
        <v>0</v>
      </c>
      <c r="I188" s="125">
        <f t="shared" si="14"/>
        <v>2</v>
      </c>
      <c r="J188" s="114">
        <f t="shared" si="15"/>
        <v>2</v>
      </c>
    </row>
    <row r="189" spans="6:10" ht="16">
      <c r="F189" s="124">
        <f t="shared" si="16"/>
        <v>0.80000000000000127</v>
      </c>
      <c r="G189" s="125">
        <f t="shared" si="12"/>
        <v>0</v>
      </c>
      <c r="H189" s="125">
        <f t="shared" si="13"/>
        <v>0</v>
      </c>
      <c r="I189" s="125">
        <f t="shared" si="14"/>
        <v>2</v>
      </c>
      <c r="J189" s="114">
        <f t="shared" si="15"/>
        <v>2</v>
      </c>
    </row>
    <row r="190" spans="6:10" ht="16">
      <c r="F190" s="124">
        <f t="shared" si="16"/>
        <v>0.81000000000000127</v>
      </c>
      <c r="G190" s="125">
        <f t="shared" si="12"/>
        <v>0</v>
      </c>
      <c r="H190" s="125">
        <f t="shared" si="13"/>
        <v>0</v>
      </c>
      <c r="I190" s="125">
        <f t="shared" si="14"/>
        <v>2</v>
      </c>
      <c r="J190" s="114">
        <f t="shared" si="15"/>
        <v>2</v>
      </c>
    </row>
    <row r="191" spans="6:10" ht="16">
      <c r="F191" s="124">
        <f t="shared" si="16"/>
        <v>0.82000000000000128</v>
      </c>
      <c r="G191" s="125">
        <f t="shared" si="12"/>
        <v>0</v>
      </c>
      <c r="H191" s="125">
        <f t="shared" si="13"/>
        <v>0</v>
      </c>
      <c r="I191" s="125">
        <f t="shared" si="14"/>
        <v>2</v>
      </c>
      <c r="J191" s="114">
        <f t="shared" si="15"/>
        <v>2</v>
      </c>
    </row>
    <row r="192" spans="6:10" ht="16">
      <c r="F192" s="124">
        <f t="shared" si="16"/>
        <v>0.83000000000000129</v>
      </c>
      <c r="G192" s="125">
        <f t="shared" si="12"/>
        <v>0</v>
      </c>
      <c r="H192" s="125">
        <f t="shared" si="13"/>
        <v>0</v>
      </c>
      <c r="I192" s="125">
        <f t="shared" si="14"/>
        <v>2</v>
      </c>
      <c r="J192" s="114">
        <f t="shared" si="15"/>
        <v>2</v>
      </c>
    </row>
    <row r="193" spans="6:10" ht="16">
      <c r="F193" s="124">
        <f t="shared" si="16"/>
        <v>0.8400000000000013</v>
      </c>
      <c r="G193" s="125">
        <f t="shared" si="12"/>
        <v>0</v>
      </c>
      <c r="H193" s="125">
        <f t="shared" si="13"/>
        <v>0</v>
      </c>
      <c r="I193" s="125">
        <f t="shared" si="14"/>
        <v>2</v>
      </c>
      <c r="J193" s="114">
        <f t="shared" si="15"/>
        <v>2</v>
      </c>
    </row>
    <row r="194" spans="6:10" ht="16">
      <c r="F194" s="124">
        <f t="shared" si="16"/>
        <v>0.85000000000000131</v>
      </c>
      <c r="G194" s="125">
        <f t="shared" si="12"/>
        <v>0</v>
      </c>
      <c r="H194" s="125">
        <f t="shared" si="13"/>
        <v>0</v>
      </c>
      <c r="I194" s="125">
        <f t="shared" si="14"/>
        <v>2</v>
      </c>
      <c r="J194" s="114">
        <f t="shared" si="15"/>
        <v>2</v>
      </c>
    </row>
    <row r="195" spans="6:10" ht="16">
      <c r="F195" s="124">
        <f t="shared" si="16"/>
        <v>0.86000000000000132</v>
      </c>
      <c r="G195" s="125">
        <f t="shared" si="12"/>
        <v>0</v>
      </c>
      <c r="H195" s="125">
        <f t="shared" si="13"/>
        <v>0</v>
      </c>
      <c r="I195" s="125">
        <f t="shared" si="14"/>
        <v>2</v>
      </c>
      <c r="J195" s="114">
        <f t="shared" si="15"/>
        <v>2</v>
      </c>
    </row>
    <row r="196" spans="6:10" ht="16">
      <c r="F196" s="124">
        <f t="shared" si="16"/>
        <v>0.87000000000000133</v>
      </c>
      <c r="G196" s="125">
        <f t="shared" si="12"/>
        <v>0</v>
      </c>
      <c r="H196" s="125">
        <f t="shared" si="13"/>
        <v>0</v>
      </c>
      <c r="I196" s="125">
        <f t="shared" si="14"/>
        <v>2</v>
      </c>
      <c r="J196" s="114">
        <f t="shared" si="15"/>
        <v>2</v>
      </c>
    </row>
    <row r="197" spans="6:10" ht="16">
      <c r="F197" s="124">
        <f t="shared" si="16"/>
        <v>0.88000000000000134</v>
      </c>
      <c r="G197" s="125">
        <f t="shared" si="12"/>
        <v>0</v>
      </c>
      <c r="H197" s="125">
        <f t="shared" si="13"/>
        <v>0</v>
      </c>
      <c r="I197" s="125">
        <f t="shared" si="14"/>
        <v>2</v>
      </c>
      <c r="J197" s="114">
        <f t="shared" si="15"/>
        <v>2</v>
      </c>
    </row>
    <row r="198" spans="6:10" ht="16">
      <c r="F198" s="124">
        <f t="shared" si="16"/>
        <v>0.89000000000000135</v>
      </c>
      <c r="G198" s="125">
        <f t="shared" si="12"/>
        <v>0</v>
      </c>
      <c r="H198" s="125">
        <f t="shared" si="13"/>
        <v>0</v>
      </c>
      <c r="I198" s="125">
        <f t="shared" si="14"/>
        <v>2</v>
      </c>
      <c r="J198" s="114">
        <f t="shared" si="15"/>
        <v>2</v>
      </c>
    </row>
    <row r="199" spans="6:10" ht="16">
      <c r="F199" s="124">
        <f t="shared" si="16"/>
        <v>0.90000000000000135</v>
      </c>
      <c r="G199" s="125">
        <f t="shared" si="12"/>
        <v>0</v>
      </c>
      <c r="H199" s="125">
        <f t="shared" si="13"/>
        <v>0</v>
      </c>
      <c r="I199" s="125">
        <f t="shared" si="14"/>
        <v>2</v>
      </c>
      <c r="J199" s="114">
        <f t="shared" si="15"/>
        <v>2</v>
      </c>
    </row>
    <row r="200" spans="6:10" ht="16">
      <c r="F200" s="124">
        <f t="shared" si="16"/>
        <v>0.91000000000000136</v>
      </c>
      <c r="G200" s="125">
        <f t="shared" si="12"/>
        <v>0</v>
      </c>
      <c r="H200" s="125">
        <f t="shared" si="13"/>
        <v>0</v>
      </c>
      <c r="I200" s="125">
        <f t="shared" si="14"/>
        <v>2</v>
      </c>
      <c r="J200" s="114">
        <f t="shared" si="15"/>
        <v>2</v>
      </c>
    </row>
    <row r="201" spans="6:10" ht="16">
      <c r="F201" s="124">
        <f t="shared" si="16"/>
        <v>0.92000000000000137</v>
      </c>
      <c r="G201" s="125">
        <f t="shared" ref="G201:G209" si="17">IFERROR(IF(SQRT(1-(F201*F201)/($J$5*$J$5))&lt;0.05,0,SQRT(1-(F201*F201)/($J$5*$J$5))),0)</f>
        <v>0</v>
      </c>
      <c r="H201" s="125">
        <f t="shared" ref="H201:H209" si="18">CHOOSE(MATCH($J$3,degrees),IF(F201&lt;0,IFERROR(1-G201,1),0),0,0,IF(F201&gt;0,IFERROR(1-G201,1),0))</f>
        <v>0</v>
      </c>
      <c r="I201" s="125">
        <f t="shared" ref="I201:I209" si="19">CHOOSE(MATCH($J$3,degrees),IF(F201&lt;0,2*G201,2),IF(F201&lt;0,0,1-G201),IF(F201&gt;0,0,1-G201),IF(F201&gt;0,2*G201,2))</f>
        <v>2</v>
      </c>
      <c r="J201" s="114">
        <f t="shared" ref="J201:J209" si="20">CHOOSE(MATCH($J$3,degrees),IF(F201&lt;0,G201+1,2),IF(F201&lt;0,2,2*G201),IF(F201&gt;0,2,2*G201),IF(F201&gt;0,G201+1,2))</f>
        <v>2</v>
      </c>
    </row>
    <row r="202" spans="6:10" ht="16">
      <c r="F202" s="124">
        <f t="shared" ref="F202:F209" si="21">F201+$G$4</f>
        <v>0.93000000000000138</v>
      </c>
      <c r="G202" s="125">
        <f t="shared" si="17"/>
        <v>0</v>
      </c>
      <c r="H202" s="125">
        <f t="shared" si="18"/>
        <v>0</v>
      </c>
      <c r="I202" s="125">
        <f t="shared" si="19"/>
        <v>2</v>
      </c>
      <c r="J202" s="114">
        <f t="shared" si="20"/>
        <v>2</v>
      </c>
    </row>
    <row r="203" spans="6:10" ht="16">
      <c r="F203" s="124">
        <f t="shared" si="21"/>
        <v>0.94000000000000139</v>
      </c>
      <c r="G203" s="125">
        <f t="shared" si="17"/>
        <v>0</v>
      </c>
      <c r="H203" s="125">
        <f t="shared" si="18"/>
        <v>0</v>
      </c>
      <c r="I203" s="125">
        <f t="shared" si="19"/>
        <v>2</v>
      </c>
      <c r="J203" s="114">
        <f t="shared" si="20"/>
        <v>2</v>
      </c>
    </row>
    <row r="204" spans="6:10" ht="16">
      <c r="F204" s="124">
        <f t="shared" si="21"/>
        <v>0.9500000000000014</v>
      </c>
      <c r="G204" s="125">
        <f t="shared" si="17"/>
        <v>0</v>
      </c>
      <c r="H204" s="125">
        <f t="shared" si="18"/>
        <v>0</v>
      </c>
      <c r="I204" s="125">
        <f t="shared" si="19"/>
        <v>2</v>
      </c>
      <c r="J204" s="114">
        <f t="shared" si="20"/>
        <v>2</v>
      </c>
    </row>
    <row r="205" spans="6:10" ht="16">
      <c r="F205" s="124">
        <f t="shared" si="21"/>
        <v>0.96000000000000141</v>
      </c>
      <c r="G205" s="125">
        <f t="shared" si="17"/>
        <v>0</v>
      </c>
      <c r="H205" s="125">
        <f t="shared" si="18"/>
        <v>0</v>
      </c>
      <c r="I205" s="125">
        <f t="shared" si="19"/>
        <v>2</v>
      </c>
      <c r="J205" s="114">
        <f t="shared" si="20"/>
        <v>2</v>
      </c>
    </row>
    <row r="206" spans="6:10" ht="16">
      <c r="F206" s="124">
        <f t="shared" si="21"/>
        <v>0.97000000000000142</v>
      </c>
      <c r="G206" s="125">
        <f t="shared" si="17"/>
        <v>0</v>
      </c>
      <c r="H206" s="125">
        <f t="shared" si="18"/>
        <v>0</v>
      </c>
      <c r="I206" s="125">
        <f t="shared" si="19"/>
        <v>2</v>
      </c>
      <c r="J206" s="114">
        <f t="shared" si="20"/>
        <v>2</v>
      </c>
    </row>
    <row r="207" spans="6:10" ht="16">
      <c r="F207" s="124">
        <f t="shared" si="21"/>
        <v>0.98000000000000143</v>
      </c>
      <c r="G207" s="125">
        <f t="shared" si="17"/>
        <v>0</v>
      </c>
      <c r="H207" s="125">
        <f t="shared" si="18"/>
        <v>0</v>
      </c>
      <c r="I207" s="125">
        <f t="shared" si="19"/>
        <v>2</v>
      </c>
      <c r="J207" s="114">
        <f t="shared" si="20"/>
        <v>2</v>
      </c>
    </row>
    <row r="208" spans="6:10" ht="16">
      <c r="F208" s="124">
        <f t="shared" si="21"/>
        <v>0.99000000000000143</v>
      </c>
      <c r="G208" s="125">
        <f t="shared" si="17"/>
        <v>0</v>
      </c>
      <c r="H208" s="125">
        <f t="shared" si="18"/>
        <v>0</v>
      </c>
      <c r="I208" s="125">
        <f t="shared" si="19"/>
        <v>2</v>
      </c>
      <c r="J208" s="114">
        <f t="shared" si="20"/>
        <v>2</v>
      </c>
    </row>
    <row r="209" spans="6:10" ht="16">
      <c r="F209" s="142">
        <f t="shared" si="21"/>
        <v>1.0000000000000013</v>
      </c>
      <c r="G209" s="143">
        <f t="shared" si="17"/>
        <v>0</v>
      </c>
      <c r="H209" s="143">
        <f t="shared" si="18"/>
        <v>0</v>
      </c>
      <c r="I209" s="143">
        <f t="shared" si="19"/>
        <v>2</v>
      </c>
      <c r="J209" s="144">
        <f t="shared" si="20"/>
        <v>2</v>
      </c>
    </row>
  </sheetData>
  <sheetProtection sheet="1" objects="1" scenarios="1"/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6A9E3-16E9-D34A-9483-B398D0DFEBC2}">
  <dimension ref="B2"/>
  <sheetViews>
    <sheetView showGridLines="0" workbookViewId="0">
      <selection activeCell="E2" sqref="E2"/>
    </sheetView>
  </sheetViews>
  <sheetFormatPr baseColWidth="10" defaultRowHeight="15"/>
  <sheetData>
    <row r="2" spans="2:2" ht="16">
      <c r="B2" s="29" t="s">
        <v>172</v>
      </c>
    </row>
  </sheetData>
  <sheetProtection sheet="1" objects="1" scenarios="1"/>
  <hyperlinks>
    <hyperlink ref="B2" r:id="rId1" xr:uid="{C83284AB-1FDF-8F40-BC12-AA80EC81C5D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Introduction</vt:lpstr>
      <vt:lpstr>Visibility</vt:lpstr>
      <vt:lpstr>Illumination</vt:lpstr>
      <vt:lpstr>Catalogue</vt:lpstr>
      <vt:lpstr>Visibility!Print_Area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Caldwell 109 Objects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2024-08-09T07:36:53Z</dcterms:modified>
  <cp:category/>
</cp:coreProperties>
</file>