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4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/Users/hanssassenburg/Library/CloudStorage/Dropbox/X_Private/20_Astronomy/Morsels/"/>
    </mc:Choice>
  </mc:AlternateContent>
  <xr:revisionPtr revIDLastSave="0" documentId="13_ncr:1_{AC9E4D63-5608-0F46-B74D-8542A256CDA0}" xr6:coauthVersionLast="47" xr6:coauthVersionMax="47" xr10:uidLastSave="{00000000-0000-0000-0000-000000000000}"/>
  <bookViews>
    <workbookView xWindow="5620" yWindow="4540" windowWidth="31440" windowHeight="17400" xr2:uid="{00000000-000D-0000-FFFF-FFFF00000000}"/>
  </bookViews>
  <sheets>
    <sheet name="Introduction" sheetId="9" r:id="rId1"/>
    <sheet name="Visibility" sheetId="16" r:id="rId2"/>
    <sheet name="Illumination" sheetId="18" r:id="rId3"/>
    <sheet name="Background" sheetId="17" r:id="rId4"/>
  </sheets>
  <definedNames>
    <definedName name="degrees">{0;90;180;270}</definedName>
    <definedName name="_xlnm.Print_Area" localSheetId="1">Visibility!$AB$2:$AJ$85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0" i="18" l="1"/>
  <c r="E9" i="16"/>
  <c r="E10" i="16"/>
  <c r="E11" i="16"/>
  <c r="E12" i="16"/>
  <c r="E13" i="16"/>
  <c r="E14" i="16"/>
  <c r="E15" i="16"/>
  <c r="E16" i="16"/>
  <c r="E17" i="16"/>
  <c r="E18" i="16"/>
  <c r="E19" i="16"/>
  <c r="E20" i="16"/>
  <c r="E21" i="16"/>
  <c r="E22" i="16"/>
  <c r="E23" i="16"/>
  <c r="E24" i="16"/>
  <c r="E25" i="16"/>
  <c r="E26" i="16"/>
  <c r="E27" i="16"/>
  <c r="E28" i="16"/>
  <c r="E29" i="16"/>
  <c r="E30" i="16"/>
  <c r="E31" i="16"/>
  <c r="E32" i="16"/>
  <c r="E33" i="16"/>
  <c r="E34" i="16"/>
  <c r="E35" i="16"/>
  <c r="E36" i="16"/>
  <c r="E37" i="16"/>
  <c r="E38" i="16"/>
  <c r="E39" i="16"/>
  <c r="E40" i="16"/>
  <c r="E41" i="16"/>
  <c r="E42" i="16"/>
  <c r="E43" i="16"/>
  <c r="E44" i="16"/>
  <c r="E45" i="16"/>
  <c r="E46" i="16"/>
  <c r="E47" i="16"/>
  <c r="E48" i="16"/>
  <c r="E49" i="16"/>
  <c r="E50" i="16"/>
  <c r="E51" i="16"/>
  <c r="E52" i="16"/>
  <c r="E53" i="16"/>
  <c r="E54" i="16"/>
  <c r="E55" i="16"/>
  <c r="E56" i="16"/>
  <c r="E57" i="16"/>
  <c r="E58" i="16"/>
  <c r="E59" i="16"/>
  <c r="E60" i="16"/>
  <c r="E61" i="16"/>
  <c r="E62" i="16"/>
  <c r="E63" i="16"/>
  <c r="E64" i="16"/>
  <c r="E65" i="16"/>
  <c r="E66" i="16"/>
  <c r="E67" i="16"/>
  <c r="E68" i="16"/>
  <c r="E69" i="16"/>
  <c r="E70" i="16"/>
  <c r="E71" i="16"/>
  <c r="E72" i="16"/>
  <c r="E73" i="16"/>
  <c r="E74" i="16"/>
  <c r="E75" i="16"/>
  <c r="E76" i="16"/>
  <c r="E77" i="16"/>
  <c r="E78" i="16"/>
  <c r="E79" i="16"/>
  <c r="E80" i="16"/>
  <c r="E81" i="16"/>
  <c r="E82" i="16"/>
  <c r="E83" i="16"/>
  <c r="E84" i="16"/>
  <c r="E85" i="16"/>
  <c r="E86" i="16"/>
  <c r="E87" i="16"/>
  <c r="E88" i="16"/>
  <c r="E89" i="16"/>
  <c r="E90" i="16"/>
  <c r="E91" i="16"/>
  <c r="E92" i="16"/>
  <c r="E93" i="16"/>
  <c r="E94" i="16"/>
  <c r="E95" i="16"/>
  <c r="E96" i="16"/>
  <c r="E97" i="16"/>
  <c r="E98" i="16"/>
  <c r="E99" i="16"/>
  <c r="E100" i="16"/>
  <c r="E101" i="16"/>
  <c r="E102" i="16"/>
  <c r="E103" i="16"/>
  <c r="E104" i="16"/>
  <c r="E105" i="16"/>
  <c r="E106" i="16"/>
  <c r="E107" i="16"/>
  <c r="E108" i="16"/>
  <c r="E109" i="16"/>
  <c r="E110" i="16"/>
  <c r="E111" i="16"/>
  <c r="E112" i="16"/>
  <c r="E113" i="16"/>
  <c r="E114" i="16"/>
  <c r="E115" i="16"/>
  <c r="E116" i="16"/>
  <c r="E117" i="16"/>
  <c r="E118" i="16"/>
  <c r="E119" i="16"/>
  <c r="E120" i="16"/>
  <c r="E121" i="16"/>
  <c r="E8" i="16"/>
  <c r="B25" i="18"/>
  <c r="B26" i="18" s="1"/>
  <c r="B24" i="18"/>
  <c r="C24" i="18" s="1"/>
  <c r="F10" i="18"/>
  <c r="G4" i="18"/>
  <c r="C2" i="18"/>
  <c r="C14" i="16"/>
  <c r="C13" i="16"/>
  <c r="AC4" i="16" s="1"/>
  <c r="AD7" i="16"/>
  <c r="AC5" i="16"/>
  <c r="G7" i="16"/>
  <c r="AC3" i="16"/>
  <c r="AS4" i="16" l="1"/>
  <c r="C25" i="18"/>
  <c r="F11" i="18"/>
  <c r="C26" i="18"/>
  <c r="B27" i="18"/>
  <c r="Y123" i="16"/>
  <c r="C15" i="16"/>
  <c r="C7" i="16"/>
  <c r="C8" i="16" s="1"/>
  <c r="C10" i="16" s="1"/>
  <c r="D20" i="18" l="1"/>
  <c r="C3" i="18"/>
  <c r="C27" i="18"/>
  <c r="B28" i="18"/>
  <c r="F12" i="18"/>
  <c r="C9" i="16"/>
  <c r="C11" i="16"/>
  <c r="C16" i="16" s="1"/>
  <c r="C5" i="18" l="1"/>
  <c r="C6" i="18"/>
  <c r="C4" i="18"/>
  <c r="C7" i="18" s="1"/>
  <c r="C8" i="18" s="1"/>
  <c r="B29" i="18"/>
  <c r="C28" i="18"/>
  <c r="F13" i="18"/>
  <c r="Y98" i="16"/>
  <c r="Y114" i="16"/>
  <c r="Y101" i="16"/>
  <c r="Y102" i="16"/>
  <c r="Y103" i="16"/>
  <c r="Y90" i="16"/>
  <c r="Y106" i="16"/>
  <c r="Y99" i="16"/>
  <c r="Y115" i="16"/>
  <c r="Y100" i="16"/>
  <c r="Y116" i="16"/>
  <c r="Y117" i="16"/>
  <c r="Y86" i="16"/>
  <c r="Y118" i="16"/>
  <c r="Y119" i="16"/>
  <c r="Y120" i="16"/>
  <c r="Y89" i="16"/>
  <c r="Y105" i="16"/>
  <c r="Y121" i="16"/>
  <c r="Y91" i="16"/>
  <c r="Y107" i="16"/>
  <c r="Y93" i="16"/>
  <c r="Y87" i="16"/>
  <c r="Y111" i="16"/>
  <c r="Y112" i="16"/>
  <c r="Y88" i="16"/>
  <c r="Y108" i="16"/>
  <c r="Y94" i="16"/>
  <c r="Y104" i="16"/>
  <c r="Y92" i="16"/>
  <c r="Y110" i="16"/>
  <c r="Y95" i="16"/>
  <c r="Y96" i="16"/>
  <c r="Y113" i="16"/>
  <c r="Y109" i="16"/>
  <c r="Y97" i="16"/>
  <c r="Y85" i="16"/>
  <c r="Y69" i="16"/>
  <c r="Y53" i="16"/>
  <c r="Y37" i="16"/>
  <c r="Y21" i="16"/>
  <c r="Y72" i="16"/>
  <c r="Y56" i="16"/>
  <c r="Y40" i="16"/>
  <c r="Y24" i="16"/>
  <c r="Y15" i="16"/>
  <c r="Y59" i="16"/>
  <c r="Y43" i="16"/>
  <c r="Y78" i="16"/>
  <c r="Y62" i="16"/>
  <c r="Y20" i="16"/>
  <c r="Y14" i="16"/>
  <c r="Y77" i="16"/>
  <c r="Y18" i="16"/>
  <c r="Y75" i="16"/>
  <c r="Y46" i="16"/>
  <c r="Y9" i="16"/>
  <c r="Y84" i="16"/>
  <c r="Y52" i="16"/>
  <c r="Y38" i="16"/>
  <c r="Y73" i="16"/>
  <c r="Y13" i="16"/>
  <c r="Y47" i="16"/>
  <c r="Y10" i="16"/>
  <c r="Y27" i="16"/>
  <c r="Y65" i="16"/>
  <c r="Y55" i="16"/>
  <c r="Y39" i="16"/>
  <c r="Y23" i="16"/>
  <c r="Y70" i="16"/>
  <c r="Y41" i="16"/>
  <c r="Y60" i="16"/>
  <c r="Y82" i="16"/>
  <c r="Y30" i="16"/>
  <c r="Y12" i="16"/>
  <c r="Y49" i="16"/>
  <c r="Y33" i="16"/>
  <c r="Y11" i="16"/>
  <c r="Y81" i="16"/>
  <c r="Y36" i="16"/>
  <c r="Y42" i="16"/>
  <c r="Y26" i="16"/>
  <c r="Y79" i="16"/>
  <c r="Y66" i="16"/>
  <c r="Y68" i="16"/>
  <c r="Y19" i="16"/>
  <c r="Y44" i="16"/>
  <c r="Y71" i="16"/>
  <c r="Y83" i="16"/>
  <c r="Y74" i="16"/>
  <c r="Y58" i="16"/>
  <c r="Y17" i="16"/>
  <c r="Y8" i="16"/>
  <c r="Y54" i="16"/>
  <c r="Y25" i="16"/>
  <c r="Y76" i="16"/>
  <c r="Y28" i="16"/>
  <c r="Y50" i="16"/>
  <c r="Y61" i="16"/>
  <c r="Y45" i="16"/>
  <c r="Y29" i="16"/>
  <c r="Y80" i="16"/>
  <c r="Y57" i="16"/>
  <c r="Y16" i="16"/>
  <c r="Y63" i="16"/>
  <c r="Y64" i="16"/>
  <c r="Y48" i="16"/>
  <c r="Y32" i="16"/>
  <c r="Y51" i="16"/>
  <c r="Y31" i="16"/>
  <c r="Y34" i="16"/>
  <c r="Y67" i="16"/>
  <c r="Y35" i="16"/>
  <c r="Y22" i="16"/>
  <c r="I45" i="16" l="1"/>
  <c r="H45" i="16"/>
  <c r="I102" i="16"/>
  <c r="H102" i="16" s="1"/>
  <c r="I29" i="16"/>
  <c r="H29" i="16"/>
  <c r="I85" i="16"/>
  <c r="H85" i="16" s="1"/>
  <c r="I28" i="16"/>
  <c r="H28" i="16" s="1"/>
  <c r="I97" i="16"/>
  <c r="H97" i="16"/>
  <c r="I61" i="16"/>
  <c r="H61" i="16"/>
  <c r="I109" i="16"/>
  <c r="H109" i="16" s="1"/>
  <c r="I22" i="16"/>
  <c r="H22" i="16"/>
  <c r="I62" i="16"/>
  <c r="H62" i="16" s="1"/>
  <c r="I42" i="16"/>
  <c r="H42" i="16"/>
  <c r="I98" i="16"/>
  <c r="H98" i="16" s="1"/>
  <c r="I10" i="16"/>
  <c r="H10" i="16" s="1"/>
  <c r="I13" i="16"/>
  <c r="H13" i="16"/>
  <c r="I14" i="16"/>
  <c r="H14" i="16"/>
  <c r="I55" i="16"/>
  <c r="H55" i="16" s="1"/>
  <c r="I121" i="16"/>
  <c r="H121" i="16"/>
  <c r="I65" i="16"/>
  <c r="H65" i="16" s="1"/>
  <c r="I113" i="16"/>
  <c r="H113" i="16"/>
  <c r="I27" i="16"/>
  <c r="H27" i="16" s="1"/>
  <c r="I89" i="16"/>
  <c r="H89" i="16" s="1"/>
  <c r="I36" i="16"/>
  <c r="H36" i="16"/>
  <c r="I34" i="16"/>
  <c r="H34" i="16"/>
  <c r="I119" i="16"/>
  <c r="H119" i="16" s="1"/>
  <c r="I31" i="16"/>
  <c r="H31" i="16"/>
  <c r="I40" i="16"/>
  <c r="H40" i="16" s="1"/>
  <c r="I15" i="16"/>
  <c r="H15" i="16"/>
  <c r="I51" i="16"/>
  <c r="H51" i="16" s="1"/>
  <c r="I86" i="16"/>
  <c r="H86" i="16" s="1"/>
  <c r="I116" i="16"/>
  <c r="H116" i="16"/>
  <c r="I68" i="16"/>
  <c r="H68" i="16"/>
  <c r="I103" i="16"/>
  <c r="H103" i="16" s="1"/>
  <c r="I66" i="16"/>
  <c r="H66" i="16"/>
  <c r="I33" i="16"/>
  <c r="H33" i="16" s="1"/>
  <c r="I81" i="16"/>
  <c r="H81" i="16"/>
  <c r="I59" i="16"/>
  <c r="H59" i="16" s="1"/>
  <c r="I54" i="16"/>
  <c r="H54" i="16" s="1"/>
  <c r="I118" i="16"/>
  <c r="H118" i="16"/>
  <c r="I24" i="16"/>
  <c r="H24" i="16"/>
  <c r="I38" i="16"/>
  <c r="H38" i="16" s="1"/>
  <c r="I48" i="16"/>
  <c r="H48" i="16"/>
  <c r="I108" i="16"/>
  <c r="H108" i="16" s="1"/>
  <c r="I30" i="16"/>
  <c r="H30" i="16"/>
  <c r="I84" i="16"/>
  <c r="H84" i="16" s="1"/>
  <c r="I82" i="16"/>
  <c r="H82" i="16" s="1"/>
  <c r="H9" i="16"/>
  <c r="I21" i="16"/>
  <c r="H21" i="16" s="1"/>
  <c r="I112" i="16"/>
  <c r="H112" i="16" s="1"/>
  <c r="I115" i="16"/>
  <c r="H115" i="16" s="1"/>
  <c r="I23" i="16"/>
  <c r="H23" i="16"/>
  <c r="I77" i="16"/>
  <c r="H77" i="16"/>
  <c r="I107" i="16"/>
  <c r="H107" i="16" s="1"/>
  <c r="I91" i="16"/>
  <c r="H91" i="16"/>
  <c r="I20" i="16"/>
  <c r="H20" i="16"/>
  <c r="I50" i="16"/>
  <c r="H50" i="16" s="1"/>
  <c r="I114" i="16"/>
  <c r="H114" i="16" s="1"/>
  <c r="I78" i="16"/>
  <c r="H78" i="16" s="1"/>
  <c r="I67" i="16"/>
  <c r="H67" i="16"/>
  <c r="I120" i="16"/>
  <c r="H120" i="16"/>
  <c r="I47" i="16"/>
  <c r="H47" i="16" s="1"/>
  <c r="I17" i="16"/>
  <c r="H17" i="16" s="1"/>
  <c r="I71" i="16"/>
  <c r="H71" i="16"/>
  <c r="B36" i="16"/>
  <c r="AS3" i="16"/>
  <c r="C21" i="18"/>
  <c r="G2" i="18" s="1"/>
  <c r="J3" i="18" s="1"/>
  <c r="I43" i="16"/>
  <c r="H43" i="16" s="1"/>
  <c r="I73" i="16"/>
  <c r="H73" i="16"/>
  <c r="I32" i="16"/>
  <c r="H32" i="16"/>
  <c r="I117" i="16"/>
  <c r="H117" i="16" s="1"/>
  <c r="I12" i="16"/>
  <c r="H12" i="16"/>
  <c r="I52" i="16"/>
  <c r="H52" i="16"/>
  <c r="I74" i="16"/>
  <c r="H74" i="16"/>
  <c r="I88" i="16"/>
  <c r="H88" i="16"/>
  <c r="I63" i="16"/>
  <c r="H63" i="16" s="1"/>
  <c r="I16" i="16"/>
  <c r="H16" i="16"/>
  <c r="I46" i="16"/>
  <c r="H46" i="16"/>
  <c r="I111" i="16"/>
  <c r="H111" i="16" s="1"/>
  <c r="I44" i="16"/>
  <c r="H44" i="16"/>
  <c r="I41" i="16"/>
  <c r="H41" i="16"/>
  <c r="I75" i="16"/>
  <c r="H75" i="16"/>
  <c r="I53" i="16"/>
  <c r="H53" i="16" s="1"/>
  <c r="I87" i="16"/>
  <c r="H87" i="16" s="1"/>
  <c r="I106" i="16"/>
  <c r="H106" i="16"/>
  <c r="I39" i="16"/>
  <c r="H39" i="16"/>
  <c r="I79" i="16"/>
  <c r="H79" i="16" s="1"/>
  <c r="I101" i="16"/>
  <c r="H101" i="16"/>
  <c r="I26" i="16"/>
  <c r="H26" i="16"/>
  <c r="I105" i="16"/>
  <c r="H105" i="16"/>
  <c r="I35" i="16"/>
  <c r="H35" i="16" s="1"/>
  <c r="I96" i="16"/>
  <c r="H96" i="16" s="1"/>
  <c r="I76" i="16"/>
  <c r="H76" i="16"/>
  <c r="I95" i="16"/>
  <c r="H95" i="16"/>
  <c r="I25" i="16"/>
  <c r="H25" i="16" s="1"/>
  <c r="I110" i="16"/>
  <c r="H110" i="16"/>
  <c r="I11" i="16"/>
  <c r="H11" i="16"/>
  <c r="I92" i="16"/>
  <c r="H92" i="16"/>
  <c r="I104" i="16"/>
  <c r="H104" i="16"/>
  <c r="I49" i="16"/>
  <c r="H49" i="16" s="1"/>
  <c r="I94" i="16"/>
  <c r="H94" i="16"/>
  <c r="I58" i="16"/>
  <c r="H58" i="16"/>
  <c r="I56" i="16"/>
  <c r="H56" i="16" s="1"/>
  <c r="I64" i="16"/>
  <c r="H64" i="16"/>
  <c r="I72" i="16"/>
  <c r="H72" i="16"/>
  <c r="I100" i="16"/>
  <c r="H100" i="16" s="1"/>
  <c r="I83" i="16"/>
  <c r="H83" i="16"/>
  <c r="I60" i="16"/>
  <c r="H60" i="16" s="1"/>
  <c r="I37" i="16"/>
  <c r="H37" i="16"/>
  <c r="I99" i="16"/>
  <c r="H99" i="16"/>
  <c r="I57" i="16"/>
  <c r="H57" i="16" s="1"/>
  <c r="I80" i="16"/>
  <c r="H80" i="16"/>
  <c r="I19" i="16"/>
  <c r="H19" i="16"/>
  <c r="I70" i="16"/>
  <c r="H70" i="16"/>
  <c r="I18" i="16"/>
  <c r="H18" i="16"/>
  <c r="I69" i="16"/>
  <c r="H69" i="16" s="1"/>
  <c r="I93" i="16"/>
  <c r="H93" i="16"/>
  <c r="I90" i="16"/>
  <c r="H90" i="16"/>
  <c r="F14" i="18"/>
  <c r="B30" i="18"/>
  <c r="C29" i="18"/>
  <c r="I9" i="16"/>
  <c r="I8" i="16"/>
  <c r="H8" i="16" s="1"/>
  <c r="J4" i="18" l="1"/>
  <c r="J5" i="18" s="1"/>
  <c r="B31" i="18"/>
  <c r="C31" i="18" s="1"/>
  <c r="C30" i="18"/>
  <c r="F15" i="18"/>
  <c r="G14" i="18"/>
  <c r="H14" i="18" s="1"/>
  <c r="G11" i="18" l="1"/>
  <c r="G12" i="18"/>
  <c r="G10" i="18"/>
  <c r="G9" i="18"/>
  <c r="G13" i="18"/>
  <c r="I14" i="18"/>
  <c r="J14" i="18"/>
  <c r="G15" i="18"/>
  <c r="H15" i="18" s="1"/>
  <c r="F16" i="18"/>
  <c r="AB8" i="16" a="1"/>
  <c r="AA8" i="16" a="1"/>
  <c r="AA8" i="16" s="1"/>
  <c r="AB8" i="16" l="1"/>
  <c r="AS5" i="16"/>
  <c r="I9" i="18"/>
  <c r="H9" i="18"/>
  <c r="J9" i="18"/>
  <c r="H10" i="18"/>
  <c r="J10" i="18"/>
  <c r="I10" i="18"/>
  <c r="H12" i="18"/>
  <c r="I12" i="18"/>
  <c r="J12" i="18"/>
  <c r="I13" i="18"/>
  <c r="H13" i="18"/>
  <c r="J13" i="18"/>
  <c r="J11" i="18"/>
  <c r="H11" i="18"/>
  <c r="I11" i="18"/>
  <c r="J15" i="18"/>
  <c r="I15" i="18"/>
  <c r="F17" i="18"/>
  <c r="G16" i="18"/>
  <c r="H16" i="18" s="1"/>
  <c r="I16" i="18" l="1"/>
  <c r="J16" i="18"/>
  <c r="F18" i="18"/>
  <c r="G17" i="18"/>
  <c r="H17" i="18"/>
  <c r="I17" i="18"/>
  <c r="J17" i="18"/>
  <c r="G18" i="18" l="1"/>
  <c r="F19" i="18"/>
  <c r="H18" i="18"/>
  <c r="I18" i="18"/>
  <c r="J18" i="18"/>
  <c r="F20" i="18" l="1"/>
  <c r="G19" i="18"/>
  <c r="H19" i="18" s="1"/>
  <c r="I19" i="18"/>
  <c r="J19" i="18"/>
  <c r="F21" i="18" l="1"/>
  <c r="G20" i="18"/>
  <c r="H20" i="18"/>
  <c r="J20" i="18"/>
  <c r="I20" i="18"/>
  <c r="G21" i="18" l="1"/>
  <c r="F22" i="18"/>
  <c r="H21" i="18"/>
  <c r="J21" i="18"/>
  <c r="I21" i="18"/>
  <c r="F23" i="18" l="1"/>
  <c r="G22" i="18"/>
  <c r="H22" i="18" s="1"/>
  <c r="J22" i="18"/>
  <c r="I22" i="18"/>
  <c r="F24" i="18" l="1"/>
  <c r="G23" i="18"/>
  <c r="I23" i="18"/>
  <c r="H23" i="18"/>
  <c r="J23" i="18"/>
  <c r="G24" i="18" l="1"/>
  <c r="J24" i="18" s="1"/>
  <c r="F25" i="18"/>
  <c r="I24" i="18"/>
  <c r="H24" i="18"/>
  <c r="F26" i="18" l="1"/>
  <c r="G25" i="18"/>
  <c r="H25" i="18"/>
  <c r="I25" i="18"/>
  <c r="J25" i="18"/>
  <c r="G26" i="18" l="1"/>
  <c r="J26" i="18" s="1"/>
  <c r="F27" i="18"/>
  <c r="H26" i="18"/>
  <c r="I26" i="18" l="1"/>
  <c r="F28" i="18"/>
  <c r="G27" i="18"/>
  <c r="I27" i="18" s="1"/>
  <c r="J27" i="18" l="1"/>
  <c r="H27" i="18"/>
  <c r="G28" i="18"/>
  <c r="F29" i="18"/>
  <c r="I28" i="18"/>
  <c r="H28" i="18"/>
  <c r="J28" i="18"/>
  <c r="F30" i="18" l="1"/>
  <c r="G29" i="18"/>
  <c r="I29" i="18"/>
  <c r="H29" i="18"/>
  <c r="J29" i="18"/>
  <c r="G30" i="18" l="1"/>
  <c r="F31" i="18"/>
  <c r="J30" i="18"/>
  <c r="I30" i="18"/>
  <c r="H30" i="18"/>
  <c r="F32" i="18" l="1"/>
  <c r="G31" i="18"/>
  <c r="I31" i="18"/>
  <c r="H31" i="18"/>
  <c r="J31" i="18"/>
  <c r="F33" i="18" l="1"/>
  <c r="G32" i="18"/>
  <c r="I32" i="18"/>
  <c r="J32" i="18"/>
  <c r="H32" i="18"/>
  <c r="G33" i="18" l="1"/>
  <c r="F34" i="18"/>
  <c r="J33" i="18"/>
  <c r="I33" i="18"/>
  <c r="H33" i="18"/>
  <c r="G34" i="18" l="1"/>
  <c r="F35" i="18"/>
  <c r="I34" i="18"/>
  <c r="J34" i="18"/>
  <c r="H34" i="18"/>
  <c r="F36" i="18" l="1"/>
  <c r="G35" i="18"/>
  <c r="I35" i="18"/>
  <c r="H35" i="18"/>
  <c r="J35" i="18"/>
  <c r="F37" i="18" l="1"/>
  <c r="G36" i="18"/>
  <c r="J36" i="18"/>
  <c r="I36" i="18"/>
  <c r="H36" i="18"/>
  <c r="F38" i="18" l="1"/>
  <c r="G37" i="18"/>
  <c r="I37" i="18"/>
  <c r="H37" i="18"/>
  <c r="J37" i="18"/>
  <c r="G38" i="18" l="1"/>
  <c r="F39" i="18"/>
  <c r="J38" i="18"/>
  <c r="I38" i="18"/>
  <c r="H38" i="18"/>
  <c r="F40" i="18" l="1"/>
  <c r="G39" i="18"/>
  <c r="H39" i="18"/>
  <c r="J39" i="18"/>
  <c r="I39" i="18"/>
  <c r="G40" i="18" l="1"/>
  <c r="F41" i="18"/>
  <c r="J40" i="18"/>
  <c r="H40" i="18"/>
  <c r="I40" i="18"/>
  <c r="F42" i="18" l="1"/>
  <c r="G41" i="18"/>
  <c r="I41" i="18"/>
  <c r="H41" i="18"/>
  <c r="J41" i="18"/>
  <c r="F43" i="18" l="1"/>
  <c r="G42" i="18"/>
  <c r="I42" i="18"/>
  <c r="J42" i="18"/>
  <c r="H42" i="18"/>
  <c r="G43" i="18" l="1"/>
  <c r="F44" i="18"/>
  <c r="H43" i="18"/>
  <c r="J43" i="18"/>
  <c r="I43" i="18"/>
  <c r="F45" i="18" l="1"/>
  <c r="G44" i="18"/>
  <c r="H44" i="18"/>
  <c r="I44" i="18"/>
  <c r="J44" i="18"/>
  <c r="F46" i="18" l="1"/>
  <c r="G45" i="18"/>
  <c r="I45" i="18"/>
  <c r="H45" i="18"/>
  <c r="J45" i="18"/>
  <c r="G46" i="18" l="1"/>
  <c r="F47" i="18"/>
  <c r="I46" i="18"/>
  <c r="H46" i="18"/>
  <c r="J46" i="18"/>
  <c r="G47" i="18" l="1"/>
  <c r="F48" i="18"/>
  <c r="I47" i="18"/>
  <c r="H47" i="18"/>
  <c r="J47" i="18"/>
  <c r="F49" i="18" l="1"/>
  <c r="G48" i="18"/>
  <c r="I48" i="18"/>
  <c r="H48" i="18"/>
  <c r="J48" i="18"/>
  <c r="G49" i="18" l="1"/>
  <c r="F50" i="18"/>
  <c r="H49" i="18"/>
  <c r="J49" i="18"/>
  <c r="I49" i="18"/>
  <c r="F51" i="18" l="1"/>
  <c r="G50" i="18"/>
  <c r="H50" i="18"/>
  <c r="J50" i="18"/>
  <c r="I50" i="18"/>
  <c r="G51" i="18" l="1"/>
  <c r="I51" i="18" s="1"/>
  <c r="F52" i="18"/>
  <c r="H51" i="18"/>
  <c r="J51" i="18"/>
  <c r="F53" i="18" l="1"/>
  <c r="G52" i="18"/>
  <c r="I52" i="18"/>
  <c r="H52" i="18"/>
  <c r="J52" i="18"/>
  <c r="F54" i="18" l="1"/>
  <c r="G53" i="18"/>
  <c r="I53" i="18"/>
  <c r="J53" i="18"/>
  <c r="H53" i="18"/>
  <c r="F55" i="18" l="1"/>
  <c r="G54" i="18"/>
  <c r="J54" i="18" s="1"/>
  <c r="I54" i="18"/>
  <c r="H54" i="18" l="1"/>
  <c r="F56" i="18"/>
  <c r="G55" i="18"/>
  <c r="H55" i="18"/>
  <c r="J55" i="18"/>
  <c r="I55" i="18"/>
  <c r="G56" i="18" l="1"/>
  <c r="F57" i="18"/>
  <c r="J56" i="18"/>
  <c r="H56" i="18"/>
  <c r="I56" i="18"/>
  <c r="F58" i="18" l="1"/>
  <c r="G57" i="18"/>
  <c r="J57" i="18"/>
  <c r="H57" i="18"/>
  <c r="I57" i="18"/>
  <c r="F59" i="18" l="1"/>
  <c r="G58" i="18"/>
  <c r="H58" i="18"/>
  <c r="I58" i="18"/>
  <c r="J58" i="18"/>
  <c r="G59" i="18" l="1"/>
  <c r="F60" i="18"/>
  <c r="I59" i="18"/>
  <c r="J59" i="18"/>
  <c r="H59" i="18"/>
  <c r="G60" i="18" l="1"/>
  <c r="F61" i="18"/>
  <c r="H60" i="18"/>
  <c r="J60" i="18"/>
  <c r="I60" i="18"/>
  <c r="F62" i="18" l="1"/>
  <c r="G61" i="18"/>
  <c r="H61" i="18"/>
  <c r="I61" i="18"/>
  <c r="J61" i="18"/>
  <c r="G62" i="18" l="1"/>
  <c r="F63" i="18"/>
  <c r="J62" i="18"/>
  <c r="I62" i="18"/>
  <c r="H62" i="18"/>
  <c r="G63" i="18" l="1"/>
  <c r="J63" i="18" s="1"/>
  <c r="F64" i="18"/>
  <c r="I63" i="18" l="1"/>
  <c r="H63" i="18"/>
  <c r="G64" i="18"/>
  <c r="I64" i="18" s="1"/>
  <c r="F65" i="18"/>
  <c r="J64" i="18"/>
  <c r="H64" i="18"/>
  <c r="G65" i="18" l="1"/>
  <c r="F66" i="18"/>
  <c r="H65" i="18"/>
  <c r="J65" i="18"/>
  <c r="I65" i="18"/>
  <c r="F67" i="18" l="1"/>
  <c r="G66" i="18"/>
  <c r="I66" i="18"/>
  <c r="J66" i="18"/>
  <c r="H66" i="18"/>
  <c r="F68" i="18" l="1"/>
  <c r="G67" i="18"/>
  <c r="J67" i="18"/>
  <c r="H67" i="18"/>
  <c r="I67" i="18"/>
  <c r="F69" i="18" l="1"/>
  <c r="G68" i="18"/>
  <c r="I68" i="18"/>
  <c r="J68" i="18"/>
  <c r="H68" i="18"/>
  <c r="F70" i="18" l="1"/>
  <c r="G69" i="18"/>
  <c r="J69" i="18"/>
  <c r="H69" i="18"/>
  <c r="I69" i="18"/>
  <c r="F71" i="18" l="1"/>
  <c r="G70" i="18"/>
  <c r="I70" i="18"/>
  <c r="J70" i="18"/>
  <c r="H70" i="18"/>
  <c r="F72" i="18" l="1"/>
  <c r="G71" i="18"/>
  <c r="J71" i="18"/>
  <c r="I71" i="18"/>
  <c r="H71" i="18"/>
  <c r="G72" i="18" l="1"/>
  <c r="F73" i="18"/>
  <c r="H72" i="18"/>
  <c r="I72" i="18"/>
  <c r="J72" i="18"/>
  <c r="F74" i="18" l="1"/>
  <c r="G73" i="18"/>
  <c r="J73" i="18"/>
  <c r="H73" i="18"/>
  <c r="I73" i="18"/>
  <c r="F75" i="18" l="1"/>
  <c r="G74" i="18"/>
  <c r="J74" i="18"/>
  <c r="I74" i="18"/>
  <c r="H74" i="18"/>
  <c r="G75" i="18" l="1"/>
  <c r="F76" i="18"/>
  <c r="I75" i="18"/>
  <c r="H75" i="18"/>
  <c r="J75" i="18"/>
  <c r="F77" i="18" l="1"/>
  <c r="G76" i="18"/>
  <c r="I76" i="18"/>
  <c r="J76" i="18"/>
  <c r="H76" i="18"/>
  <c r="F78" i="18" l="1"/>
  <c r="G77" i="18"/>
  <c r="I77" i="18"/>
  <c r="J77" i="18"/>
  <c r="H77" i="18"/>
  <c r="G78" i="18" l="1"/>
  <c r="F79" i="18"/>
  <c r="J78" i="18"/>
  <c r="I78" i="18"/>
  <c r="H78" i="18"/>
  <c r="F80" i="18" l="1"/>
  <c r="G79" i="18"/>
  <c r="I79" i="18"/>
  <c r="H79" i="18"/>
  <c r="J79" i="18"/>
  <c r="F81" i="18" l="1"/>
  <c r="G80" i="18"/>
  <c r="I80" i="18"/>
  <c r="H80" i="18"/>
  <c r="J80" i="18"/>
  <c r="G81" i="18" l="1"/>
  <c r="F82" i="18"/>
  <c r="J81" i="18"/>
  <c r="I81" i="18"/>
  <c r="H81" i="18"/>
  <c r="F83" i="18" l="1"/>
  <c r="G82" i="18"/>
  <c r="H82" i="18"/>
  <c r="I82" i="18"/>
  <c r="J82" i="18"/>
  <c r="F84" i="18" l="1"/>
  <c r="G83" i="18"/>
  <c r="H83" i="18"/>
  <c r="I83" i="18"/>
  <c r="J83" i="18"/>
  <c r="F85" i="18" l="1"/>
  <c r="G84" i="18"/>
  <c r="J84" i="18"/>
  <c r="H84" i="18"/>
  <c r="I84" i="18"/>
  <c r="G85" i="18" l="1"/>
  <c r="F86" i="18"/>
  <c r="J85" i="18"/>
  <c r="I85" i="18"/>
  <c r="H85" i="18"/>
  <c r="F87" i="18" l="1"/>
  <c r="G86" i="18"/>
  <c r="H86" i="18"/>
  <c r="I86" i="18"/>
  <c r="J86" i="18"/>
  <c r="F88" i="18" l="1"/>
  <c r="G87" i="18"/>
  <c r="I87" i="18"/>
  <c r="H87" i="18"/>
  <c r="J87" i="18"/>
  <c r="G88" i="18" l="1"/>
  <c r="F89" i="18"/>
  <c r="J88" i="18"/>
  <c r="H88" i="18"/>
  <c r="I88" i="18"/>
  <c r="G89" i="18" l="1"/>
  <c r="F90" i="18"/>
  <c r="J89" i="18"/>
  <c r="I89" i="18"/>
  <c r="H89" i="18"/>
  <c r="F91" i="18" l="1"/>
  <c r="G90" i="18"/>
  <c r="I90" i="18" s="1"/>
  <c r="H90" i="18"/>
  <c r="J90" i="18"/>
  <c r="G91" i="18" l="1"/>
  <c r="F92" i="18"/>
  <c r="J91" i="18"/>
  <c r="I91" i="18"/>
  <c r="H91" i="18"/>
  <c r="F93" i="18" l="1"/>
  <c r="G92" i="18"/>
  <c r="J92" i="18"/>
  <c r="H92" i="18"/>
  <c r="I92" i="18"/>
  <c r="F94" i="18" l="1"/>
  <c r="G93" i="18"/>
  <c r="I93" i="18" s="1"/>
  <c r="H93" i="18"/>
  <c r="J93" i="18"/>
  <c r="G94" i="18" l="1"/>
  <c r="F95" i="18"/>
  <c r="J94" i="18"/>
  <c r="I94" i="18"/>
  <c r="H94" i="18"/>
  <c r="F96" i="18" l="1"/>
  <c r="G95" i="18"/>
  <c r="H95" i="18"/>
  <c r="J95" i="18"/>
  <c r="I95" i="18"/>
  <c r="F97" i="18" l="1"/>
  <c r="G96" i="18"/>
  <c r="J96" i="18"/>
  <c r="H96" i="18"/>
  <c r="I96" i="18"/>
  <c r="G97" i="18" l="1"/>
  <c r="F98" i="18"/>
  <c r="J97" i="18"/>
  <c r="I97" i="18"/>
  <c r="H97" i="18"/>
  <c r="G98" i="18" l="1"/>
  <c r="F99" i="18"/>
  <c r="J98" i="18"/>
  <c r="H98" i="18"/>
  <c r="I98" i="18"/>
  <c r="F100" i="18" l="1"/>
  <c r="G99" i="18"/>
  <c r="J99" i="18"/>
  <c r="H99" i="18"/>
  <c r="I99" i="18"/>
  <c r="F101" i="18" l="1"/>
  <c r="G100" i="18"/>
  <c r="H100" i="18"/>
  <c r="J100" i="18"/>
  <c r="I100" i="18"/>
  <c r="F102" i="18" l="1"/>
  <c r="G101" i="18"/>
  <c r="H101" i="18"/>
  <c r="I101" i="18"/>
  <c r="J101" i="18"/>
  <c r="G102" i="18" l="1"/>
  <c r="F103" i="18"/>
  <c r="H102" i="18"/>
  <c r="I102" i="18"/>
  <c r="J102" i="18"/>
  <c r="F104" i="18" l="1"/>
  <c r="G103" i="18"/>
  <c r="I103" i="18"/>
  <c r="H103" i="18"/>
  <c r="J103" i="18"/>
  <c r="G104" i="18" l="1"/>
  <c r="I104" i="18" s="1"/>
  <c r="F105" i="18"/>
  <c r="J104" i="18"/>
  <c r="H104" i="18"/>
  <c r="F106" i="18" l="1"/>
  <c r="G105" i="18"/>
  <c r="H105" i="18"/>
  <c r="J105" i="18"/>
  <c r="I105" i="18"/>
  <c r="F107" i="18" l="1"/>
  <c r="G106" i="18"/>
  <c r="H106" i="18"/>
  <c r="J106" i="18"/>
  <c r="I106" i="18"/>
  <c r="G107" i="18" l="1"/>
  <c r="F108" i="18"/>
  <c r="J107" i="18"/>
  <c r="H107" i="18"/>
  <c r="I107" i="18"/>
  <c r="F109" i="18" l="1"/>
  <c r="G108" i="18"/>
  <c r="I108" i="18"/>
  <c r="H108" i="18"/>
  <c r="J108" i="18"/>
  <c r="F110" i="18" l="1"/>
  <c r="G109" i="18"/>
  <c r="J109" i="18"/>
  <c r="H109" i="18"/>
  <c r="I109" i="18"/>
  <c r="G110" i="18" l="1"/>
  <c r="F111" i="18"/>
  <c r="I110" i="18"/>
  <c r="H110" i="18"/>
  <c r="J110" i="18"/>
  <c r="G111" i="18" l="1"/>
  <c r="F112" i="18"/>
  <c r="H111" i="18"/>
  <c r="J111" i="18"/>
  <c r="I111" i="18"/>
  <c r="G112" i="18" l="1"/>
  <c r="F113" i="18"/>
  <c r="H112" i="18"/>
  <c r="I112" i="18"/>
  <c r="J112" i="18"/>
  <c r="G113" i="18" l="1"/>
  <c r="F114" i="18"/>
  <c r="J113" i="18"/>
  <c r="I113" i="18"/>
  <c r="H113" i="18"/>
  <c r="G114" i="18" l="1"/>
  <c r="F115" i="18"/>
  <c r="I114" i="18"/>
  <c r="H114" i="18"/>
  <c r="J114" i="18"/>
  <c r="F116" i="18" l="1"/>
  <c r="G115" i="18"/>
  <c r="H115" i="18"/>
  <c r="I115" i="18"/>
  <c r="J115" i="18"/>
  <c r="F117" i="18" l="1"/>
  <c r="G116" i="18"/>
  <c r="J116" i="18" s="1"/>
  <c r="H116" i="18"/>
  <c r="I116" i="18"/>
  <c r="G117" i="18" l="1"/>
  <c r="F118" i="18"/>
  <c r="J117" i="18"/>
  <c r="I117" i="18"/>
  <c r="H117" i="18"/>
  <c r="F119" i="18" l="1"/>
  <c r="G118" i="18"/>
  <c r="J118" i="18"/>
  <c r="H118" i="18"/>
  <c r="I118" i="18"/>
  <c r="F120" i="18" l="1"/>
  <c r="G119" i="18"/>
  <c r="I119" i="18"/>
  <c r="J119" i="18"/>
  <c r="H119" i="18"/>
  <c r="G120" i="18" l="1"/>
  <c r="F121" i="18"/>
  <c r="H120" i="18"/>
  <c r="J120" i="18"/>
  <c r="I120" i="18"/>
  <c r="G121" i="18" l="1"/>
  <c r="F122" i="18"/>
  <c r="H121" i="18"/>
  <c r="J121" i="18"/>
  <c r="I121" i="18"/>
  <c r="F123" i="18" l="1"/>
  <c r="G122" i="18"/>
  <c r="I122" i="18"/>
  <c r="H122" i="18"/>
  <c r="J122" i="18"/>
  <c r="G123" i="18" l="1"/>
  <c r="F124" i="18"/>
  <c r="H123" i="18"/>
  <c r="I123" i="18"/>
  <c r="J123" i="18"/>
  <c r="F125" i="18" l="1"/>
  <c r="G124" i="18"/>
  <c r="I124" i="18"/>
  <c r="H124" i="18"/>
  <c r="J124" i="18"/>
  <c r="F126" i="18" l="1"/>
  <c r="G125" i="18"/>
  <c r="J125" i="18"/>
  <c r="H125" i="18"/>
  <c r="I125" i="18"/>
  <c r="G126" i="18" l="1"/>
  <c r="F127" i="18"/>
  <c r="I126" i="18"/>
  <c r="H126" i="18"/>
  <c r="J126" i="18"/>
  <c r="F128" i="18" l="1"/>
  <c r="G127" i="18"/>
  <c r="J127" i="18" s="1"/>
  <c r="H127" i="18"/>
  <c r="I127" i="18"/>
  <c r="G128" i="18" l="1"/>
  <c r="H128" i="18" s="1"/>
  <c r="F129" i="18"/>
  <c r="I128" i="18"/>
  <c r="J128" i="18"/>
  <c r="G129" i="18" l="1"/>
  <c r="F130" i="18"/>
  <c r="H129" i="18"/>
  <c r="J129" i="18"/>
  <c r="I129" i="18"/>
  <c r="F131" i="18" l="1"/>
  <c r="G130" i="18"/>
  <c r="J130" i="18"/>
  <c r="H130" i="18"/>
  <c r="I130" i="18"/>
  <c r="F132" i="18" l="1"/>
  <c r="G131" i="18"/>
  <c r="H131" i="18" s="1"/>
  <c r="I131" i="18"/>
  <c r="J131" i="18"/>
  <c r="F133" i="18" l="1"/>
  <c r="G132" i="18"/>
  <c r="I132" i="18"/>
  <c r="J132" i="18"/>
  <c r="H132" i="18"/>
  <c r="G133" i="18" l="1"/>
  <c r="F134" i="18"/>
  <c r="H133" i="18"/>
  <c r="J133" i="18"/>
  <c r="I133" i="18"/>
  <c r="F135" i="18" l="1"/>
  <c r="G134" i="18"/>
  <c r="I134" i="18"/>
  <c r="H134" i="18"/>
  <c r="J134" i="18"/>
  <c r="F136" i="18" l="1"/>
  <c r="G135" i="18"/>
  <c r="J135" i="18"/>
  <c r="H135" i="18"/>
  <c r="I135" i="18"/>
  <c r="G136" i="18" l="1"/>
  <c r="F137" i="18"/>
  <c r="J136" i="18"/>
  <c r="I136" i="18"/>
  <c r="H136" i="18"/>
  <c r="F138" i="18" l="1"/>
  <c r="G137" i="18"/>
  <c r="J137" i="18"/>
  <c r="I137" i="18"/>
  <c r="H137" i="18"/>
  <c r="F139" i="18" l="1"/>
  <c r="G138" i="18"/>
  <c r="I138" i="18" s="1"/>
  <c r="H138" i="18"/>
  <c r="J138" i="18"/>
  <c r="G139" i="18" l="1"/>
  <c r="F140" i="18"/>
  <c r="J139" i="18"/>
  <c r="I139" i="18"/>
  <c r="H139" i="18"/>
  <c r="F141" i="18" l="1"/>
  <c r="G140" i="18"/>
  <c r="I140" i="18"/>
  <c r="H140" i="18"/>
  <c r="J140" i="18"/>
  <c r="F142" i="18" l="1"/>
  <c r="G141" i="18"/>
  <c r="J141" i="18"/>
  <c r="I141" i="18"/>
  <c r="H141" i="18"/>
  <c r="G142" i="18" l="1"/>
  <c r="F143" i="18"/>
  <c r="J142" i="18"/>
  <c r="I142" i="18"/>
  <c r="H142" i="18"/>
  <c r="G143" i="18" l="1"/>
  <c r="F144" i="18"/>
  <c r="H143" i="18"/>
  <c r="J143" i="18"/>
  <c r="I143" i="18"/>
  <c r="F145" i="18" l="1"/>
  <c r="G144" i="18"/>
  <c r="H144" i="18"/>
  <c r="J144" i="18"/>
  <c r="I144" i="18"/>
  <c r="G145" i="18" l="1"/>
  <c r="F146" i="18"/>
  <c r="H145" i="18"/>
  <c r="J145" i="18"/>
  <c r="I145" i="18"/>
  <c r="F147" i="18" l="1"/>
  <c r="G146" i="18"/>
  <c r="J146" i="18" s="1"/>
  <c r="I146" i="18"/>
  <c r="H146" i="18"/>
  <c r="F148" i="18" l="1"/>
  <c r="G147" i="18"/>
  <c r="I147" i="18"/>
  <c r="H147" i="18"/>
  <c r="J147" i="18"/>
  <c r="F149" i="18" l="1"/>
  <c r="G148" i="18"/>
  <c r="I148" i="18"/>
  <c r="J148" i="18"/>
  <c r="H148" i="18"/>
  <c r="G149" i="18" l="1"/>
  <c r="F150" i="18"/>
  <c r="I149" i="18"/>
  <c r="H149" i="18"/>
  <c r="J149" i="18"/>
  <c r="F151" i="18" l="1"/>
  <c r="G150" i="18"/>
  <c r="J150" i="18"/>
  <c r="H150" i="18"/>
  <c r="I150" i="18"/>
  <c r="F152" i="18" l="1"/>
  <c r="G151" i="18"/>
  <c r="J151" i="18"/>
  <c r="H151" i="18"/>
  <c r="I151" i="18"/>
  <c r="G152" i="18" l="1"/>
  <c r="F153" i="18"/>
  <c r="J152" i="18"/>
  <c r="I152" i="18"/>
  <c r="H152" i="18"/>
  <c r="F154" i="18" l="1"/>
  <c r="G153" i="18"/>
  <c r="H153" i="18"/>
  <c r="I153" i="18"/>
  <c r="J153" i="18"/>
  <c r="F155" i="18" l="1"/>
  <c r="G154" i="18"/>
  <c r="I154" i="18"/>
  <c r="H154" i="18"/>
  <c r="J154" i="18"/>
  <c r="G155" i="18" l="1"/>
  <c r="F156" i="18"/>
  <c r="I155" i="18"/>
  <c r="J155" i="18"/>
  <c r="H155" i="18"/>
  <c r="F157" i="18" l="1"/>
  <c r="G156" i="18"/>
  <c r="I156" i="18"/>
  <c r="H156" i="18"/>
  <c r="J156" i="18"/>
  <c r="F158" i="18" l="1"/>
  <c r="G157" i="18"/>
  <c r="I157" i="18"/>
  <c r="H157" i="18"/>
  <c r="J157" i="18"/>
  <c r="G158" i="18" l="1"/>
  <c r="F159" i="18"/>
  <c r="J158" i="18"/>
  <c r="I158" i="18"/>
  <c r="H158" i="18"/>
  <c r="F160" i="18" l="1"/>
  <c r="G159" i="18"/>
  <c r="H159" i="18"/>
  <c r="I159" i="18"/>
  <c r="J159" i="18"/>
  <c r="G160" i="18" l="1"/>
  <c r="H160" i="18" s="1"/>
  <c r="F161" i="18"/>
  <c r="J160" i="18"/>
  <c r="I160" i="18"/>
  <c r="G161" i="18" l="1"/>
  <c r="F162" i="18"/>
  <c r="H161" i="18"/>
  <c r="J161" i="18"/>
  <c r="I161" i="18"/>
  <c r="F163" i="18" l="1"/>
  <c r="G162" i="18"/>
  <c r="I162" i="18" s="1"/>
  <c r="J162" i="18"/>
  <c r="H162" i="18"/>
  <c r="F164" i="18" l="1"/>
  <c r="G163" i="18"/>
  <c r="I163" i="18"/>
  <c r="J163" i="18"/>
  <c r="H163" i="18"/>
  <c r="F165" i="18" l="1"/>
  <c r="G164" i="18"/>
  <c r="J164" i="18"/>
  <c r="H164" i="18"/>
  <c r="I164" i="18"/>
  <c r="G165" i="18" l="1"/>
  <c r="F166" i="18"/>
  <c r="I165" i="18"/>
  <c r="J165" i="18"/>
  <c r="H165" i="18"/>
  <c r="F167" i="18" l="1"/>
  <c r="G166" i="18"/>
  <c r="H166" i="18"/>
  <c r="J166" i="18"/>
  <c r="I166" i="18"/>
  <c r="F168" i="18" l="1"/>
  <c r="G167" i="18"/>
  <c r="I167" i="18"/>
  <c r="H167" i="18"/>
  <c r="J167" i="18"/>
  <c r="G168" i="18" l="1"/>
  <c r="F169" i="18"/>
  <c r="I168" i="18"/>
  <c r="J168" i="18"/>
  <c r="H168" i="18"/>
  <c r="F170" i="18" l="1"/>
  <c r="G169" i="18"/>
  <c r="I169" i="18"/>
  <c r="J169" i="18"/>
  <c r="H169" i="18"/>
  <c r="F171" i="18" l="1"/>
  <c r="G170" i="18"/>
  <c r="J170" i="18"/>
  <c r="H170" i="18"/>
  <c r="I170" i="18"/>
  <c r="G171" i="18" l="1"/>
  <c r="F172" i="18"/>
  <c r="I171" i="18"/>
  <c r="H171" i="18"/>
  <c r="J171" i="18"/>
  <c r="F173" i="18" l="1"/>
  <c r="G172" i="18"/>
  <c r="J172" i="18" s="1"/>
  <c r="I172" i="18"/>
  <c r="H172" i="18" l="1"/>
  <c r="F174" i="18"/>
  <c r="G173" i="18"/>
  <c r="I173" i="18" s="1"/>
  <c r="J173" i="18"/>
  <c r="H173" i="18" l="1"/>
  <c r="G174" i="18"/>
  <c r="F175" i="18"/>
  <c r="J174" i="18"/>
  <c r="I174" i="18"/>
  <c r="H174" i="18"/>
  <c r="F176" i="18" l="1"/>
  <c r="G175" i="18"/>
  <c r="H175" i="18"/>
  <c r="I175" i="18"/>
  <c r="J175" i="18"/>
  <c r="G176" i="18" l="1"/>
  <c r="F177" i="18"/>
  <c r="H176" i="18"/>
  <c r="J176" i="18"/>
  <c r="I176" i="18"/>
  <c r="G177" i="18" l="1"/>
  <c r="F178" i="18"/>
  <c r="J177" i="18"/>
  <c r="I177" i="18"/>
  <c r="H177" i="18"/>
  <c r="F179" i="18" l="1"/>
  <c r="G178" i="18"/>
  <c r="H178" i="18"/>
  <c r="J178" i="18"/>
  <c r="I178" i="18"/>
  <c r="F180" i="18" l="1"/>
  <c r="G179" i="18"/>
  <c r="J179" i="18"/>
  <c r="H179" i="18"/>
  <c r="I179" i="18"/>
  <c r="F181" i="18" l="1"/>
  <c r="G180" i="18"/>
  <c r="J180" i="18"/>
  <c r="H180" i="18"/>
  <c r="I180" i="18"/>
  <c r="F182" i="18" l="1"/>
  <c r="G181" i="18"/>
  <c r="I181" i="18"/>
  <c r="H181" i="18"/>
  <c r="J181" i="18"/>
  <c r="F183" i="18" l="1"/>
  <c r="G182" i="18"/>
  <c r="J182" i="18"/>
  <c r="H182" i="18"/>
  <c r="I182" i="18"/>
  <c r="F184" i="18" l="1"/>
  <c r="G183" i="18"/>
  <c r="I183" i="18"/>
  <c r="J183" i="18"/>
  <c r="H183" i="18"/>
  <c r="G184" i="18" l="1"/>
  <c r="F185" i="18"/>
  <c r="I184" i="18"/>
  <c r="J184" i="18"/>
  <c r="H184" i="18"/>
  <c r="F186" i="18" l="1"/>
  <c r="G185" i="18"/>
  <c r="I185" i="18"/>
  <c r="J185" i="18"/>
  <c r="H185" i="18"/>
  <c r="F187" i="18" l="1"/>
  <c r="G186" i="18"/>
  <c r="H186" i="18"/>
  <c r="J186" i="18"/>
  <c r="I186" i="18"/>
  <c r="G187" i="18" l="1"/>
  <c r="F188" i="18"/>
  <c r="J187" i="18"/>
  <c r="H187" i="18"/>
  <c r="I187" i="18"/>
  <c r="F189" i="18" l="1"/>
  <c r="G188" i="18"/>
  <c r="J188" i="18"/>
  <c r="H188" i="18"/>
  <c r="I188" i="18"/>
  <c r="F190" i="18" l="1"/>
  <c r="G189" i="18"/>
  <c r="I189" i="18"/>
  <c r="H189" i="18"/>
  <c r="J189" i="18"/>
  <c r="G190" i="18" l="1"/>
  <c r="F191" i="18"/>
  <c r="J190" i="18"/>
  <c r="I190" i="18"/>
  <c r="H190" i="18"/>
  <c r="F192" i="18" l="1"/>
  <c r="G191" i="18"/>
  <c r="H191" i="18" s="1"/>
  <c r="J191" i="18" l="1"/>
  <c r="I191" i="18"/>
  <c r="F193" i="18"/>
  <c r="G192" i="18"/>
  <c r="H192" i="18" s="1"/>
  <c r="I192" i="18"/>
  <c r="J192" i="18"/>
  <c r="G193" i="18" l="1"/>
  <c r="F194" i="18"/>
  <c r="J193" i="18"/>
  <c r="I193" i="18"/>
  <c r="H193" i="18"/>
  <c r="F195" i="18" l="1"/>
  <c r="G194" i="18"/>
  <c r="J194" i="18"/>
  <c r="H194" i="18"/>
  <c r="I194" i="18"/>
  <c r="F196" i="18" l="1"/>
  <c r="G195" i="18"/>
  <c r="I195" i="18"/>
  <c r="J195" i="18"/>
  <c r="H195" i="18"/>
  <c r="F197" i="18" l="1"/>
  <c r="G196" i="18"/>
  <c r="J196" i="18" s="1"/>
  <c r="H196" i="18"/>
  <c r="I196" i="18"/>
  <c r="G197" i="18" l="1"/>
  <c r="F198" i="18"/>
  <c r="H197" i="18"/>
  <c r="J197" i="18"/>
  <c r="I197" i="18"/>
  <c r="F199" i="18" l="1"/>
  <c r="G198" i="18"/>
  <c r="J198" i="18"/>
  <c r="I198" i="18"/>
  <c r="H198" i="18"/>
  <c r="F200" i="18" l="1"/>
  <c r="G199" i="18"/>
  <c r="H199" i="18"/>
  <c r="I199" i="18"/>
  <c r="J199" i="18"/>
  <c r="G200" i="18" l="1"/>
  <c r="F201" i="18"/>
  <c r="J200" i="18"/>
  <c r="I200" i="18"/>
  <c r="H200" i="18"/>
  <c r="F202" i="18" l="1"/>
  <c r="G201" i="18"/>
  <c r="J201" i="18"/>
  <c r="H201" i="18"/>
  <c r="I201" i="18"/>
  <c r="F203" i="18" l="1"/>
  <c r="G202" i="18"/>
  <c r="J202" i="18"/>
  <c r="I202" i="18"/>
  <c r="H202" i="18"/>
  <c r="G203" i="18" l="1"/>
  <c r="F204" i="18"/>
  <c r="J203" i="18"/>
  <c r="H203" i="18"/>
  <c r="I203" i="18"/>
  <c r="F205" i="18" l="1"/>
  <c r="G204" i="18"/>
  <c r="H204" i="18"/>
  <c r="I204" i="18"/>
  <c r="J204" i="18"/>
  <c r="F206" i="18" l="1"/>
  <c r="G205" i="18"/>
  <c r="H205" i="18"/>
  <c r="J205" i="18"/>
  <c r="I205" i="18"/>
  <c r="G206" i="18" l="1"/>
  <c r="F207" i="18"/>
  <c r="I206" i="18"/>
  <c r="H206" i="18"/>
  <c r="J206" i="18"/>
  <c r="F208" i="18" l="1"/>
  <c r="G207" i="18"/>
  <c r="I207" i="18"/>
  <c r="J207" i="18"/>
  <c r="H207" i="18"/>
  <c r="F209" i="18" l="1"/>
  <c r="G208" i="18"/>
  <c r="H208" i="18" s="1"/>
  <c r="I208" i="18"/>
  <c r="J208" i="18"/>
  <c r="G209" i="18" l="1"/>
  <c r="J209" i="18"/>
  <c r="I209" i="18"/>
  <c r="H209" i="18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<sst xmlns="http://schemas.openxmlformats.org/spreadsheetml/2006/main" count="955" uniqueCount="348">
  <si>
    <t>Email</t>
  </si>
  <si>
    <t>All Rights Reserved:  © Astronomy Morsels.</t>
  </si>
  <si>
    <t>I'm solely responsible for the input and express no warranty.  Use at your own risk.</t>
  </si>
  <si>
    <t>Nonetheless, this spreadsheet has been carefully reviewed, and calculation results have been compared with other applications.</t>
  </si>
  <si>
    <r>
      <rPr>
        <b/>
        <sz val="14"/>
        <color theme="0"/>
        <rFont val="Calibri (Body)"/>
      </rPr>
      <t>Compiled by</t>
    </r>
    <r>
      <rPr>
        <sz val="14"/>
        <color theme="0"/>
        <rFont val="Calibri (Body)"/>
      </rPr>
      <t>: Anton Viola (Astronomy Morsels).</t>
    </r>
  </si>
  <si>
    <t>min</t>
  </si>
  <si>
    <t>max</t>
  </si>
  <si>
    <t>Inputs</t>
  </si>
  <si>
    <t>Azimuth</t>
  </si>
  <si>
    <t>Altitude</t>
  </si>
  <si>
    <t>RA</t>
  </si>
  <si>
    <t>Decl</t>
  </si>
  <si>
    <t>HA</t>
  </si>
  <si>
    <t>Date</t>
  </si>
  <si>
    <t>Time</t>
  </si>
  <si>
    <t>Timezone</t>
  </si>
  <si>
    <t>Leap year?</t>
  </si>
  <si>
    <t>Day nr.</t>
  </si>
  <si>
    <t>Weekday</t>
  </si>
  <si>
    <t>JDE</t>
  </si>
  <si>
    <t>Delta days</t>
  </si>
  <si>
    <t>φ    (latitude)</t>
  </si>
  <si>
    <t>L     (longitude)</t>
  </si>
  <si>
    <t>UT  (hours)</t>
  </si>
  <si>
    <t>LST (degrees)</t>
  </si>
  <si>
    <t>Date, time, location</t>
  </si>
  <si>
    <t>Field of view limits (azimuth, altitude)</t>
  </si>
  <si>
    <t>Visible objects (based on criteria)</t>
  </si>
  <si>
    <t>Location</t>
  </si>
  <si>
    <t>Home</t>
  </si>
  <si>
    <t>Marker name</t>
  </si>
  <si>
    <t>Observed?</t>
  </si>
  <si>
    <t>values</t>
  </si>
  <si>
    <t>x</t>
  </si>
  <si>
    <t>Can for instance be used to indicate whether an object is of special interest</t>
  </si>
  <si>
    <t>-</t>
  </si>
  <si>
    <t>Name</t>
  </si>
  <si>
    <t>STF 270</t>
  </si>
  <si>
    <t>STF 1604</t>
  </si>
  <si>
    <t>STF 2816</t>
  </si>
  <si>
    <t>AR Cas, STT 496</t>
  </si>
  <si>
    <t>STF 3056 AB,C,D</t>
  </si>
  <si>
    <t>And</t>
  </si>
  <si>
    <t>AB 7.13</t>
  </si>
  <si>
    <t>AB,C 26.3</t>
  </si>
  <si>
    <t>AB,D 95.3</t>
  </si>
  <si>
    <t>AB,C 4</t>
  </si>
  <si>
    <t>AB,D 238</t>
  </si>
  <si>
    <t>STF 28, FM 12</t>
  </si>
  <si>
    <t>STF 42</t>
  </si>
  <si>
    <t>STF 2379</t>
  </si>
  <si>
    <t>Aql</t>
  </si>
  <si>
    <t>STF 2787</t>
  </si>
  <si>
    <t>Aqr</t>
  </si>
  <si>
    <t>STF 2944</t>
  </si>
  <si>
    <t>AG 38</t>
  </si>
  <si>
    <t>Ari</t>
  </si>
  <si>
    <t>STF 271</t>
  </si>
  <si>
    <t>STF 291</t>
  </si>
  <si>
    <t>STF 711 ABCD</t>
  </si>
  <si>
    <t>Aur</t>
  </si>
  <si>
    <t>STF 718 ABC</t>
  </si>
  <si>
    <t>STF 796</t>
  </si>
  <si>
    <t>STF 1808</t>
  </si>
  <si>
    <t>Boo</t>
  </si>
  <si>
    <t>STF 1843</t>
  </si>
  <si>
    <t>STF 1854</t>
  </si>
  <si>
    <t>BU 31</t>
  </si>
  <si>
    <t>STF 1896</t>
  </si>
  <si>
    <t>STF 373 AB, STTA 33 AC, STU1 AD</t>
  </si>
  <si>
    <t>Cam</t>
  </si>
  <si>
    <t>HJ 2200 ABC</t>
  </si>
  <si>
    <t>STF 617 and STF 618</t>
  </si>
  <si>
    <t>STF 866</t>
  </si>
  <si>
    <t>STF 1075</t>
  </si>
  <si>
    <t>STF 1169, PKO 21</t>
  </si>
  <si>
    <t>STT 7</t>
  </si>
  <si>
    <t>Cas</t>
  </si>
  <si>
    <t>A,D 102</t>
  </si>
  <si>
    <t>STT 9</t>
  </si>
  <si>
    <t>HJ 1054</t>
  </si>
  <si>
    <t>CD 26.7</t>
  </si>
  <si>
    <t>CD 239</t>
  </si>
  <si>
    <t>BU 1</t>
  </si>
  <si>
    <t>D 9.6</t>
  </si>
  <si>
    <t>AE 15.8</t>
  </si>
  <si>
    <t>AE 333</t>
  </si>
  <si>
    <t>Iota Cas, STF 262</t>
  </si>
  <si>
    <t>Cep</t>
  </si>
  <si>
    <t>CD 30.6</t>
  </si>
  <si>
    <t>AD 339</t>
  </si>
  <si>
    <t>CD 325</t>
  </si>
  <si>
    <t>H III 80</t>
  </si>
  <si>
    <t>Cet</t>
  </si>
  <si>
    <t>HJ 658</t>
  </si>
  <si>
    <t>BC 11.18</t>
  </si>
  <si>
    <t>A,BC 18.0</t>
  </si>
  <si>
    <t>BC 1.4</t>
  </si>
  <si>
    <t>A,BC 24</t>
  </si>
  <si>
    <t>BC 4</t>
  </si>
  <si>
    <t>S 516</t>
  </si>
  <si>
    <t>CMa</t>
  </si>
  <si>
    <t>Tau CMa, HJ 3948</t>
  </si>
  <si>
    <t>Zeta 2 Cnc, STF 1196</t>
  </si>
  <si>
    <t>Cnc</t>
  </si>
  <si>
    <t>AB,C 5.9</t>
  </si>
  <si>
    <t>AB,D 275.6</t>
  </si>
  <si>
    <t>AB,E 562</t>
  </si>
  <si>
    <t>AB,C 64</t>
  </si>
  <si>
    <t>AB,D 107</t>
  </si>
  <si>
    <t>AB,E  26</t>
  </si>
  <si>
    <t>STF 1245</t>
  </si>
  <si>
    <t>S 571</t>
  </si>
  <si>
    <t>AB 7.31</t>
  </si>
  <si>
    <t>AB 0.9</t>
  </si>
  <si>
    <t>DE 35.4</t>
  </si>
  <si>
    <t>ENG 37</t>
  </si>
  <si>
    <t>STF 1300</t>
  </si>
  <si>
    <t>HJ 3858</t>
  </si>
  <si>
    <t>Col</t>
  </si>
  <si>
    <t>BC 3.9</t>
  </si>
  <si>
    <t>BC 310</t>
  </si>
  <si>
    <t>HJ 3875+BU 755</t>
  </si>
  <si>
    <t>SHJ 143</t>
  </si>
  <si>
    <t>Com</t>
  </si>
  <si>
    <t>STF 1685</t>
  </si>
  <si>
    <t>STF 1964</t>
  </si>
  <si>
    <t>CrB</t>
  </si>
  <si>
    <t>CD 1.5</t>
  </si>
  <si>
    <t>CD 60</t>
  </si>
  <si>
    <t>STF 2011</t>
  </si>
  <si>
    <t>SHJ 223</t>
  </si>
  <si>
    <t>AE 76.6</t>
  </si>
  <si>
    <t>AE 15</t>
  </si>
  <si>
    <t>JC 16</t>
  </si>
  <si>
    <t>Crt</t>
  </si>
  <si>
    <t>Crv</t>
  </si>
  <si>
    <t>STF 1659 "Stargate"</t>
  </si>
  <si>
    <t>STF 1669</t>
  </si>
  <si>
    <t>HJ 2617+BKO 114</t>
  </si>
  <si>
    <t>CVn</t>
  </si>
  <si>
    <t>STT 269+ARN 8</t>
  </si>
  <si>
    <t>AB 6.8</t>
  </si>
  <si>
    <t>AB C 123.4</t>
  </si>
  <si>
    <t>AB,D 351.6</t>
  </si>
  <si>
    <t>STF 1769</t>
  </si>
  <si>
    <t>Delta Cyg STF 2579</t>
  </si>
  <si>
    <t>Cyg</t>
  </si>
  <si>
    <t>STF 2673 , 2674</t>
  </si>
  <si>
    <t>Del</t>
  </si>
  <si>
    <t>CD 15</t>
  </si>
  <si>
    <t>CD 1</t>
  </si>
  <si>
    <t>S 752, BU 987</t>
  </si>
  <si>
    <t>STFA 25 ABC</t>
  </si>
  <si>
    <t>Dra</t>
  </si>
  <si>
    <t>BC 178.3</t>
  </si>
  <si>
    <t>BC 150</t>
  </si>
  <si>
    <t>STF 1996 ABC</t>
  </si>
  <si>
    <t>STF 2302</t>
  </si>
  <si>
    <t>BC 18.3</t>
  </si>
  <si>
    <t>BC 287</t>
  </si>
  <si>
    <t>STF 518 A,BC,D,E</t>
  </si>
  <si>
    <t>Eri</t>
  </si>
  <si>
    <t>A,BC 83.7</t>
  </si>
  <si>
    <t>AE 569</t>
  </si>
  <si>
    <t>A,BC 102</t>
  </si>
  <si>
    <t>AE 24</t>
  </si>
  <si>
    <t>HJ 3644 AB,C AB,D</t>
  </si>
  <si>
    <t>AB 6.15</t>
  </si>
  <si>
    <t>AB,C 41</t>
  </si>
  <si>
    <t>AB,D 44.1</t>
  </si>
  <si>
    <t>AB,C 1</t>
  </si>
  <si>
    <t>AB,D 42</t>
  </si>
  <si>
    <t>51 Eri, BU 88, WAL 32</t>
  </si>
  <si>
    <t>28./9</t>
  </si>
  <si>
    <t>HJ 3677 AB, DAW 81 BC</t>
  </si>
  <si>
    <t>BC 8.5</t>
  </si>
  <si>
    <t>BC 17</t>
  </si>
  <si>
    <t>62 Eri, SHJ 48, GMC 11</t>
  </si>
  <si>
    <t>66 Eri, STF 642, HUB 5</t>
  </si>
  <si>
    <t>HJ 3518</t>
  </si>
  <si>
    <t>For</t>
  </si>
  <si>
    <t>STF 982 ABC</t>
  </si>
  <si>
    <t>Gem</t>
  </si>
  <si>
    <t>STF 1007 AD</t>
  </si>
  <si>
    <t>STF 1054</t>
  </si>
  <si>
    <t>STF 1102 ABDE</t>
  </si>
  <si>
    <t>Castor ABCD STF 1110</t>
  </si>
  <si>
    <t>STF 2052</t>
  </si>
  <si>
    <t>Her</t>
  </si>
  <si>
    <t>STFA 31AB</t>
  </si>
  <si>
    <t>STF 2083</t>
  </si>
  <si>
    <t>100 Her, STF 2280</t>
  </si>
  <si>
    <t>STF 1316</t>
  </si>
  <si>
    <t>Hya</t>
  </si>
  <si>
    <t>HU 227</t>
  </si>
  <si>
    <t>DUN 116 ABC</t>
  </si>
  <si>
    <t>HJ 1823</t>
  </si>
  <si>
    <t>Lac</t>
  </si>
  <si>
    <t>AE 119</t>
  </si>
  <si>
    <t>CD 5.1</t>
  </si>
  <si>
    <t>CD 139</t>
  </si>
  <si>
    <t>AE 263</t>
  </si>
  <si>
    <t>STF 1364/HJ 466</t>
  </si>
  <si>
    <t>Leo</t>
  </si>
  <si>
    <t>STT 204,WAL 56</t>
  </si>
  <si>
    <t>HJ 3780</t>
  </si>
  <si>
    <t>Lep</t>
  </si>
  <si>
    <t>CD 356</t>
  </si>
  <si>
    <t>5 Lyn/S 514/WAL 46</t>
  </si>
  <si>
    <t>Lyn</t>
  </si>
  <si>
    <t>D 12.2</t>
  </si>
  <si>
    <t>STT 525, SHJ 282 ABCD</t>
  </si>
  <si>
    <t>Lyr</t>
  </si>
  <si>
    <t>CD 192.4</t>
  </si>
  <si>
    <t>CD 284</t>
  </si>
  <si>
    <t>10 Mono, BUP 89</t>
  </si>
  <si>
    <t>Mon</t>
  </si>
  <si>
    <t>Rho Oph, H 2 19</t>
  </si>
  <si>
    <t>Oph</t>
  </si>
  <si>
    <t>STF 2050 ABCD</t>
  </si>
  <si>
    <t>SHJ 49</t>
  </si>
  <si>
    <t>Ori</t>
  </si>
  <si>
    <t>STF 697</t>
  </si>
  <si>
    <t>STF 761 &amp; 762</t>
  </si>
  <si>
    <t>STF 788</t>
  </si>
  <si>
    <t>STF 815</t>
  </si>
  <si>
    <t>BU 193</t>
  </si>
  <si>
    <t>STF 3060 ABCD</t>
  </si>
  <si>
    <t>Peg</t>
  </si>
  <si>
    <t>STF 2799</t>
  </si>
  <si>
    <t>STF 162</t>
  </si>
  <si>
    <t>Per</t>
  </si>
  <si>
    <t>BC 19.2</t>
  </si>
  <si>
    <t>BC 177</t>
  </si>
  <si>
    <t>Zeta Per, STF 464</t>
  </si>
  <si>
    <t>AE, 120</t>
  </si>
  <si>
    <t>AE 186</t>
  </si>
  <si>
    <t>STF 533</t>
  </si>
  <si>
    <t>HJ 4106+LDS 223</t>
  </si>
  <si>
    <t>Pyx</t>
  </si>
  <si>
    <t>HDO 204</t>
  </si>
  <si>
    <t>HJ 4199</t>
  </si>
  <si>
    <t>HJ 4935, Gliese 667</t>
  </si>
  <si>
    <t>Sco</t>
  </si>
  <si>
    <t>D 12.5</t>
  </si>
  <si>
    <t>STF 2007</t>
  </si>
  <si>
    <t>Serp</t>
  </si>
  <si>
    <t>STF 1464</t>
  </si>
  <si>
    <t>Sex</t>
  </si>
  <si>
    <t>Tau</t>
  </si>
  <si>
    <t>13         10.8</t>
  </si>
  <si>
    <t>44.1         11.5</t>
  </si>
  <si>
    <t>BC 12.2       999</t>
  </si>
  <si>
    <t>44.1         270</t>
  </si>
  <si>
    <t>STFA 8 Alcyone</t>
  </si>
  <si>
    <t>STF 258 + BU 876AB</t>
  </si>
  <si>
    <t>Tri</t>
  </si>
  <si>
    <t>CD 6.4</t>
  </si>
  <si>
    <t>CD 30</t>
  </si>
  <si>
    <t>STF 1415</t>
  </si>
  <si>
    <t>Uma</t>
  </si>
  <si>
    <t>36 Uma, LDS 2863</t>
  </si>
  <si>
    <t>STF 1608 ABC</t>
  </si>
  <si>
    <t>STF 1691 ABC</t>
  </si>
  <si>
    <t>STF 1830 &amp;1831 ABCDEFG</t>
  </si>
  <si>
    <t>E 9.3 F10.28</t>
  </si>
  <si>
    <t>CD 116</t>
  </si>
  <si>
    <t>STF 2521 ABCD</t>
  </si>
  <si>
    <t>Vul</t>
  </si>
  <si>
    <r>
      <rPr>
        <sz val="12"/>
        <rFont val="Calibri"/>
        <family val="2"/>
        <scheme val="minor"/>
      </rPr>
      <t>D 9 E 11.2
F 10.5</t>
    </r>
  </si>
  <si>
    <r>
      <rPr>
        <sz val="12"/>
        <rFont val="Calibri"/>
        <family val="2"/>
        <scheme val="minor"/>
      </rPr>
      <t>CD 1.3  AE
39.9  AF
67.2</t>
    </r>
  </si>
  <si>
    <r>
      <rPr>
        <sz val="12"/>
        <rFont val="Calibri"/>
        <family val="2"/>
        <scheme val="minor"/>
      </rPr>
      <t>CD 213
AE 117 AF
338</t>
    </r>
  </si>
  <si>
    <r>
      <rPr>
        <sz val="12"/>
        <rFont val="Calibri"/>
        <family val="2"/>
        <scheme val="minor"/>
      </rPr>
      <t>D 8.9
E 10</t>
    </r>
  </si>
  <si>
    <r>
      <rPr>
        <sz val="12"/>
        <rFont val="Calibri"/>
        <family val="2"/>
        <scheme val="minor"/>
      </rPr>
      <t>D 11.9
E 9.6</t>
    </r>
  </si>
  <si>
    <r>
      <rPr>
        <sz val="12"/>
        <rFont val="Calibri"/>
        <family val="2"/>
        <scheme val="minor"/>
      </rPr>
      <t>D 6.67
E 11.75</t>
    </r>
  </si>
  <si>
    <r>
      <rPr>
        <sz val="12"/>
        <rFont val="Calibri"/>
        <family val="2"/>
        <scheme val="minor"/>
      </rPr>
      <t>AD 242
DE 3</t>
    </r>
  </si>
  <si>
    <r>
      <rPr>
        <sz val="12"/>
        <rFont val="Calibri"/>
        <family val="2"/>
        <scheme val="minor"/>
      </rPr>
      <t>D 10.3
E 12.1</t>
    </r>
  </si>
  <si>
    <r>
      <rPr>
        <sz val="12"/>
        <rFont val="Calibri"/>
        <family val="2"/>
        <scheme val="minor"/>
      </rPr>
      <t>AE 151.2
AF 209.4</t>
    </r>
  </si>
  <si>
    <r>
      <rPr>
        <sz val="12"/>
        <rFont val="Calibri"/>
        <family val="2"/>
        <scheme val="minor"/>
      </rPr>
      <t>AE 275 AF
139</t>
    </r>
  </si>
  <si>
    <r>
      <rPr>
        <sz val="12"/>
        <rFont val="Calibri"/>
        <family val="2"/>
        <scheme val="minor"/>
      </rPr>
      <t>D 11.25
E 8.85</t>
    </r>
  </si>
  <si>
    <r>
      <rPr>
        <sz val="12"/>
        <rFont val="Calibri"/>
        <family val="2"/>
        <scheme val="minor"/>
      </rPr>
      <t>D 6.8
E 8.4
F 11.7</t>
    </r>
  </si>
  <si>
    <r>
      <rPr>
        <sz val="12"/>
        <rFont val="Calibri"/>
        <family val="2"/>
        <scheme val="minor"/>
      </rPr>
      <t>DE 0.3
CF 4.8</t>
    </r>
  </si>
  <si>
    <r>
      <rPr>
        <sz val="12"/>
        <rFont val="Calibri"/>
        <family val="2"/>
        <scheme val="minor"/>
      </rPr>
      <t>DE 200
CF 206</t>
    </r>
  </si>
  <si>
    <r>
      <rPr>
        <sz val="12"/>
        <rFont val="Calibri"/>
        <family val="2"/>
        <scheme val="minor"/>
      </rPr>
      <t>D 10.4
E 9.96</t>
    </r>
  </si>
  <si>
    <r>
      <rPr>
        <sz val="12"/>
        <rFont val="Calibri"/>
        <family val="2"/>
        <scheme val="minor"/>
      </rPr>
      <t>BC 31.4
BD 20.3</t>
    </r>
  </si>
  <si>
    <r>
      <rPr>
        <sz val="12"/>
        <rFont val="Calibri"/>
        <family val="2"/>
        <scheme val="minor"/>
      </rPr>
      <t>BC 136
BD 312</t>
    </r>
  </si>
  <si>
    <r>
      <rPr>
        <sz val="12"/>
        <rFont val="Calibri"/>
        <family val="2"/>
        <scheme val="minor"/>
      </rPr>
      <t>7.4
6.5</t>
    </r>
  </si>
  <si>
    <r>
      <rPr>
        <sz val="12"/>
        <rFont val="Calibri"/>
        <family val="2"/>
        <scheme val="minor"/>
      </rPr>
      <t>7.8
6.9</t>
    </r>
  </si>
  <si>
    <r>
      <rPr>
        <sz val="12"/>
        <rFont val="Calibri"/>
        <family val="2"/>
        <scheme val="minor"/>
      </rPr>
      <t>BC 000
129</t>
    </r>
  </si>
  <si>
    <r>
      <rPr>
        <sz val="12"/>
        <rFont val="Calibri"/>
        <family val="2"/>
        <scheme val="minor"/>
      </rPr>
      <t>CE 138
EF 10.6</t>
    </r>
  </si>
  <si>
    <r>
      <rPr>
        <sz val="12"/>
        <rFont val="Calibri"/>
        <family val="2"/>
        <scheme val="minor"/>
      </rPr>
      <t>CE 245
EF 312</t>
    </r>
  </si>
  <si>
    <t>Const.</t>
  </si>
  <si>
    <t>Mag. A</t>
  </si>
  <si>
    <t>Mag. B</t>
  </si>
  <si>
    <t>Mag. C</t>
  </si>
  <si>
    <t>Mag. D</t>
  </si>
  <si>
    <t>Sep. AB</t>
  </si>
  <si>
    <t>Sep. AC</t>
  </si>
  <si>
    <t>Sep. AD</t>
  </si>
  <si>
    <t>More Seps.</t>
  </si>
  <si>
    <t>P.A. AB</t>
  </si>
  <si>
    <t>P.A. AC</t>
  </si>
  <si>
    <t>P.A. AD</t>
  </si>
  <si>
    <t>P.A.Other</t>
  </si>
  <si>
    <t>STFA 7, STF 401</t>
  </si>
  <si>
    <t>P.A. Other</t>
  </si>
  <si>
    <t>Visible Systems (based on criteria)</t>
  </si>
  <si>
    <r>
      <rPr>
        <b/>
        <sz val="14"/>
        <color theme="0"/>
        <rFont val="Calibri (Body)"/>
      </rPr>
      <t>Latest update</t>
    </r>
    <r>
      <rPr>
        <sz val="14"/>
        <color theme="0"/>
        <rFont val="Calibri (Body)"/>
      </rPr>
      <t>: 20th May, 2024</t>
    </r>
  </si>
  <si>
    <t>More than half of all stars in the sky have one or more partners. These multiple star systems come in a stunning variety of flavors: large, hot stars orbited by smaller, cooler ones; double stars orbited by planets; pairs pulsing with X-rays as one sheds material that is devoured by the other; systems with as many as seven stars in a complex gravitational dance. This spreadsheet enables one to specify date/time/timezone and limits regarding the field of view (azimuth, altitude). The Multiple Star Systems that are visible will be highlighted.</t>
  </si>
  <si>
    <t>Source (Astronomical League)</t>
  </si>
  <si>
    <t>Locations</t>
  </si>
  <si>
    <t>φ (latitude)</t>
  </si>
  <si>
    <t>L (longitude)</t>
  </si>
  <si>
    <t>DtoR</t>
  </si>
  <si>
    <t>Angle</t>
  </si>
  <si>
    <t>T</t>
  </si>
  <si>
    <t># points</t>
  </si>
  <si>
    <t>dgr</t>
  </si>
  <si>
    <t>D</t>
  </si>
  <si>
    <t>stepsize</t>
  </si>
  <si>
    <t>cos</t>
  </si>
  <si>
    <t>M</t>
  </si>
  <si>
    <t>minor semi axis</t>
  </si>
  <si>
    <t>M'</t>
  </si>
  <si>
    <t>major semi axis</t>
  </si>
  <si>
    <t>i</t>
  </si>
  <si>
    <t>k</t>
  </si>
  <si>
    <t>ellipse</t>
  </si>
  <si>
    <t>black bottom</t>
  </si>
  <si>
    <t>transparent</t>
  </si>
  <si>
    <t>black top</t>
  </si>
  <si>
    <r>
      <t>JDE</t>
    </r>
    <r>
      <rPr>
        <vertAlign val="subscript"/>
        <sz val="12"/>
        <rFont val="Calibri"/>
        <family val="2"/>
      </rPr>
      <t>new moon</t>
    </r>
  </si>
  <si>
    <t>reference date (08.05.2024)</t>
  </si>
  <si>
    <t>delta</t>
  </si>
  <si>
    <t>angle</t>
  </si>
  <si>
    <t>New moon</t>
  </si>
  <si>
    <t>Waxing crescent</t>
  </si>
  <si>
    <t>First quarter</t>
  </si>
  <si>
    <t>Waxing gibbous</t>
  </si>
  <si>
    <t>Full moon</t>
  </si>
  <si>
    <t>Waning gibbous</t>
  </si>
  <si>
    <t>Last quarter</t>
  </si>
  <si>
    <t>Waning crescent</t>
  </si>
  <si>
    <t>V1.2</t>
  </si>
  <si>
    <t>include?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</si>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</sst>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"/>
    <numFmt numFmtId="165" formatCode="0.0"/>
    <numFmt numFmtId="166" formatCode="#,##0.000"/>
    <numFmt numFmtId="167" formatCode="0.0000"/>
  </numFmts>
  <fonts count="4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u/>
      <sz val="12"/>
      <color theme="10"/>
      <name val="Calibri"/>
      <family val="2"/>
      <scheme val="minor"/>
    </font>
    <font>
      <i/>
      <sz val="14"/>
      <color theme="0"/>
      <name val="Calibri"/>
      <family val="2"/>
    </font>
    <font>
      <sz val="14"/>
      <color theme="0"/>
      <name val="Calibri (Body)"/>
    </font>
    <font>
      <b/>
      <sz val="14"/>
      <color theme="0"/>
      <name val="Calibri (Body)"/>
    </font>
    <font>
      <u/>
      <sz val="14"/>
      <color theme="0"/>
      <name val="Calibri"/>
      <family val="2"/>
      <scheme val="minor"/>
    </font>
    <font>
      <u/>
      <sz val="14"/>
      <color theme="0"/>
      <name val="Calibri (Body)"/>
    </font>
    <font>
      <u/>
      <sz val="12"/>
      <color theme="0"/>
      <name val="Calibri"/>
      <family val="2"/>
    </font>
    <font>
      <sz val="9"/>
      <color theme="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  <scheme val="minor"/>
    </font>
    <font>
      <sz val="12"/>
      <color rgb="FF000000"/>
      <name val="Calibri"/>
      <family val="2"/>
    </font>
    <font>
      <sz val="11"/>
      <name val="ＭＳ Ｐゴシック"/>
      <family val="2"/>
      <charset val="128"/>
    </font>
    <font>
      <sz val="12"/>
      <name val="Calibri"/>
      <family val="2"/>
    </font>
    <font>
      <b/>
      <sz val="12"/>
      <name val="Calibri"/>
      <family val="2"/>
    </font>
    <font>
      <sz val="12"/>
      <color rgb="FF202122"/>
      <name val="Calibri"/>
      <family val="2"/>
    </font>
    <font>
      <sz val="12"/>
      <color theme="0"/>
      <name val="Calibri (Body)"/>
    </font>
    <font>
      <sz val="12"/>
      <color theme="1"/>
      <name val="Calibri (Body)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indexed="8"/>
      <name val="Helvetica Neue"/>
      <family val="2"/>
    </font>
    <font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0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vertAlign val="subscript"/>
      <sz val="12"/>
      <name val="Calibri"/>
      <family val="2"/>
    </font>
    <font>
      <b/>
      <sz val="12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rgb="FF00000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3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8" fillId="0" borderId="0"/>
    <xf numFmtId="0" fontId="11" fillId="0" borderId="0" applyNumberFormat="0" applyFill="0" applyBorder="0" applyAlignment="0" applyProtection="0"/>
    <xf numFmtId="0" fontId="7" fillId="0" borderId="0"/>
    <xf numFmtId="0" fontId="23" fillId="0" borderId="0"/>
    <xf numFmtId="0" fontId="6" fillId="0" borderId="0"/>
    <xf numFmtId="0" fontId="5" fillId="0" borderId="0"/>
    <xf numFmtId="0" fontId="32" fillId="0" borderId="0" applyNumberFormat="0" applyFill="0" applyBorder="0" applyProtection="0">
      <alignment vertical="top"/>
    </xf>
    <xf numFmtId="0" fontId="9" fillId="0" borderId="0" applyNumberFormat="0" applyFill="0" applyBorder="0" applyAlignment="0" applyProtection="0"/>
    <xf numFmtId="0" fontId="36" fillId="0" borderId="0"/>
    <xf numFmtId="0" fontId="37" fillId="0" borderId="0"/>
    <xf numFmtId="0" fontId="1" fillId="0" borderId="0"/>
    <xf numFmtId="0" fontId="38" fillId="0" borderId="0"/>
  </cellStyleXfs>
  <cellXfs count="191">
    <xf numFmtId="0" fontId="0" fillId="0" borderId="0" xfId="0"/>
    <xf numFmtId="0" fontId="13" fillId="2" borderId="1" xfId="41" applyFont="1" applyFill="1" applyBorder="1" applyAlignment="1">
      <alignment horizontal="left"/>
    </xf>
    <xf numFmtId="0" fontId="13" fillId="2" borderId="2" xfId="41" applyFont="1" applyFill="1" applyBorder="1" applyAlignment="1">
      <alignment horizontal="center"/>
    </xf>
    <xf numFmtId="0" fontId="13" fillId="2" borderId="2" xfId="41" applyFont="1" applyFill="1" applyBorder="1"/>
    <xf numFmtId="0" fontId="15" fillId="2" borderId="3" xfId="42" applyFont="1" applyFill="1" applyBorder="1" applyAlignment="1">
      <alignment horizontal="center"/>
    </xf>
    <xf numFmtId="0" fontId="16" fillId="2" borderId="4" xfId="42" applyFont="1" applyFill="1" applyBorder="1" applyAlignment="1">
      <alignment horizontal="left"/>
    </xf>
    <xf numFmtId="0" fontId="13" fillId="2" borderId="0" xfId="41" applyFont="1" applyFill="1" applyAlignment="1">
      <alignment horizontal="center"/>
    </xf>
    <xf numFmtId="0" fontId="13" fillId="2" borderId="0" xfId="41" applyFont="1" applyFill="1"/>
    <xf numFmtId="0" fontId="13" fillId="2" borderId="5" xfId="41" applyFont="1" applyFill="1" applyBorder="1" applyAlignment="1">
      <alignment horizontal="center"/>
    </xf>
    <xf numFmtId="0" fontId="13" fillId="2" borderId="6" xfId="42" applyFont="1" applyFill="1" applyBorder="1" applyAlignment="1">
      <alignment horizontal="left"/>
    </xf>
    <xf numFmtId="0" fontId="13" fillId="2" borderId="8" xfId="42" applyFont="1" applyFill="1" applyBorder="1" applyAlignment="1">
      <alignment horizontal="left"/>
    </xf>
    <xf numFmtId="0" fontId="13" fillId="2" borderId="8" xfId="41" applyFont="1" applyFill="1" applyBorder="1"/>
    <xf numFmtId="0" fontId="14" fillId="2" borderId="7" xfId="41" applyFont="1" applyFill="1" applyBorder="1" applyAlignment="1">
      <alignment horizontal="center"/>
    </xf>
    <xf numFmtId="0" fontId="7" fillId="0" borderId="0" xfId="43"/>
    <xf numFmtId="0" fontId="7" fillId="0" borderId="0" xfId="43" applyAlignment="1">
      <alignment horizontal="center"/>
    </xf>
    <xf numFmtId="0" fontId="19" fillId="0" borderId="0" xfId="43" applyFont="1"/>
    <xf numFmtId="0" fontId="19" fillId="0" borderId="12" xfId="43" applyFont="1" applyBorder="1" applyAlignment="1">
      <alignment horizontal="right"/>
    </xf>
    <xf numFmtId="2" fontId="20" fillId="3" borderId="12" xfId="43" applyNumberFormat="1" applyFont="1" applyFill="1" applyBorder="1" applyAlignment="1" applyProtection="1">
      <alignment horizontal="right"/>
      <protection locked="0"/>
    </xf>
    <xf numFmtId="0" fontId="19" fillId="0" borderId="12" xfId="43" applyFont="1" applyBorder="1"/>
    <xf numFmtId="0" fontId="24" fillId="0" borderId="12" xfId="44" applyFont="1" applyBorder="1" applyAlignment="1">
      <alignment vertical="center"/>
    </xf>
    <xf numFmtId="0" fontId="26" fillId="0" borderId="12" xfId="43" applyFont="1" applyBorder="1" applyAlignment="1">
      <alignment vertical="center"/>
    </xf>
    <xf numFmtId="14" fontId="20" fillId="3" borderId="12" xfId="43" applyNumberFormat="1" applyFont="1" applyFill="1" applyBorder="1" applyAlignment="1" applyProtection="1">
      <alignment horizontal="right"/>
      <protection locked="0"/>
    </xf>
    <xf numFmtId="21" fontId="25" fillId="3" borderId="12" xfId="44" applyNumberFormat="1" applyFont="1" applyFill="1" applyBorder="1" applyAlignment="1" applyProtection="1">
      <alignment horizontal="right" vertical="center"/>
      <protection locked="0"/>
    </xf>
    <xf numFmtId="1" fontId="25" fillId="3" borderId="12" xfId="44" applyNumberFormat="1" applyFont="1" applyFill="1" applyBorder="1" applyAlignment="1" applyProtection="1">
      <alignment horizontal="right" vertical="center"/>
      <protection locked="0"/>
    </xf>
    <xf numFmtId="0" fontId="27" fillId="4" borderId="12" xfId="43" applyFont="1" applyFill="1" applyBorder="1" applyAlignment="1">
      <alignment horizontal="center" vertical="center"/>
    </xf>
    <xf numFmtId="0" fontId="27" fillId="4" borderId="12" xfId="43" applyFont="1" applyFill="1" applyBorder="1" applyAlignment="1">
      <alignment horizontal="right" vertical="center"/>
    </xf>
    <xf numFmtId="0" fontId="28" fillId="0" borderId="0" xfId="43" applyFont="1"/>
    <xf numFmtId="0" fontId="8" fillId="2" borderId="0" xfId="41" applyFill="1"/>
    <xf numFmtId="0" fontId="0" fillId="2" borderId="0" xfId="0" applyFill="1"/>
    <xf numFmtId="0" fontId="20" fillId="3" borderId="7" xfId="43" applyFont="1" applyFill="1" applyBorder="1" applyAlignment="1">
      <alignment horizontal="right"/>
    </xf>
    <xf numFmtId="0" fontId="7" fillId="7" borderId="4" xfId="43" applyFill="1" applyBorder="1" applyAlignment="1">
      <alignment horizontal="center"/>
    </xf>
    <xf numFmtId="0" fontId="7" fillId="7" borderId="0" xfId="43" applyFill="1" applyAlignment="1">
      <alignment horizontal="center"/>
    </xf>
    <xf numFmtId="0" fontId="7" fillId="7" borderId="6" xfId="43" applyFill="1" applyBorder="1" applyAlignment="1">
      <alignment horizontal="center"/>
    </xf>
    <xf numFmtId="0" fontId="7" fillId="7" borderId="8" xfId="43" applyFill="1" applyBorder="1" applyAlignment="1">
      <alignment horizontal="center"/>
    </xf>
    <xf numFmtId="0" fontId="7" fillId="7" borderId="8" xfId="43" applyFill="1" applyBorder="1"/>
    <xf numFmtId="0" fontId="19" fillId="7" borderId="5" xfId="43" applyFont="1" applyFill="1" applyBorder="1"/>
    <xf numFmtId="0" fontId="7" fillId="7" borderId="5" xfId="43" applyFill="1" applyBorder="1"/>
    <xf numFmtId="0" fontId="7" fillId="7" borderId="7" xfId="43" applyFill="1" applyBorder="1"/>
    <xf numFmtId="0" fontId="19" fillId="7" borderId="4" xfId="43" applyFont="1" applyFill="1" applyBorder="1" applyAlignment="1">
      <alignment horizontal="center"/>
    </xf>
    <xf numFmtId="0" fontId="4" fillId="7" borderId="4" xfId="43" applyFont="1" applyFill="1" applyBorder="1" applyAlignment="1">
      <alignment horizontal="center"/>
    </xf>
    <xf numFmtId="0" fontId="4" fillId="7" borderId="6" xfId="43" applyFont="1" applyFill="1" applyBorder="1" applyAlignment="1">
      <alignment horizontal="center"/>
    </xf>
    <xf numFmtId="0" fontId="4" fillId="0" borderId="0" xfId="43" applyFont="1" applyAlignment="1">
      <alignment horizontal="center"/>
    </xf>
    <xf numFmtId="0" fontId="27" fillId="4" borderId="13" xfId="43" applyFont="1" applyFill="1" applyBorder="1" applyAlignment="1">
      <alignment horizontal="center" vertical="center"/>
    </xf>
    <xf numFmtId="0" fontId="27" fillId="4" borderId="13" xfId="43" applyFont="1" applyFill="1" applyBorder="1" applyAlignment="1">
      <alignment horizontal="right" vertical="center"/>
    </xf>
    <xf numFmtId="0" fontId="34" fillId="0" borderId="19" xfId="0" applyFont="1" applyBorder="1" applyAlignment="1">
      <alignment horizontal="center" vertical="center" wrapText="1"/>
    </xf>
    <xf numFmtId="165" fontId="21" fillId="0" borderId="19" xfId="0" applyNumberFormat="1" applyFont="1" applyBorder="1" applyAlignment="1">
      <alignment horizontal="center" vertical="center" shrinkToFit="1"/>
    </xf>
    <xf numFmtId="1" fontId="21" fillId="0" borderId="19" xfId="0" applyNumberFormat="1" applyFont="1" applyBorder="1" applyAlignment="1">
      <alignment horizontal="center" vertical="center" shrinkToFit="1"/>
    </xf>
    <xf numFmtId="2" fontId="34" fillId="0" borderId="19" xfId="0" applyNumberFormat="1" applyFont="1" applyBorder="1" applyAlignment="1">
      <alignment horizontal="right" vertical="center" wrapText="1"/>
    </xf>
    <xf numFmtId="2" fontId="21" fillId="0" borderId="19" xfId="0" applyNumberFormat="1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wrapText="1"/>
    </xf>
    <xf numFmtId="164" fontId="7" fillId="0" borderId="12" xfId="43" applyNumberFormat="1" applyBorder="1" applyAlignment="1">
      <alignment horizontal="right"/>
    </xf>
    <xf numFmtId="0" fontId="19" fillId="0" borderId="0" xfId="43" applyFont="1" applyAlignment="1">
      <alignment horizontal="right"/>
    </xf>
    <xf numFmtId="2" fontId="20" fillId="3" borderId="0" xfId="43" applyNumberFormat="1" applyFont="1" applyFill="1" applyAlignment="1" applyProtection="1">
      <alignment horizontal="right"/>
      <protection locked="0"/>
    </xf>
    <xf numFmtId="2" fontId="20" fillId="3" borderId="8" xfId="43" applyNumberFormat="1" applyFont="1" applyFill="1" applyBorder="1" applyAlignment="1" applyProtection="1">
      <alignment horizontal="right"/>
      <protection locked="0"/>
    </xf>
    <xf numFmtId="0" fontId="19" fillId="0" borderId="12" xfId="43" applyFont="1" applyBorder="1" applyAlignment="1">
      <alignment vertical="center"/>
    </xf>
    <xf numFmtId="1" fontId="19" fillId="0" borderId="12" xfId="43" applyNumberFormat="1" applyFont="1" applyBorder="1" applyAlignment="1">
      <alignment horizontal="right" vertical="center"/>
    </xf>
    <xf numFmtId="0" fontId="19" fillId="0" borderId="0" xfId="43" applyFont="1" applyAlignment="1">
      <alignment horizontal="right" vertical="center"/>
    </xf>
    <xf numFmtId="0" fontId="21" fillId="0" borderId="16" xfId="43" applyFont="1" applyBorder="1" applyAlignment="1" applyProtection="1">
      <alignment horizontal="center" vertical="center"/>
      <protection locked="0"/>
    </xf>
    <xf numFmtId="2" fontId="7" fillId="0" borderId="12" xfId="43" applyNumberFormat="1" applyBorder="1" applyAlignment="1">
      <alignment vertical="center"/>
    </xf>
    <xf numFmtId="2" fontId="7" fillId="0" borderId="16" xfId="43" applyNumberFormat="1" applyBorder="1" applyAlignment="1">
      <alignment vertical="center"/>
    </xf>
    <xf numFmtId="0" fontId="7" fillId="0" borderId="0" xfId="43" applyAlignment="1">
      <alignment vertical="center"/>
    </xf>
    <xf numFmtId="0" fontId="7" fillId="5" borderId="1" xfId="43" applyFill="1" applyBorder="1" applyAlignment="1">
      <alignment horizontal="center" vertical="center"/>
    </xf>
    <xf numFmtId="0" fontId="7" fillId="0" borderId="4" xfId="43" applyBorder="1" applyAlignment="1">
      <alignment horizontal="center" vertical="center"/>
    </xf>
    <xf numFmtId="0" fontId="7" fillId="0" borderId="0" xfId="43" applyAlignment="1">
      <alignment horizontal="center" vertical="center"/>
    </xf>
    <xf numFmtId="4" fontId="19" fillId="0" borderId="12" xfId="43" applyNumberFormat="1" applyFont="1" applyBorder="1" applyAlignment="1">
      <alignment horizontal="right" vertical="center"/>
    </xf>
    <xf numFmtId="0" fontId="19" fillId="0" borderId="12" xfId="0" applyFont="1" applyBorder="1" applyAlignment="1">
      <alignment vertical="center"/>
    </xf>
    <xf numFmtId="2" fontId="21" fillId="0" borderId="19" xfId="0" applyNumberFormat="1" applyFont="1" applyBorder="1" applyAlignment="1">
      <alignment horizontal="right" vertical="center" shrinkToFit="1"/>
    </xf>
    <xf numFmtId="2" fontId="7" fillId="0" borderId="12" xfId="43" applyNumberFormat="1" applyBorder="1" applyAlignment="1">
      <alignment horizontal="right" vertical="center"/>
    </xf>
    <xf numFmtId="0" fontId="19" fillId="0" borderId="12" xfId="0" applyFont="1" applyBorder="1" applyAlignment="1">
      <alignment horizontal="center" vertical="center"/>
    </xf>
    <xf numFmtId="0" fontId="20" fillId="3" borderId="12" xfId="0" applyFont="1" applyFill="1" applyBorder="1" applyAlignment="1" applyProtection="1">
      <alignment horizontal="center" vertical="center"/>
      <protection locked="0"/>
    </xf>
    <xf numFmtId="0" fontId="7" fillId="0" borderId="4" xfId="43" applyBorder="1" applyAlignment="1">
      <alignment vertical="center"/>
    </xf>
    <xf numFmtId="0" fontId="7" fillId="0" borderId="6" xfId="43" applyBorder="1" applyAlignment="1">
      <alignment horizontal="center" vertical="center"/>
    </xf>
    <xf numFmtId="0" fontId="7" fillId="0" borderId="8" xfId="43" applyBorder="1" applyAlignment="1">
      <alignment horizontal="center" vertical="center"/>
    </xf>
    <xf numFmtId="2" fontId="3" fillId="0" borderId="19" xfId="0" applyNumberFormat="1" applyFont="1" applyBorder="1" applyAlignment="1">
      <alignment horizontal="right" vertical="center" wrapText="1"/>
    </xf>
    <xf numFmtId="2" fontId="34" fillId="0" borderId="19" xfId="0" applyNumberFormat="1" applyFont="1" applyBorder="1" applyAlignment="1">
      <alignment vertical="center" wrapText="1"/>
    </xf>
    <xf numFmtId="0" fontId="33" fillId="4" borderId="19" xfId="0" applyFont="1" applyFill="1" applyBorder="1" applyAlignment="1">
      <alignment horizontal="center" vertical="top" wrapText="1"/>
    </xf>
    <xf numFmtId="0" fontId="33" fillId="4" borderId="19" xfId="0" applyFont="1" applyFill="1" applyBorder="1" applyAlignment="1">
      <alignment horizontal="center" wrapText="1"/>
    </xf>
    <xf numFmtId="0" fontId="29" fillId="6" borderId="14" xfId="43" applyFont="1" applyFill="1" applyBorder="1"/>
    <xf numFmtId="0" fontId="27" fillId="4" borderId="4" xfId="43" applyFont="1" applyFill="1" applyBorder="1" applyAlignment="1">
      <alignment horizontal="center" vertical="center"/>
    </xf>
    <xf numFmtId="0" fontId="27" fillId="4" borderId="3" xfId="43" applyFont="1" applyFill="1" applyBorder="1" applyAlignment="1">
      <alignment horizontal="right" vertical="center"/>
    </xf>
    <xf numFmtId="0" fontId="27" fillId="4" borderId="0" xfId="43" applyFont="1" applyFill="1" applyAlignment="1">
      <alignment horizontal="center" vertical="center"/>
    </xf>
    <xf numFmtId="0" fontId="27" fillId="4" borderId="0" xfId="43" applyFont="1" applyFill="1" applyAlignment="1">
      <alignment horizontal="right" vertical="center"/>
    </xf>
    <xf numFmtId="0" fontId="33" fillId="4" borderId="0" xfId="0" applyFont="1" applyFill="1" applyAlignment="1">
      <alignment horizontal="right" vertical="top" wrapText="1"/>
    </xf>
    <xf numFmtId="2" fontId="7" fillId="5" borderId="0" xfId="43" applyNumberFormat="1" applyFill="1" applyAlignment="1">
      <alignment horizontal="center" vertical="center"/>
    </xf>
    <xf numFmtId="2" fontId="7" fillId="5" borderId="0" xfId="43" applyNumberFormat="1" applyFill="1" applyAlignment="1">
      <alignment vertical="center"/>
    </xf>
    <xf numFmtId="2" fontId="22" fillId="0" borderId="0" xfId="43" applyNumberFormat="1" applyFont="1" applyAlignment="1">
      <alignment horizontal="right" vertical="center"/>
    </xf>
    <xf numFmtId="2" fontId="7" fillId="0" borderId="0" xfId="43" applyNumberFormat="1" applyAlignment="1">
      <alignment vertical="center"/>
    </xf>
    <xf numFmtId="2" fontId="7" fillId="0" borderId="0" xfId="43" applyNumberFormat="1" applyAlignment="1">
      <alignment horizontal="center" vertical="center"/>
    </xf>
    <xf numFmtId="0" fontId="7" fillId="5" borderId="4" xfId="43" applyFill="1" applyBorder="1" applyAlignment="1">
      <alignment horizontal="center" vertical="center"/>
    </xf>
    <xf numFmtId="0" fontId="7" fillId="0" borderId="8" xfId="43" applyBorder="1" applyAlignment="1">
      <alignment vertical="center"/>
    </xf>
    <xf numFmtId="0" fontId="7" fillId="7" borderId="7" xfId="43" applyFill="1" applyBorder="1" applyAlignment="1">
      <alignment horizontal="center"/>
    </xf>
    <xf numFmtId="0" fontId="33" fillId="4" borderId="0" xfId="0" applyFont="1" applyFill="1" applyAlignment="1">
      <alignment horizontal="center" wrapText="1"/>
    </xf>
    <xf numFmtId="0" fontId="33" fillId="4" borderId="5" xfId="0" applyFont="1" applyFill="1" applyBorder="1" applyAlignment="1">
      <alignment horizontal="center" wrapText="1"/>
    </xf>
    <xf numFmtId="0" fontId="7" fillId="0" borderId="5" xfId="43" applyBorder="1" applyAlignment="1">
      <alignment horizontal="center" vertical="center"/>
    </xf>
    <xf numFmtId="0" fontId="7" fillId="0" borderId="7" xfId="43" applyBorder="1" applyAlignment="1">
      <alignment horizontal="center" vertical="center"/>
    </xf>
    <xf numFmtId="0" fontId="3" fillId="0" borderId="19" xfId="0" quotePrefix="1" applyFont="1" applyBorder="1" applyAlignment="1">
      <alignment horizontal="center" vertical="center" wrapText="1"/>
    </xf>
    <xf numFmtId="0" fontId="35" fillId="2" borderId="0" xfId="48" applyFont="1" applyFill="1" applyAlignment="1">
      <alignment horizontal="center"/>
    </xf>
    <xf numFmtId="0" fontId="29" fillId="0" borderId="0" xfId="43" applyFont="1" applyAlignment="1">
      <alignment horizontal="center"/>
    </xf>
    <xf numFmtId="0" fontId="20" fillId="0" borderId="0" xfId="43" applyFont="1" applyAlignment="1">
      <alignment horizontal="right"/>
    </xf>
    <xf numFmtId="14" fontId="20" fillId="0" borderId="0" xfId="43" applyNumberFormat="1" applyFont="1" applyAlignment="1" applyProtection="1">
      <alignment horizontal="right"/>
      <protection locked="0"/>
    </xf>
    <xf numFmtId="21" fontId="25" fillId="0" borderId="0" xfId="44" applyNumberFormat="1" applyFont="1" applyAlignment="1" applyProtection="1">
      <alignment horizontal="right" vertical="center"/>
      <protection locked="0"/>
    </xf>
    <xf numFmtId="1" fontId="25" fillId="0" borderId="0" xfId="44" applyNumberFormat="1" applyFont="1" applyAlignment="1" applyProtection="1">
      <alignment horizontal="right" vertical="center"/>
      <protection locked="0"/>
    </xf>
    <xf numFmtId="1" fontId="19" fillId="0" borderId="0" xfId="43" applyNumberFormat="1" applyFont="1" applyAlignment="1">
      <alignment horizontal="right" vertical="center"/>
    </xf>
    <xf numFmtId="4" fontId="19" fillId="0" borderId="0" xfId="43" applyNumberFormat="1" applyFont="1" applyAlignment="1">
      <alignment horizontal="right" vertical="center"/>
    </xf>
    <xf numFmtId="0" fontId="20" fillId="0" borderId="0" xfId="0" applyFont="1" applyAlignment="1" applyProtection="1">
      <alignment horizontal="right" vertical="center"/>
      <protection locked="0"/>
    </xf>
    <xf numFmtId="2" fontId="20" fillId="0" borderId="0" xfId="43" applyNumberFormat="1" applyFont="1" applyAlignment="1" applyProtection="1">
      <alignment horizontal="right" vertical="center"/>
      <protection locked="0"/>
    </xf>
    <xf numFmtId="2" fontId="7" fillId="0" borderId="0" xfId="43" applyNumberFormat="1" applyAlignment="1">
      <alignment horizontal="right" vertical="center"/>
    </xf>
    <xf numFmtId="0" fontId="20" fillId="0" borderId="0" xfId="0" applyFont="1" applyAlignment="1" applyProtection="1">
      <alignment horizontal="center" vertical="center"/>
      <protection locked="0"/>
    </xf>
    <xf numFmtId="0" fontId="2" fillId="0" borderId="12" xfId="43" applyFont="1" applyBorder="1" applyAlignment="1">
      <alignment vertical="center"/>
    </xf>
    <xf numFmtId="0" fontId="26" fillId="0" borderId="12" xfId="43" applyFont="1" applyBorder="1" applyAlignment="1">
      <alignment horizontal="right" vertical="center"/>
    </xf>
    <xf numFmtId="0" fontId="19" fillId="0" borderId="12" xfId="43" applyFont="1" applyBorder="1" applyAlignment="1">
      <alignment horizontal="right" vertical="center"/>
    </xf>
    <xf numFmtId="0" fontId="31" fillId="3" borderId="12" xfId="43" applyFont="1" applyFill="1" applyBorder="1" applyAlignment="1" applyProtection="1">
      <alignment vertical="center"/>
      <protection locked="0"/>
    </xf>
    <xf numFmtId="0" fontId="20" fillId="3" borderId="16" xfId="0" applyFont="1" applyFill="1" applyBorder="1" applyAlignment="1" applyProtection="1">
      <alignment horizontal="right"/>
      <protection locked="0"/>
    </xf>
    <xf numFmtId="0" fontId="19" fillId="0" borderId="12" xfId="43" applyFont="1" applyBorder="1" applyAlignment="1">
      <alignment horizontal="center"/>
    </xf>
    <xf numFmtId="0" fontId="24" fillId="0" borderId="0" xfId="49" applyFont="1"/>
    <xf numFmtId="0" fontId="1" fillId="8" borderId="1" xfId="50" applyFont="1" applyFill="1" applyBorder="1"/>
    <xf numFmtId="0" fontId="1" fillId="8" borderId="3" xfId="50" applyFont="1" applyFill="1" applyBorder="1"/>
    <xf numFmtId="0" fontId="20" fillId="8" borderId="1" xfId="51" applyFont="1" applyFill="1" applyBorder="1" applyAlignment="1">
      <alignment horizontal="left"/>
    </xf>
    <xf numFmtId="166" fontId="19" fillId="8" borderId="2" xfId="51" applyNumberFormat="1" applyFont="1" applyFill="1" applyBorder="1"/>
    <xf numFmtId="0" fontId="19" fillId="8" borderId="2" xfId="52" applyFont="1" applyFill="1" applyBorder="1"/>
    <xf numFmtId="0" fontId="19" fillId="8" borderId="2" xfId="51" applyFont="1" applyFill="1" applyBorder="1"/>
    <xf numFmtId="0" fontId="19" fillId="8" borderId="3" xfId="52" applyFont="1" applyFill="1" applyBorder="1"/>
    <xf numFmtId="0" fontId="1" fillId="8" borderId="4" xfId="50" applyFont="1" applyFill="1" applyBorder="1"/>
    <xf numFmtId="0" fontId="1" fillId="8" borderId="5" xfId="50" applyFont="1" applyFill="1" applyBorder="1"/>
    <xf numFmtId="0" fontId="19" fillId="8" borderId="4" xfId="52" applyFont="1" applyFill="1" applyBorder="1"/>
    <xf numFmtId="0" fontId="19" fillId="8" borderId="0" xfId="52" applyFont="1" applyFill="1"/>
    <xf numFmtId="166" fontId="19" fillId="8" borderId="5" xfId="52" applyNumberFormat="1" applyFont="1" applyFill="1" applyBorder="1"/>
    <xf numFmtId="2" fontId="19" fillId="8" borderId="5" xfId="52" applyNumberFormat="1" applyFont="1" applyFill="1" applyBorder="1"/>
    <xf numFmtId="0" fontId="19" fillId="8" borderId="5" xfId="52" applyFont="1" applyFill="1" applyBorder="1"/>
    <xf numFmtId="0" fontId="19" fillId="8" borderId="6" xfId="52" applyFont="1" applyFill="1" applyBorder="1"/>
    <xf numFmtId="0" fontId="19" fillId="8" borderId="8" xfId="52" applyFont="1" applyFill="1" applyBorder="1"/>
    <xf numFmtId="0" fontId="19" fillId="8" borderId="7" xfId="52" applyFont="1" applyFill="1" applyBorder="1"/>
    <xf numFmtId="0" fontId="1" fillId="8" borderId="6" xfId="50" applyFont="1" applyFill="1" applyBorder="1"/>
    <xf numFmtId="0" fontId="1" fillId="8" borderId="7" xfId="50" applyFont="1" applyFill="1" applyBorder="1"/>
    <xf numFmtId="0" fontId="20" fillId="8" borderId="4" xfId="52" applyFont="1" applyFill="1" applyBorder="1" applyAlignment="1">
      <alignment horizontal="right"/>
    </xf>
    <xf numFmtId="0" fontId="20" fillId="8" borderId="0" xfId="52" applyFont="1" applyFill="1" applyAlignment="1">
      <alignment horizontal="right"/>
    </xf>
    <xf numFmtId="0" fontId="20" fillId="8" borderId="5" xfId="52" applyFont="1" applyFill="1" applyBorder="1" applyAlignment="1">
      <alignment horizontal="right"/>
    </xf>
    <xf numFmtId="2" fontId="19" fillId="8" borderId="4" xfId="52" applyNumberFormat="1" applyFont="1" applyFill="1" applyBorder="1"/>
    <xf numFmtId="2" fontId="19" fillId="8" borderId="0" xfId="52" applyNumberFormat="1" applyFont="1" applyFill="1"/>
    <xf numFmtId="0" fontId="30" fillId="0" borderId="0" xfId="0" applyFont="1"/>
    <xf numFmtId="0" fontId="24" fillId="8" borderId="1" xfId="49" applyFont="1" applyFill="1" applyBorder="1"/>
    <xf numFmtId="4" fontId="24" fillId="8" borderId="3" xfId="49" applyNumberFormat="1" applyFont="1" applyFill="1" applyBorder="1"/>
    <xf numFmtId="0" fontId="24" fillId="8" borderId="4" xfId="49" applyFont="1" applyFill="1" applyBorder="1"/>
    <xf numFmtId="0" fontId="24" fillId="8" borderId="5" xfId="49" applyFont="1" applyFill="1" applyBorder="1"/>
    <xf numFmtId="0" fontId="1" fillId="8" borderId="7" xfId="50" applyFont="1" applyFill="1" applyBorder="1" applyAlignment="1">
      <alignment horizontal="right"/>
    </xf>
    <xf numFmtId="0" fontId="1" fillId="8" borderId="1" xfId="0" applyFont="1" applyFill="1" applyBorder="1"/>
    <xf numFmtId="0" fontId="1" fillId="8" borderId="2" xfId="0" applyFont="1" applyFill="1" applyBorder="1"/>
    <xf numFmtId="0" fontId="1" fillId="8" borderId="3" xfId="0" applyFont="1" applyFill="1" applyBorder="1"/>
    <xf numFmtId="0" fontId="1" fillId="8" borderId="4" xfId="0" applyFont="1" applyFill="1" applyBorder="1"/>
    <xf numFmtId="0" fontId="1" fillId="8" borderId="0" xfId="0" applyFont="1" applyFill="1"/>
    <xf numFmtId="0" fontId="1" fillId="8" borderId="5" xfId="0" applyFont="1" applyFill="1" applyBorder="1"/>
    <xf numFmtId="0" fontId="1" fillId="8" borderId="6" xfId="0" applyFont="1" applyFill="1" applyBorder="1"/>
    <xf numFmtId="0" fontId="1" fillId="8" borderId="8" xfId="0" applyFont="1" applyFill="1" applyBorder="1"/>
    <xf numFmtId="0" fontId="1" fillId="8" borderId="7" xfId="0" applyFont="1" applyFill="1" applyBorder="1"/>
    <xf numFmtId="0" fontId="36" fillId="0" borderId="0" xfId="49"/>
    <xf numFmtId="2" fontId="19" fillId="8" borderId="6" xfId="52" applyNumberFormat="1" applyFont="1" applyFill="1" applyBorder="1"/>
    <xf numFmtId="2" fontId="19" fillId="8" borderId="8" xfId="52" applyNumberFormat="1" applyFont="1" applyFill="1" applyBorder="1"/>
    <xf numFmtId="2" fontId="19" fillId="8" borderId="7" xfId="52" applyNumberFormat="1" applyFont="1" applyFill="1" applyBorder="1"/>
    <xf numFmtId="14" fontId="7" fillId="7" borderId="0" xfId="43" applyNumberFormat="1" applyFill="1"/>
    <xf numFmtId="9" fontId="7" fillId="7" borderId="0" xfId="43" applyNumberFormat="1" applyFill="1" applyAlignment="1">
      <alignment horizontal="right"/>
    </xf>
    <xf numFmtId="21" fontId="7" fillId="7" borderId="0" xfId="43" applyNumberFormat="1" applyFill="1"/>
    <xf numFmtId="2" fontId="7" fillId="7" borderId="0" xfId="43" applyNumberFormat="1" applyFill="1" applyAlignment="1">
      <alignment horizontal="center"/>
    </xf>
    <xf numFmtId="1" fontId="7" fillId="7" borderId="0" xfId="43" applyNumberFormat="1" applyFill="1"/>
    <xf numFmtId="0" fontId="21" fillId="7" borderId="4" xfId="0" applyFont="1" applyFill="1" applyBorder="1"/>
    <xf numFmtId="0" fontId="7" fillId="7" borderId="4" xfId="43" applyFill="1" applyBorder="1"/>
    <xf numFmtId="0" fontId="19" fillId="0" borderId="6" xfId="43" applyFont="1" applyBorder="1"/>
    <xf numFmtId="0" fontId="31" fillId="7" borderId="5" xfId="43" applyFont="1" applyFill="1" applyBorder="1" applyAlignment="1">
      <alignment horizontal="right"/>
    </xf>
    <xf numFmtId="167" fontId="31" fillId="3" borderId="12" xfId="43" applyNumberFormat="1" applyFont="1" applyFill="1" applyBorder="1" applyAlignment="1" applyProtection="1">
      <alignment vertical="center"/>
      <protection locked="0"/>
    </xf>
    <xf numFmtId="167" fontId="19" fillId="0" borderId="12" xfId="43" applyNumberFormat="1" applyFont="1" applyBorder="1" applyAlignment="1">
      <alignment horizontal="right" vertical="center"/>
    </xf>
    <xf numFmtId="0" fontId="21" fillId="0" borderId="12" xfId="0" applyFont="1" applyBorder="1" applyAlignment="1">
      <alignment horizontal="center"/>
    </xf>
    <xf numFmtId="0" fontId="21" fillId="0" borderId="16" xfId="0" applyFont="1" applyBorder="1" applyAlignment="1" applyProtection="1">
      <alignment horizontal="center"/>
      <protection locked="0"/>
    </xf>
    <xf numFmtId="0" fontId="40" fillId="9" borderId="18" xfId="0" applyFont="1" applyFill="1" applyBorder="1" applyAlignment="1" applyProtection="1">
      <alignment horizontal="center"/>
      <protection locked="0"/>
    </xf>
    <xf numFmtId="0" fontId="40" fillId="9" borderId="7" xfId="0" applyFont="1" applyFill="1" applyBorder="1" applyAlignment="1" applyProtection="1">
      <alignment horizontal="center"/>
      <protection locked="0"/>
    </xf>
    <xf numFmtId="0" fontId="33" fillId="0" borderId="0" xfId="43" applyFont="1" applyAlignment="1">
      <alignment vertical="center"/>
    </xf>
    <xf numFmtId="0" fontId="12" fillId="2" borderId="0" xfId="41" applyFont="1" applyFill="1" applyAlignment="1">
      <alignment horizontal="center" vertical="center" wrapText="1"/>
    </xf>
    <xf numFmtId="0" fontId="17" fillId="2" borderId="1" xfId="42" applyFont="1" applyFill="1" applyBorder="1" applyAlignment="1">
      <alignment horizontal="center"/>
    </xf>
    <xf numFmtId="0" fontId="17" fillId="2" borderId="2" xfId="42" applyFont="1" applyFill="1" applyBorder="1" applyAlignment="1">
      <alignment horizontal="center"/>
    </xf>
    <xf numFmtId="0" fontId="17" fillId="2" borderId="9" xfId="42" applyFont="1" applyFill="1" applyBorder="1" applyAlignment="1">
      <alignment horizontal="center"/>
    </xf>
    <xf numFmtId="0" fontId="18" fillId="2" borderId="4" xfId="0" applyFont="1" applyFill="1" applyBorder="1" applyAlignment="1">
      <alignment horizontal="center"/>
    </xf>
    <xf numFmtId="0" fontId="18" fillId="2" borderId="0" xfId="0" applyFont="1" applyFill="1" applyAlignment="1">
      <alignment horizontal="center"/>
    </xf>
    <xf numFmtId="0" fontId="18" fillId="2" borderId="10" xfId="0" applyFont="1" applyFill="1" applyBorder="1" applyAlignment="1">
      <alignment horizontal="center"/>
    </xf>
    <xf numFmtId="0" fontId="18" fillId="2" borderId="6" xfId="0" applyFont="1" applyFill="1" applyBorder="1" applyAlignment="1">
      <alignment horizontal="center"/>
    </xf>
    <xf numFmtId="0" fontId="18" fillId="2" borderId="8" xfId="0" applyFont="1" applyFill="1" applyBorder="1" applyAlignment="1">
      <alignment horizontal="center"/>
    </xf>
    <xf numFmtId="0" fontId="18" fillId="2" borderId="11" xfId="0" applyFont="1" applyFill="1" applyBorder="1" applyAlignment="1">
      <alignment horizontal="center"/>
    </xf>
    <xf numFmtId="0" fontId="19" fillId="0" borderId="0" xfId="43" applyFont="1" applyAlignment="1">
      <alignment horizontal="center"/>
    </xf>
    <xf numFmtId="0" fontId="29" fillId="6" borderId="14" xfId="43" applyFont="1" applyFill="1" applyBorder="1" applyAlignment="1">
      <alignment horizontal="center"/>
    </xf>
    <xf numFmtId="0" fontId="29" fillId="6" borderId="15" xfId="43" applyFont="1" applyFill="1" applyBorder="1" applyAlignment="1">
      <alignment horizontal="center"/>
    </xf>
    <xf numFmtId="0" fontId="29" fillId="6" borderId="16" xfId="43" applyFont="1" applyFill="1" applyBorder="1" applyAlignment="1">
      <alignment horizontal="center"/>
    </xf>
    <xf numFmtId="0" fontId="30" fillId="0" borderId="17" xfId="43" applyFont="1" applyBorder="1" applyAlignment="1">
      <alignment horizontal="center" vertical="center" wrapText="1"/>
    </xf>
    <xf numFmtId="0" fontId="30" fillId="0" borderId="18" xfId="43" applyFont="1" applyBorder="1" applyAlignment="1">
      <alignment horizontal="center" vertical="center" wrapText="1"/>
    </xf>
    <xf numFmtId="0" fontId="2" fillId="0" borderId="0" xfId="43" applyFont="1" applyAlignment="1">
      <alignment horizontal="center" vertical="center"/>
    </xf>
  </cellXfs>
  <cellStyles count="5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8" builtinId="8"/>
    <cellStyle name="Hyperlink 2" xfId="42" xr:uid="{C380AA0A-E10B-1C43-9286-02819B081BC7}"/>
    <cellStyle name="Normal" xfId="0" builtinId="0"/>
    <cellStyle name="Normal 2" xfId="41" xr:uid="{0D0AB34C-A1A9-7D42-A14C-E95ACB658DC4}"/>
    <cellStyle name="Normal 3" xfId="43" xr:uid="{D0C399E2-A941-AA4F-B42F-87A7CE497740}"/>
    <cellStyle name="Normal 3 2" xfId="44" xr:uid="{053FA022-145E-5B4C-8FD3-7620CDCF3F7A}"/>
    <cellStyle name="Normal 3 3" xfId="52" xr:uid="{E0BF1E55-A7D7-B644-9AF7-DE19D16CF64C}"/>
    <cellStyle name="Normal 4" xfId="45" xr:uid="{0E1916BE-0CB3-DE44-BD3A-C9A53A0F672B}"/>
    <cellStyle name="Normal 5" xfId="46" xr:uid="{A901F684-D9BA-CF40-B9E1-7D5772B29AA8}"/>
    <cellStyle name="Normal 5 2" xfId="50" xr:uid="{FD0533D9-8B2D-FD49-AB01-0F1C72D66083}"/>
    <cellStyle name="Normal 6" xfId="47" xr:uid="{DE0B0A45-6F08-9F49-9C8F-FBDBDC9EC2C8}"/>
    <cellStyle name="Normal 6 2" xfId="49" xr:uid="{B4A38634-E4D5-2B47-8892-DC9056D696B6}"/>
    <cellStyle name="Normal 7" xfId="51" xr:uid="{69BC8544-1E7A-C443-B839-41A0A70A1383}"/>
  </cellStyles>
  <dxfs count="8"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00B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Types" Target="richData/rdRichValueTypes.xml"/><Relationship Id="rId5" Type="http://schemas.openxmlformats.org/officeDocument/2006/relationships/theme" Target="theme/theme1.xml"/><Relationship Id="rId10" Type="http://schemas.microsoft.com/office/2017/06/relationships/rdRichValueStructure" Target="richData/rdrichvaluestructure.xml"/><Relationship Id="rId4" Type="http://schemas.openxmlformats.org/officeDocument/2006/relationships/worksheet" Target="worksheets/sheet4.xml"/><Relationship Id="rId9" Type="http://schemas.microsoft.com/office/2017/06/relationships/rdRichValue" Target="richData/rdrichvalue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8011282171818074E-2"/>
          <c:y val="5.8632036667058407E-3"/>
          <c:w val="0.97273465049997587"/>
          <c:h val="0.98626932728264161"/>
        </c:manualLayout>
      </c:layout>
      <c:areaChart>
        <c:grouping val="stacked"/>
        <c:varyColors val="0"/>
        <c:ser>
          <c:idx val="2"/>
          <c:order val="0"/>
          <c:tx>
            <c:strRef>
              <c:f>Illumination!$H$8</c:f>
              <c:strCache>
                <c:ptCount val="1"/>
                <c:pt idx="0">
                  <c:v>black bottom</c:v>
                </c:pt>
              </c:strCache>
            </c:strRef>
          </c:tx>
          <c:spPr>
            <a:solidFill>
              <a:schemeClr val="tx1"/>
            </a:solidFill>
            <a:ln w="9525">
              <a:solidFill>
                <a:schemeClr val="tx1"/>
              </a:solidFill>
            </a:ln>
            <a:effectLst/>
          </c:spPr>
          <c:val>
            <c:numRef>
              <c:f>Illumination!$H$9:$H$209</c:f>
              <c:numCache>
                <c:formatCode>0.00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0.69838177694467429</c:v>
                </c:pt>
                <c:pt idx="84">
                  <c:v>0.55866971530490095</c:v>
                </c:pt>
                <c:pt idx="85">
                  <c:v>0.45937032320470139</c:v>
                </c:pt>
                <c:pt idx="86">
                  <c:v>0.38072814192210558</c:v>
                </c:pt>
                <c:pt idx="87">
                  <c:v>0.31558493549934652</c:v>
                </c:pt>
                <c:pt idx="88">
                  <c:v>0.26036530208734376</c:v>
                </c:pt>
                <c:pt idx="89">
                  <c:v>0.21297766757862213</c:v>
                </c:pt>
                <c:pt idx="90">
                  <c:v>0.17207610456253153</c:v>
                </c:pt>
                <c:pt idx="91">
                  <c:v>0.13673818509362656</c:v>
                </c:pt>
                <c:pt idx="92">
                  <c:v>0.10630368410333801</c:v>
                </c:pt>
                <c:pt idx="93">
                  <c:v>8.0285691884804056E-2</c:v>
                </c:pt>
                <c:pt idx="94">
                  <c:v>5.8318062406903848E-2</c:v>
                </c:pt>
                <c:pt idx="95">
                  <c:v>4.0122667129237177E-2</c:v>
                </c:pt>
                <c:pt idx="96">
                  <c:v>2.5488185673556041E-2</c:v>
                </c:pt>
                <c:pt idx="97">
                  <c:v>1.4256007932448744E-2</c:v>
                </c:pt>
                <c:pt idx="98">
                  <c:v>6.3107532706944136E-3</c:v>
                </c:pt>
                <c:pt idx="99">
                  <c:v>1.5739487741899261E-3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65-1A48-A600-814D342AAFE1}"/>
            </c:ext>
          </c:extLst>
        </c:ser>
        <c:ser>
          <c:idx val="0"/>
          <c:order val="1"/>
          <c:tx>
            <c:strRef>
              <c:f>Illumination!$I$8</c:f>
              <c:strCache>
                <c:ptCount val="1"/>
                <c:pt idx="0">
                  <c:v>transparent</c:v>
                </c:pt>
              </c:strCache>
            </c:strRef>
          </c:tx>
          <c:spPr>
            <a:noFill/>
            <a:ln w="25400">
              <a:noFill/>
            </a:ln>
            <a:effectLst/>
          </c:spPr>
          <c:val>
            <c:numRef>
              <c:f>Illumination!$I$9:$I$209</c:f>
              <c:numCache>
                <c:formatCode>0.00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0.60323644611065153</c:v>
                </c:pt>
                <c:pt idx="84">
                  <c:v>0.8826605693901981</c:v>
                </c:pt>
                <c:pt idx="85">
                  <c:v>1.0812593535905972</c:v>
                </c:pt>
                <c:pt idx="86">
                  <c:v>1.2385437161557888</c:v>
                </c:pt>
                <c:pt idx="87">
                  <c:v>1.368830129001307</c:v>
                </c:pt>
                <c:pt idx="88">
                  <c:v>1.4792693958253125</c:v>
                </c:pt>
                <c:pt idx="89">
                  <c:v>1.5740446648427557</c:v>
                </c:pt>
                <c:pt idx="90">
                  <c:v>1.6558477908749369</c:v>
                </c:pt>
                <c:pt idx="91">
                  <c:v>1.7265236298127469</c:v>
                </c:pt>
                <c:pt idx="92">
                  <c:v>1.787392631793324</c:v>
                </c:pt>
                <c:pt idx="93">
                  <c:v>1.8394286162303919</c:v>
                </c:pt>
                <c:pt idx="94">
                  <c:v>1.8833638751861923</c:v>
                </c:pt>
                <c:pt idx="95">
                  <c:v>1.9197546657415256</c:v>
                </c:pt>
                <c:pt idx="96">
                  <c:v>1.9490236286528879</c:v>
                </c:pt>
                <c:pt idx="97">
                  <c:v>1.9714879841351025</c:v>
                </c:pt>
                <c:pt idx="98">
                  <c:v>1.9873784934586112</c:v>
                </c:pt>
                <c:pt idx="99">
                  <c:v>1.9968521024516201</c:v>
                </c:pt>
                <c:pt idx="100">
                  <c:v>2</c:v>
                </c:pt>
                <c:pt idx="101">
                  <c:v>2</c:v>
                </c:pt>
                <c:pt idx="102">
                  <c:v>2</c:v>
                </c:pt>
                <c:pt idx="103">
                  <c:v>2</c:v>
                </c:pt>
                <c:pt idx="104">
                  <c:v>2</c:v>
                </c:pt>
                <c:pt idx="105">
                  <c:v>2</c:v>
                </c:pt>
                <c:pt idx="106">
                  <c:v>2</c:v>
                </c:pt>
                <c:pt idx="107">
                  <c:v>2</c:v>
                </c:pt>
                <c:pt idx="108">
                  <c:v>2</c:v>
                </c:pt>
                <c:pt idx="109">
                  <c:v>2</c:v>
                </c:pt>
                <c:pt idx="110">
                  <c:v>2</c:v>
                </c:pt>
                <c:pt idx="111">
                  <c:v>2</c:v>
                </c:pt>
                <c:pt idx="112">
                  <c:v>2</c:v>
                </c:pt>
                <c:pt idx="113">
                  <c:v>2</c:v>
                </c:pt>
                <c:pt idx="114">
                  <c:v>2</c:v>
                </c:pt>
                <c:pt idx="115">
                  <c:v>2</c:v>
                </c:pt>
                <c:pt idx="116">
                  <c:v>2</c:v>
                </c:pt>
                <c:pt idx="117">
                  <c:v>2</c:v>
                </c:pt>
                <c:pt idx="118">
                  <c:v>2</c:v>
                </c:pt>
                <c:pt idx="119">
                  <c:v>2</c:v>
                </c:pt>
                <c:pt idx="120">
                  <c:v>2</c:v>
                </c:pt>
                <c:pt idx="121">
                  <c:v>2</c:v>
                </c:pt>
                <c:pt idx="122">
                  <c:v>2</c:v>
                </c:pt>
                <c:pt idx="123">
                  <c:v>2</c:v>
                </c:pt>
                <c:pt idx="124">
                  <c:v>2</c:v>
                </c:pt>
                <c:pt idx="125">
                  <c:v>2</c:v>
                </c:pt>
                <c:pt idx="126">
                  <c:v>2</c:v>
                </c:pt>
                <c:pt idx="127">
                  <c:v>2</c:v>
                </c:pt>
                <c:pt idx="128">
                  <c:v>2</c:v>
                </c:pt>
                <c:pt idx="129">
                  <c:v>2</c:v>
                </c:pt>
                <c:pt idx="130">
                  <c:v>2</c:v>
                </c:pt>
                <c:pt idx="131">
                  <c:v>2</c:v>
                </c:pt>
                <c:pt idx="132">
                  <c:v>2</c:v>
                </c:pt>
                <c:pt idx="133">
                  <c:v>2</c:v>
                </c:pt>
                <c:pt idx="134">
                  <c:v>2</c:v>
                </c:pt>
                <c:pt idx="135">
                  <c:v>2</c:v>
                </c:pt>
                <c:pt idx="136">
                  <c:v>2</c:v>
                </c:pt>
                <c:pt idx="137">
                  <c:v>2</c:v>
                </c:pt>
                <c:pt idx="138">
                  <c:v>2</c:v>
                </c:pt>
                <c:pt idx="139">
                  <c:v>2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</c:v>
                </c:pt>
                <c:pt idx="144">
                  <c:v>2</c:v>
                </c:pt>
                <c:pt idx="145">
                  <c:v>2</c:v>
                </c:pt>
                <c:pt idx="146">
                  <c:v>2</c:v>
                </c:pt>
                <c:pt idx="147">
                  <c:v>2</c:v>
                </c:pt>
                <c:pt idx="148">
                  <c:v>2</c:v>
                </c:pt>
                <c:pt idx="149">
                  <c:v>2</c:v>
                </c:pt>
                <c:pt idx="150">
                  <c:v>2</c:v>
                </c:pt>
                <c:pt idx="151">
                  <c:v>2</c:v>
                </c:pt>
                <c:pt idx="152">
                  <c:v>2</c:v>
                </c:pt>
                <c:pt idx="153">
                  <c:v>2</c:v>
                </c:pt>
                <c:pt idx="154">
                  <c:v>2</c:v>
                </c:pt>
                <c:pt idx="155">
                  <c:v>2</c:v>
                </c:pt>
                <c:pt idx="156">
                  <c:v>2</c:v>
                </c:pt>
                <c:pt idx="157">
                  <c:v>2</c:v>
                </c:pt>
                <c:pt idx="158">
                  <c:v>2</c:v>
                </c:pt>
                <c:pt idx="159">
                  <c:v>2</c:v>
                </c:pt>
                <c:pt idx="160">
                  <c:v>2</c:v>
                </c:pt>
                <c:pt idx="161">
                  <c:v>2</c:v>
                </c:pt>
                <c:pt idx="162">
                  <c:v>2</c:v>
                </c:pt>
                <c:pt idx="163">
                  <c:v>2</c:v>
                </c:pt>
                <c:pt idx="164">
                  <c:v>2</c:v>
                </c:pt>
                <c:pt idx="165">
                  <c:v>2</c:v>
                </c:pt>
                <c:pt idx="166">
                  <c:v>2</c:v>
                </c:pt>
                <c:pt idx="167">
                  <c:v>2</c:v>
                </c:pt>
                <c:pt idx="168">
                  <c:v>2</c:v>
                </c:pt>
                <c:pt idx="169">
                  <c:v>2</c:v>
                </c:pt>
                <c:pt idx="170">
                  <c:v>2</c:v>
                </c:pt>
                <c:pt idx="171">
                  <c:v>2</c:v>
                </c:pt>
                <c:pt idx="172">
                  <c:v>2</c:v>
                </c:pt>
                <c:pt idx="173">
                  <c:v>2</c:v>
                </c:pt>
                <c:pt idx="174">
                  <c:v>2</c:v>
                </c:pt>
                <c:pt idx="175">
                  <c:v>2</c:v>
                </c:pt>
                <c:pt idx="176">
                  <c:v>2</c:v>
                </c:pt>
                <c:pt idx="177">
                  <c:v>2</c:v>
                </c:pt>
                <c:pt idx="178">
                  <c:v>2</c:v>
                </c:pt>
                <c:pt idx="179">
                  <c:v>2</c:v>
                </c:pt>
                <c:pt idx="180">
                  <c:v>2</c:v>
                </c:pt>
                <c:pt idx="181">
                  <c:v>2</c:v>
                </c:pt>
                <c:pt idx="182">
                  <c:v>2</c:v>
                </c:pt>
                <c:pt idx="183">
                  <c:v>2</c:v>
                </c:pt>
                <c:pt idx="184">
                  <c:v>2</c:v>
                </c:pt>
                <c:pt idx="185">
                  <c:v>2</c:v>
                </c:pt>
                <c:pt idx="186">
                  <c:v>2</c:v>
                </c:pt>
                <c:pt idx="187">
                  <c:v>2</c:v>
                </c:pt>
                <c:pt idx="188">
                  <c:v>2</c:v>
                </c:pt>
                <c:pt idx="189">
                  <c:v>2</c:v>
                </c:pt>
                <c:pt idx="190">
                  <c:v>2</c:v>
                </c:pt>
                <c:pt idx="191">
                  <c:v>2</c:v>
                </c:pt>
                <c:pt idx="192">
                  <c:v>2</c:v>
                </c:pt>
                <c:pt idx="193">
                  <c:v>2</c:v>
                </c:pt>
                <c:pt idx="194">
                  <c:v>2</c:v>
                </c:pt>
                <c:pt idx="195">
                  <c:v>2</c:v>
                </c:pt>
                <c:pt idx="196">
                  <c:v>2</c:v>
                </c:pt>
                <c:pt idx="197">
                  <c:v>2</c:v>
                </c:pt>
                <c:pt idx="198">
                  <c:v>2</c:v>
                </c:pt>
                <c:pt idx="199">
                  <c:v>2</c:v>
                </c:pt>
                <c:pt idx="20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65-1A48-A600-814D342AAFE1}"/>
            </c:ext>
          </c:extLst>
        </c:ser>
        <c:ser>
          <c:idx val="3"/>
          <c:order val="2"/>
          <c:tx>
            <c:strRef>
              <c:f>Illumination!$J$8</c:f>
              <c:strCache>
                <c:ptCount val="1"/>
                <c:pt idx="0">
                  <c:v>black top</c:v>
                </c:pt>
              </c:strCache>
            </c:strRef>
          </c:tx>
          <c:spPr>
            <a:solidFill>
              <a:schemeClr val="tx1"/>
            </a:solidFill>
            <a:ln w="9525">
              <a:noFill/>
            </a:ln>
            <a:effectLst/>
          </c:spPr>
          <c:val>
            <c:numRef>
              <c:f>Illumination!$J$9:$J$209</c:f>
              <c:numCache>
                <c:formatCode>0.00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1.3016182230553257</c:v>
                </c:pt>
                <c:pt idx="84">
                  <c:v>1.4413302846950991</c:v>
                </c:pt>
                <c:pt idx="85">
                  <c:v>1.5406296767952985</c:v>
                </c:pt>
                <c:pt idx="86">
                  <c:v>1.6192718580778944</c:v>
                </c:pt>
                <c:pt idx="87">
                  <c:v>1.6844150645006535</c:v>
                </c:pt>
                <c:pt idx="88">
                  <c:v>1.7396346979126562</c:v>
                </c:pt>
                <c:pt idx="89">
                  <c:v>1.7870223324213779</c:v>
                </c:pt>
                <c:pt idx="90">
                  <c:v>1.8279238954374684</c:v>
                </c:pt>
                <c:pt idx="91">
                  <c:v>1.8632618149063735</c:v>
                </c:pt>
                <c:pt idx="92">
                  <c:v>1.893696315896662</c:v>
                </c:pt>
                <c:pt idx="93">
                  <c:v>1.9197143081151959</c:v>
                </c:pt>
                <c:pt idx="94">
                  <c:v>1.941681937593096</c:v>
                </c:pt>
                <c:pt idx="95">
                  <c:v>1.9598773328707628</c:v>
                </c:pt>
                <c:pt idx="96">
                  <c:v>1.974511814326444</c:v>
                </c:pt>
                <c:pt idx="97">
                  <c:v>1.9857439920675513</c:v>
                </c:pt>
                <c:pt idx="98">
                  <c:v>1.9936892467293057</c:v>
                </c:pt>
                <c:pt idx="99">
                  <c:v>1.9984260512258101</c:v>
                </c:pt>
                <c:pt idx="100">
                  <c:v>2</c:v>
                </c:pt>
                <c:pt idx="101">
                  <c:v>2</c:v>
                </c:pt>
                <c:pt idx="102">
                  <c:v>2</c:v>
                </c:pt>
                <c:pt idx="103">
                  <c:v>2</c:v>
                </c:pt>
                <c:pt idx="104">
                  <c:v>2</c:v>
                </c:pt>
                <c:pt idx="105">
                  <c:v>2</c:v>
                </c:pt>
                <c:pt idx="106">
                  <c:v>2</c:v>
                </c:pt>
                <c:pt idx="107">
                  <c:v>2</c:v>
                </c:pt>
                <c:pt idx="108">
                  <c:v>2</c:v>
                </c:pt>
                <c:pt idx="109">
                  <c:v>2</c:v>
                </c:pt>
                <c:pt idx="110">
                  <c:v>2</c:v>
                </c:pt>
                <c:pt idx="111">
                  <c:v>2</c:v>
                </c:pt>
                <c:pt idx="112">
                  <c:v>2</c:v>
                </c:pt>
                <c:pt idx="113">
                  <c:v>2</c:v>
                </c:pt>
                <c:pt idx="114">
                  <c:v>2</c:v>
                </c:pt>
                <c:pt idx="115">
                  <c:v>2</c:v>
                </c:pt>
                <c:pt idx="116">
                  <c:v>2</c:v>
                </c:pt>
                <c:pt idx="117">
                  <c:v>2</c:v>
                </c:pt>
                <c:pt idx="118">
                  <c:v>2</c:v>
                </c:pt>
                <c:pt idx="119">
                  <c:v>2</c:v>
                </c:pt>
                <c:pt idx="120">
                  <c:v>2</c:v>
                </c:pt>
                <c:pt idx="121">
                  <c:v>2</c:v>
                </c:pt>
                <c:pt idx="122">
                  <c:v>2</c:v>
                </c:pt>
                <c:pt idx="123">
                  <c:v>2</c:v>
                </c:pt>
                <c:pt idx="124">
                  <c:v>2</c:v>
                </c:pt>
                <c:pt idx="125">
                  <c:v>2</c:v>
                </c:pt>
                <c:pt idx="126">
                  <c:v>2</c:v>
                </c:pt>
                <c:pt idx="127">
                  <c:v>2</c:v>
                </c:pt>
                <c:pt idx="128">
                  <c:v>2</c:v>
                </c:pt>
                <c:pt idx="129">
                  <c:v>2</c:v>
                </c:pt>
                <c:pt idx="130">
                  <c:v>2</c:v>
                </c:pt>
                <c:pt idx="131">
                  <c:v>2</c:v>
                </c:pt>
                <c:pt idx="132">
                  <c:v>2</c:v>
                </c:pt>
                <c:pt idx="133">
                  <c:v>2</c:v>
                </c:pt>
                <c:pt idx="134">
                  <c:v>2</c:v>
                </c:pt>
                <c:pt idx="135">
                  <c:v>2</c:v>
                </c:pt>
                <c:pt idx="136">
                  <c:v>2</c:v>
                </c:pt>
                <c:pt idx="137">
                  <c:v>2</c:v>
                </c:pt>
                <c:pt idx="138">
                  <c:v>2</c:v>
                </c:pt>
                <c:pt idx="139">
                  <c:v>2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</c:v>
                </c:pt>
                <c:pt idx="144">
                  <c:v>2</c:v>
                </c:pt>
                <c:pt idx="145">
                  <c:v>2</c:v>
                </c:pt>
                <c:pt idx="146">
                  <c:v>2</c:v>
                </c:pt>
                <c:pt idx="147">
                  <c:v>2</c:v>
                </c:pt>
                <c:pt idx="148">
                  <c:v>2</c:v>
                </c:pt>
                <c:pt idx="149">
                  <c:v>2</c:v>
                </c:pt>
                <c:pt idx="150">
                  <c:v>2</c:v>
                </c:pt>
                <c:pt idx="151">
                  <c:v>2</c:v>
                </c:pt>
                <c:pt idx="152">
                  <c:v>2</c:v>
                </c:pt>
                <c:pt idx="153">
                  <c:v>2</c:v>
                </c:pt>
                <c:pt idx="154">
                  <c:v>2</c:v>
                </c:pt>
                <c:pt idx="155">
                  <c:v>2</c:v>
                </c:pt>
                <c:pt idx="156">
                  <c:v>2</c:v>
                </c:pt>
                <c:pt idx="157">
                  <c:v>2</c:v>
                </c:pt>
                <c:pt idx="158">
                  <c:v>2</c:v>
                </c:pt>
                <c:pt idx="159">
                  <c:v>2</c:v>
                </c:pt>
                <c:pt idx="160">
                  <c:v>2</c:v>
                </c:pt>
                <c:pt idx="161">
                  <c:v>2</c:v>
                </c:pt>
                <c:pt idx="162">
                  <c:v>2</c:v>
                </c:pt>
                <c:pt idx="163">
                  <c:v>2</c:v>
                </c:pt>
                <c:pt idx="164">
                  <c:v>2</c:v>
                </c:pt>
                <c:pt idx="165">
                  <c:v>2</c:v>
                </c:pt>
                <c:pt idx="166">
                  <c:v>2</c:v>
                </c:pt>
                <c:pt idx="167">
                  <c:v>2</c:v>
                </c:pt>
                <c:pt idx="168">
                  <c:v>2</c:v>
                </c:pt>
                <c:pt idx="169">
                  <c:v>2</c:v>
                </c:pt>
                <c:pt idx="170">
                  <c:v>2</c:v>
                </c:pt>
                <c:pt idx="171">
                  <c:v>2</c:v>
                </c:pt>
                <c:pt idx="172">
                  <c:v>2</c:v>
                </c:pt>
                <c:pt idx="173">
                  <c:v>2</c:v>
                </c:pt>
                <c:pt idx="174">
                  <c:v>2</c:v>
                </c:pt>
                <c:pt idx="175">
                  <c:v>2</c:v>
                </c:pt>
                <c:pt idx="176">
                  <c:v>2</c:v>
                </c:pt>
                <c:pt idx="177">
                  <c:v>2</c:v>
                </c:pt>
                <c:pt idx="178">
                  <c:v>2</c:v>
                </c:pt>
                <c:pt idx="179">
                  <c:v>2</c:v>
                </c:pt>
                <c:pt idx="180">
                  <c:v>2</c:v>
                </c:pt>
                <c:pt idx="181">
                  <c:v>2</c:v>
                </c:pt>
                <c:pt idx="182">
                  <c:v>2</c:v>
                </c:pt>
                <c:pt idx="183">
                  <c:v>2</c:v>
                </c:pt>
                <c:pt idx="184">
                  <c:v>2</c:v>
                </c:pt>
                <c:pt idx="185">
                  <c:v>2</c:v>
                </c:pt>
                <c:pt idx="186">
                  <c:v>2</c:v>
                </c:pt>
                <c:pt idx="187">
                  <c:v>2</c:v>
                </c:pt>
                <c:pt idx="188">
                  <c:v>2</c:v>
                </c:pt>
                <c:pt idx="189">
                  <c:v>2</c:v>
                </c:pt>
                <c:pt idx="190">
                  <c:v>2</c:v>
                </c:pt>
                <c:pt idx="191">
                  <c:v>2</c:v>
                </c:pt>
                <c:pt idx="192">
                  <c:v>2</c:v>
                </c:pt>
                <c:pt idx="193">
                  <c:v>2</c:v>
                </c:pt>
                <c:pt idx="194">
                  <c:v>2</c:v>
                </c:pt>
                <c:pt idx="195">
                  <c:v>2</c:v>
                </c:pt>
                <c:pt idx="196">
                  <c:v>2</c:v>
                </c:pt>
                <c:pt idx="197">
                  <c:v>2</c:v>
                </c:pt>
                <c:pt idx="198">
                  <c:v>2</c:v>
                </c:pt>
                <c:pt idx="199">
                  <c:v>2</c:v>
                </c:pt>
                <c:pt idx="20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465-1A48-A600-814D342AAF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9354064"/>
        <c:axId val="239352496"/>
      </c:areaChart>
      <c:catAx>
        <c:axId val="239354064"/>
        <c:scaling>
          <c:orientation val="minMax"/>
        </c:scaling>
        <c:delete val="1"/>
        <c:axPos val="b"/>
        <c:majorTickMark val="none"/>
        <c:minorTickMark val="none"/>
        <c:tickLblPos val="nextTo"/>
        <c:crossAx val="239352496"/>
        <c:crosses val="autoZero"/>
        <c:auto val="1"/>
        <c:lblAlgn val="ctr"/>
        <c:lblOffset val="100"/>
        <c:noMultiLvlLbl val="0"/>
      </c:catAx>
      <c:valAx>
        <c:axId val="239352496"/>
        <c:scaling>
          <c:orientation val="minMax"/>
          <c:max val="2"/>
          <c:min val="0"/>
        </c:scaling>
        <c:delete val="1"/>
        <c:axPos val="l"/>
        <c:numFmt formatCode="0.00" sourceLinked="1"/>
        <c:majorTickMark val="out"/>
        <c:minorTickMark val="none"/>
        <c:tickLblPos val="nextTo"/>
        <c:crossAx val="239354064"/>
        <c:crosses val="autoZero"/>
        <c:crossBetween val="midCat"/>
      </c:valAx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</c:spPr>
    </c:plotArea>
    <c:plotVisOnly val="0"/>
    <c:dispBlanksAs val="gap"/>
    <c:showDLblsOverMax val="0"/>
  </c:chart>
  <c:spPr>
    <a:solidFill>
      <a:schemeClr val="tx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C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g"/><Relationship Id="rId1" Type="http://schemas.openxmlformats.org/officeDocument/2006/relationships/hyperlink" Target="https://www.astronomy-morsels.ch/morsels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jpeg"/><Relationship Id="rId1" Type="http://schemas.openxmlformats.org/officeDocument/2006/relationships/image" Target="../media/image4.jpeg"/><Relationship Id="rId5" Type="http://schemas.openxmlformats.org/officeDocument/2006/relationships/image" Target="../media/image8.jpg"/><Relationship Id="rId4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jpeg"/><Relationship Id="rId1" Type="http://schemas.openxmlformats.org/officeDocument/2006/relationships/image" Target="../media/image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596900</xdr:colOff>
      <xdr:row>41</xdr:row>
      <xdr:rowOff>114300</xdr:rowOff>
    </xdr:from>
    <xdr:to>
      <xdr:col>9</xdr:col>
      <xdr:colOff>215900</xdr:colOff>
      <xdr:row>51</xdr:row>
      <xdr:rowOff>25400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6149BC-8520-4C4B-E9DC-2634810114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47900" y="9969500"/>
          <a:ext cx="5397500" cy="1943100"/>
        </a:xfrm>
        <a:prstGeom prst="rect">
          <a:avLst/>
        </a:prstGeom>
      </xdr:spPr>
    </xdr:pic>
    <xdr:clientData/>
  </xdr:twoCellAnchor>
  <xdr:twoCellAnchor editAs="oneCell">
    <xdr:from>
      <xdr:col>2</xdr:col>
      <xdr:colOff>654278</xdr:colOff>
      <xdr:row>17</xdr:row>
      <xdr:rowOff>165100</xdr:rowOff>
    </xdr:from>
    <xdr:to>
      <xdr:col>9</xdr:col>
      <xdr:colOff>279400</xdr:colOff>
      <xdr:row>33</xdr:row>
      <xdr:rowOff>154278</xdr:rowOff>
    </xdr:to>
    <xdr:pic>
      <xdr:nvPicPr>
        <xdr:cNvPr id="2" name="Picture 1" descr="What is the largest n-ary star system we know of? - Quora">
          <a:extLst>
            <a:ext uri="{FF2B5EF4-FFF2-40B4-BE49-F238E27FC236}">
              <a16:creationId xmlns:a16="http://schemas.microsoft.com/office/drawing/2014/main" id="{A124E850-A367-7D65-CF32-7607DE5C5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278" y="3721100"/>
          <a:ext cx="5403622" cy="32403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36</xdr:row>
      <xdr:rowOff>0</xdr:rowOff>
    </xdr:from>
    <xdr:to>
      <xdr:col>4</xdr:col>
      <xdr:colOff>0</xdr:colOff>
      <xdr:row>45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F7BCF7-E857-E44D-9CF0-5E5DFA8E00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101600</xdr:rowOff>
    </xdr:from>
    <xdr:to>
      <xdr:col>0</xdr:col>
      <xdr:colOff>635000</xdr:colOff>
      <xdr:row>10</xdr:row>
      <xdr:rowOff>184896</xdr:rowOff>
    </xdr:to>
    <xdr:pic>
      <xdr:nvPicPr>
        <xdr:cNvPr id="2" name="Picture 1" hidden="1">
          <a:extLst>
            <a:ext uri="{FF2B5EF4-FFF2-40B4-BE49-F238E27FC236}">
              <a16:creationId xmlns:a16="http://schemas.microsoft.com/office/drawing/2014/main" id="{0D3D54D9-BBD8-2245-986A-8FB54EF87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524000"/>
          <a:ext cx="635000" cy="43889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</xdr:row>
      <xdr:rowOff>38100</xdr:rowOff>
    </xdr:from>
    <xdr:to>
      <xdr:col>0</xdr:col>
      <xdr:colOff>622426</xdr:colOff>
      <xdr:row>9</xdr:row>
      <xdr:rowOff>69850</xdr:rowOff>
    </xdr:to>
    <xdr:pic>
      <xdr:nvPicPr>
        <xdr:cNvPr id="3" name="Picture 2" hidden="1">
          <a:extLst>
            <a:ext uri="{FF2B5EF4-FFF2-40B4-BE49-F238E27FC236}">
              <a16:creationId xmlns:a16="http://schemas.microsoft.com/office/drawing/2014/main" id="{DBC4130B-0AE7-6E44-9AB5-53C8D25CA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104900"/>
          <a:ext cx="622426" cy="565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</xdr:row>
      <xdr:rowOff>38100</xdr:rowOff>
    </xdr:from>
    <xdr:to>
      <xdr:col>0</xdr:col>
      <xdr:colOff>624417</xdr:colOff>
      <xdr:row>9</xdr:row>
      <xdr:rowOff>3175</xdr:rowOff>
    </xdr:to>
    <xdr:pic>
      <xdr:nvPicPr>
        <xdr:cNvPr id="4" name="Picture 3" hidden="1">
          <a:extLst>
            <a:ext uri="{FF2B5EF4-FFF2-40B4-BE49-F238E27FC236}">
              <a16:creationId xmlns:a16="http://schemas.microsoft.com/office/drawing/2014/main" id="{47DE86DD-7D7A-1A4C-8438-C9083F455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104900"/>
          <a:ext cx="624417" cy="4984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932329</xdr:colOff>
      <xdr:row>11</xdr:row>
      <xdr:rowOff>23906</xdr:rowOff>
    </xdr:to>
    <xdr:pic>
      <xdr:nvPicPr>
        <xdr:cNvPr id="5" name="Picture 4" hidden="1">
          <a:extLst>
            <a:ext uri="{FF2B5EF4-FFF2-40B4-BE49-F238E27FC236}">
              <a16:creationId xmlns:a16="http://schemas.microsoft.com/office/drawing/2014/main" id="{D6BEFD3D-4C4E-F843-BF4D-8760F6926F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889000"/>
          <a:ext cx="1757829" cy="111610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</xdr:row>
      <xdr:rowOff>50800</xdr:rowOff>
    </xdr:from>
    <xdr:to>
      <xdr:col>4</xdr:col>
      <xdr:colOff>317500</xdr:colOff>
      <xdr:row>17</xdr:row>
      <xdr:rowOff>8829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74FEF1F-9E20-394F-9476-5CB07925DA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25500" y="1651000"/>
          <a:ext cx="3746500" cy="1558229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787400</xdr:colOff>
      <xdr:row>1</xdr:row>
      <xdr:rowOff>38100</xdr:rowOff>
    </xdr:from>
    <xdr:to>
      <xdr:col>9</xdr:col>
      <xdr:colOff>409518</xdr:colOff>
      <xdr:row>54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7D0DFE6-3E9C-DEAF-CD2F-35F492C4A2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7400" y="228600"/>
          <a:ext cx="7051618" cy="100584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0</xdr:col>
      <xdr:colOff>791633</xdr:colOff>
      <xdr:row>55</xdr:row>
      <xdr:rowOff>139700</xdr:rowOff>
    </xdr:from>
    <xdr:to>
      <xdr:col>9</xdr:col>
      <xdr:colOff>419101</xdr:colOff>
      <xdr:row>83</xdr:row>
      <xdr:rowOff>98426</xdr:rowOff>
    </xdr:to>
    <xdr:pic>
      <xdr:nvPicPr>
        <xdr:cNvPr id="6" name="Picture 5" descr="Double, Triple, Multiple Star Systems In The Milky Way Galaxy | Utah Public  Radio">
          <a:extLst>
            <a:ext uri="{FF2B5EF4-FFF2-40B4-BE49-F238E27FC236}">
              <a16:creationId xmlns:a16="http://schemas.microsoft.com/office/drawing/2014/main" id="{F39EA207-B664-8182-B0F1-5D323FBD5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1633" y="10617200"/>
          <a:ext cx="7056968" cy="52927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20</v>
    <v>8</v>
    <v>4</v>
    <v>1</v>
  </rv>
</rvData>
</file>

<file path=xl/richData/rdrichvaluestructure.xml><?xml version="1.0" encoding="utf-8"?>
<rvStructures xmlns="http://schemas.microsoft.com/office/spreadsheetml/2017/richdata" count="1">
  <s t="_error">
    <k n="colOffset" t="i"/>
    <k n="errorType" t="i"/>
    <k n="rwOffset" t="i"/>
    <k n="subType" t="i"/>
  </s>
</rvStructur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stroleague.org/multiple-star-observing-program/" TargetMode="External"/><Relationship Id="rId2" Type="http://schemas.openxmlformats.org/officeDocument/2006/relationships/hyperlink" Target="http://www.astronomy-morsels.ch/" TargetMode="External"/><Relationship Id="rId1" Type="http://schemas.openxmlformats.org/officeDocument/2006/relationships/hyperlink" Target="mailto:anton@astronomy-morsels.ch?subject=Eclipse%20Data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B940F-4CFD-5843-94DF-BBFEAA1B2116}">
  <sheetPr codeName="Sheet4"/>
  <dimension ref="A2:Q42"/>
  <sheetViews>
    <sheetView showGridLines="0" tabSelected="1" workbookViewId="0">
      <selection activeCell="I16" sqref="I16"/>
    </sheetView>
  </sheetViews>
  <sheetFormatPr baseColWidth="10" defaultRowHeight="16"/>
  <cols>
    <col min="1" max="16384" width="10.83203125" style="27"/>
  </cols>
  <sheetData>
    <row r="2" spans="2:11" ht="15" customHeight="1"/>
    <row r="3" spans="2:11" ht="16" customHeight="1">
      <c r="B3" s="174" t="s">
        <v>309</v>
      </c>
      <c r="C3" s="174"/>
      <c r="D3" s="174"/>
      <c r="E3" s="174"/>
      <c r="F3" s="174"/>
      <c r="G3" s="174"/>
      <c r="H3" s="174"/>
      <c r="I3" s="174"/>
      <c r="J3" s="174"/>
      <c r="K3" s="174"/>
    </row>
    <row r="4" spans="2:11" ht="16" customHeight="1">
      <c r="B4" s="174"/>
      <c r="C4" s="174"/>
      <c r="D4" s="174"/>
      <c r="E4" s="174"/>
      <c r="F4" s="174"/>
      <c r="G4" s="174"/>
      <c r="H4" s="174"/>
      <c r="I4" s="174"/>
      <c r="J4" s="174"/>
      <c r="K4" s="174"/>
    </row>
    <row r="5" spans="2:11" ht="16" customHeight="1">
      <c r="B5" s="174"/>
      <c r="C5" s="174"/>
      <c r="D5" s="174"/>
      <c r="E5" s="174"/>
      <c r="F5" s="174"/>
      <c r="G5" s="174"/>
      <c r="H5" s="174"/>
      <c r="I5" s="174"/>
      <c r="J5" s="174"/>
      <c r="K5" s="174"/>
    </row>
    <row r="6" spans="2:11" ht="16" customHeight="1">
      <c r="B6" s="174"/>
      <c r="C6" s="174"/>
      <c r="D6" s="174"/>
      <c r="E6" s="174"/>
      <c r="F6" s="174"/>
      <c r="G6" s="174"/>
      <c r="H6" s="174"/>
      <c r="I6" s="174"/>
      <c r="J6" s="174"/>
      <c r="K6" s="174"/>
    </row>
    <row r="7" spans="2:11" ht="16" customHeight="1">
      <c r="B7" s="174"/>
      <c r="C7" s="174"/>
      <c r="D7" s="174"/>
      <c r="E7" s="174"/>
      <c r="F7" s="174"/>
      <c r="G7" s="174"/>
      <c r="H7" s="174"/>
      <c r="I7" s="174"/>
      <c r="J7" s="174"/>
      <c r="K7" s="174"/>
    </row>
    <row r="8" spans="2:11" ht="16" customHeight="1">
      <c r="B8" s="174"/>
      <c r="C8" s="174"/>
      <c r="D8" s="174"/>
      <c r="E8" s="174"/>
      <c r="F8" s="174"/>
      <c r="G8" s="174"/>
      <c r="H8" s="174"/>
      <c r="I8" s="174"/>
      <c r="J8" s="174"/>
      <c r="K8" s="174"/>
    </row>
    <row r="9" spans="2:11" ht="16" customHeight="1">
      <c r="B9" s="174"/>
      <c r="C9" s="174"/>
      <c r="D9" s="174"/>
      <c r="E9" s="174"/>
      <c r="F9" s="174"/>
      <c r="G9" s="174"/>
      <c r="H9" s="174"/>
      <c r="I9" s="174"/>
      <c r="J9" s="174"/>
      <c r="K9" s="174"/>
    </row>
    <row r="13" spans="2:11" ht="19">
      <c r="D13" s="1" t="s">
        <v>4</v>
      </c>
      <c r="E13" s="2"/>
      <c r="F13" s="3"/>
      <c r="G13" s="3"/>
      <c r="H13" s="3"/>
      <c r="I13" s="4" t="s">
        <v>0</v>
      </c>
    </row>
    <row r="14" spans="2:11" ht="19">
      <c r="D14" s="5"/>
      <c r="E14" s="6"/>
      <c r="F14" s="7"/>
      <c r="G14" s="7"/>
      <c r="H14" s="7"/>
      <c r="I14" s="8"/>
    </row>
    <row r="15" spans="2:11" ht="19">
      <c r="D15" s="9" t="s">
        <v>308</v>
      </c>
      <c r="E15" s="10"/>
      <c r="F15" s="11"/>
      <c r="G15" s="11"/>
      <c r="H15" s="11"/>
      <c r="I15" s="12" t="s">
        <v>344</v>
      </c>
    </row>
    <row r="17" spans="3:6">
      <c r="F17" s="96" t="s">
        <v>310</v>
      </c>
    </row>
    <row r="25" spans="3:6">
      <c r="C25" s="28"/>
    </row>
    <row r="28" spans="3:6">
      <c r="D28" s="28"/>
    </row>
    <row r="33" spans="1:17">
      <c r="Q33" s="28"/>
    </row>
    <row r="34" spans="1:17">
      <c r="A34" s="28"/>
    </row>
    <row r="35" spans="1:17">
      <c r="A35" s="28"/>
    </row>
    <row r="36" spans="1:17">
      <c r="A36" s="28"/>
    </row>
    <row r="37" spans="1:17">
      <c r="A37" s="28"/>
    </row>
    <row r="38" spans="1:17">
      <c r="B38" s="175" t="s">
        <v>1</v>
      </c>
      <c r="C38" s="176"/>
      <c r="D38" s="176"/>
      <c r="E38" s="176"/>
      <c r="F38" s="176"/>
      <c r="G38" s="176"/>
      <c r="H38" s="176"/>
      <c r="I38" s="176"/>
      <c r="J38" s="176"/>
      <c r="K38" s="177"/>
    </row>
    <row r="39" spans="1:17">
      <c r="B39" s="178" t="s">
        <v>2</v>
      </c>
      <c r="C39" s="179"/>
      <c r="D39" s="179"/>
      <c r="E39" s="179"/>
      <c r="F39" s="179"/>
      <c r="G39" s="179"/>
      <c r="H39" s="179"/>
      <c r="I39" s="179"/>
      <c r="J39" s="179"/>
      <c r="K39" s="180"/>
    </row>
    <row r="40" spans="1:17">
      <c r="B40" s="181" t="s">
        <v>3</v>
      </c>
      <c r="C40" s="182"/>
      <c r="D40" s="182"/>
      <c r="E40" s="182"/>
      <c r="F40" s="182"/>
      <c r="G40" s="182"/>
      <c r="H40" s="182"/>
      <c r="I40" s="182"/>
      <c r="J40" s="182"/>
      <c r="K40" s="183"/>
    </row>
    <row r="42" spans="1:17">
      <c r="Q42" s="28"/>
    </row>
  </sheetData>
  <sheetProtection sheet="1" objects="1" scenarios="1"/>
  <mergeCells count="4">
    <mergeCell ref="B3:K9"/>
    <mergeCell ref="B38:K38"/>
    <mergeCell ref="B39:K39"/>
    <mergeCell ref="B40:K40"/>
  </mergeCells>
  <hyperlinks>
    <hyperlink ref="I13" r:id="rId1" xr:uid="{60E68FAD-CE54-204D-BE8F-AA8992F34899}"/>
    <hyperlink ref="B38" r:id="rId2" display="http://www.astronomy-morsels.ch/" xr:uid="{658673F1-EC19-9849-A093-CD89D563BEA6}"/>
    <hyperlink ref="F17" r:id="rId3" display="Source" xr:uid="{E546671B-C1C8-A840-BAE7-7556CE6AF129}"/>
  </hyperlinks>
  <pageMargins left="0.7" right="0.7" top="0.75" bottom="0.75" header="0.3" footer="0.3"/>
  <pageSetup paperSize="9" orientation="portrait" horizontalDpi="0" verticalDpi="0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65CC5-610B-8844-8C0F-9B63B3EF5C5D}">
  <sheetPr codeName="Sheet1">
    <pageSetUpPr fitToPage="1"/>
  </sheetPr>
  <dimension ref="B2:AV123"/>
  <sheetViews>
    <sheetView showGridLines="0" workbookViewId="0">
      <selection activeCell="D19" sqref="D19"/>
    </sheetView>
  </sheetViews>
  <sheetFormatPr baseColWidth="10" defaultRowHeight="16"/>
  <cols>
    <col min="1" max="1" width="10.83203125" style="13"/>
    <col min="2" max="2" width="13.33203125" style="13" customWidth="1"/>
    <col min="3" max="4" width="11.33203125" style="13" customWidth="1"/>
    <col min="5" max="5" width="5.83203125" style="13" customWidth="1"/>
    <col min="6" max="6" width="30.83203125" style="41" customWidth="1"/>
    <col min="7" max="7" width="10.83203125" style="13" customWidth="1"/>
    <col min="8" max="8" width="10.83203125" style="14" customWidth="1"/>
    <col min="9" max="10" width="10.83203125" style="13"/>
    <col min="11" max="23" width="10.83203125" style="14" customWidth="1"/>
    <col min="24" max="25" width="10.83203125" style="13"/>
    <col min="26" max="26" width="5.83203125" style="13" customWidth="1"/>
    <col min="27" max="27" width="10.83203125" style="13" hidden="1" customWidth="1"/>
    <col min="28" max="28" width="30.83203125" style="14" hidden="1" customWidth="1"/>
    <col min="29" max="29" width="30.83203125" style="14" customWidth="1"/>
    <col min="30" max="30" width="10.83203125" style="14" customWidth="1"/>
    <col min="31" max="31" width="10.83203125" style="13" customWidth="1"/>
    <col min="32" max="32" width="10.83203125" style="14" customWidth="1"/>
    <col min="33" max="33" width="10.83203125" style="14" hidden="1" customWidth="1"/>
    <col min="34" max="41" width="10.83203125" style="14" customWidth="1"/>
    <col min="42" max="44" width="10.83203125" style="14"/>
    <col min="45" max="45" width="10.83203125" style="14" customWidth="1"/>
    <col min="46" max="46" width="10.83203125" style="13" hidden="1" customWidth="1"/>
    <col min="47" max="48" width="0.1640625" style="13" hidden="1" customWidth="1"/>
    <col min="49" max="16384" width="10.83203125" style="13"/>
  </cols>
  <sheetData>
    <row r="2" spans="2:48" ht="19">
      <c r="B2" s="185" t="s">
        <v>25</v>
      </c>
      <c r="C2" s="187"/>
      <c r="D2" s="97"/>
      <c r="F2" s="185" t="s">
        <v>26</v>
      </c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  <c r="W2" s="186"/>
      <c r="X2" s="186"/>
      <c r="Y2" s="187"/>
      <c r="AB2" s="77" t="s">
        <v>27</v>
      </c>
      <c r="AC2" s="185" t="s">
        <v>307</v>
      </c>
      <c r="AD2" s="186"/>
      <c r="AE2" s="186"/>
      <c r="AF2" s="186"/>
      <c r="AG2" s="186"/>
      <c r="AH2" s="186"/>
      <c r="AI2" s="186"/>
      <c r="AJ2" s="186"/>
      <c r="AK2" s="186"/>
      <c r="AL2" s="186"/>
      <c r="AM2" s="186"/>
      <c r="AN2" s="186"/>
      <c r="AO2" s="186"/>
      <c r="AP2" s="186"/>
      <c r="AQ2" s="186"/>
      <c r="AR2" s="186"/>
      <c r="AS2" s="187"/>
    </row>
    <row r="3" spans="2:48">
      <c r="B3" s="165"/>
      <c r="C3" s="29" t="s">
        <v>7</v>
      </c>
      <c r="D3" s="98"/>
      <c r="E3" s="15"/>
      <c r="F3" s="38"/>
      <c r="G3" s="35"/>
      <c r="H3" s="16" t="s">
        <v>5</v>
      </c>
      <c r="I3" s="16" t="s">
        <v>5</v>
      </c>
      <c r="J3" s="5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6"/>
      <c r="AB3" s="30"/>
      <c r="AC3" s="163" t="str">
        <f>CONCATENATE("Date: ",TEXT(C4,"DD.MM.YYYY"),",   Time: ",TEXT(C5,"HH:MM:SS"))</f>
        <v>Date: 16.05.2024,   Time: 02:00:00</v>
      </c>
      <c r="AD3" s="158"/>
      <c r="AE3" s="158"/>
      <c r="AF3" s="159"/>
      <c r="AG3" s="159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166" t="str">
        <f>CONCATENATE("Moon: ",TEXT(Illumination!C8*100,"0.00"),"%")</f>
        <v>Moon: 55.71%</v>
      </c>
    </row>
    <row r="4" spans="2:48">
      <c r="B4" s="18" t="s">
        <v>13</v>
      </c>
      <c r="C4" s="21">
        <v>45428</v>
      </c>
      <c r="D4" s="99"/>
      <c r="E4" s="15"/>
      <c r="F4" s="39"/>
      <c r="G4" s="36"/>
      <c r="H4" s="17">
        <v>60</v>
      </c>
      <c r="I4" s="17">
        <v>25</v>
      </c>
      <c r="J4" s="52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6"/>
      <c r="AB4" s="30"/>
      <c r="AC4" s="163" t="str">
        <f>CONCATENATE("Latitude: ",TEXT(C13,"0.00"),",      Longitude: ",TEXT(C14,"0.00"),"   (",C12,")")</f>
        <v>Latitude: 46.45,      Longitude: 7.42   (Home)</v>
      </c>
      <c r="AD4" s="160"/>
      <c r="AE4" s="160"/>
      <c r="AF4" s="161"/>
      <c r="AG4" s="16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166" t="str">
        <f>CONCATENATE("# total:       ",TEXT(114-COUNTBLANK(($E$8:$E$121)),"0"))</f>
        <v># total:       8</v>
      </c>
    </row>
    <row r="5" spans="2:48">
      <c r="B5" s="19" t="s">
        <v>14</v>
      </c>
      <c r="C5" s="22">
        <v>8.3333333333333329E-2</v>
      </c>
      <c r="D5" s="100"/>
      <c r="E5" s="15"/>
      <c r="F5" s="39"/>
      <c r="G5" s="36"/>
      <c r="H5" s="16" t="s">
        <v>6</v>
      </c>
      <c r="I5" s="16" t="s">
        <v>6</v>
      </c>
      <c r="J5" s="5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6"/>
      <c r="AB5" s="30"/>
      <c r="AC5" s="164" t="str">
        <f>CONCATENATE("Limits: ",TEXT(H4,"0")," &lt;= azimuth &lt;= ",TEXT(H6,"0"),",   ",TEXT(I4,"0")," &lt;= altitude &lt;= ",TEXT(I6,"0"))</f>
        <v>Limits: 60 &lt;= azimuth &lt;= 150,   25 &lt;= altitude &lt;= 90</v>
      </c>
      <c r="AD5" s="162"/>
      <c r="AE5" s="162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166" t="str">
        <f>CONCATENATE("# selected: ",TEXT(114-COUNTBLANK(($AC$8:$AC$121)),"0"))</f>
        <v># selected: 8</v>
      </c>
    </row>
    <row r="6" spans="2:48">
      <c r="B6" s="19" t="s">
        <v>15</v>
      </c>
      <c r="C6" s="23">
        <v>1</v>
      </c>
      <c r="D6" s="101"/>
      <c r="E6" s="15"/>
      <c r="F6" s="40"/>
      <c r="G6" s="37"/>
      <c r="H6" s="17">
        <v>150</v>
      </c>
      <c r="I6" s="17">
        <v>90</v>
      </c>
      <c r="J6" s="5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7"/>
      <c r="AB6" s="32"/>
      <c r="AC6" s="32"/>
      <c r="AD6" s="33"/>
      <c r="AE6" s="34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90"/>
    </row>
    <row r="7" spans="2:48" ht="17" customHeight="1">
      <c r="B7" s="18" t="s">
        <v>16</v>
      </c>
      <c r="C7" s="16" t="str">
        <f>IF(OR(MOD(YEAR(C4),400)=0,AND(MOD(YEAR(C4),4)=0,MOD(YEAR(C4),100)&lt;&gt;0)),"Y", "N")</f>
        <v>Y</v>
      </c>
      <c r="D7" s="51"/>
      <c r="E7" s="15"/>
      <c r="F7" s="42" t="s">
        <v>36</v>
      </c>
      <c r="G7" s="24" t="str">
        <f>C17</f>
        <v>Observed?</v>
      </c>
      <c r="H7" s="25" t="s">
        <v>8</v>
      </c>
      <c r="I7" s="25" t="s">
        <v>9</v>
      </c>
      <c r="J7" s="75" t="s">
        <v>292</v>
      </c>
      <c r="K7" s="76" t="s">
        <v>293</v>
      </c>
      <c r="L7" s="76" t="s">
        <v>294</v>
      </c>
      <c r="M7" s="76" t="s">
        <v>295</v>
      </c>
      <c r="N7" s="76" t="s">
        <v>296</v>
      </c>
      <c r="O7" s="76" t="s">
        <v>297</v>
      </c>
      <c r="P7" s="76" t="s">
        <v>298</v>
      </c>
      <c r="Q7" s="76" t="s">
        <v>299</v>
      </c>
      <c r="R7" s="76" t="s">
        <v>300</v>
      </c>
      <c r="S7" s="76" t="s">
        <v>301</v>
      </c>
      <c r="T7" s="76" t="s">
        <v>302</v>
      </c>
      <c r="U7" s="76" t="s">
        <v>303</v>
      </c>
      <c r="V7" s="76" t="s">
        <v>306</v>
      </c>
      <c r="W7" s="43" t="s">
        <v>10</v>
      </c>
      <c r="X7" s="43" t="s">
        <v>11</v>
      </c>
      <c r="Y7" s="25" t="s">
        <v>12</v>
      </c>
      <c r="Z7" s="26"/>
      <c r="AA7" s="26"/>
      <c r="AB7" s="78" t="s">
        <v>36</v>
      </c>
      <c r="AC7" s="78" t="s">
        <v>36</v>
      </c>
      <c r="AD7" s="80" t="str">
        <f>C17</f>
        <v>Observed?</v>
      </c>
      <c r="AE7" s="81" t="s">
        <v>8</v>
      </c>
      <c r="AF7" s="81" t="s">
        <v>9</v>
      </c>
      <c r="AG7" s="82" t="s">
        <v>292</v>
      </c>
      <c r="AH7" s="91" t="s">
        <v>293</v>
      </c>
      <c r="AI7" s="91" t="s">
        <v>294</v>
      </c>
      <c r="AJ7" s="91" t="s">
        <v>295</v>
      </c>
      <c r="AK7" s="91" t="s">
        <v>296</v>
      </c>
      <c r="AL7" s="91" t="s">
        <v>297</v>
      </c>
      <c r="AM7" s="91" t="s">
        <v>298</v>
      </c>
      <c r="AN7" s="91" t="s">
        <v>299</v>
      </c>
      <c r="AO7" s="91" t="s">
        <v>300</v>
      </c>
      <c r="AP7" s="91" t="s">
        <v>301</v>
      </c>
      <c r="AQ7" s="91" t="s">
        <v>302</v>
      </c>
      <c r="AR7" s="91" t="s">
        <v>303</v>
      </c>
      <c r="AS7" s="92" t="s">
        <v>304</v>
      </c>
      <c r="AT7" s="79" t="s">
        <v>10</v>
      </c>
      <c r="AU7" s="43" t="s">
        <v>11</v>
      </c>
      <c r="AV7" s="25" t="s">
        <v>12</v>
      </c>
    </row>
    <row r="8" spans="2:48" s="60" customFormat="1" ht="17">
      <c r="B8" s="54" t="s">
        <v>17</v>
      </c>
      <c r="C8" s="55">
        <f>INT(275*MONTH(C4)/9)-IF(C7="Y",1,2)*INT((MONTH(C4)+9)/12)+DAY(C4)-30</f>
        <v>137</v>
      </c>
      <c r="D8" s="102"/>
      <c r="E8" s="56" t="str">
        <f>IF(AND(I8&gt;=$I$4,I8&lt;=$I$6,H8&gt;=$H$4,H8&lt;=$H$6),IF(VLOOKUP(G8,$C$19:$D$24,2,FALSE)="yes","*","-"),"")</f>
        <v/>
      </c>
      <c r="F8" s="44" t="s">
        <v>41</v>
      </c>
      <c r="G8" s="57" t="s">
        <v>35</v>
      </c>
      <c r="H8" s="58">
        <f>IF(SIN($Y$123*Y8)&lt;0,ACOS((SIN($Y$123*X8)-SIN($Y$123*I8)*SIN($Y$123*$C$13))/(COS($Y$123*I8)*COS($Y$123*$C$13)))/$Y$123,360-ACOS((SIN($Y$123*X8)-SIN($Y$123*I8)*SIN($Y$123*$C$13))/(COS($Y$123*I8)*COS($Y$123*$C$13)))/$Y$123)</f>
        <v>56.108565016044643</v>
      </c>
      <c r="I8" s="58">
        <f t="shared" ref="I8:I39" si="0">ASIN(SIN($Y$123*X8)*SIN($Y$123*$C$13)+COS($Y$123*X8)*COS($Y$123*$C$13)*COS($Y$123*Y8))/$Y$123</f>
        <v>15.414769896386865</v>
      </c>
      <c r="J8" s="44" t="s">
        <v>42</v>
      </c>
      <c r="K8" s="44" t="s">
        <v>43</v>
      </c>
      <c r="L8" s="49"/>
      <c r="M8" s="45">
        <v>10.6</v>
      </c>
      <c r="N8" s="45">
        <v>10.6</v>
      </c>
      <c r="O8" s="49"/>
      <c r="P8" s="44" t="s">
        <v>44</v>
      </c>
      <c r="Q8" s="44" t="s">
        <v>45</v>
      </c>
      <c r="R8" s="49" t="s">
        <v>35</v>
      </c>
      <c r="S8" s="49"/>
      <c r="T8" s="44" t="s">
        <v>46</v>
      </c>
      <c r="U8" s="44" t="s">
        <v>47</v>
      </c>
      <c r="V8" s="49" t="s">
        <v>35</v>
      </c>
      <c r="W8" s="47">
        <v>7.7777777777777779E-2</v>
      </c>
      <c r="X8" s="47">
        <v>34.265000000000001</v>
      </c>
      <c r="Y8" s="59">
        <f t="shared" ref="Y8:Y39" si="1">$C$16-((W8/24)*360)</f>
        <v>255.53224108348635</v>
      </c>
      <c r="AA8" s="60" t="e" cm="1" vm="1">
        <f t="array" aca="1" ref="AA8" ca="1">_xlfn._xlws.FILTER(E8:Y85,E8:E85="*","")</f>
        <v>#VALUE!</v>
      </c>
      <c r="AB8" s="61" t="str" cm="1">
        <f t="array" ref="AB8:AV15">_xlfn._xlws.FILTER(E8:Y121,E8:E121="*","")</f>
        <v>*</v>
      </c>
      <c r="AC8" s="88" t="str">
        <v>STF 2379</v>
      </c>
      <c r="AD8" s="83" t="str">
        <v>-</v>
      </c>
      <c r="AE8" s="84">
        <v>146.87237638043862</v>
      </c>
      <c r="AF8" s="85">
        <v>39.561564727538325</v>
      </c>
      <c r="AG8" s="85" t="str">
        <v>Aql</v>
      </c>
      <c r="AH8" s="87">
        <v>5.88</v>
      </c>
      <c r="AI8" s="87">
        <v>7.02</v>
      </c>
      <c r="AJ8" s="87">
        <v>11.3</v>
      </c>
      <c r="AK8" s="87" t="str">
        <v>-</v>
      </c>
      <c r="AL8" s="87">
        <v>12.7</v>
      </c>
      <c r="AM8" s="87">
        <v>21.8</v>
      </c>
      <c r="AN8" s="63" t="str">
        <v>-</v>
      </c>
      <c r="AO8" s="63" t="str">
        <v>-</v>
      </c>
      <c r="AP8" s="63">
        <v>122</v>
      </c>
      <c r="AQ8" s="63">
        <v>156</v>
      </c>
      <c r="AR8" s="63" t="str">
        <v>-</v>
      </c>
      <c r="AS8" s="93" t="str">
        <v>-</v>
      </c>
      <c r="AT8" s="60">
        <v>18.77472222222222</v>
      </c>
      <c r="AU8" s="60">
        <v>0.96166666666666667</v>
      </c>
      <c r="AV8" s="60">
        <v>-24.921925583180268</v>
      </c>
    </row>
    <row r="9" spans="2:48" s="60" customFormat="1" ht="17">
      <c r="B9" s="54" t="s">
        <v>18</v>
      </c>
      <c r="C9" s="55" t="str">
        <f>IF(INT(MOD(C10+1.5,7))=1,"Monday",IF(INT(MOD(C10+1.5,7))=2,"Tuesday",IF(INT(MOD(C10+1.5,7))=3,"Wednesday",IF(INT(MOD(C10+1.5,7))=4,"Thursday",IF(INT(MOD(C10+1.5,7))=5,"Friday",IF(INT(MOD(C10+1.5,7))=6,"Saturday","Sunday"))))))</f>
        <v>Thursday</v>
      </c>
      <c r="D9" s="102"/>
      <c r="E9" s="56" t="str">
        <f t="shared" ref="E9:E72" si="2">IF(AND(I9&gt;=$I$4,I9&lt;=$I$6,H9&gt;=$H$4,H9&lt;=$H$6),IF(VLOOKUP(G9,$C$19:$D$24,2,FALSE)="yes","*","-"),"")</f>
        <v/>
      </c>
      <c r="F9" s="44" t="s">
        <v>48</v>
      </c>
      <c r="G9" s="57" t="s">
        <v>35</v>
      </c>
      <c r="H9" s="58">
        <f t="shared" ref="H9:H72" si="3">IF(SIN($Y$123*Y9)&lt;0,ACOS((SIN($Y$123*X9)-SIN($Y$123*I9)*SIN($Y$123*$C$13))/(COS($Y$123*I9)*COS($Y$123*$C$13)))/$Y$123,360-ACOS((SIN($Y$123*X9)-SIN($Y$123*I9)*SIN($Y$123*$C$13))/(COS($Y$123*I9)*COS($Y$123*$C$13)))/$Y$123)</f>
        <v>56.320259644370765</v>
      </c>
      <c r="I9" s="58">
        <f t="shared" si="0"/>
        <v>9.1493013191343806</v>
      </c>
      <c r="J9" s="44" t="s">
        <v>42</v>
      </c>
      <c r="K9" s="45">
        <v>8.3000000000000007</v>
      </c>
      <c r="L9" s="45">
        <v>8.5</v>
      </c>
      <c r="M9" s="45">
        <v>8.9</v>
      </c>
      <c r="N9" s="49" t="s">
        <v>35</v>
      </c>
      <c r="O9" s="46">
        <v>33</v>
      </c>
      <c r="P9" s="45">
        <v>145.9</v>
      </c>
      <c r="Q9" s="49" t="s">
        <v>35</v>
      </c>
      <c r="R9" s="49" t="s">
        <v>35</v>
      </c>
      <c r="S9" s="46">
        <v>224</v>
      </c>
      <c r="T9" s="46">
        <v>137</v>
      </c>
      <c r="U9" s="49" t="s">
        <v>35</v>
      </c>
      <c r="V9" s="49" t="s">
        <v>35</v>
      </c>
      <c r="W9" s="47">
        <v>0.39805555555555561</v>
      </c>
      <c r="X9" s="47">
        <v>29.502500000000001</v>
      </c>
      <c r="Y9" s="59">
        <f t="shared" si="1"/>
        <v>250.72807441681968</v>
      </c>
      <c r="AB9" s="62" t="str">
        <v>*</v>
      </c>
      <c r="AC9" s="62" t="str">
        <v>Delta Cyg STF 2579</v>
      </c>
      <c r="AD9" s="87" t="str">
        <v>-</v>
      </c>
      <c r="AE9" s="86">
        <v>78.180884445840391</v>
      </c>
      <c r="AF9" s="85">
        <v>62.684877802171798</v>
      </c>
      <c r="AG9" s="85" t="str">
        <v>Cyg</v>
      </c>
      <c r="AH9" s="87">
        <v>2.8</v>
      </c>
      <c r="AI9" s="87">
        <v>6.2</v>
      </c>
      <c r="AJ9" s="87">
        <v>12</v>
      </c>
      <c r="AK9" s="87" t="str">
        <v>-</v>
      </c>
      <c r="AL9" s="87">
        <v>2.8</v>
      </c>
      <c r="AM9" s="87">
        <v>62.5</v>
      </c>
      <c r="AN9" s="63" t="str">
        <v>-</v>
      </c>
      <c r="AO9" s="63" t="str">
        <v>-</v>
      </c>
      <c r="AP9" s="63">
        <v>216</v>
      </c>
      <c r="AQ9" s="63">
        <v>67</v>
      </c>
      <c r="AR9" s="63" t="str">
        <v>-</v>
      </c>
      <c r="AS9" s="93" t="str">
        <v>-</v>
      </c>
      <c r="AT9" s="60">
        <v>19.749444444444446</v>
      </c>
      <c r="AU9" s="60">
        <v>45.130555555555553</v>
      </c>
      <c r="AV9" s="60">
        <v>-39.542758916513662</v>
      </c>
    </row>
    <row r="10" spans="2:48" s="60" customFormat="1" ht="17">
      <c r="B10" s="54" t="s">
        <v>19</v>
      </c>
      <c r="C10" s="64">
        <f>367*YEAR(C4)-INT(7/4*YEAR(C4))-INT(3*(INT((YEAR(C4)-8/7)/100)+1)/4)+1721059.5-1+C8+(3600*HOUR(C5)+60*MINUTE(C5)+SECOND(C5))/(24*3600)</f>
        <v>2460446.5833333335</v>
      </c>
      <c r="D10" s="103"/>
      <c r="E10" s="56" t="str">
        <f t="shared" si="2"/>
        <v/>
      </c>
      <c r="F10" s="44" t="s">
        <v>49</v>
      </c>
      <c r="G10" s="57" t="s">
        <v>35</v>
      </c>
      <c r="H10" s="58">
        <f t="shared" si="3"/>
        <v>53.973968323243525</v>
      </c>
      <c r="I10" s="58">
        <f t="shared" si="0"/>
        <v>7.8040831877281684</v>
      </c>
      <c r="J10" s="44" t="s">
        <v>42</v>
      </c>
      <c r="K10" s="45">
        <v>8.3000000000000007</v>
      </c>
      <c r="L10" s="46">
        <v>9</v>
      </c>
      <c r="M10" s="45">
        <v>11.5</v>
      </c>
      <c r="N10" s="49" t="s">
        <v>35</v>
      </c>
      <c r="O10" s="45">
        <v>6.3</v>
      </c>
      <c r="P10" s="45">
        <v>36.700000000000003</v>
      </c>
      <c r="Q10" s="49" t="s">
        <v>35</v>
      </c>
      <c r="R10" s="49" t="s">
        <v>35</v>
      </c>
      <c r="S10" s="46">
        <v>20</v>
      </c>
      <c r="T10" s="46">
        <v>290</v>
      </c>
      <c r="U10" s="49" t="s">
        <v>35</v>
      </c>
      <c r="V10" s="49" t="s">
        <v>35</v>
      </c>
      <c r="W10" s="47">
        <v>0.60055555555555551</v>
      </c>
      <c r="X10" s="47">
        <v>29.992777777777778</v>
      </c>
      <c r="Y10" s="59">
        <f t="shared" si="1"/>
        <v>247.69057441681969</v>
      </c>
      <c r="AB10" s="62" t="str">
        <v>*</v>
      </c>
      <c r="AC10" s="62" t="str">
        <v>STF 2673 , 2674</v>
      </c>
      <c r="AD10" s="87" t="str">
        <v>-</v>
      </c>
      <c r="AE10" s="86">
        <v>112.48214351464095</v>
      </c>
      <c r="AF10" s="85">
        <v>37.386366648942307</v>
      </c>
      <c r="AG10" s="85" t="str">
        <v>Del</v>
      </c>
      <c r="AH10" s="87">
        <v>8.2899999999999991</v>
      </c>
      <c r="AI10" s="87">
        <v>9.75</v>
      </c>
      <c r="AJ10" s="87">
        <v>8.6</v>
      </c>
      <c r="AK10" s="87">
        <v>11.4</v>
      </c>
      <c r="AL10" s="87">
        <v>2.4</v>
      </c>
      <c r="AM10" s="87">
        <v>76.5</v>
      </c>
      <c r="AN10" s="63" t="str">
        <v>-</v>
      </c>
      <c r="AO10" s="63" t="str">
        <v>CD 15</v>
      </c>
      <c r="AP10" s="63">
        <v>326</v>
      </c>
      <c r="AQ10" s="63">
        <v>100</v>
      </c>
      <c r="AR10" s="63" t="str">
        <v>-</v>
      </c>
      <c r="AS10" s="93" t="str">
        <v>CD 1</v>
      </c>
      <c r="AT10" s="60">
        <v>20.378888888888888</v>
      </c>
      <c r="AU10" s="60">
        <v>13.340277777777779</v>
      </c>
      <c r="AV10" s="60">
        <v>-48.984425583180325</v>
      </c>
    </row>
    <row r="11" spans="2:48" s="60" customFormat="1" ht="17">
      <c r="B11" s="54" t="s">
        <v>20</v>
      </c>
      <c r="C11" s="64">
        <f>C10-2451545</f>
        <v>8901.5833333334886</v>
      </c>
      <c r="D11" s="103"/>
      <c r="E11" s="56" t="str">
        <f t="shared" si="2"/>
        <v>*</v>
      </c>
      <c r="F11" s="44" t="s">
        <v>50</v>
      </c>
      <c r="G11" s="57" t="s">
        <v>35</v>
      </c>
      <c r="H11" s="58">
        <f t="shared" si="3"/>
        <v>146.87237638043862</v>
      </c>
      <c r="I11" s="58">
        <f t="shared" si="0"/>
        <v>39.561564727538325</v>
      </c>
      <c r="J11" s="44" t="s">
        <v>51</v>
      </c>
      <c r="K11" s="48">
        <v>5.88</v>
      </c>
      <c r="L11" s="48">
        <v>7.02</v>
      </c>
      <c r="M11" s="45">
        <v>11.3</v>
      </c>
      <c r="N11" s="49" t="s">
        <v>35</v>
      </c>
      <c r="O11" s="45">
        <v>12.7</v>
      </c>
      <c r="P11" s="45">
        <v>21.8</v>
      </c>
      <c r="Q11" s="49" t="s">
        <v>35</v>
      </c>
      <c r="R11" s="49" t="s">
        <v>35</v>
      </c>
      <c r="S11" s="46">
        <v>122</v>
      </c>
      <c r="T11" s="46">
        <v>156</v>
      </c>
      <c r="U11" s="49" t="s">
        <v>35</v>
      </c>
      <c r="V11" s="49" t="s">
        <v>35</v>
      </c>
      <c r="W11" s="47">
        <v>18.77472222222222</v>
      </c>
      <c r="X11" s="47">
        <v>0.96166666666666667</v>
      </c>
      <c r="Y11" s="59">
        <f t="shared" si="1"/>
        <v>-24.921925583180268</v>
      </c>
      <c r="AB11" s="62" t="str">
        <v>*</v>
      </c>
      <c r="AC11" s="62" t="str">
        <v>S 752, BU 987</v>
      </c>
      <c r="AD11" s="87" t="str">
        <v>-</v>
      </c>
      <c r="AE11" s="86">
        <v>105.46501432721647</v>
      </c>
      <c r="AF11" s="85">
        <v>40.628431478400842</v>
      </c>
      <c r="AG11" s="85" t="str">
        <v>Del</v>
      </c>
      <c r="AH11" s="87">
        <v>6.8</v>
      </c>
      <c r="AI11" s="87">
        <v>11.1</v>
      </c>
      <c r="AJ11" s="87">
        <v>7.3</v>
      </c>
      <c r="AK11" s="87" t="str">
        <v>-</v>
      </c>
      <c r="AL11" s="87">
        <v>2.5</v>
      </c>
      <c r="AM11" s="87">
        <v>106</v>
      </c>
      <c r="AN11" s="63" t="str">
        <v>-</v>
      </c>
      <c r="AO11" s="63" t="str">
        <v>-</v>
      </c>
      <c r="AP11" s="63">
        <v>128</v>
      </c>
      <c r="AQ11" s="63">
        <v>288</v>
      </c>
      <c r="AR11" s="63" t="str">
        <v>-</v>
      </c>
      <c r="AS11" s="93" t="str">
        <v>-</v>
      </c>
      <c r="AT11" s="60">
        <v>20.503888888888888</v>
      </c>
      <c r="AU11" s="60">
        <v>19.420833333333334</v>
      </c>
      <c r="AV11" s="60">
        <v>-50.859425583180268</v>
      </c>
    </row>
    <row r="12" spans="2:48" s="60" customFormat="1" ht="17">
      <c r="B12" s="65" t="s">
        <v>28</v>
      </c>
      <c r="C12" s="112" t="s">
        <v>29</v>
      </c>
      <c r="D12" s="104"/>
      <c r="E12" s="56" t="str">
        <f t="shared" si="2"/>
        <v/>
      </c>
      <c r="F12" s="44" t="s">
        <v>52</v>
      </c>
      <c r="G12" s="57" t="s">
        <v>35</v>
      </c>
      <c r="H12" s="58">
        <f t="shared" si="3"/>
        <v>108.27372987792049</v>
      </c>
      <c r="I12" s="58">
        <f t="shared" si="0"/>
        <v>19.278922510228377</v>
      </c>
      <c r="J12" s="44" t="s">
        <v>53</v>
      </c>
      <c r="K12" s="48">
        <v>7.49</v>
      </c>
      <c r="L12" s="48">
        <v>8.64</v>
      </c>
      <c r="M12" s="48">
        <v>11.41</v>
      </c>
      <c r="N12" s="49" t="s">
        <v>35</v>
      </c>
      <c r="O12" s="45">
        <v>22.6</v>
      </c>
      <c r="P12" s="45">
        <v>70.400000000000006</v>
      </c>
      <c r="Q12" s="49" t="s">
        <v>35</v>
      </c>
      <c r="R12" s="49" t="s">
        <v>35</v>
      </c>
      <c r="S12" s="46">
        <v>20</v>
      </c>
      <c r="T12" s="46">
        <v>94</v>
      </c>
      <c r="U12" s="49" t="s">
        <v>35</v>
      </c>
      <c r="V12" s="49" t="s">
        <v>35</v>
      </c>
      <c r="W12" s="47">
        <v>21.363333333333333</v>
      </c>
      <c r="X12" s="47">
        <v>2.027222222222222</v>
      </c>
      <c r="Y12" s="59">
        <f t="shared" si="1"/>
        <v>-63.751092249846977</v>
      </c>
      <c r="AB12" s="62" t="str">
        <v>*</v>
      </c>
      <c r="AC12" s="62" t="str">
        <v>100 Her, STF 2280</v>
      </c>
      <c r="AD12" s="87" t="str">
        <v>-</v>
      </c>
      <c r="AE12" s="86">
        <v>143.95655560582009</v>
      </c>
      <c r="AF12" s="85">
        <v>66.316579237321889</v>
      </c>
      <c r="AG12" s="85" t="str">
        <v>Her</v>
      </c>
      <c r="AH12" s="87">
        <v>5.81</v>
      </c>
      <c r="AI12" s="87">
        <v>5.84</v>
      </c>
      <c r="AJ12" s="87">
        <v>11.8</v>
      </c>
      <c r="AK12" s="87" t="str">
        <v>-</v>
      </c>
      <c r="AL12" s="87">
        <v>14.3</v>
      </c>
      <c r="AM12" s="87">
        <v>79.900000000000006</v>
      </c>
      <c r="AN12" s="63" t="str">
        <v>-</v>
      </c>
      <c r="AO12" s="63" t="str">
        <v>-</v>
      </c>
      <c r="AP12" s="63">
        <v>183</v>
      </c>
      <c r="AQ12" s="63">
        <v>127</v>
      </c>
      <c r="AR12" s="63" t="str">
        <v>-</v>
      </c>
      <c r="AS12" s="93" t="str">
        <v>-</v>
      </c>
      <c r="AT12" s="60">
        <v>18.130555555555556</v>
      </c>
      <c r="AU12" s="60">
        <v>26.101111111111113</v>
      </c>
      <c r="AV12" s="60">
        <v>-15.259425583180303</v>
      </c>
    </row>
    <row r="13" spans="2:48" s="60" customFormat="1" ht="17">
      <c r="B13" s="20" t="s">
        <v>21</v>
      </c>
      <c r="C13" s="168">
        <f>VLOOKUP(C12,$B$29:$D$33,2,FALSE)</f>
        <v>46.45</v>
      </c>
      <c r="D13" s="105"/>
      <c r="E13" s="56" t="str">
        <f t="shared" si="2"/>
        <v/>
      </c>
      <c r="F13" s="44" t="s">
        <v>54</v>
      </c>
      <c r="G13" s="57" t="s">
        <v>35</v>
      </c>
      <c r="H13" s="58">
        <f t="shared" si="3"/>
        <v>96.346401053811306</v>
      </c>
      <c r="I13" s="58">
        <f t="shared" si="0"/>
        <v>0.19158628065069999</v>
      </c>
      <c r="J13" s="44" t="s">
        <v>53</v>
      </c>
      <c r="K13" s="45">
        <v>7.3</v>
      </c>
      <c r="L13" s="48">
        <v>7.68</v>
      </c>
      <c r="M13" s="48">
        <v>8.58</v>
      </c>
      <c r="N13" s="49" t="s">
        <v>35</v>
      </c>
      <c r="O13" s="45">
        <v>1.8</v>
      </c>
      <c r="P13" s="45">
        <v>60.6</v>
      </c>
      <c r="Q13" s="49" t="s">
        <v>35</v>
      </c>
      <c r="R13" s="49" t="s">
        <v>35</v>
      </c>
      <c r="S13" s="46">
        <v>307</v>
      </c>
      <c r="T13" s="46">
        <v>85</v>
      </c>
      <c r="U13" s="49" t="s">
        <v>35</v>
      </c>
      <c r="V13" s="49" t="s">
        <v>35</v>
      </c>
      <c r="W13" s="47">
        <v>22.797222222222224</v>
      </c>
      <c r="X13" s="47">
        <v>-4.2286111111111113</v>
      </c>
      <c r="Y13" s="59">
        <f t="shared" si="1"/>
        <v>-85.259425583180359</v>
      </c>
      <c r="AB13" s="62" t="str">
        <v>*</v>
      </c>
      <c r="AC13" s="62" t="str">
        <v>HJ 1823</v>
      </c>
      <c r="AD13" s="87" t="str">
        <v>-</v>
      </c>
      <c r="AE13" s="86">
        <v>60.776443504399523</v>
      </c>
      <c r="AF13" s="85">
        <v>30.815314986290037</v>
      </c>
      <c r="AG13" s="85" t="str">
        <v>Lac</v>
      </c>
      <c r="AH13" s="87">
        <v>7.06</v>
      </c>
      <c r="AI13" s="87">
        <v>11.48</v>
      </c>
      <c r="AJ13" s="87">
        <v>8.11</v>
      </c>
      <c r="AK13" s="87" t="str">
        <v>D 11.25
E 8.85</v>
      </c>
      <c r="AL13" s="87">
        <v>18.7</v>
      </c>
      <c r="AM13" s="87">
        <v>81.599999999999994</v>
      </c>
      <c r="AN13" s="63" t="str">
        <v>AE 119</v>
      </c>
      <c r="AO13" s="63" t="str">
        <v>CD 5.1</v>
      </c>
      <c r="AP13" s="63">
        <v>264</v>
      </c>
      <c r="AQ13" s="63">
        <v>338</v>
      </c>
      <c r="AR13" s="63" t="str">
        <v>CD 139</v>
      </c>
      <c r="AS13" s="93" t="str">
        <v>AE 263</v>
      </c>
      <c r="AT13" s="60">
        <v>22.863611111111112</v>
      </c>
      <c r="AU13" s="60">
        <v>41.312777777777775</v>
      </c>
      <c r="AV13" s="60">
        <v>-86.25525891651364</v>
      </c>
    </row>
    <row r="14" spans="2:48" s="60" customFormat="1" ht="17">
      <c r="B14" s="54" t="s">
        <v>22</v>
      </c>
      <c r="C14" s="168">
        <f>VLOOKUP(C12,$B$29:$D$33,3,FALSE)</f>
        <v>7.42</v>
      </c>
      <c r="D14" s="105"/>
      <c r="E14" s="56" t="str">
        <f t="shared" si="2"/>
        <v/>
      </c>
      <c r="F14" s="44" t="s">
        <v>55</v>
      </c>
      <c r="G14" s="57" t="s">
        <v>35</v>
      </c>
      <c r="H14" s="58">
        <f t="shared" si="3"/>
        <v>41.558104827664209</v>
      </c>
      <c r="I14" s="58">
        <f t="shared" si="0"/>
        <v>-18.033260284469581</v>
      </c>
      <c r="J14" s="44" t="s">
        <v>56</v>
      </c>
      <c r="K14" s="48">
        <v>8.8699999999999992</v>
      </c>
      <c r="L14" s="48">
        <v>9.41</v>
      </c>
      <c r="M14" s="46">
        <v>12</v>
      </c>
      <c r="N14" s="49" t="s">
        <v>35</v>
      </c>
      <c r="O14" s="45">
        <v>34.799999999999997</v>
      </c>
      <c r="P14" s="45">
        <v>149.19999999999999</v>
      </c>
      <c r="Q14" s="49" t="s">
        <v>35</v>
      </c>
      <c r="R14" s="49" t="s">
        <v>35</v>
      </c>
      <c r="S14" s="46">
        <v>261</v>
      </c>
      <c r="T14" s="46">
        <v>186</v>
      </c>
      <c r="U14" s="49" t="s">
        <v>35</v>
      </c>
      <c r="V14" s="49" t="s">
        <v>35</v>
      </c>
      <c r="W14" s="66">
        <v>2.388611111111111</v>
      </c>
      <c r="X14" s="47">
        <v>15.418333333333333</v>
      </c>
      <c r="Y14" s="59">
        <f t="shared" si="1"/>
        <v>220.86974108348636</v>
      </c>
      <c r="AB14" s="62" t="str">
        <v>*</v>
      </c>
      <c r="AC14" s="62" t="str">
        <v>STT 525, SHJ 282 ABCD</v>
      </c>
      <c r="AD14" s="87" t="str">
        <v>-</v>
      </c>
      <c r="AE14" s="86">
        <v>111.77913391301955</v>
      </c>
      <c r="AF14" s="85">
        <v>66.06480326193001</v>
      </c>
      <c r="AG14" s="85" t="str">
        <v>Lyr</v>
      </c>
      <c r="AH14" s="87">
        <v>6.1</v>
      </c>
      <c r="AI14" s="87">
        <v>9.1199999999999992</v>
      </c>
      <c r="AJ14" s="87">
        <v>7.6</v>
      </c>
      <c r="AK14" s="87">
        <v>11</v>
      </c>
      <c r="AL14" s="87">
        <v>1.8</v>
      </c>
      <c r="AM14" s="87">
        <v>45.5</v>
      </c>
      <c r="AN14" s="63">
        <v>214.8</v>
      </c>
      <c r="AO14" s="63" t="str">
        <v>CD 192.4</v>
      </c>
      <c r="AP14" s="63">
        <v>130</v>
      </c>
      <c r="AQ14" s="63">
        <v>350</v>
      </c>
      <c r="AR14" s="63">
        <v>295</v>
      </c>
      <c r="AS14" s="93" t="str">
        <v>CD 284</v>
      </c>
      <c r="AT14" s="60">
        <v>18.914444444444442</v>
      </c>
      <c r="AU14" s="60">
        <v>33.968333333333334</v>
      </c>
      <c r="AV14" s="60">
        <v>-27.017758916513628</v>
      </c>
    </row>
    <row r="15" spans="2:48" s="60" customFormat="1" ht="17">
      <c r="B15" s="54" t="s">
        <v>23</v>
      </c>
      <c r="C15" s="67">
        <f>MOD(HOUR(C5)+(MINUTE(C5)/60)+(SECOND(C5)/60)-C6,24)</f>
        <v>1</v>
      </c>
      <c r="D15" s="106"/>
      <c r="E15" s="56" t="str">
        <f t="shared" si="2"/>
        <v/>
      </c>
      <c r="F15" s="44" t="s">
        <v>57</v>
      </c>
      <c r="G15" s="57" t="s">
        <v>35</v>
      </c>
      <c r="H15" s="58">
        <f t="shared" si="3"/>
        <v>35.379488636161831</v>
      </c>
      <c r="I15" s="58">
        <f t="shared" si="0"/>
        <v>-10.072668254838318</v>
      </c>
      <c r="J15" s="44" t="s">
        <v>56</v>
      </c>
      <c r="K15" s="48">
        <v>5.93</v>
      </c>
      <c r="L15" s="48">
        <v>9.94</v>
      </c>
      <c r="M15" s="45">
        <v>12.7</v>
      </c>
      <c r="N15" s="49" t="s">
        <v>35</v>
      </c>
      <c r="O15" s="45">
        <v>12.8</v>
      </c>
      <c r="P15" s="45">
        <v>183.5</v>
      </c>
      <c r="Q15" s="49" t="s">
        <v>35</v>
      </c>
      <c r="R15" s="49" t="s">
        <v>35</v>
      </c>
      <c r="S15" s="46">
        <v>183</v>
      </c>
      <c r="T15" s="46">
        <v>20</v>
      </c>
      <c r="U15" s="49" t="s">
        <v>35</v>
      </c>
      <c r="V15" s="49" t="s">
        <v>35</v>
      </c>
      <c r="W15" s="47">
        <v>2.5088888888888889</v>
      </c>
      <c r="X15" s="47">
        <v>25.235277777777778</v>
      </c>
      <c r="Y15" s="59">
        <f t="shared" si="1"/>
        <v>219.06557441681969</v>
      </c>
      <c r="AB15" s="62" t="str">
        <v>*</v>
      </c>
      <c r="AC15" s="62" t="str">
        <v>STF 2521 ABCD</v>
      </c>
      <c r="AD15" s="87" t="str">
        <v>-</v>
      </c>
      <c r="AE15" s="86">
        <v>121.07551118021443</v>
      </c>
      <c r="AF15" s="85">
        <v>51.062129405751939</v>
      </c>
      <c r="AG15" s="85" t="str">
        <v>Vul</v>
      </c>
      <c r="AH15" s="87">
        <v>5.8</v>
      </c>
      <c r="AI15" s="87">
        <v>10.5</v>
      </c>
      <c r="AJ15" s="87">
        <v>10.54</v>
      </c>
      <c r="AK15" s="87">
        <v>10.57</v>
      </c>
      <c r="AL15" s="87">
        <v>29</v>
      </c>
      <c r="AM15" s="87">
        <v>75</v>
      </c>
      <c r="AN15" s="63">
        <v>152</v>
      </c>
      <c r="AO15" s="63" t="str">
        <v>-</v>
      </c>
      <c r="AP15" s="63">
        <v>32</v>
      </c>
      <c r="AQ15" s="63">
        <v>326</v>
      </c>
      <c r="AR15" s="63">
        <v>62</v>
      </c>
      <c r="AS15" s="93" t="str">
        <v>-</v>
      </c>
      <c r="AT15" s="60">
        <v>19.441277777777778</v>
      </c>
      <c r="AU15" s="60">
        <v>19.891611111111111</v>
      </c>
      <c r="AV15" s="60">
        <v>-34.92025891651366</v>
      </c>
    </row>
    <row r="16" spans="2:48" s="60" customFormat="1" ht="17">
      <c r="B16" s="54" t="s">
        <v>24</v>
      </c>
      <c r="C16" s="67">
        <f>MOD(100.46+0.985647*C11+C14+15*C15, 360)</f>
        <v>256.69890775015301</v>
      </c>
      <c r="D16" s="106"/>
      <c r="E16" s="56" t="str">
        <f t="shared" si="2"/>
        <v/>
      </c>
      <c r="F16" s="44" t="s">
        <v>58</v>
      </c>
      <c r="G16" s="57" t="s">
        <v>35</v>
      </c>
      <c r="H16" s="58">
        <f t="shared" si="3"/>
        <v>35.983227717739211</v>
      </c>
      <c r="I16" s="58">
        <f t="shared" si="0"/>
        <v>-16.932459170231756</v>
      </c>
      <c r="J16" s="44" t="s">
        <v>56</v>
      </c>
      <c r="K16" s="45">
        <v>7.6</v>
      </c>
      <c r="L16" s="45">
        <v>7.5</v>
      </c>
      <c r="M16" s="45">
        <v>9.5</v>
      </c>
      <c r="N16" s="49" t="s">
        <v>35</v>
      </c>
      <c r="O16" s="45">
        <v>3.4</v>
      </c>
      <c r="P16" s="45">
        <v>65.2</v>
      </c>
      <c r="Q16" s="49" t="s">
        <v>35</v>
      </c>
      <c r="R16" s="49" t="s">
        <v>35</v>
      </c>
      <c r="S16" s="46">
        <v>118</v>
      </c>
      <c r="T16" s="46">
        <v>242</v>
      </c>
      <c r="U16" s="49" t="s">
        <v>35</v>
      </c>
      <c r="V16" s="49" t="s">
        <v>35</v>
      </c>
      <c r="W16" s="47">
        <v>2.6850000000000001</v>
      </c>
      <c r="X16" s="47">
        <v>18.8</v>
      </c>
      <c r="Y16" s="59">
        <f t="shared" si="1"/>
        <v>216.42390775015301</v>
      </c>
      <c r="AB16" s="62"/>
      <c r="AC16" s="62"/>
      <c r="AD16" s="87"/>
      <c r="AE16" s="86"/>
      <c r="AF16" s="85"/>
      <c r="AG16" s="85"/>
      <c r="AH16" s="87"/>
      <c r="AI16" s="87"/>
      <c r="AJ16" s="87"/>
      <c r="AK16" s="87"/>
      <c r="AL16" s="87"/>
      <c r="AM16" s="87"/>
      <c r="AN16" s="63"/>
      <c r="AO16" s="63"/>
      <c r="AP16" s="63"/>
      <c r="AQ16" s="63"/>
      <c r="AR16" s="63"/>
      <c r="AS16" s="93"/>
    </row>
    <row r="17" spans="2:45" s="60" customFormat="1" ht="17">
      <c r="B17" s="68" t="s">
        <v>30</v>
      </c>
      <c r="C17" s="69" t="s">
        <v>31</v>
      </c>
      <c r="D17" s="107"/>
      <c r="E17" s="56" t="str">
        <f t="shared" si="2"/>
        <v/>
      </c>
      <c r="F17" s="44" t="s">
        <v>59</v>
      </c>
      <c r="G17" s="57" t="s">
        <v>35</v>
      </c>
      <c r="H17" s="58">
        <f t="shared" si="3"/>
        <v>356.3642826212772</v>
      </c>
      <c r="I17" s="58">
        <f t="shared" si="0"/>
        <v>11.239370846450448</v>
      </c>
      <c r="J17" s="44" t="s">
        <v>60</v>
      </c>
      <c r="K17" s="48">
        <v>7.78</v>
      </c>
      <c r="L17" s="48">
        <v>9.67</v>
      </c>
      <c r="M17" s="46">
        <v>11</v>
      </c>
      <c r="N17" s="49" t="s">
        <v>35</v>
      </c>
      <c r="O17" s="45">
        <v>7.6</v>
      </c>
      <c r="P17" s="45">
        <v>174.9</v>
      </c>
      <c r="Q17" s="49" t="s">
        <v>35</v>
      </c>
      <c r="R17" s="49" t="s">
        <v>35</v>
      </c>
      <c r="S17" s="46">
        <v>224</v>
      </c>
      <c r="T17" s="46">
        <v>254</v>
      </c>
      <c r="U17" s="49" t="s">
        <v>35</v>
      </c>
      <c r="V17" s="49" t="s">
        <v>35</v>
      </c>
      <c r="W17" s="66">
        <v>5.5247222222222225</v>
      </c>
      <c r="X17" s="47">
        <v>54.654444444444444</v>
      </c>
      <c r="Y17" s="59">
        <f t="shared" si="1"/>
        <v>173.82807441681967</v>
      </c>
      <c r="AB17" s="62"/>
      <c r="AC17" s="62"/>
      <c r="AD17" s="87"/>
      <c r="AE17" s="86"/>
      <c r="AF17" s="85"/>
      <c r="AG17" s="85"/>
      <c r="AH17" s="87"/>
      <c r="AI17" s="87"/>
      <c r="AJ17" s="87"/>
      <c r="AK17" s="87"/>
      <c r="AL17" s="87"/>
      <c r="AM17" s="87"/>
      <c r="AN17" s="63"/>
      <c r="AO17" s="63"/>
      <c r="AP17" s="63"/>
      <c r="AQ17" s="63"/>
      <c r="AR17" s="63"/>
      <c r="AS17" s="93"/>
    </row>
    <row r="18" spans="2:45" s="60" customFormat="1" ht="17">
      <c r="B18" s="70"/>
      <c r="C18" s="169" t="s">
        <v>32</v>
      </c>
      <c r="D18" s="170" t="s">
        <v>345</v>
      </c>
      <c r="E18" s="56" t="str">
        <f t="shared" si="2"/>
        <v/>
      </c>
      <c r="F18" s="44" t="s">
        <v>61</v>
      </c>
      <c r="G18" s="57" t="s">
        <v>35</v>
      </c>
      <c r="H18" s="58">
        <f t="shared" si="3"/>
        <v>355.82393351787402</v>
      </c>
      <c r="I18" s="58">
        <f t="shared" si="0"/>
        <v>6.0037440947019558</v>
      </c>
      <c r="J18" s="44" t="s">
        <v>60</v>
      </c>
      <c r="K18" s="48">
        <v>7.47</v>
      </c>
      <c r="L18" s="48">
        <v>7.54</v>
      </c>
      <c r="M18" s="45">
        <v>11.2</v>
      </c>
      <c r="N18" s="49" t="s">
        <v>35</v>
      </c>
      <c r="O18" s="45">
        <v>7.7</v>
      </c>
      <c r="P18" s="45">
        <v>117.9</v>
      </c>
      <c r="Q18" s="49" t="s">
        <v>35</v>
      </c>
      <c r="R18" s="49" t="s">
        <v>35</v>
      </c>
      <c r="S18" s="46">
        <v>73</v>
      </c>
      <c r="T18" s="46">
        <v>186</v>
      </c>
      <c r="U18" s="49" t="s">
        <v>35</v>
      </c>
      <c r="V18" s="49" t="s">
        <v>35</v>
      </c>
      <c r="W18" s="47">
        <v>5.5391666666666666</v>
      </c>
      <c r="X18" s="47">
        <v>49.393333333333331</v>
      </c>
      <c r="Y18" s="59">
        <f t="shared" si="1"/>
        <v>173.61140775015301</v>
      </c>
      <c r="AB18" s="62"/>
      <c r="AC18" s="62"/>
      <c r="AD18" s="87"/>
      <c r="AE18" s="86"/>
      <c r="AF18" s="85"/>
      <c r="AG18" s="85"/>
      <c r="AH18" s="87"/>
      <c r="AI18" s="87"/>
      <c r="AJ18" s="87"/>
      <c r="AK18" s="87"/>
      <c r="AL18" s="87"/>
      <c r="AM18" s="87"/>
      <c r="AN18" s="63"/>
      <c r="AO18" s="63"/>
      <c r="AP18" s="63"/>
      <c r="AQ18" s="63"/>
      <c r="AR18" s="63"/>
      <c r="AS18" s="93"/>
    </row>
    <row r="19" spans="2:45" s="60" customFormat="1" ht="17">
      <c r="B19" s="188" t="s">
        <v>34</v>
      </c>
      <c r="C19" s="171" t="s">
        <v>35</v>
      </c>
      <c r="D19" s="172" t="s">
        <v>346</v>
      </c>
      <c r="E19" s="56" t="str">
        <f t="shared" si="2"/>
        <v/>
      </c>
      <c r="F19" s="44" t="s">
        <v>62</v>
      </c>
      <c r="G19" s="57" t="s">
        <v>35</v>
      </c>
      <c r="H19" s="58">
        <f t="shared" si="3"/>
        <v>350.67022205437888</v>
      </c>
      <c r="I19" s="58">
        <f t="shared" si="0"/>
        <v>-11.15945097110373</v>
      </c>
      <c r="J19" s="44" t="s">
        <v>60</v>
      </c>
      <c r="K19" s="45">
        <v>7.2</v>
      </c>
      <c r="L19" s="45">
        <v>8.1999999999999993</v>
      </c>
      <c r="M19" s="45">
        <v>10.199999999999999</v>
      </c>
      <c r="N19" s="49" t="s">
        <v>35</v>
      </c>
      <c r="O19" s="45">
        <v>3.7</v>
      </c>
      <c r="P19" s="45">
        <v>209.6</v>
      </c>
      <c r="Q19" s="49" t="s">
        <v>35</v>
      </c>
      <c r="R19" s="49" t="s">
        <v>35</v>
      </c>
      <c r="S19" s="46">
        <v>62</v>
      </c>
      <c r="T19" s="46">
        <v>325</v>
      </c>
      <c r="U19" s="49" t="s">
        <v>35</v>
      </c>
      <c r="V19" s="49" t="s">
        <v>35</v>
      </c>
      <c r="W19" s="47">
        <v>5.8322222222222218</v>
      </c>
      <c r="X19" s="47">
        <v>31.785833333333336</v>
      </c>
      <c r="Y19" s="59">
        <f t="shared" si="1"/>
        <v>169.21557441681969</v>
      </c>
      <c r="AB19" s="62"/>
      <c r="AC19" s="62"/>
      <c r="AD19" s="87"/>
      <c r="AE19" s="86"/>
      <c r="AF19" s="85"/>
      <c r="AG19" s="85"/>
      <c r="AH19" s="87"/>
      <c r="AI19" s="87"/>
      <c r="AJ19" s="87"/>
      <c r="AK19" s="87"/>
      <c r="AL19" s="87"/>
      <c r="AM19" s="87"/>
      <c r="AN19" s="63"/>
      <c r="AO19" s="63"/>
      <c r="AP19" s="63"/>
      <c r="AQ19" s="63"/>
      <c r="AR19" s="63"/>
      <c r="AS19" s="93"/>
    </row>
    <row r="20" spans="2:45" s="60" customFormat="1" ht="17">
      <c r="B20" s="188"/>
      <c r="C20" s="171" t="s">
        <v>33</v>
      </c>
      <c r="D20" s="172" t="s">
        <v>346</v>
      </c>
      <c r="E20" s="56" t="str">
        <f t="shared" si="2"/>
        <v/>
      </c>
      <c r="F20" s="44" t="s">
        <v>63</v>
      </c>
      <c r="G20" s="57" t="s">
        <v>35</v>
      </c>
      <c r="H20" s="58">
        <f t="shared" si="3"/>
        <v>255.91291231206691</v>
      </c>
      <c r="I20" s="58">
        <f t="shared" si="0"/>
        <v>50.032338205862452</v>
      </c>
      <c r="J20" s="44" t="s">
        <v>64</v>
      </c>
      <c r="K20" s="45">
        <v>8.8000000000000007</v>
      </c>
      <c r="L20" s="45">
        <v>9.6</v>
      </c>
      <c r="M20" s="45">
        <v>11.8</v>
      </c>
      <c r="N20" s="49" t="s">
        <v>35</v>
      </c>
      <c r="O20" s="45">
        <v>2.5</v>
      </c>
      <c r="P20" s="45">
        <v>61.2</v>
      </c>
      <c r="Q20" s="49" t="s">
        <v>35</v>
      </c>
      <c r="R20" s="49" t="s">
        <v>35</v>
      </c>
      <c r="S20" s="46">
        <v>83</v>
      </c>
      <c r="T20" s="46">
        <v>109</v>
      </c>
      <c r="U20" s="49" t="s">
        <v>35</v>
      </c>
      <c r="V20" s="49" t="s">
        <v>35</v>
      </c>
      <c r="W20" s="66">
        <v>14.16861111111111</v>
      </c>
      <c r="X20" s="47">
        <v>26.599444444444444</v>
      </c>
      <c r="Y20" s="59">
        <f t="shared" si="1"/>
        <v>44.169741083486343</v>
      </c>
      <c r="AB20" s="62"/>
      <c r="AC20" s="62"/>
      <c r="AD20" s="87"/>
      <c r="AE20" s="86"/>
      <c r="AF20" s="85"/>
      <c r="AG20" s="85"/>
      <c r="AH20" s="87"/>
      <c r="AI20" s="87"/>
      <c r="AJ20" s="87"/>
      <c r="AK20" s="87"/>
      <c r="AL20" s="87"/>
      <c r="AM20" s="87"/>
      <c r="AN20" s="63"/>
      <c r="AO20" s="63"/>
      <c r="AP20" s="63"/>
      <c r="AQ20" s="63"/>
      <c r="AR20" s="63"/>
      <c r="AS20" s="93"/>
    </row>
    <row r="21" spans="2:45" s="60" customFormat="1" ht="17">
      <c r="B21" s="188"/>
      <c r="C21" s="171"/>
      <c r="D21" s="172"/>
      <c r="E21" s="56" t="str">
        <f t="shared" si="2"/>
        <v/>
      </c>
      <c r="F21" s="44" t="s">
        <v>65</v>
      </c>
      <c r="G21" s="57" t="s">
        <v>35</v>
      </c>
      <c r="H21" s="58">
        <f t="shared" si="3"/>
        <v>287.89338469520362</v>
      </c>
      <c r="I21" s="58">
        <f t="shared" si="0"/>
        <v>62.710118431102543</v>
      </c>
      <c r="J21" s="44" t="s">
        <v>64</v>
      </c>
      <c r="K21" s="48">
        <v>7.68</v>
      </c>
      <c r="L21" s="48">
        <v>9.23</v>
      </c>
      <c r="M21" s="48">
        <v>9.7200000000000006</v>
      </c>
      <c r="N21" s="49" t="s">
        <v>35</v>
      </c>
      <c r="O21" s="45">
        <v>19.8</v>
      </c>
      <c r="P21" s="45">
        <v>100.8</v>
      </c>
      <c r="Q21" s="49" t="s">
        <v>35</v>
      </c>
      <c r="R21" s="49" t="s">
        <v>35</v>
      </c>
      <c r="S21" s="46">
        <v>186</v>
      </c>
      <c r="T21" s="46">
        <v>63</v>
      </c>
      <c r="U21" s="49" t="s">
        <v>35</v>
      </c>
      <c r="V21" s="49" t="s">
        <v>35</v>
      </c>
      <c r="W21" s="47">
        <v>14.410833333333334</v>
      </c>
      <c r="X21" s="47">
        <v>47.830555555555556</v>
      </c>
      <c r="Y21" s="59">
        <f t="shared" si="1"/>
        <v>40.536407750152989</v>
      </c>
      <c r="AB21" s="62"/>
      <c r="AC21" s="62"/>
      <c r="AD21" s="87"/>
      <c r="AE21" s="86"/>
      <c r="AF21" s="85"/>
      <c r="AG21" s="85"/>
      <c r="AH21" s="87"/>
      <c r="AI21" s="87"/>
      <c r="AJ21" s="87"/>
      <c r="AK21" s="87"/>
      <c r="AL21" s="87"/>
      <c r="AM21" s="87"/>
      <c r="AN21" s="63"/>
      <c r="AO21" s="63"/>
      <c r="AP21" s="63"/>
      <c r="AQ21" s="63"/>
      <c r="AR21" s="63"/>
      <c r="AS21" s="93"/>
    </row>
    <row r="22" spans="2:45" s="60" customFormat="1" ht="17">
      <c r="B22" s="188"/>
      <c r="C22" s="171"/>
      <c r="D22" s="172"/>
      <c r="E22" s="56" t="str">
        <f t="shared" si="2"/>
        <v/>
      </c>
      <c r="F22" s="44" t="s">
        <v>66</v>
      </c>
      <c r="G22" s="57" t="s">
        <v>35</v>
      </c>
      <c r="H22" s="58">
        <f t="shared" si="3"/>
        <v>258.01833341656504</v>
      </c>
      <c r="I22" s="58">
        <f t="shared" si="0"/>
        <v>56.653659891109882</v>
      </c>
      <c r="J22" s="44" t="s">
        <v>64</v>
      </c>
      <c r="K22" s="46">
        <v>6</v>
      </c>
      <c r="L22" s="45">
        <v>10.6</v>
      </c>
      <c r="M22" s="46">
        <v>11</v>
      </c>
      <c r="N22" s="49" t="s">
        <v>35</v>
      </c>
      <c r="O22" s="45">
        <v>26.1</v>
      </c>
      <c r="P22" s="45">
        <v>106.9</v>
      </c>
      <c r="Q22" s="49" t="s">
        <v>35</v>
      </c>
      <c r="R22" s="49" t="s">
        <v>35</v>
      </c>
      <c r="S22" s="46">
        <v>256</v>
      </c>
      <c r="T22" s="46">
        <v>121</v>
      </c>
      <c r="U22" s="49" t="s">
        <v>35</v>
      </c>
      <c r="V22" s="49" t="s">
        <v>35</v>
      </c>
      <c r="W22" s="47">
        <v>14.496944444444443</v>
      </c>
      <c r="X22" s="47">
        <v>31.791111111111114</v>
      </c>
      <c r="Y22" s="59">
        <f t="shared" si="1"/>
        <v>39.244741083486389</v>
      </c>
      <c r="AB22" s="62"/>
      <c r="AC22" s="62"/>
      <c r="AD22" s="87"/>
      <c r="AE22" s="86"/>
      <c r="AF22" s="85"/>
      <c r="AG22" s="85"/>
      <c r="AH22" s="87"/>
      <c r="AI22" s="87"/>
      <c r="AJ22" s="87"/>
      <c r="AK22" s="87"/>
      <c r="AL22" s="87"/>
      <c r="AM22" s="87"/>
      <c r="AN22" s="63"/>
      <c r="AO22" s="63"/>
      <c r="AP22" s="63"/>
      <c r="AQ22" s="63"/>
      <c r="AR22" s="63"/>
      <c r="AS22" s="93"/>
    </row>
    <row r="23" spans="2:45" s="60" customFormat="1" ht="17">
      <c r="B23" s="188"/>
      <c r="C23" s="171"/>
      <c r="D23" s="172"/>
      <c r="E23" s="56" t="str">
        <f t="shared" si="2"/>
        <v/>
      </c>
      <c r="F23" s="44" t="s">
        <v>67</v>
      </c>
      <c r="G23" s="57" t="s">
        <v>35</v>
      </c>
      <c r="H23" s="58">
        <f t="shared" si="3"/>
        <v>236.20533785949624</v>
      </c>
      <c r="I23" s="58">
        <f t="shared" si="0"/>
        <v>50.93688282779415</v>
      </c>
      <c r="J23" s="44" t="s">
        <v>64</v>
      </c>
      <c r="K23" s="48">
        <v>8.5299999999999994</v>
      </c>
      <c r="L23" s="48">
        <v>10.26</v>
      </c>
      <c r="M23" s="45">
        <v>12.5</v>
      </c>
      <c r="N23" s="45">
        <v>11.6</v>
      </c>
      <c r="O23" s="46">
        <v>2</v>
      </c>
      <c r="P23" s="45">
        <v>8.5</v>
      </c>
      <c r="Q23" s="46">
        <v>90</v>
      </c>
      <c r="R23" s="49" t="s">
        <v>35</v>
      </c>
      <c r="S23" s="46">
        <v>222</v>
      </c>
      <c r="T23" s="46">
        <v>168</v>
      </c>
      <c r="U23" s="46">
        <v>259</v>
      </c>
      <c r="V23" s="44" t="s">
        <v>35</v>
      </c>
      <c r="W23" s="47">
        <v>14.875</v>
      </c>
      <c r="X23" s="47">
        <v>18.738611111111112</v>
      </c>
      <c r="Y23" s="59">
        <f t="shared" si="1"/>
        <v>33.573907750153012</v>
      </c>
      <c r="AB23" s="62"/>
      <c r="AC23" s="62"/>
      <c r="AD23" s="87"/>
      <c r="AE23" s="86"/>
      <c r="AF23" s="85"/>
      <c r="AG23" s="85"/>
      <c r="AH23" s="87"/>
      <c r="AI23" s="87"/>
      <c r="AJ23" s="87"/>
      <c r="AK23" s="87"/>
      <c r="AL23" s="87"/>
      <c r="AM23" s="87"/>
      <c r="AN23" s="63"/>
      <c r="AO23" s="63"/>
      <c r="AP23" s="63"/>
      <c r="AQ23" s="63"/>
      <c r="AR23" s="63"/>
      <c r="AS23" s="93"/>
    </row>
    <row r="24" spans="2:45" s="60" customFormat="1" ht="17">
      <c r="B24" s="189"/>
      <c r="C24" s="171"/>
      <c r="D24" s="172"/>
      <c r="E24" s="56" t="str">
        <f t="shared" si="2"/>
        <v/>
      </c>
      <c r="F24" s="44" t="s">
        <v>68</v>
      </c>
      <c r="G24" s="57" t="s">
        <v>35</v>
      </c>
      <c r="H24" s="58">
        <f t="shared" si="3"/>
        <v>275.63392576297696</v>
      </c>
      <c r="I24" s="58">
        <f t="shared" si="0"/>
        <v>67.424017245317643</v>
      </c>
      <c r="J24" s="44" t="s">
        <v>64</v>
      </c>
      <c r="K24" s="48">
        <v>8.9700000000000006</v>
      </c>
      <c r="L24" s="48">
        <v>9.4700000000000006</v>
      </c>
      <c r="M24" s="48">
        <v>10.93</v>
      </c>
      <c r="N24" s="49" t="s">
        <v>35</v>
      </c>
      <c r="O24" s="45">
        <v>4.0999999999999996</v>
      </c>
      <c r="P24" s="45">
        <v>65.7</v>
      </c>
      <c r="Q24" s="49" t="s">
        <v>35</v>
      </c>
      <c r="R24" s="49" t="s">
        <v>35</v>
      </c>
      <c r="S24" s="46">
        <v>277</v>
      </c>
      <c r="T24" s="46">
        <v>342</v>
      </c>
      <c r="U24" s="49" t="s">
        <v>35</v>
      </c>
      <c r="V24" s="49" t="s">
        <v>35</v>
      </c>
      <c r="W24" s="47">
        <v>14.972777777777777</v>
      </c>
      <c r="X24" s="47">
        <v>44.043333333333329</v>
      </c>
      <c r="Y24" s="59">
        <f t="shared" si="1"/>
        <v>32.107241083486343</v>
      </c>
      <c r="AB24" s="62"/>
      <c r="AC24" s="62"/>
      <c r="AD24" s="87"/>
      <c r="AE24" s="86"/>
      <c r="AF24" s="85"/>
      <c r="AG24" s="85"/>
      <c r="AH24" s="87"/>
      <c r="AI24" s="87"/>
      <c r="AJ24" s="87"/>
      <c r="AK24" s="87"/>
      <c r="AL24" s="87"/>
      <c r="AM24" s="87"/>
      <c r="AN24" s="63"/>
      <c r="AO24" s="63"/>
      <c r="AP24" s="63"/>
      <c r="AQ24" s="63"/>
      <c r="AR24" s="63"/>
      <c r="AS24" s="93"/>
    </row>
    <row r="25" spans="2:45" s="60" customFormat="1" ht="17">
      <c r="E25" s="56" t="str">
        <f t="shared" si="2"/>
        <v/>
      </c>
      <c r="F25" s="44" t="s">
        <v>69</v>
      </c>
      <c r="G25" s="57" t="s">
        <v>35</v>
      </c>
      <c r="H25" s="58">
        <f t="shared" si="3"/>
        <v>12.513802219614508</v>
      </c>
      <c r="I25" s="58">
        <f t="shared" si="0"/>
        <v>21.167318049282393</v>
      </c>
      <c r="J25" s="44" t="s">
        <v>70</v>
      </c>
      <c r="K25" s="45">
        <v>7.7</v>
      </c>
      <c r="L25" s="46">
        <v>10</v>
      </c>
      <c r="M25" s="45">
        <v>7.8</v>
      </c>
      <c r="N25" s="45">
        <v>9.1999999999999993</v>
      </c>
      <c r="O25" s="46">
        <v>20</v>
      </c>
      <c r="P25" s="45">
        <v>115.5</v>
      </c>
      <c r="Q25" s="45">
        <v>179.2</v>
      </c>
      <c r="R25" s="49" t="s">
        <v>35</v>
      </c>
      <c r="S25" s="46">
        <v>120</v>
      </c>
      <c r="T25" s="46">
        <v>112</v>
      </c>
      <c r="U25" s="46">
        <v>168</v>
      </c>
      <c r="V25" s="49" t="s">
        <v>35</v>
      </c>
      <c r="W25" s="66">
        <v>3.3680555555555558</v>
      </c>
      <c r="X25" s="47">
        <v>62.741388888888892</v>
      </c>
      <c r="Y25" s="59">
        <f t="shared" si="1"/>
        <v>206.17807441681967</v>
      </c>
      <c r="AB25" s="62"/>
      <c r="AC25" s="62"/>
      <c r="AD25" s="87"/>
      <c r="AE25" s="86"/>
      <c r="AF25" s="85"/>
      <c r="AG25" s="85"/>
      <c r="AH25" s="87"/>
      <c r="AI25" s="87"/>
      <c r="AJ25" s="87"/>
      <c r="AK25" s="87"/>
      <c r="AL25" s="87"/>
      <c r="AM25" s="87"/>
      <c r="AN25" s="63"/>
      <c r="AO25" s="63"/>
      <c r="AP25" s="63"/>
      <c r="AQ25" s="63"/>
      <c r="AR25" s="63"/>
      <c r="AS25" s="93"/>
    </row>
    <row r="26" spans="2:45" s="60" customFormat="1" ht="17">
      <c r="E26" s="56" t="str">
        <f t="shared" si="2"/>
        <v/>
      </c>
      <c r="F26" s="44" t="s">
        <v>71</v>
      </c>
      <c r="G26" s="57" t="s">
        <v>35</v>
      </c>
      <c r="H26" s="58">
        <f t="shared" si="3"/>
        <v>7.1172570806203144</v>
      </c>
      <c r="I26" s="58">
        <f t="shared" si="0"/>
        <v>28.635122136615351</v>
      </c>
      <c r="J26" s="44" t="s">
        <v>70</v>
      </c>
      <c r="K26" s="45">
        <v>4.5999999999999996</v>
      </c>
      <c r="L26" s="45">
        <v>12.4</v>
      </c>
      <c r="M26" s="46">
        <v>9</v>
      </c>
      <c r="N26" s="49" t="s">
        <v>35</v>
      </c>
      <c r="O26" s="45">
        <v>56.3</v>
      </c>
      <c r="P26" s="46">
        <v>106</v>
      </c>
      <c r="Q26" s="49" t="s">
        <v>35</v>
      </c>
      <c r="R26" s="49" t="s">
        <v>35</v>
      </c>
      <c r="S26" s="46">
        <v>247</v>
      </c>
      <c r="T26" s="46">
        <v>86</v>
      </c>
      <c r="U26" s="49" t="s">
        <v>35</v>
      </c>
      <c r="V26" s="49" t="s">
        <v>35</v>
      </c>
      <c r="W26" s="47">
        <v>3.7891666666666666</v>
      </c>
      <c r="X26" s="47">
        <v>71.332222222222214</v>
      </c>
      <c r="Y26" s="59">
        <f t="shared" si="1"/>
        <v>199.86140775015301</v>
      </c>
      <c r="AB26" s="62"/>
      <c r="AC26" s="62"/>
      <c r="AD26" s="87"/>
      <c r="AE26" s="86"/>
      <c r="AF26" s="85"/>
      <c r="AG26" s="85"/>
      <c r="AH26" s="87"/>
      <c r="AI26" s="87"/>
      <c r="AJ26" s="87"/>
      <c r="AK26" s="87"/>
      <c r="AL26" s="87"/>
      <c r="AM26" s="87"/>
      <c r="AN26" s="63"/>
      <c r="AO26" s="63"/>
      <c r="AP26" s="63"/>
      <c r="AQ26" s="63"/>
      <c r="AR26" s="63"/>
      <c r="AS26" s="93"/>
    </row>
    <row r="27" spans="2:45" s="60" customFormat="1" ht="17">
      <c r="B27" s="190" t="s">
        <v>311</v>
      </c>
      <c r="C27" s="190"/>
      <c r="D27" s="190"/>
      <c r="E27" s="56" t="str">
        <f t="shared" si="2"/>
        <v/>
      </c>
      <c r="F27" s="44" t="s">
        <v>72</v>
      </c>
      <c r="G27" s="57" t="s">
        <v>35</v>
      </c>
      <c r="H27" s="58">
        <f t="shared" si="3"/>
        <v>0.40464563651772528</v>
      </c>
      <c r="I27" s="58">
        <f t="shared" si="0"/>
        <v>19.457045083634533</v>
      </c>
      <c r="J27" s="44" t="s">
        <v>70</v>
      </c>
      <c r="K27" s="45">
        <v>7.6</v>
      </c>
      <c r="L27" s="48">
        <v>7.98</v>
      </c>
      <c r="M27" s="45">
        <v>11.8</v>
      </c>
      <c r="N27" s="45">
        <v>9.1999999999999993</v>
      </c>
      <c r="O27" s="46">
        <v>33</v>
      </c>
      <c r="P27" s="46">
        <v>148</v>
      </c>
      <c r="Q27" s="46">
        <v>295</v>
      </c>
      <c r="R27" s="49" t="s">
        <v>35</v>
      </c>
      <c r="S27" s="46">
        <v>211</v>
      </c>
      <c r="T27" s="46">
        <v>194</v>
      </c>
      <c r="U27" s="46">
        <v>189</v>
      </c>
      <c r="V27" s="49" t="s">
        <v>35</v>
      </c>
      <c r="W27" s="66">
        <v>5.0572222222222223</v>
      </c>
      <c r="X27" s="47">
        <v>63.005000000000003</v>
      </c>
      <c r="Y27" s="59">
        <f t="shared" si="1"/>
        <v>180.84057441681966</v>
      </c>
      <c r="AB27" s="62"/>
      <c r="AC27" s="62"/>
      <c r="AD27" s="87"/>
      <c r="AE27" s="86"/>
      <c r="AF27" s="85"/>
      <c r="AG27" s="85"/>
      <c r="AH27" s="87"/>
      <c r="AI27" s="87"/>
      <c r="AJ27" s="87"/>
      <c r="AK27" s="87"/>
      <c r="AL27" s="87"/>
      <c r="AM27" s="87"/>
      <c r="AN27" s="63"/>
      <c r="AO27" s="63"/>
      <c r="AP27" s="63"/>
      <c r="AQ27" s="63"/>
      <c r="AR27" s="63"/>
      <c r="AS27" s="93"/>
    </row>
    <row r="28" spans="2:45" s="60" customFormat="1" ht="17">
      <c r="B28" s="108" t="s">
        <v>36</v>
      </c>
      <c r="C28" s="109" t="s">
        <v>312</v>
      </c>
      <c r="D28" s="110" t="s">
        <v>313</v>
      </c>
      <c r="E28" s="56" t="str">
        <f t="shared" si="2"/>
        <v/>
      </c>
      <c r="F28" s="44" t="s">
        <v>73</v>
      </c>
      <c r="G28" s="57" t="s">
        <v>35</v>
      </c>
      <c r="H28" s="58">
        <f t="shared" si="3"/>
        <v>351.26305208207447</v>
      </c>
      <c r="I28" s="58">
        <f t="shared" si="0"/>
        <v>19.587712003761101</v>
      </c>
      <c r="J28" s="44" t="s">
        <v>70</v>
      </c>
      <c r="K28" s="48">
        <v>8.89</v>
      </c>
      <c r="L28" s="48">
        <v>10.119999999999999</v>
      </c>
      <c r="M28" s="48">
        <v>9.58</v>
      </c>
      <c r="N28" s="49" t="s">
        <v>35</v>
      </c>
      <c r="O28" s="45">
        <v>17.899999999999999</v>
      </c>
      <c r="P28" s="46">
        <v>80</v>
      </c>
      <c r="Q28" s="49" t="s">
        <v>35</v>
      </c>
      <c r="R28" s="49" t="s">
        <v>35</v>
      </c>
      <c r="S28" s="46">
        <v>196</v>
      </c>
      <c r="T28" s="46">
        <v>269</v>
      </c>
      <c r="U28" s="49" t="s">
        <v>35</v>
      </c>
      <c r="V28" s="49" t="s">
        <v>35</v>
      </c>
      <c r="W28" s="66">
        <v>6.3044444444444441</v>
      </c>
      <c r="X28" s="47">
        <v>62.197777777777773</v>
      </c>
      <c r="Y28" s="59">
        <f t="shared" si="1"/>
        <v>162.13224108348635</v>
      </c>
      <c r="AB28" s="62"/>
      <c r="AC28" s="62"/>
      <c r="AD28" s="87"/>
      <c r="AE28" s="86"/>
      <c r="AF28" s="85"/>
      <c r="AG28" s="85"/>
      <c r="AH28" s="87"/>
      <c r="AI28" s="87"/>
      <c r="AJ28" s="87"/>
      <c r="AK28" s="87"/>
      <c r="AL28" s="87"/>
      <c r="AM28" s="87"/>
      <c r="AN28" s="63"/>
      <c r="AO28" s="63"/>
      <c r="AP28" s="63"/>
      <c r="AQ28" s="63"/>
      <c r="AR28" s="63"/>
      <c r="AS28" s="93"/>
    </row>
    <row r="29" spans="2:45" s="60" customFormat="1" ht="17">
      <c r="B29" s="111" t="s">
        <v>29</v>
      </c>
      <c r="C29" s="167">
        <v>46.45</v>
      </c>
      <c r="D29" s="167">
        <v>7.42</v>
      </c>
      <c r="E29" s="56" t="str">
        <f t="shared" si="2"/>
        <v/>
      </c>
      <c r="F29" s="44" t="s">
        <v>74</v>
      </c>
      <c r="G29" s="57" t="s">
        <v>35</v>
      </c>
      <c r="H29" s="58">
        <f t="shared" si="3"/>
        <v>343.47034280718975</v>
      </c>
      <c r="I29" s="58">
        <f t="shared" si="0"/>
        <v>22.968688950705658</v>
      </c>
      <c r="J29" s="44" t="s">
        <v>70</v>
      </c>
      <c r="K29" s="48">
        <v>8.5299999999999994</v>
      </c>
      <c r="L29" s="48">
        <v>10.57</v>
      </c>
      <c r="M29" s="48">
        <v>9.75</v>
      </c>
      <c r="N29" s="49" t="s">
        <v>35</v>
      </c>
      <c r="O29" s="45">
        <v>7.2</v>
      </c>
      <c r="P29" s="45">
        <v>224.3</v>
      </c>
      <c r="Q29" s="49" t="s">
        <v>35</v>
      </c>
      <c r="R29" s="49" t="s">
        <v>35</v>
      </c>
      <c r="S29" s="46">
        <v>344</v>
      </c>
      <c r="T29" s="46">
        <v>334</v>
      </c>
      <c r="U29" s="49" t="s">
        <v>35</v>
      </c>
      <c r="V29" s="49" t="s">
        <v>35</v>
      </c>
      <c r="W29" s="66">
        <v>7.4622222222222225</v>
      </c>
      <c r="X29" s="47">
        <v>62.995833333333337</v>
      </c>
      <c r="Y29" s="59">
        <f t="shared" si="1"/>
        <v>144.76557441681967</v>
      </c>
      <c r="AB29" s="62"/>
      <c r="AC29" s="62"/>
      <c r="AD29" s="87"/>
      <c r="AE29" s="86"/>
      <c r="AF29" s="85"/>
      <c r="AG29" s="85"/>
      <c r="AH29" s="87"/>
      <c r="AI29" s="87"/>
      <c r="AJ29" s="87"/>
      <c r="AK29" s="87"/>
      <c r="AL29" s="87"/>
      <c r="AM29" s="87"/>
      <c r="AN29" s="63"/>
      <c r="AO29" s="63"/>
      <c r="AP29" s="63"/>
      <c r="AQ29" s="63"/>
      <c r="AR29" s="63"/>
      <c r="AS29" s="93"/>
    </row>
    <row r="30" spans="2:45" s="60" customFormat="1" ht="17">
      <c r="B30" s="111"/>
      <c r="C30" s="167"/>
      <c r="D30" s="167"/>
      <c r="E30" s="56" t="str">
        <f t="shared" si="2"/>
        <v/>
      </c>
      <c r="F30" s="44" t="s">
        <v>75</v>
      </c>
      <c r="G30" s="57" t="s">
        <v>35</v>
      </c>
      <c r="H30" s="58">
        <f t="shared" si="3"/>
        <v>350.07313812853545</v>
      </c>
      <c r="I30" s="58">
        <f t="shared" si="0"/>
        <v>38.881168168148655</v>
      </c>
      <c r="J30" s="44" t="s">
        <v>70</v>
      </c>
      <c r="K30" s="45">
        <v>8.4</v>
      </c>
      <c r="L30" s="45">
        <v>8.6</v>
      </c>
      <c r="M30" s="46">
        <v>11</v>
      </c>
      <c r="N30" s="49" t="s">
        <v>35</v>
      </c>
      <c r="O30" s="45">
        <v>20.6</v>
      </c>
      <c r="P30" s="46">
        <v>66</v>
      </c>
      <c r="Q30" s="49" t="s">
        <v>35</v>
      </c>
      <c r="R30" s="49" t="s">
        <v>35</v>
      </c>
      <c r="S30" s="46">
        <v>15</v>
      </c>
      <c r="T30" s="46">
        <v>124</v>
      </c>
      <c r="U30" s="49" t="s">
        <v>35</v>
      </c>
      <c r="V30" s="49" t="s">
        <v>35</v>
      </c>
      <c r="W30" s="66">
        <v>8.2752777777777791</v>
      </c>
      <c r="X30" s="47">
        <v>79.500833333333333</v>
      </c>
      <c r="Y30" s="59">
        <f t="shared" si="1"/>
        <v>132.56974108348632</v>
      </c>
      <c r="AB30" s="62"/>
      <c r="AC30" s="62"/>
      <c r="AD30" s="87"/>
      <c r="AE30" s="86"/>
      <c r="AF30" s="85"/>
      <c r="AG30" s="85"/>
      <c r="AH30" s="87"/>
      <c r="AI30" s="87"/>
      <c r="AJ30" s="87"/>
      <c r="AK30" s="87"/>
      <c r="AL30" s="87"/>
      <c r="AM30" s="87"/>
      <c r="AN30" s="63"/>
      <c r="AO30" s="63"/>
      <c r="AP30" s="63"/>
      <c r="AQ30" s="63"/>
      <c r="AR30" s="63"/>
      <c r="AS30" s="93"/>
    </row>
    <row r="31" spans="2:45" s="60" customFormat="1" ht="17">
      <c r="B31" s="111"/>
      <c r="C31" s="167"/>
      <c r="D31" s="167"/>
      <c r="E31" s="56" t="str">
        <f t="shared" si="2"/>
        <v/>
      </c>
      <c r="F31" s="44" t="s">
        <v>76</v>
      </c>
      <c r="G31" s="57" t="s">
        <v>35</v>
      </c>
      <c r="H31" s="58">
        <f t="shared" si="3"/>
        <v>27.548639371575568</v>
      </c>
      <c r="I31" s="58">
        <f t="shared" si="0"/>
        <v>35.171531218631465</v>
      </c>
      <c r="J31" s="44" t="s">
        <v>77</v>
      </c>
      <c r="K31" s="48">
        <v>9.2100000000000009</v>
      </c>
      <c r="L31" s="48">
        <v>9.81</v>
      </c>
      <c r="M31" s="48">
        <v>8.58</v>
      </c>
      <c r="N31" s="45">
        <v>7.8</v>
      </c>
      <c r="O31" s="45">
        <v>0.9</v>
      </c>
      <c r="P31" s="45">
        <v>48.5</v>
      </c>
      <c r="Q31" s="45">
        <v>109.7</v>
      </c>
      <c r="R31" s="49" t="s">
        <v>35</v>
      </c>
      <c r="S31" s="46">
        <v>129</v>
      </c>
      <c r="T31" s="46">
        <v>259</v>
      </c>
      <c r="U31" s="44" t="s">
        <v>78</v>
      </c>
      <c r="V31" s="49" t="s">
        <v>35</v>
      </c>
      <c r="W31" s="47">
        <v>0.36388888888888887</v>
      </c>
      <c r="X31" s="47">
        <v>66.467222222222219</v>
      </c>
      <c r="Y31" s="59">
        <f t="shared" si="1"/>
        <v>251.24057441681967</v>
      </c>
      <c r="AB31" s="62"/>
      <c r="AC31" s="62"/>
      <c r="AD31" s="87"/>
      <c r="AE31" s="86"/>
      <c r="AF31" s="85"/>
      <c r="AG31" s="85"/>
      <c r="AH31" s="87"/>
      <c r="AI31" s="87"/>
      <c r="AJ31" s="87"/>
      <c r="AK31" s="87"/>
      <c r="AL31" s="87"/>
      <c r="AM31" s="87"/>
      <c r="AN31" s="63"/>
      <c r="AO31" s="63"/>
      <c r="AP31" s="63"/>
      <c r="AQ31" s="63"/>
      <c r="AR31" s="63"/>
      <c r="AS31" s="93"/>
    </row>
    <row r="32" spans="2:45" s="60" customFormat="1" ht="17">
      <c r="B32" s="111"/>
      <c r="C32" s="167"/>
      <c r="D32" s="167"/>
      <c r="E32" s="56" t="str">
        <f t="shared" si="2"/>
        <v/>
      </c>
      <c r="F32" s="44" t="s">
        <v>79</v>
      </c>
      <c r="G32" s="57" t="s">
        <v>35</v>
      </c>
      <c r="H32" s="58">
        <f t="shared" si="3"/>
        <v>35.925020746981879</v>
      </c>
      <c r="I32" s="58">
        <f t="shared" si="0"/>
        <v>28.56391781808011</v>
      </c>
      <c r="J32" s="44" t="s">
        <v>77</v>
      </c>
      <c r="K32" s="48">
        <v>6.87</v>
      </c>
      <c r="L32" s="48">
        <v>9.67</v>
      </c>
      <c r="M32" s="45">
        <v>9.9</v>
      </c>
      <c r="N32" s="49" t="s">
        <v>35</v>
      </c>
      <c r="O32" s="45">
        <v>2.1</v>
      </c>
      <c r="P32" s="45">
        <v>22.8</v>
      </c>
      <c r="Q32" s="49" t="s">
        <v>35</v>
      </c>
      <c r="R32" s="49" t="s">
        <v>35</v>
      </c>
      <c r="S32" s="46">
        <v>51</v>
      </c>
      <c r="T32" s="46">
        <v>4</v>
      </c>
      <c r="U32" s="49" t="s">
        <v>35</v>
      </c>
      <c r="V32" s="49" t="s">
        <v>35</v>
      </c>
      <c r="W32" s="47">
        <v>0.4366666666666667</v>
      </c>
      <c r="X32" s="47">
        <v>56.779166666666669</v>
      </c>
      <c r="Y32" s="59">
        <f t="shared" si="1"/>
        <v>250.148907750153</v>
      </c>
      <c r="AB32" s="62"/>
      <c r="AC32" s="62"/>
      <c r="AD32" s="87"/>
      <c r="AE32" s="86"/>
      <c r="AF32" s="85"/>
      <c r="AG32" s="85"/>
      <c r="AH32" s="87"/>
      <c r="AI32" s="87"/>
      <c r="AJ32" s="87"/>
      <c r="AK32" s="87"/>
      <c r="AL32" s="87"/>
      <c r="AM32" s="87"/>
      <c r="AN32" s="63"/>
      <c r="AO32" s="63"/>
      <c r="AP32" s="63"/>
      <c r="AQ32" s="63"/>
      <c r="AR32" s="63"/>
      <c r="AS32" s="93"/>
    </row>
    <row r="33" spans="2:45" s="60" customFormat="1" ht="17">
      <c r="B33" s="111"/>
      <c r="C33" s="167"/>
      <c r="D33" s="167"/>
      <c r="E33" s="56" t="str">
        <f t="shared" si="2"/>
        <v/>
      </c>
      <c r="F33" s="44" t="s">
        <v>80</v>
      </c>
      <c r="G33" s="57" t="s">
        <v>35</v>
      </c>
      <c r="H33" s="58">
        <f t="shared" si="3"/>
        <v>30.245035249967362</v>
      </c>
      <c r="I33" s="58">
        <f t="shared" si="0"/>
        <v>29.103011633577719</v>
      </c>
      <c r="J33" s="44" t="s">
        <v>77</v>
      </c>
      <c r="K33" s="48">
        <v>8.11</v>
      </c>
      <c r="L33" s="48">
        <v>11.81</v>
      </c>
      <c r="M33" s="45">
        <v>9.6</v>
      </c>
      <c r="N33" s="48">
        <v>12.03</v>
      </c>
      <c r="O33" s="45">
        <v>8.9</v>
      </c>
      <c r="P33" s="45">
        <v>92.3</v>
      </c>
      <c r="Q33" s="49" t="s">
        <v>35</v>
      </c>
      <c r="R33" s="44" t="s">
        <v>81</v>
      </c>
      <c r="S33" s="46">
        <v>182</v>
      </c>
      <c r="T33" s="46">
        <v>61</v>
      </c>
      <c r="U33" s="49" t="s">
        <v>35</v>
      </c>
      <c r="V33" s="44" t="s">
        <v>82</v>
      </c>
      <c r="W33" s="47">
        <v>0.82763888888888892</v>
      </c>
      <c r="X33" s="47">
        <v>60.75888888888889</v>
      </c>
      <c r="Y33" s="59">
        <f t="shared" si="1"/>
        <v>244.28432441681969</v>
      </c>
      <c r="AB33" s="62"/>
      <c r="AC33" s="62"/>
      <c r="AD33" s="87"/>
      <c r="AE33" s="86"/>
      <c r="AF33" s="85"/>
      <c r="AG33" s="85"/>
      <c r="AH33" s="87"/>
      <c r="AI33" s="87"/>
      <c r="AJ33" s="87"/>
      <c r="AK33" s="87"/>
      <c r="AL33" s="87"/>
      <c r="AM33" s="87"/>
      <c r="AN33" s="63"/>
      <c r="AO33" s="63"/>
      <c r="AP33" s="63"/>
      <c r="AQ33" s="63"/>
      <c r="AR33" s="63"/>
      <c r="AS33" s="93"/>
    </row>
    <row r="34" spans="2:45" s="60" customFormat="1" ht="17">
      <c r="E34" s="56" t="str">
        <f t="shared" si="2"/>
        <v/>
      </c>
      <c r="F34" s="44" t="s">
        <v>83</v>
      </c>
      <c r="G34" s="57" t="s">
        <v>35</v>
      </c>
      <c r="H34" s="58">
        <f t="shared" si="3"/>
        <v>353.52054252494742</v>
      </c>
      <c r="I34" s="58">
        <f t="shared" si="0"/>
        <v>13.526137064813744</v>
      </c>
      <c r="J34" s="44" t="s">
        <v>77</v>
      </c>
      <c r="K34" s="45">
        <v>8.5</v>
      </c>
      <c r="L34" s="45">
        <v>9.3000000000000007</v>
      </c>
      <c r="M34" s="45">
        <v>8.8000000000000007</v>
      </c>
      <c r="N34" s="44" t="s">
        <v>84</v>
      </c>
      <c r="O34" s="45">
        <v>1.5</v>
      </c>
      <c r="P34" s="45">
        <v>3.9</v>
      </c>
      <c r="Q34" s="46">
        <v>9</v>
      </c>
      <c r="R34" s="44" t="s">
        <v>85</v>
      </c>
      <c r="S34" s="46">
        <v>83</v>
      </c>
      <c r="T34" s="46">
        <v>134</v>
      </c>
      <c r="U34" s="46">
        <v>194</v>
      </c>
      <c r="V34" s="44" t="s">
        <v>86</v>
      </c>
      <c r="W34" s="47">
        <v>5.8802777777777786</v>
      </c>
      <c r="X34" s="47">
        <v>56.62777777777778</v>
      </c>
      <c r="Y34" s="59">
        <f t="shared" si="1"/>
        <v>168.49474108348633</v>
      </c>
      <c r="AB34" s="62"/>
      <c r="AC34" s="62"/>
      <c r="AD34" s="87"/>
      <c r="AE34" s="86"/>
      <c r="AF34" s="85"/>
      <c r="AG34" s="85"/>
      <c r="AH34" s="87"/>
      <c r="AI34" s="87"/>
      <c r="AJ34" s="87"/>
      <c r="AK34" s="87"/>
      <c r="AL34" s="87"/>
      <c r="AM34" s="87"/>
      <c r="AN34" s="63"/>
      <c r="AO34" s="63"/>
      <c r="AP34" s="63"/>
      <c r="AQ34" s="63"/>
      <c r="AR34" s="63"/>
      <c r="AS34" s="93"/>
    </row>
    <row r="35" spans="2:45" s="60" customFormat="1" ht="17">
      <c r="E35" s="56" t="str">
        <f t="shared" si="2"/>
        <v/>
      </c>
      <c r="F35" s="44" t="s">
        <v>87</v>
      </c>
      <c r="G35" s="57" t="s">
        <v>35</v>
      </c>
      <c r="H35" s="58">
        <f t="shared" si="3"/>
        <v>16.001023326417322</v>
      </c>
      <c r="I35" s="58">
        <f t="shared" si="0"/>
        <v>27.687874710545188</v>
      </c>
      <c r="J35" s="44" t="s">
        <v>77</v>
      </c>
      <c r="K35" s="45">
        <v>4.5999999999999996</v>
      </c>
      <c r="L35" s="45">
        <v>6.9</v>
      </c>
      <c r="M35" s="46">
        <v>9</v>
      </c>
      <c r="N35" s="48">
        <v>8.48</v>
      </c>
      <c r="O35" s="45">
        <v>2.6</v>
      </c>
      <c r="P35" s="45">
        <v>6.7</v>
      </c>
      <c r="Q35" s="46">
        <v>210</v>
      </c>
      <c r="R35" s="49"/>
      <c r="S35" s="46">
        <v>227</v>
      </c>
      <c r="T35" s="46">
        <v>117</v>
      </c>
      <c r="U35" s="46">
        <v>60</v>
      </c>
      <c r="V35" s="49" t="s">
        <v>35</v>
      </c>
      <c r="W35" s="47">
        <v>2.4841666666666669</v>
      </c>
      <c r="X35" s="47">
        <v>67.402222222222221</v>
      </c>
      <c r="Y35" s="59">
        <f t="shared" si="1"/>
        <v>219.43640775015302</v>
      </c>
      <c r="AB35" s="62"/>
      <c r="AC35" s="62"/>
      <c r="AD35" s="87"/>
      <c r="AE35" s="86"/>
      <c r="AF35" s="85"/>
      <c r="AG35" s="85"/>
      <c r="AH35" s="87"/>
      <c r="AI35" s="87"/>
      <c r="AJ35" s="87"/>
      <c r="AK35" s="87"/>
      <c r="AL35" s="87"/>
      <c r="AM35" s="87"/>
      <c r="AN35" s="63"/>
      <c r="AO35" s="63"/>
      <c r="AP35" s="63"/>
      <c r="AQ35" s="63"/>
      <c r="AR35" s="63"/>
      <c r="AS35" s="93"/>
    </row>
    <row r="36" spans="2:45" s="60" customFormat="1" ht="51">
      <c r="B36" s="184" t="str">
        <f>CONCATENATE("Moon's illuminated fraction: ",TEXT(Illumination!C8*100,"0.00"),"%")</f>
        <v>Moon's illuminated fraction: 55.71%</v>
      </c>
      <c r="C36" s="184"/>
      <c r="D36" s="184"/>
      <c r="E36" s="56" t="str">
        <f t="shared" si="2"/>
        <v/>
      </c>
      <c r="F36" s="44" t="s">
        <v>40</v>
      </c>
      <c r="G36" s="57" t="s">
        <v>35</v>
      </c>
      <c r="H36" s="58">
        <f t="shared" si="3"/>
        <v>39.664226206593383</v>
      </c>
      <c r="I36" s="58">
        <f t="shared" si="0"/>
        <v>35.584704735439331</v>
      </c>
      <c r="J36" s="44" t="s">
        <v>77</v>
      </c>
      <c r="K36" s="45">
        <v>4.8</v>
      </c>
      <c r="L36" s="45">
        <v>9.3000000000000007</v>
      </c>
      <c r="M36" s="45">
        <v>7.2</v>
      </c>
      <c r="N36" s="49" t="s">
        <v>270</v>
      </c>
      <c r="O36" s="45">
        <v>0.8</v>
      </c>
      <c r="P36" s="45">
        <v>75.7</v>
      </c>
      <c r="Q36" s="49" t="s">
        <v>35</v>
      </c>
      <c r="R36" s="49" t="s">
        <v>271</v>
      </c>
      <c r="S36" s="46">
        <v>356</v>
      </c>
      <c r="T36" s="46">
        <v>269</v>
      </c>
      <c r="U36" s="49" t="s">
        <v>35</v>
      </c>
      <c r="V36" s="49" t="s">
        <v>272</v>
      </c>
      <c r="W36" s="47">
        <v>23.500555555555554</v>
      </c>
      <c r="X36" s="47">
        <v>58.548888888888889</v>
      </c>
      <c r="Y36" s="59">
        <f t="shared" si="1"/>
        <v>-95.809425583180257</v>
      </c>
      <c r="AB36" s="62"/>
      <c r="AC36" s="62"/>
      <c r="AD36" s="87"/>
      <c r="AE36" s="86"/>
      <c r="AF36" s="85"/>
      <c r="AG36" s="85"/>
      <c r="AH36" s="87"/>
      <c r="AI36" s="87"/>
      <c r="AJ36" s="87"/>
      <c r="AK36" s="87"/>
      <c r="AL36" s="87"/>
      <c r="AM36" s="87"/>
      <c r="AN36" s="63"/>
      <c r="AO36" s="63"/>
      <c r="AP36" s="63"/>
      <c r="AQ36" s="63"/>
      <c r="AR36" s="63"/>
      <c r="AS36" s="93"/>
    </row>
    <row r="37" spans="2:45" s="60" customFormat="1" ht="17">
      <c r="E37" s="56" t="str">
        <f t="shared" si="2"/>
        <v/>
      </c>
      <c r="F37" s="44" t="s">
        <v>39</v>
      </c>
      <c r="G37" s="57" t="s">
        <v>35</v>
      </c>
      <c r="H37" s="58">
        <f t="shared" si="3"/>
        <v>48.866697940028978</v>
      </c>
      <c r="I37" s="58">
        <f t="shared" si="0"/>
        <v>48.560474666709979</v>
      </c>
      <c r="J37" s="44" t="s">
        <v>88</v>
      </c>
      <c r="K37" s="45">
        <v>5.7</v>
      </c>
      <c r="L37" s="49"/>
      <c r="M37" s="48">
        <v>7.48</v>
      </c>
      <c r="N37" s="48">
        <v>7.53</v>
      </c>
      <c r="O37" s="49" t="s">
        <v>35</v>
      </c>
      <c r="P37" s="45">
        <v>11.8</v>
      </c>
      <c r="Q37" s="45">
        <v>20.6</v>
      </c>
      <c r="R37" s="44" t="s">
        <v>89</v>
      </c>
      <c r="S37" s="49" t="s">
        <v>35</v>
      </c>
      <c r="T37" s="46">
        <v>121</v>
      </c>
      <c r="U37" s="44" t="s">
        <v>90</v>
      </c>
      <c r="V37" s="44" t="s">
        <v>91</v>
      </c>
      <c r="W37" s="47">
        <v>21.649444444444445</v>
      </c>
      <c r="X37" s="47">
        <v>57.488888888888887</v>
      </c>
      <c r="Y37" s="59">
        <f t="shared" si="1"/>
        <v>-68.042758916513662</v>
      </c>
      <c r="AB37" s="62"/>
      <c r="AC37" s="62"/>
      <c r="AD37" s="87"/>
      <c r="AE37" s="86"/>
      <c r="AF37" s="85"/>
      <c r="AG37" s="85"/>
      <c r="AH37" s="87"/>
      <c r="AI37" s="87"/>
      <c r="AJ37" s="87"/>
      <c r="AK37" s="87"/>
      <c r="AL37" s="87"/>
      <c r="AM37" s="87"/>
      <c r="AN37" s="63"/>
      <c r="AO37" s="63"/>
      <c r="AP37" s="63"/>
      <c r="AQ37" s="63"/>
      <c r="AR37" s="63"/>
      <c r="AS37" s="93"/>
    </row>
    <row r="38" spans="2:45" s="60" customFormat="1" ht="17">
      <c r="E38" s="56" t="str">
        <f t="shared" si="2"/>
        <v/>
      </c>
      <c r="F38" s="44" t="s">
        <v>92</v>
      </c>
      <c r="G38" s="57" t="s">
        <v>35</v>
      </c>
      <c r="H38" s="58">
        <f t="shared" si="3"/>
        <v>60.540582625473213</v>
      </c>
      <c r="I38" s="58">
        <f t="shared" si="0"/>
        <v>-44.367055196851631</v>
      </c>
      <c r="J38" s="44" t="s">
        <v>93</v>
      </c>
      <c r="K38" s="48">
        <v>5.88</v>
      </c>
      <c r="L38" s="45">
        <v>9.1</v>
      </c>
      <c r="M38" s="48">
        <v>10.54</v>
      </c>
      <c r="N38" s="49" t="s">
        <v>35</v>
      </c>
      <c r="O38" s="45">
        <v>12.1</v>
      </c>
      <c r="P38" s="45">
        <v>110.4</v>
      </c>
      <c r="Q38" s="49"/>
      <c r="R38" s="49"/>
      <c r="S38" s="46">
        <v>296</v>
      </c>
      <c r="T38" s="46">
        <v>30</v>
      </c>
      <c r="U38" s="49" t="s">
        <v>35</v>
      </c>
      <c r="V38" s="49" t="s">
        <v>35</v>
      </c>
      <c r="W38" s="66">
        <v>2.4333333333333336</v>
      </c>
      <c r="X38" s="47">
        <v>-15.341111111111111</v>
      </c>
      <c r="Y38" s="59">
        <f t="shared" si="1"/>
        <v>220.19890775015301</v>
      </c>
      <c r="AB38" s="62"/>
      <c r="AC38" s="62"/>
      <c r="AD38" s="87"/>
      <c r="AE38" s="86"/>
      <c r="AF38" s="85"/>
      <c r="AG38" s="85"/>
      <c r="AH38" s="87"/>
      <c r="AI38" s="87"/>
      <c r="AJ38" s="87"/>
      <c r="AK38" s="87"/>
      <c r="AL38" s="87"/>
      <c r="AM38" s="87"/>
      <c r="AN38" s="63"/>
      <c r="AO38" s="63"/>
      <c r="AP38" s="63"/>
      <c r="AQ38" s="63"/>
      <c r="AR38" s="63"/>
      <c r="AS38" s="93"/>
    </row>
    <row r="39" spans="2:45" s="60" customFormat="1" ht="17">
      <c r="E39" s="56" t="str">
        <f t="shared" si="2"/>
        <v/>
      </c>
      <c r="F39" s="44" t="s">
        <v>94</v>
      </c>
      <c r="G39" s="57" t="s">
        <v>35</v>
      </c>
      <c r="H39" s="58">
        <f t="shared" si="3"/>
        <v>36.951996296616571</v>
      </c>
      <c r="I39" s="58">
        <f t="shared" si="0"/>
        <v>-26.475302649063345</v>
      </c>
      <c r="J39" s="44" t="s">
        <v>93</v>
      </c>
      <c r="K39" s="45">
        <v>9.6999999999999993</v>
      </c>
      <c r="L39" s="44" t="s">
        <v>95</v>
      </c>
      <c r="M39" s="49"/>
      <c r="N39" s="48">
        <v>10.65</v>
      </c>
      <c r="O39" s="44" t="s">
        <v>96</v>
      </c>
      <c r="P39" s="49" t="s">
        <v>35</v>
      </c>
      <c r="Q39" s="45">
        <v>126.6</v>
      </c>
      <c r="R39" s="44" t="s">
        <v>97</v>
      </c>
      <c r="S39" s="44" t="s">
        <v>98</v>
      </c>
      <c r="T39" s="49" t="s">
        <v>35</v>
      </c>
      <c r="U39" s="46">
        <v>308</v>
      </c>
      <c r="V39" s="44" t="s">
        <v>99</v>
      </c>
      <c r="W39" s="47">
        <v>2.9069444444444446</v>
      </c>
      <c r="X39" s="47">
        <v>9.7727777777777778</v>
      </c>
      <c r="Y39" s="59">
        <f t="shared" si="1"/>
        <v>213.09474108348633</v>
      </c>
      <c r="AB39" s="62"/>
      <c r="AC39" s="62"/>
      <c r="AD39" s="87"/>
      <c r="AE39" s="86"/>
      <c r="AF39" s="85"/>
      <c r="AG39" s="85"/>
      <c r="AH39" s="87"/>
      <c r="AI39" s="87"/>
      <c r="AJ39" s="87"/>
      <c r="AK39" s="87"/>
      <c r="AL39" s="87"/>
      <c r="AM39" s="87"/>
      <c r="AN39" s="63"/>
      <c r="AO39" s="63"/>
      <c r="AP39" s="63"/>
      <c r="AQ39" s="63"/>
      <c r="AR39" s="63"/>
      <c r="AS39" s="93"/>
    </row>
    <row r="40" spans="2:45" s="60" customFormat="1" ht="17">
      <c r="E40" s="56" t="str">
        <f t="shared" si="2"/>
        <v/>
      </c>
      <c r="F40" s="44" t="s">
        <v>100</v>
      </c>
      <c r="G40" s="57" t="s">
        <v>35</v>
      </c>
      <c r="H40" s="58">
        <f t="shared" si="3"/>
        <v>319.80299536146077</v>
      </c>
      <c r="I40" s="58">
        <f t="shared" ref="I40:I71" si="4">ASIN(SIN($Y$123*X40)*SIN($Y$123*$C$13)+COS($Y$123*X40)*COS($Y$123*$C$13)*COS($Y$123*Y40))/$Y$123</f>
        <v>-64.108819738383048</v>
      </c>
      <c r="J40" s="44" t="s">
        <v>101</v>
      </c>
      <c r="K40" s="48">
        <v>7.32</v>
      </c>
      <c r="L40" s="48">
        <v>8.2899999999999991</v>
      </c>
      <c r="M40" s="46">
        <v>7</v>
      </c>
      <c r="N40" s="49" t="s">
        <v>35</v>
      </c>
      <c r="O40" s="45">
        <v>59.6</v>
      </c>
      <c r="P40" s="45">
        <v>300.39999999999998</v>
      </c>
      <c r="Q40" s="49"/>
      <c r="R40" s="49" t="s">
        <v>35</v>
      </c>
      <c r="S40" s="46">
        <v>8</v>
      </c>
      <c r="T40" s="46">
        <v>243</v>
      </c>
      <c r="U40" s="49" t="s">
        <v>35</v>
      </c>
      <c r="V40" s="49" t="s">
        <v>35</v>
      </c>
      <c r="W40" s="66">
        <v>6.3208333333333329</v>
      </c>
      <c r="X40" s="47">
        <v>-24.974944444444443</v>
      </c>
      <c r="Y40" s="59">
        <f t="shared" ref="Y40:Y71" si="5">$C$16-((W40/24)*360)</f>
        <v>161.88640775015301</v>
      </c>
      <c r="AB40" s="62"/>
      <c r="AC40" s="62"/>
      <c r="AD40" s="87"/>
      <c r="AE40" s="86"/>
      <c r="AF40" s="85"/>
      <c r="AG40" s="85"/>
      <c r="AH40" s="87"/>
      <c r="AI40" s="87"/>
      <c r="AJ40" s="87"/>
      <c r="AK40" s="87"/>
      <c r="AL40" s="87"/>
      <c r="AM40" s="87"/>
      <c r="AN40" s="63"/>
      <c r="AO40" s="63"/>
      <c r="AP40" s="63"/>
      <c r="AQ40" s="63"/>
      <c r="AR40" s="63"/>
      <c r="AS40" s="93"/>
    </row>
    <row r="41" spans="2:45" s="60" customFormat="1" ht="17">
      <c r="E41" s="56" t="str">
        <f t="shared" si="2"/>
        <v/>
      </c>
      <c r="F41" s="44" t="s">
        <v>102</v>
      </c>
      <c r="G41" s="57" t="s">
        <v>35</v>
      </c>
      <c r="H41" s="58">
        <f t="shared" si="3"/>
        <v>297.83510568283782</v>
      </c>
      <c r="I41" s="58">
        <f t="shared" si="4"/>
        <v>-56.079319576714276</v>
      </c>
      <c r="J41" s="44" t="s">
        <v>101</v>
      </c>
      <c r="K41" s="45">
        <v>4.4000000000000004</v>
      </c>
      <c r="L41" s="45">
        <v>10.199999999999999</v>
      </c>
      <c r="M41" s="45">
        <v>11.2</v>
      </c>
      <c r="N41" s="45">
        <v>8.1999999999999993</v>
      </c>
      <c r="O41" s="45">
        <v>8.3000000000000007</v>
      </c>
      <c r="P41" s="45">
        <v>14.2</v>
      </c>
      <c r="Q41" s="45">
        <v>84.8</v>
      </c>
      <c r="R41" s="49" t="s">
        <v>35</v>
      </c>
      <c r="S41" s="46">
        <v>90</v>
      </c>
      <c r="T41" s="46">
        <v>87</v>
      </c>
      <c r="U41" s="46">
        <v>77</v>
      </c>
      <c r="V41" s="49" t="s">
        <v>35</v>
      </c>
      <c r="W41" s="66">
        <v>7.3116666666666665</v>
      </c>
      <c r="X41" s="47">
        <v>-24.954444444444444</v>
      </c>
      <c r="Y41" s="59">
        <f t="shared" si="5"/>
        <v>147.023907750153</v>
      </c>
      <c r="AB41" s="62"/>
      <c r="AC41" s="62"/>
      <c r="AD41" s="87"/>
      <c r="AE41" s="86"/>
      <c r="AF41" s="85"/>
      <c r="AG41" s="85"/>
      <c r="AH41" s="87"/>
      <c r="AI41" s="87"/>
      <c r="AJ41" s="87"/>
      <c r="AK41" s="87"/>
      <c r="AL41" s="87"/>
      <c r="AM41" s="87"/>
      <c r="AN41" s="63"/>
      <c r="AO41" s="63"/>
      <c r="AP41" s="63"/>
      <c r="AQ41" s="63"/>
      <c r="AR41" s="63"/>
      <c r="AS41" s="93"/>
    </row>
    <row r="42" spans="2:45" s="60" customFormat="1" ht="34">
      <c r="E42" s="56" t="str">
        <f t="shared" si="2"/>
        <v/>
      </c>
      <c r="F42" s="44" t="s">
        <v>103</v>
      </c>
      <c r="G42" s="57" t="s">
        <v>35</v>
      </c>
      <c r="H42" s="58">
        <f t="shared" si="3"/>
        <v>314.83256406442064</v>
      </c>
      <c r="I42" s="58">
        <f t="shared" si="4"/>
        <v>-13.498962082708434</v>
      </c>
      <c r="J42" s="44" t="s">
        <v>104</v>
      </c>
      <c r="K42" s="45">
        <v>5.3</v>
      </c>
      <c r="L42" s="48">
        <v>6.25</v>
      </c>
      <c r="M42" s="48">
        <v>5.85</v>
      </c>
      <c r="N42" s="49" t="s">
        <v>273</v>
      </c>
      <c r="O42" s="45">
        <v>1.1000000000000001</v>
      </c>
      <c r="P42" s="44" t="s">
        <v>105</v>
      </c>
      <c r="Q42" s="44" t="s">
        <v>106</v>
      </c>
      <c r="R42" s="44" t="s">
        <v>107</v>
      </c>
      <c r="S42" s="46">
        <v>8</v>
      </c>
      <c r="T42" s="44" t="s">
        <v>108</v>
      </c>
      <c r="U42" s="44" t="s">
        <v>109</v>
      </c>
      <c r="V42" s="44" t="s">
        <v>110</v>
      </c>
      <c r="W42" s="66">
        <v>8.2036111111111101</v>
      </c>
      <c r="X42" s="47">
        <v>17.647500000000001</v>
      </c>
      <c r="Y42" s="59">
        <f t="shared" si="5"/>
        <v>133.64474108348637</v>
      </c>
      <c r="AB42" s="62"/>
      <c r="AC42" s="62"/>
      <c r="AD42" s="87"/>
      <c r="AE42" s="86"/>
      <c r="AF42" s="85"/>
      <c r="AG42" s="85"/>
      <c r="AH42" s="87"/>
      <c r="AI42" s="87"/>
      <c r="AJ42" s="87"/>
      <c r="AK42" s="87"/>
      <c r="AL42" s="87"/>
      <c r="AM42" s="87"/>
      <c r="AN42" s="63"/>
      <c r="AO42" s="63"/>
      <c r="AP42" s="63"/>
      <c r="AQ42" s="63"/>
      <c r="AR42" s="63"/>
      <c r="AS42" s="93"/>
    </row>
    <row r="43" spans="2:45" s="60" customFormat="1" ht="34">
      <c r="E43" s="56" t="str">
        <f t="shared" si="2"/>
        <v/>
      </c>
      <c r="F43" s="44" t="s">
        <v>111</v>
      </c>
      <c r="G43" s="57" t="s">
        <v>35</v>
      </c>
      <c r="H43" s="58">
        <f t="shared" si="3"/>
        <v>303.5055293051372</v>
      </c>
      <c r="I43" s="58">
        <f t="shared" si="4"/>
        <v>-19.591208916780047</v>
      </c>
      <c r="J43" s="44" t="s">
        <v>104</v>
      </c>
      <c r="K43" s="48">
        <v>5.98</v>
      </c>
      <c r="L43" s="48">
        <v>7.16</v>
      </c>
      <c r="M43" s="45">
        <v>10.7</v>
      </c>
      <c r="N43" s="49" t="s">
        <v>274</v>
      </c>
      <c r="O43" s="46">
        <v>10</v>
      </c>
      <c r="P43" s="45">
        <v>100.4</v>
      </c>
      <c r="Q43" s="45">
        <v>110.3</v>
      </c>
      <c r="R43" s="49" t="s">
        <v>35</v>
      </c>
      <c r="S43" s="46">
        <v>25</v>
      </c>
      <c r="T43" s="46">
        <v>109</v>
      </c>
      <c r="U43" s="49" t="s">
        <v>35</v>
      </c>
      <c r="V43" s="49" t="s">
        <v>35</v>
      </c>
      <c r="W43" s="47">
        <v>8.5975000000000001</v>
      </c>
      <c r="X43" s="47">
        <v>6.6205555555555557</v>
      </c>
      <c r="Y43" s="59">
        <f t="shared" si="5"/>
        <v>127.73640775015301</v>
      </c>
      <c r="AB43" s="62"/>
      <c r="AC43" s="62"/>
      <c r="AD43" s="87"/>
      <c r="AE43" s="86"/>
      <c r="AF43" s="85"/>
      <c r="AG43" s="85"/>
      <c r="AH43" s="87"/>
      <c r="AI43" s="87"/>
      <c r="AJ43" s="87"/>
      <c r="AK43" s="87"/>
      <c r="AL43" s="87"/>
      <c r="AM43" s="87"/>
      <c r="AN43" s="63"/>
      <c r="AO43" s="63"/>
      <c r="AP43" s="63"/>
      <c r="AQ43" s="63"/>
      <c r="AR43" s="63"/>
      <c r="AS43" s="93"/>
    </row>
    <row r="44" spans="2:45" s="60" customFormat="1" ht="34">
      <c r="E44" s="56" t="str">
        <f t="shared" si="2"/>
        <v/>
      </c>
      <c r="F44" s="44" t="s">
        <v>112</v>
      </c>
      <c r="G44" s="57" t="s">
        <v>35</v>
      </c>
      <c r="H44" s="58">
        <f t="shared" si="3"/>
        <v>310.22444890604692</v>
      </c>
      <c r="I44" s="58">
        <f t="shared" si="4"/>
        <v>-8.3711919588898756</v>
      </c>
      <c r="J44" s="44" t="s">
        <v>104</v>
      </c>
      <c r="K44" s="44" t="s">
        <v>113</v>
      </c>
      <c r="L44" s="45">
        <v>12.3</v>
      </c>
      <c r="M44" s="48">
        <v>7.47</v>
      </c>
      <c r="N44" s="49" t="s">
        <v>275</v>
      </c>
      <c r="O44" s="44" t="s">
        <v>114</v>
      </c>
      <c r="P44" s="45">
        <v>45.7</v>
      </c>
      <c r="Q44" s="45">
        <v>92.1</v>
      </c>
      <c r="R44" s="44" t="s">
        <v>115</v>
      </c>
      <c r="S44" s="46">
        <v>290</v>
      </c>
      <c r="T44" s="46">
        <v>158</v>
      </c>
      <c r="U44" s="49" t="s">
        <v>276</v>
      </c>
      <c r="V44" s="49" t="s">
        <v>35</v>
      </c>
      <c r="W44" s="47">
        <v>8.6655555555555566</v>
      </c>
      <c r="X44" s="47">
        <v>19.553055555555556</v>
      </c>
      <c r="Y44" s="59">
        <f t="shared" si="5"/>
        <v>126.71557441681966</v>
      </c>
      <c r="AB44" s="62"/>
      <c r="AC44" s="62"/>
      <c r="AD44" s="87"/>
      <c r="AE44" s="86"/>
      <c r="AF44" s="85"/>
      <c r="AG44" s="85"/>
      <c r="AH44" s="87"/>
      <c r="AI44" s="87"/>
      <c r="AJ44" s="87"/>
      <c r="AK44" s="87"/>
      <c r="AL44" s="87"/>
      <c r="AM44" s="87"/>
      <c r="AN44" s="63"/>
      <c r="AO44" s="63"/>
      <c r="AP44" s="63"/>
      <c r="AQ44" s="63"/>
      <c r="AR44" s="63"/>
      <c r="AS44" s="93"/>
    </row>
    <row r="45" spans="2:45" s="60" customFormat="1" ht="17">
      <c r="E45" s="56" t="str">
        <f t="shared" si="2"/>
        <v/>
      </c>
      <c r="F45" s="44" t="s">
        <v>116</v>
      </c>
      <c r="G45" s="57" t="s">
        <v>35</v>
      </c>
      <c r="H45" s="58">
        <f t="shared" si="3"/>
        <v>310.44797457889814</v>
      </c>
      <c r="I45" s="58">
        <f t="shared" si="4"/>
        <v>-7.9719984141460731</v>
      </c>
      <c r="J45" s="44" t="s">
        <v>104</v>
      </c>
      <c r="K45" s="48">
        <v>6.47</v>
      </c>
      <c r="L45" s="48">
        <v>6.58</v>
      </c>
      <c r="M45" s="48">
        <v>9.0299999999999994</v>
      </c>
      <c r="N45" s="45">
        <v>8.6999999999999993</v>
      </c>
      <c r="O45" s="45">
        <v>151.80000000000001</v>
      </c>
      <c r="P45" s="46">
        <v>134</v>
      </c>
      <c r="Q45" s="46">
        <v>135</v>
      </c>
      <c r="R45" s="49" t="s">
        <v>35</v>
      </c>
      <c r="S45" s="46">
        <v>150</v>
      </c>
      <c r="T45" s="46">
        <v>309</v>
      </c>
      <c r="U45" s="46">
        <v>111</v>
      </c>
      <c r="V45" s="49" t="s">
        <v>35</v>
      </c>
      <c r="W45" s="47">
        <v>8.668333333333333</v>
      </c>
      <c r="X45" s="47">
        <v>20.007777777777779</v>
      </c>
      <c r="Y45" s="59">
        <f t="shared" si="5"/>
        <v>126.67390775015301</v>
      </c>
      <c r="AB45" s="62"/>
      <c r="AC45" s="62"/>
      <c r="AD45" s="87"/>
      <c r="AE45" s="86"/>
      <c r="AF45" s="85"/>
      <c r="AG45" s="85"/>
      <c r="AH45" s="87"/>
      <c r="AI45" s="87"/>
      <c r="AJ45" s="87"/>
      <c r="AK45" s="87"/>
      <c r="AL45" s="87"/>
      <c r="AM45" s="87"/>
      <c r="AN45" s="63"/>
      <c r="AO45" s="63"/>
      <c r="AP45" s="63"/>
      <c r="AQ45" s="63"/>
      <c r="AR45" s="63"/>
      <c r="AS45" s="93"/>
    </row>
    <row r="46" spans="2:45" s="60" customFormat="1" ht="17">
      <c r="E46" s="56" t="str">
        <f t="shared" si="2"/>
        <v/>
      </c>
      <c r="F46" s="44" t="s">
        <v>117</v>
      </c>
      <c r="G46" s="57" t="s">
        <v>35</v>
      </c>
      <c r="H46" s="58">
        <f t="shared" si="3"/>
        <v>303.51552615881968</v>
      </c>
      <c r="I46" s="58">
        <f t="shared" si="4"/>
        <v>-8.931767317339057</v>
      </c>
      <c r="J46" s="44" t="s">
        <v>104</v>
      </c>
      <c r="K46" s="45">
        <v>9.4</v>
      </c>
      <c r="L46" s="45">
        <v>9.6999999999999993</v>
      </c>
      <c r="M46" s="45">
        <v>9.9</v>
      </c>
      <c r="N46" s="45">
        <v>10.199999999999999</v>
      </c>
      <c r="O46" s="46">
        <v>5</v>
      </c>
      <c r="P46" s="46">
        <v>202</v>
      </c>
      <c r="Q46" s="46">
        <v>198</v>
      </c>
      <c r="R46" s="49" t="s">
        <v>35</v>
      </c>
      <c r="S46" s="46">
        <v>178</v>
      </c>
      <c r="T46" s="46">
        <v>13</v>
      </c>
      <c r="U46" s="46">
        <v>61</v>
      </c>
      <c r="V46" s="49" t="s">
        <v>35</v>
      </c>
      <c r="W46" s="66">
        <v>9.0213888888888896</v>
      </c>
      <c r="X46" s="47">
        <v>15.265555555555556</v>
      </c>
      <c r="Y46" s="59">
        <f t="shared" si="5"/>
        <v>121.37807441681969</v>
      </c>
      <c r="AB46" s="62"/>
      <c r="AC46" s="62"/>
      <c r="AD46" s="87"/>
      <c r="AE46" s="86"/>
      <c r="AF46" s="85"/>
      <c r="AG46" s="85"/>
      <c r="AH46" s="87"/>
      <c r="AI46" s="87"/>
      <c r="AJ46" s="87"/>
      <c r="AK46" s="87"/>
      <c r="AL46" s="87"/>
      <c r="AM46" s="87"/>
      <c r="AN46" s="63"/>
      <c r="AO46" s="63"/>
      <c r="AP46" s="63"/>
      <c r="AQ46" s="63"/>
      <c r="AR46" s="63"/>
      <c r="AS46" s="93"/>
    </row>
    <row r="47" spans="2:45" s="60" customFormat="1" ht="17">
      <c r="E47" s="56" t="str">
        <f t="shared" si="2"/>
        <v/>
      </c>
      <c r="F47" s="44" t="s">
        <v>118</v>
      </c>
      <c r="G47" s="57" t="s">
        <v>35</v>
      </c>
      <c r="H47" s="58">
        <f t="shared" si="3"/>
        <v>300.56809335425777</v>
      </c>
      <c r="I47" s="58">
        <f t="shared" si="4"/>
        <v>-71.332415550033872</v>
      </c>
      <c r="J47" s="44" t="s">
        <v>119</v>
      </c>
      <c r="K47" s="45">
        <v>6.4</v>
      </c>
      <c r="L47" s="48">
        <v>7.61</v>
      </c>
      <c r="M47" s="48">
        <v>8.24</v>
      </c>
      <c r="N47" s="49" t="s">
        <v>35</v>
      </c>
      <c r="O47" s="45">
        <v>134.4</v>
      </c>
      <c r="P47" s="49" t="s">
        <v>35</v>
      </c>
      <c r="Q47" s="49" t="s">
        <v>35</v>
      </c>
      <c r="R47" s="44" t="s">
        <v>120</v>
      </c>
      <c r="S47" s="46">
        <v>48</v>
      </c>
      <c r="T47" s="49" t="s">
        <v>35</v>
      </c>
      <c r="U47" s="49" t="s">
        <v>35</v>
      </c>
      <c r="V47" s="44" t="s">
        <v>121</v>
      </c>
      <c r="W47" s="66">
        <v>6.4250000000000007</v>
      </c>
      <c r="X47" s="47">
        <v>-35.064027777777774</v>
      </c>
      <c r="Y47" s="59">
        <f t="shared" si="5"/>
        <v>160.32390775015301</v>
      </c>
      <c r="AB47" s="62"/>
      <c r="AC47" s="62"/>
      <c r="AD47" s="87"/>
      <c r="AE47" s="86"/>
      <c r="AF47" s="85"/>
      <c r="AG47" s="85"/>
      <c r="AH47" s="87"/>
      <c r="AI47" s="87"/>
      <c r="AJ47" s="87"/>
      <c r="AK47" s="87"/>
      <c r="AL47" s="87"/>
      <c r="AM47" s="87"/>
      <c r="AN47" s="63"/>
      <c r="AO47" s="63"/>
      <c r="AP47" s="63"/>
      <c r="AQ47" s="63"/>
      <c r="AR47" s="63"/>
      <c r="AS47" s="93"/>
    </row>
    <row r="48" spans="2:45" s="60" customFormat="1" ht="17">
      <c r="E48" s="56" t="str">
        <f t="shared" si="2"/>
        <v/>
      </c>
      <c r="F48" s="44" t="s">
        <v>122</v>
      </c>
      <c r="G48" s="57" t="s">
        <v>35</v>
      </c>
      <c r="H48" s="58">
        <f t="shared" si="3"/>
        <v>292.50679060406929</v>
      </c>
      <c r="I48" s="58">
        <f t="shared" si="4"/>
        <v>-70.919631939225326</v>
      </c>
      <c r="J48" s="44" t="s">
        <v>119</v>
      </c>
      <c r="K48" s="48">
        <v>5.86</v>
      </c>
      <c r="L48" s="48">
        <v>6.94</v>
      </c>
      <c r="M48" s="45">
        <v>11.5</v>
      </c>
      <c r="N48" s="49" t="s">
        <v>35</v>
      </c>
      <c r="O48" s="45">
        <v>1.5</v>
      </c>
      <c r="P48" s="46">
        <v>21</v>
      </c>
      <c r="Q48" s="49" t="s">
        <v>35</v>
      </c>
      <c r="R48" s="49" t="s">
        <v>35</v>
      </c>
      <c r="S48" s="46">
        <v>260</v>
      </c>
      <c r="T48" s="46">
        <v>302</v>
      </c>
      <c r="U48" s="49" t="s">
        <v>35</v>
      </c>
      <c r="V48" s="49" t="s">
        <v>35</v>
      </c>
      <c r="W48" s="47">
        <v>6.59</v>
      </c>
      <c r="X48" s="47">
        <v>-36.779722222222219</v>
      </c>
      <c r="Y48" s="59">
        <f t="shared" si="5"/>
        <v>157.84890775015299</v>
      </c>
      <c r="AB48" s="62"/>
      <c r="AC48" s="62"/>
      <c r="AD48" s="87"/>
      <c r="AE48" s="86"/>
      <c r="AF48" s="85"/>
      <c r="AG48" s="85"/>
      <c r="AH48" s="87"/>
      <c r="AI48" s="87"/>
      <c r="AJ48" s="87"/>
      <c r="AK48" s="87"/>
      <c r="AL48" s="87"/>
      <c r="AM48" s="87"/>
      <c r="AN48" s="63"/>
      <c r="AO48" s="63"/>
      <c r="AP48" s="63"/>
      <c r="AQ48" s="63"/>
      <c r="AR48" s="63"/>
      <c r="AS48" s="93"/>
    </row>
    <row r="49" spans="2:45" s="60" customFormat="1" ht="17">
      <c r="E49" s="56" t="str">
        <f t="shared" si="2"/>
        <v/>
      </c>
      <c r="F49" s="44" t="s">
        <v>123</v>
      </c>
      <c r="G49" s="57" t="s">
        <v>35</v>
      </c>
      <c r="H49" s="58">
        <f t="shared" si="3"/>
        <v>275.95523230864416</v>
      </c>
      <c r="I49" s="58">
        <f t="shared" si="4"/>
        <v>31.137021589696566</v>
      </c>
      <c r="J49" s="44" t="s">
        <v>124</v>
      </c>
      <c r="K49" s="45">
        <v>4.8</v>
      </c>
      <c r="L49" s="45">
        <v>11.8</v>
      </c>
      <c r="M49" s="45">
        <v>8.9</v>
      </c>
      <c r="N49" s="46">
        <v>10</v>
      </c>
      <c r="O49" s="45">
        <v>36.700000000000003</v>
      </c>
      <c r="P49" s="46">
        <v>59</v>
      </c>
      <c r="Q49" s="46">
        <v>213</v>
      </c>
      <c r="R49" s="49" t="s">
        <v>35</v>
      </c>
      <c r="S49" s="46">
        <v>57</v>
      </c>
      <c r="T49" s="46">
        <v>168</v>
      </c>
      <c r="U49" s="46">
        <v>132</v>
      </c>
      <c r="V49" s="49" t="s">
        <v>35</v>
      </c>
      <c r="W49" s="66">
        <v>12.375</v>
      </c>
      <c r="X49" s="47">
        <v>25.84611111111111</v>
      </c>
      <c r="Y49" s="59">
        <f t="shared" si="5"/>
        <v>71.073907750153012</v>
      </c>
      <c r="AB49" s="62"/>
      <c r="AC49" s="62"/>
      <c r="AD49" s="87"/>
      <c r="AE49" s="86"/>
      <c r="AF49" s="85"/>
      <c r="AG49" s="85"/>
      <c r="AH49" s="87"/>
      <c r="AI49" s="87"/>
      <c r="AJ49" s="87"/>
      <c r="AK49" s="87"/>
      <c r="AL49" s="87"/>
      <c r="AM49" s="87"/>
      <c r="AN49" s="63"/>
      <c r="AO49" s="63"/>
      <c r="AP49" s="63"/>
      <c r="AQ49" s="63"/>
      <c r="AR49" s="63"/>
      <c r="AS49" s="93"/>
    </row>
    <row r="50" spans="2:45" s="60" customFormat="1" ht="17">
      <c r="E50" s="56" t="str">
        <f t="shared" si="2"/>
        <v/>
      </c>
      <c r="F50" s="44" t="s">
        <v>125</v>
      </c>
      <c r="G50" s="57" t="s">
        <v>35</v>
      </c>
      <c r="H50" s="58">
        <f t="shared" si="3"/>
        <v>264.81907374584262</v>
      </c>
      <c r="I50" s="58">
        <f t="shared" si="4"/>
        <v>31.743298290819059</v>
      </c>
      <c r="J50" s="44" t="s">
        <v>124</v>
      </c>
      <c r="K50" s="45">
        <v>7.3</v>
      </c>
      <c r="L50" s="45">
        <v>7.7</v>
      </c>
      <c r="M50" s="45">
        <v>8.1999999999999993</v>
      </c>
      <c r="N50" s="49" t="s">
        <v>35</v>
      </c>
      <c r="O50" s="46">
        <v>16</v>
      </c>
      <c r="P50" s="46">
        <v>243</v>
      </c>
      <c r="Q50" s="49" t="s">
        <v>35</v>
      </c>
      <c r="R50" s="49" t="s">
        <v>35</v>
      </c>
      <c r="S50" s="46">
        <v>202</v>
      </c>
      <c r="T50" s="46">
        <v>328</v>
      </c>
      <c r="U50" s="49" t="s">
        <v>35</v>
      </c>
      <c r="V50" s="49" t="s">
        <v>35</v>
      </c>
      <c r="W50" s="47">
        <v>12.865</v>
      </c>
      <c r="X50" s="47">
        <v>19.171944444444446</v>
      </c>
      <c r="Y50" s="59">
        <f t="shared" si="5"/>
        <v>63.723907750153018</v>
      </c>
      <c r="AB50" s="62"/>
      <c r="AC50" s="62"/>
      <c r="AD50" s="87"/>
      <c r="AE50" s="86"/>
      <c r="AF50" s="85"/>
      <c r="AG50" s="85"/>
      <c r="AH50" s="87"/>
      <c r="AI50" s="87"/>
      <c r="AJ50" s="87"/>
      <c r="AK50" s="87"/>
      <c r="AL50" s="87"/>
      <c r="AM50" s="87"/>
      <c r="AN50" s="63"/>
      <c r="AO50" s="63"/>
      <c r="AP50" s="63"/>
      <c r="AQ50" s="63"/>
      <c r="AR50" s="63"/>
      <c r="AS50" s="93"/>
    </row>
    <row r="51" spans="2:45" s="60" customFormat="1" ht="17">
      <c r="E51" s="56" t="str">
        <f t="shared" si="2"/>
        <v/>
      </c>
      <c r="F51" s="44" t="s">
        <v>126</v>
      </c>
      <c r="G51" s="57" t="s">
        <v>35</v>
      </c>
      <c r="H51" s="58">
        <f t="shared" si="3"/>
        <v>246.21500286024215</v>
      </c>
      <c r="I51" s="58">
        <f t="shared" si="4"/>
        <v>70.592992201254248</v>
      </c>
      <c r="J51" s="44" t="s">
        <v>127</v>
      </c>
      <c r="K51" s="48">
        <v>8.07</v>
      </c>
      <c r="L51" s="48">
        <v>9.8699999999999992</v>
      </c>
      <c r="M51" s="48">
        <v>8.06</v>
      </c>
      <c r="N51" s="48">
        <v>9.02</v>
      </c>
      <c r="O51" s="45">
        <v>1.2</v>
      </c>
      <c r="P51" s="45">
        <v>14.5</v>
      </c>
      <c r="Q51" s="45">
        <v>15.1</v>
      </c>
      <c r="R51" s="44" t="s">
        <v>128</v>
      </c>
      <c r="S51" s="46">
        <v>81</v>
      </c>
      <c r="T51" s="46">
        <v>90</v>
      </c>
      <c r="U51" s="46">
        <v>84</v>
      </c>
      <c r="V51" s="44" t="s">
        <v>129</v>
      </c>
      <c r="W51" s="47">
        <v>15.636666666666667</v>
      </c>
      <c r="X51" s="47">
        <v>36.24666666666667</v>
      </c>
      <c r="Y51" s="59">
        <f t="shared" si="5"/>
        <v>22.148907750153001</v>
      </c>
      <c r="AB51" s="62"/>
      <c r="AC51" s="62"/>
      <c r="AD51" s="87"/>
      <c r="AE51" s="86"/>
      <c r="AF51" s="85"/>
      <c r="AG51" s="85"/>
      <c r="AH51" s="87"/>
      <c r="AI51" s="87"/>
      <c r="AJ51" s="87"/>
      <c r="AK51" s="87"/>
      <c r="AL51" s="87"/>
      <c r="AM51" s="87"/>
      <c r="AN51" s="63"/>
      <c r="AO51" s="63"/>
      <c r="AP51" s="63"/>
      <c r="AQ51" s="63"/>
      <c r="AR51" s="63"/>
      <c r="AS51" s="93"/>
    </row>
    <row r="52" spans="2:45" s="60" customFormat="1" ht="17">
      <c r="E52" s="56" t="str">
        <f t="shared" si="2"/>
        <v/>
      </c>
      <c r="F52" s="44" t="s">
        <v>130</v>
      </c>
      <c r="G52" s="57" t="s">
        <v>35</v>
      </c>
      <c r="H52" s="58">
        <f t="shared" si="3"/>
        <v>218.67664061345607</v>
      </c>
      <c r="I52" s="58">
        <f t="shared" si="4"/>
        <v>69.065244617164325</v>
      </c>
      <c r="J52" s="44" t="s">
        <v>127</v>
      </c>
      <c r="K52" s="45">
        <v>7.9</v>
      </c>
      <c r="L52" s="45">
        <v>10.199999999999999</v>
      </c>
      <c r="M52" s="45">
        <v>9.4</v>
      </c>
      <c r="N52" s="49" t="s">
        <v>35</v>
      </c>
      <c r="O52" s="45">
        <v>2.7</v>
      </c>
      <c r="P52" s="46">
        <v>118</v>
      </c>
      <c r="Q52" s="49" t="s">
        <v>35</v>
      </c>
      <c r="R52" s="49" t="s">
        <v>35</v>
      </c>
      <c r="S52" s="46">
        <v>65</v>
      </c>
      <c r="T52" s="46">
        <v>350</v>
      </c>
      <c r="U52" s="49" t="s">
        <v>35</v>
      </c>
      <c r="V52" s="49" t="s">
        <v>35</v>
      </c>
      <c r="W52" s="66">
        <v>16.127222222222223</v>
      </c>
      <c r="X52" s="47">
        <v>28.995555555555555</v>
      </c>
      <c r="Y52" s="59">
        <f t="shared" si="5"/>
        <v>14.790574416819652</v>
      </c>
      <c r="AB52" s="62"/>
      <c r="AC52" s="62"/>
      <c r="AD52" s="87"/>
      <c r="AE52" s="86"/>
      <c r="AF52" s="85"/>
      <c r="AG52" s="85"/>
      <c r="AH52" s="87"/>
      <c r="AI52" s="87"/>
      <c r="AJ52" s="87"/>
      <c r="AK52" s="87"/>
      <c r="AL52" s="87"/>
      <c r="AM52" s="87"/>
      <c r="AN52" s="63"/>
      <c r="AO52" s="63"/>
      <c r="AP52" s="63"/>
      <c r="AQ52" s="63"/>
      <c r="AR52" s="63"/>
      <c r="AS52" s="93"/>
    </row>
    <row r="53" spans="2:45" s="60" customFormat="1" ht="34">
      <c r="E53" s="56" t="str">
        <f t="shared" si="2"/>
        <v/>
      </c>
      <c r="F53" s="44" t="s">
        <v>131</v>
      </c>
      <c r="G53" s="57" t="s">
        <v>35</v>
      </c>
      <c r="H53" s="58">
        <f t="shared" si="3"/>
        <v>213.8357933363599</v>
      </c>
      <c r="I53" s="58">
        <f t="shared" si="4"/>
        <v>70.129552069265927</v>
      </c>
      <c r="J53" s="44" t="s">
        <v>127</v>
      </c>
      <c r="K53" s="48">
        <v>5.79</v>
      </c>
      <c r="L53" s="45">
        <v>13.9</v>
      </c>
      <c r="M53" s="48">
        <v>10.44</v>
      </c>
      <c r="N53" s="49" t="s">
        <v>277</v>
      </c>
      <c r="O53" s="45">
        <v>53.8</v>
      </c>
      <c r="P53" s="45">
        <v>87.5</v>
      </c>
      <c r="Q53" s="45">
        <v>123.3</v>
      </c>
      <c r="R53" s="44" t="s">
        <v>132</v>
      </c>
      <c r="S53" s="46">
        <v>23</v>
      </c>
      <c r="T53" s="46">
        <v>21</v>
      </c>
      <c r="U53" s="46">
        <v>50</v>
      </c>
      <c r="V53" s="44" t="s">
        <v>133</v>
      </c>
      <c r="W53" s="47">
        <v>16.278888888888886</v>
      </c>
      <c r="X53" s="47">
        <v>29.150277777777777</v>
      </c>
      <c r="Y53" s="59">
        <f t="shared" si="5"/>
        <v>12.515574416819703</v>
      </c>
      <c r="AB53" s="62"/>
      <c r="AC53" s="62"/>
      <c r="AD53" s="87"/>
      <c r="AE53" s="86"/>
      <c r="AF53" s="85"/>
      <c r="AG53" s="85"/>
      <c r="AH53" s="87"/>
      <c r="AI53" s="87"/>
      <c r="AJ53" s="87"/>
      <c r="AK53" s="87"/>
      <c r="AL53" s="87"/>
      <c r="AM53" s="87"/>
      <c r="AN53" s="63"/>
      <c r="AO53" s="63"/>
      <c r="AP53" s="63"/>
      <c r="AQ53" s="63"/>
      <c r="AR53" s="63"/>
      <c r="AS53" s="93"/>
    </row>
    <row r="54" spans="2:45" s="60" customFormat="1" ht="17">
      <c r="E54" s="56" t="str">
        <f t="shared" si="2"/>
        <v/>
      </c>
      <c r="F54" s="44" t="s">
        <v>134</v>
      </c>
      <c r="G54" s="57" t="s">
        <v>35</v>
      </c>
      <c r="H54" s="58">
        <f t="shared" si="3"/>
        <v>248.81912146178149</v>
      </c>
      <c r="I54" s="58">
        <f t="shared" si="4"/>
        <v>-13.753998580431372</v>
      </c>
      <c r="J54" s="44" t="s">
        <v>135</v>
      </c>
      <c r="K54" s="48">
        <v>5.82</v>
      </c>
      <c r="L54" s="45">
        <v>8.6</v>
      </c>
      <c r="M54" s="48">
        <v>8.86</v>
      </c>
      <c r="N54" s="49" t="s">
        <v>35</v>
      </c>
      <c r="O54" s="45">
        <v>8.1999999999999993</v>
      </c>
      <c r="P54" s="45">
        <v>169.5</v>
      </c>
      <c r="Q54" s="49" t="s">
        <v>35</v>
      </c>
      <c r="R54" s="49" t="s">
        <v>35</v>
      </c>
      <c r="S54" s="46">
        <v>82</v>
      </c>
      <c r="T54" s="46">
        <v>115</v>
      </c>
      <c r="U54" s="49" t="s">
        <v>35</v>
      </c>
      <c r="V54" s="49" t="s">
        <v>35</v>
      </c>
      <c r="W54" s="66">
        <v>11.493888888888888</v>
      </c>
      <c r="X54" s="47">
        <v>-24.463888888888889</v>
      </c>
      <c r="Y54" s="59">
        <f t="shared" si="5"/>
        <v>84.29057441681968</v>
      </c>
      <c r="AB54" s="62"/>
      <c r="AC54" s="62"/>
      <c r="AD54" s="87"/>
      <c r="AE54" s="86"/>
      <c r="AF54" s="85"/>
      <c r="AG54" s="85"/>
      <c r="AH54" s="87"/>
      <c r="AI54" s="87"/>
      <c r="AJ54" s="87"/>
      <c r="AK54" s="87"/>
      <c r="AL54" s="87"/>
      <c r="AM54" s="87"/>
      <c r="AN54" s="63"/>
      <c r="AO54" s="63"/>
      <c r="AP54" s="63"/>
      <c r="AQ54" s="63"/>
      <c r="AR54" s="63"/>
      <c r="AS54" s="93"/>
    </row>
    <row r="55" spans="2:45" s="60" customFormat="1" ht="17">
      <c r="B55" s="173" t="s">
        <v>346</v>
      </c>
      <c r="E55" s="56" t="str">
        <f t="shared" si="2"/>
        <v/>
      </c>
      <c r="F55" s="44" t="s">
        <v>38</v>
      </c>
      <c r="G55" s="57" t="s">
        <v>35</v>
      </c>
      <c r="H55" s="58">
        <f t="shared" si="3"/>
        <v>250.52750587232708</v>
      </c>
      <c r="I55" s="58">
        <f t="shared" si="4"/>
        <v>1.9040544900890983</v>
      </c>
      <c r="J55" s="44" t="s">
        <v>136</v>
      </c>
      <c r="K55" s="45">
        <v>6.8</v>
      </c>
      <c r="L55" s="46">
        <v>10</v>
      </c>
      <c r="M55" s="45">
        <v>8.1</v>
      </c>
      <c r="N55" s="49" t="s">
        <v>35</v>
      </c>
      <c r="O55" s="46">
        <v>9</v>
      </c>
      <c r="P55" s="45">
        <v>10.4</v>
      </c>
      <c r="Q55" s="49" t="s">
        <v>35</v>
      </c>
      <c r="R55" s="49" t="s">
        <v>35</v>
      </c>
      <c r="S55" s="46">
        <v>88</v>
      </c>
      <c r="T55" s="46">
        <v>3</v>
      </c>
      <c r="U55" s="49" t="s">
        <v>35</v>
      </c>
      <c r="V55" s="49" t="s">
        <v>35</v>
      </c>
      <c r="W55" s="66">
        <v>12.158055555555556</v>
      </c>
      <c r="X55" s="47">
        <v>-11.856944444444444</v>
      </c>
      <c r="Y55" s="59">
        <f t="shared" si="5"/>
        <v>74.328074416819646</v>
      </c>
      <c r="AB55" s="62"/>
      <c r="AC55" s="62"/>
      <c r="AD55" s="87"/>
      <c r="AE55" s="86"/>
      <c r="AF55" s="85"/>
      <c r="AG55" s="85"/>
      <c r="AH55" s="87"/>
      <c r="AI55" s="87"/>
      <c r="AJ55" s="87"/>
      <c r="AK55" s="87"/>
      <c r="AL55" s="87"/>
      <c r="AM55" s="87"/>
      <c r="AN55" s="63"/>
      <c r="AO55" s="63"/>
      <c r="AP55" s="63"/>
      <c r="AQ55" s="63"/>
      <c r="AR55" s="63"/>
      <c r="AS55" s="93"/>
    </row>
    <row r="56" spans="2:45" s="60" customFormat="1" ht="34">
      <c r="B56" s="173" t="s">
        <v>347</v>
      </c>
      <c r="E56" s="56" t="str">
        <f t="shared" si="2"/>
        <v/>
      </c>
      <c r="F56" s="44" t="s">
        <v>137</v>
      </c>
      <c r="G56" s="57" t="s">
        <v>35</v>
      </c>
      <c r="H56" s="58">
        <f t="shared" si="3"/>
        <v>245.54229298007107</v>
      </c>
      <c r="I56" s="58">
        <f t="shared" si="4"/>
        <v>5.9690794486226073</v>
      </c>
      <c r="J56" s="44" t="s">
        <v>136</v>
      </c>
      <c r="K56" s="45">
        <v>7.8</v>
      </c>
      <c r="L56" s="45">
        <v>8.3000000000000007</v>
      </c>
      <c r="M56" s="45">
        <v>10.8</v>
      </c>
      <c r="N56" s="45">
        <v>9.8000000000000007</v>
      </c>
      <c r="O56" s="45">
        <v>28.1</v>
      </c>
      <c r="P56" s="45">
        <v>43.8</v>
      </c>
      <c r="Q56" s="45">
        <v>189.8</v>
      </c>
      <c r="R56" s="49" t="s">
        <v>278</v>
      </c>
      <c r="S56" s="46">
        <v>351</v>
      </c>
      <c r="T56" s="46">
        <v>69</v>
      </c>
      <c r="U56" s="46">
        <v>32</v>
      </c>
      <c r="V56" s="49" t="s">
        <v>279</v>
      </c>
      <c r="W56" s="47">
        <v>12.595555555555556</v>
      </c>
      <c r="X56" s="47">
        <v>-12.025</v>
      </c>
      <c r="Y56" s="59">
        <f t="shared" si="5"/>
        <v>67.765574416819675</v>
      </c>
      <c r="AB56" s="62"/>
      <c r="AC56" s="62"/>
      <c r="AD56" s="87"/>
      <c r="AE56" s="86"/>
      <c r="AF56" s="85"/>
      <c r="AG56" s="85"/>
      <c r="AH56" s="87"/>
      <c r="AI56" s="87"/>
      <c r="AJ56" s="87"/>
      <c r="AK56" s="87"/>
      <c r="AL56" s="87"/>
      <c r="AM56" s="87"/>
      <c r="AN56" s="63"/>
      <c r="AO56" s="63"/>
      <c r="AP56" s="63"/>
      <c r="AQ56" s="63"/>
      <c r="AR56" s="63"/>
      <c r="AS56" s="93"/>
    </row>
    <row r="57" spans="2:45" s="60" customFormat="1" ht="17">
      <c r="E57" s="56" t="str">
        <f t="shared" si="2"/>
        <v/>
      </c>
      <c r="F57" s="44" t="s">
        <v>138</v>
      </c>
      <c r="G57" s="57" t="s">
        <v>35</v>
      </c>
      <c r="H57" s="58">
        <f t="shared" si="3"/>
        <v>243.86154575807984</v>
      </c>
      <c r="I57" s="58">
        <f t="shared" si="4"/>
        <v>6.06846298080705</v>
      </c>
      <c r="J57" s="44" t="s">
        <v>136</v>
      </c>
      <c r="K57" s="45">
        <v>5.8</v>
      </c>
      <c r="L57" s="45">
        <v>5.8</v>
      </c>
      <c r="M57" s="45">
        <v>10.3</v>
      </c>
      <c r="N57" s="49" t="s">
        <v>35</v>
      </c>
      <c r="O57" s="45">
        <v>5.2</v>
      </c>
      <c r="P57" s="45">
        <v>45.9</v>
      </c>
      <c r="Q57" s="49" t="s">
        <v>35</v>
      </c>
      <c r="R57" s="49" t="s">
        <v>35</v>
      </c>
      <c r="S57" s="46">
        <v>315</v>
      </c>
      <c r="T57" s="46">
        <v>228</v>
      </c>
      <c r="U57" s="49" t="s">
        <v>35</v>
      </c>
      <c r="V57" s="49" t="s">
        <v>35</v>
      </c>
      <c r="W57" s="47">
        <v>12.687777777777779</v>
      </c>
      <c r="X57" s="47">
        <v>-13.015000000000001</v>
      </c>
      <c r="Y57" s="59">
        <f t="shared" si="5"/>
        <v>66.382241083486349</v>
      </c>
      <c r="AB57" s="62"/>
      <c r="AC57" s="62"/>
      <c r="AD57" s="87"/>
      <c r="AE57" s="86"/>
      <c r="AF57" s="85"/>
      <c r="AG57" s="85"/>
      <c r="AH57" s="87"/>
      <c r="AI57" s="87"/>
      <c r="AJ57" s="87"/>
      <c r="AK57" s="87"/>
      <c r="AL57" s="87"/>
      <c r="AM57" s="87"/>
      <c r="AN57" s="63"/>
      <c r="AO57" s="63"/>
      <c r="AP57" s="63"/>
      <c r="AQ57" s="63"/>
      <c r="AR57" s="63"/>
      <c r="AS57" s="93"/>
    </row>
    <row r="58" spans="2:45" s="60" customFormat="1" ht="17">
      <c r="E58" s="56" t="str">
        <f t="shared" si="2"/>
        <v/>
      </c>
      <c r="F58" s="44" t="s">
        <v>139</v>
      </c>
      <c r="G58" s="57" t="s">
        <v>35</v>
      </c>
      <c r="H58" s="58">
        <f t="shared" si="3"/>
        <v>287.85752035498962</v>
      </c>
      <c r="I58" s="58">
        <f t="shared" si="4"/>
        <v>42.676937134399054</v>
      </c>
      <c r="J58" s="44" t="s">
        <v>140</v>
      </c>
      <c r="K58" s="48">
        <v>8.41</v>
      </c>
      <c r="L58" s="48">
        <v>9.61</v>
      </c>
      <c r="M58" s="48">
        <v>11.02</v>
      </c>
      <c r="N58" s="48">
        <v>13.78</v>
      </c>
      <c r="O58" s="45">
        <v>5.8</v>
      </c>
      <c r="P58" s="45">
        <v>171.3</v>
      </c>
      <c r="Q58" s="45">
        <v>43.5</v>
      </c>
      <c r="R58" s="49" t="s">
        <v>35</v>
      </c>
      <c r="S58" s="46">
        <v>3</v>
      </c>
      <c r="T58" s="46">
        <v>176</v>
      </c>
      <c r="U58" s="46">
        <v>343</v>
      </c>
      <c r="V58" s="49" t="s">
        <v>35</v>
      </c>
      <c r="W58" s="47">
        <v>12.677055555555555</v>
      </c>
      <c r="X58" s="47">
        <v>40.287777777777777</v>
      </c>
      <c r="Y58" s="59">
        <f t="shared" si="5"/>
        <v>66.543074416819707</v>
      </c>
      <c r="AB58" s="62"/>
      <c r="AC58" s="62"/>
      <c r="AD58" s="87"/>
      <c r="AE58" s="86"/>
      <c r="AF58" s="85"/>
      <c r="AG58" s="85"/>
      <c r="AH58" s="87"/>
      <c r="AI58" s="87"/>
      <c r="AJ58" s="87"/>
      <c r="AK58" s="87"/>
      <c r="AL58" s="87"/>
      <c r="AM58" s="87"/>
      <c r="AN58" s="63"/>
      <c r="AO58" s="63"/>
      <c r="AP58" s="63"/>
      <c r="AQ58" s="63"/>
      <c r="AR58" s="63"/>
      <c r="AS58" s="93"/>
    </row>
    <row r="59" spans="2:45" s="60" customFormat="1" ht="17">
      <c r="E59" s="56" t="str">
        <f t="shared" si="2"/>
        <v/>
      </c>
      <c r="F59" s="44" t="s">
        <v>141</v>
      </c>
      <c r="G59" s="57" t="s">
        <v>35</v>
      </c>
      <c r="H59" s="58">
        <f t="shared" si="3"/>
        <v>273.52564434977478</v>
      </c>
      <c r="I59" s="58">
        <f t="shared" si="4"/>
        <v>48.672433606415836</v>
      </c>
      <c r="J59" s="44" t="s">
        <v>140</v>
      </c>
      <c r="K59" s="44" t="s">
        <v>142</v>
      </c>
      <c r="L59" s="49"/>
      <c r="M59" s="45">
        <v>9.1</v>
      </c>
      <c r="N59" s="45">
        <v>8.4</v>
      </c>
      <c r="O59" s="49" t="s">
        <v>35</v>
      </c>
      <c r="P59" s="44" t="s">
        <v>143</v>
      </c>
      <c r="Q59" s="49" t="s">
        <v>35</v>
      </c>
      <c r="R59" s="44" t="s">
        <v>144</v>
      </c>
      <c r="S59" s="49" t="s">
        <v>35</v>
      </c>
      <c r="T59" s="46">
        <v>332</v>
      </c>
      <c r="U59" s="46">
        <v>259</v>
      </c>
      <c r="V59" s="49" t="s">
        <v>35</v>
      </c>
      <c r="W59" s="47">
        <v>13.547499999999999</v>
      </c>
      <c r="X59" s="47">
        <v>34.906944444444441</v>
      </c>
      <c r="Y59" s="59">
        <f t="shared" si="5"/>
        <v>53.486407750153035</v>
      </c>
      <c r="AB59" s="62"/>
      <c r="AC59" s="62"/>
      <c r="AD59" s="87"/>
      <c r="AE59" s="86"/>
      <c r="AF59" s="85"/>
      <c r="AG59" s="85"/>
      <c r="AH59" s="87"/>
      <c r="AI59" s="87"/>
      <c r="AJ59" s="87"/>
      <c r="AK59" s="87"/>
      <c r="AL59" s="87"/>
      <c r="AM59" s="87"/>
      <c r="AN59" s="63"/>
      <c r="AO59" s="63"/>
      <c r="AP59" s="63"/>
      <c r="AQ59" s="63"/>
      <c r="AR59" s="63"/>
      <c r="AS59" s="93"/>
    </row>
    <row r="60" spans="2:45" s="60" customFormat="1" ht="17">
      <c r="E60" s="56" t="str">
        <f t="shared" si="2"/>
        <v/>
      </c>
      <c r="F60" s="44" t="s">
        <v>145</v>
      </c>
      <c r="G60" s="57" t="s">
        <v>35</v>
      </c>
      <c r="H60" s="58">
        <f t="shared" si="3"/>
        <v>278.43847266389605</v>
      </c>
      <c r="I60" s="58">
        <f t="shared" si="4"/>
        <v>51.743934105565053</v>
      </c>
      <c r="J60" s="44" t="s">
        <v>140</v>
      </c>
      <c r="K60" s="48">
        <v>7.91</v>
      </c>
      <c r="L60" s="48">
        <v>10.42</v>
      </c>
      <c r="M60" s="48">
        <v>9.2799999999999994</v>
      </c>
      <c r="N60" s="48">
        <v>12.98</v>
      </c>
      <c r="O60" s="45">
        <v>1.6</v>
      </c>
      <c r="P60" s="45">
        <v>56.2</v>
      </c>
      <c r="Q60" s="45">
        <v>151.6</v>
      </c>
      <c r="R60" s="49" t="s">
        <v>35</v>
      </c>
      <c r="S60" s="46">
        <v>45</v>
      </c>
      <c r="T60" s="46">
        <v>259</v>
      </c>
      <c r="U60" s="46">
        <v>188</v>
      </c>
      <c r="V60" s="49" t="s">
        <v>35</v>
      </c>
      <c r="W60" s="47">
        <v>13.63361111111111</v>
      </c>
      <c r="X60" s="47">
        <v>39.178055555555552</v>
      </c>
      <c r="Y60" s="59">
        <f t="shared" si="5"/>
        <v>52.194741083486377</v>
      </c>
      <c r="AB60" s="62"/>
      <c r="AC60" s="62"/>
      <c r="AD60" s="87"/>
      <c r="AE60" s="86"/>
      <c r="AF60" s="85"/>
      <c r="AG60" s="85"/>
      <c r="AH60" s="87"/>
      <c r="AI60" s="87"/>
      <c r="AJ60" s="87"/>
      <c r="AK60" s="87"/>
      <c r="AL60" s="87"/>
      <c r="AM60" s="87"/>
      <c r="AN60" s="63"/>
      <c r="AO60" s="63"/>
      <c r="AP60" s="63"/>
      <c r="AQ60" s="63"/>
      <c r="AR60" s="63"/>
      <c r="AS60" s="93"/>
    </row>
    <row r="61" spans="2:45" s="60" customFormat="1" ht="17">
      <c r="E61" s="56" t="str">
        <f t="shared" si="2"/>
        <v>*</v>
      </c>
      <c r="F61" s="44" t="s">
        <v>146</v>
      </c>
      <c r="G61" s="57" t="s">
        <v>35</v>
      </c>
      <c r="H61" s="58">
        <f t="shared" si="3"/>
        <v>78.180884445840391</v>
      </c>
      <c r="I61" s="58">
        <f t="shared" si="4"/>
        <v>62.684877802171798</v>
      </c>
      <c r="J61" s="44" t="s">
        <v>147</v>
      </c>
      <c r="K61" s="45">
        <v>2.8</v>
      </c>
      <c r="L61" s="45">
        <v>6.2</v>
      </c>
      <c r="M61" s="46">
        <v>12</v>
      </c>
      <c r="N61" s="49" t="s">
        <v>35</v>
      </c>
      <c r="O61" s="45">
        <v>2.8</v>
      </c>
      <c r="P61" s="45">
        <v>62.5</v>
      </c>
      <c r="Q61" s="49" t="s">
        <v>35</v>
      </c>
      <c r="R61" s="49" t="s">
        <v>35</v>
      </c>
      <c r="S61" s="46">
        <v>216</v>
      </c>
      <c r="T61" s="46">
        <v>67</v>
      </c>
      <c r="U61" s="49" t="s">
        <v>35</v>
      </c>
      <c r="V61" s="49" t="s">
        <v>35</v>
      </c>
      <c r="W61" s="47">
        <v>19.749444444444446</v>
      </c>
      <c r="X61" s="47">
        <v>45.130555555555553</v>
      </c>
      <c r="Y61" s="59">
        <f t="shared" si="5"/>
        <v>-39.542758916513662</v>
      </c>
      <c r="AB61" s="62"/>
      <c r="AC61" s="62"/>
      <c r="AD61" s="87"/>
      <c r="AE61" s="86"/>
      <c r="AF61" s="85"/>
      <c r="AG61" s="85"/>
      <c r="AH61" s="87"/>
      <c r="AI61" s="87"/>
      <c r="AJ61" s="87"/>
      <c r="AK61" s="87"/>
      <c r="AL61" s="87"/>
      <c r="AM61" s="87"/>
      <c r="AN61" s="63"/>
      <c r="AO61" s="63"/>
      <c r="AP61" s="63"/>
      <c r="AQ61" s="63"/>
      <c r="AR61" s="63"/>
      <c r="AS61" s="93"/>
    </row>
    <row r="62" spans="2:45" s="60" customFormat="1" ht="17">
      <c r="E62" s="56" t="str">
        <f t="shared" si="2"/>
        <v>*</v>
      </c>
      <c r="F62" s="44" t="s">
        <v>148</v>
      </c>
      <c r="G62" s="57" t="s">
        <v>35</v>
      </c>
      <c r="H62" s="58">
        <f t="shared" si="3"/>
        <v>112.48214351464095</v>
      </c>
      <c r="I62" s="58">
        <f t="shared" si="4"/>
        <v>37.386366648942307</v>
      </c>
      <c r="J62" s="44" t="s">
        <v>149</v>
      </c>
      <c r="K62" s="48">
        <v>8.2899999999999991</v>
      </c>
      <c r="L62" s="48">
        <v>9.75</v>
      </c>
      <c r="M62" s="45">
        <v>8.6</v>
      </c>
      <c r="N62" s="45">
        <v>11.4</v>
      </c>
      <c r="O62" s="45">
        <v>2.4</v>
      </c>
      <c r="P62" s="45">
        <v>76.5</v>
      </c>
      <c r="Q62" s="49" t="s">
        <v>35</v>
      </c>
      <c r="R62" s="44" t="s">
        <v>150</v>
      </c>
      <c r="S62" s="46">
        <v>326</v>
      </c>
      <c r="T62" s="46">
        <v>100</v>
      </c>
      <c r="U62" s="49" t="s">
        <v>35</v>
      </c>
      <c r="V62" s="44" t="s">
        <v>151</v>
      </c>
      <c r="W62" s="47">
        <v>20.378888888888888</v>
      </c>
      <c r="X62" s="47">
        <v>13.340277777777779</v>
      </c>
      <c r="Y62" s="59">
        <f t="shared" si="5"/>
        <v>-48.984425583180325</v>
      </c>
      <c r="AB62" s="62"/>
      <c r="AC62" s="62"/>
      <c r="AD62" s="87"/>
      <c r="AE62" s="86"/>
      <c r="AF62" s="85"/>
      <c r="AG62" s="85"/>
      <c r="AH62" s="87"/>
      <c r="AI62" s="87"/>
      <c r="AJ62" s="87"/>
      <c r="AK62" s="87"/>
      <c r="AL62" s="87"/>
      <c r="AM62" s="87"/>
      <c r="AN62" s="63"/>
      <c r="AO62" s="63"/>
      <c r="AP62" s="63"/>
      <c r="AQ62" s="63"/>
      <c r="AR62" s="63"/>
      <c r="AS62" s="93"/>
    </row>
    <row r="63" spans="2:45" s="60" customFormat="1" ht="17">
      <c r="E63" s="56" t="str">
        <f t="shared" si="2"/>
        <v>*</v>
      </c>
      <c r="F63" s="44" t="s">
        <v>152</v>
      </c>
      <c r="G63" s="57" t="s">
        <v>35</v>
      </c>
      <c r="H63" s="58">
        <f t="shared" si="3"/>
        <v>105.46501432721647</v>
      </c>
      <c r="I63" s="58">
        <f t="shared" si="4"/>
        <v>40.628431478400842</v>
      </c>
      <c r="J63" s="44" t="s">
        <v>149</v>
      </c>
      <c r="K63" s="45">
        <v>6.8</v>
      </c>
      <c r="L63" s="45">
        <v>11.1</v>
      </c>
      <c r="M63" s="45">
        <v>7.3</v>
      </c>
      <c r="N63" s="49" t="s">
        <v>35</v>
      </c>
      <c r="O63" s="45">
        <v>2.5</v>
      </c>
      <c r="P63" s="46">
        <v>106</v>
      </c>
      <c r="Q63" s="49" t="s">
        <v>35</v>
      </c>
      <c r="R63" s="49" t="s">
        <v>35</v>
      </c>
      <c r="S63" s="46">
        <v>128</v>
      </c>
      <c r="T63" s="46">
        <v>288</v>
      </c>
      <c r="U63" s="49" t="s">
        <v>35</v>
      </c>
      <c r="V63" s="49" t="s">
        <v>35</v>
      </c>
      <c r="W63" s="47">
        <v>20.503888888888888</v>
      </c>
      <c r="X63" s="47">
        <v>19.420833333333334</v>
      </c>
      <c r="Y63" s="59">
        <f t="shared" si="5"/>
        <v>-50.859425583180268</v>
      </c>
      <c r="AB63" s="62"/>
      <c r="AC63" s="62"/>
      <c r="AD63" s="87"/>
      <c r="AE63" s="86"/>
      <c r="AF63" s="85"/>
      <c r="AG63" s="85"/>
      <c r="AH63" s="87"/>
      <c r="AI63" s="87"/>
      <c r="AJ63" s="87"/>
      <c r="AK63" s="87"/>
      <c r="AL63" s="87"/>
      <c r="AM63" s="87"/>
      <c r="AN63" s="63"/>
      <c r="AO63" s="63"/>
      <c r="AP63" s="63"/>
      <c r="AQ63" s="63"/>
      <c r="AR63" s="63"/>
      <c r="AS63" s="93"/>
    </row>
    <row r="64" spans="2:45" s="60" customFormat="1" ht="17">
      <c r="E64" s="56" t="str">
        <f t="shared" si="2"/>
        <v/>
      </c>
      <c r="F64" s="44" t="s">
        <v>153</v>
      </c>
      <c r="G64" s="57" t="s">
        <v>35</v>
      </c>
      <c r="H64" s="58">
        <f t="shared" si="3"/>
        <v>326.07971915546119</v>
      </c>
      <c r="I64" s="58">
        <f t="shared" si="4"/>
        <v>53.923325424798179</v>
      </c>
      <c r="J64" s="44" t="s">
        <v>154</v>
      </c>
      <c r="K64" s="45">
        <v>6.6</v>
      </c>
      <c r="L64" s="46">
        <v>7</v>
      </c>
      <c r="M64" s="45">
        <v>8.8000000000000007</v>
      </c>
      <c r="N64" s="49" t="s">
        <v>35</v>
      </c>
      <c r="O64" s="46">
        <v>179</v>
      </c>
      <c r="P64" s="46">
        <v>105</v>
      </c>
      <c r="Q64" s="49" t="s">
        <v>35</v>
      </c>
      <c r="R64" s="44" t="s">
        <v>155</v>
      </c>
      <c r="S64" s="46">
        <v>296</v>
      </c>
      <c r="T64" s="46">
        <v>223</v>
      </c>
      <c r="U64" s="49" t="s">
        <v>35</v>
      </c>
      <c r="V64" s="44" t="s">
        <v>156</v>
      </c>
      <c r="W64" s="47">
        <v>13.224444444444444</v>
      </c>
      <c r="X64" s="47">
        <v>67.288055555555559</v>
      </c>
      <c r="Y64" s="59">
        <f t="shared" si="5"/>
        <v>58.332241083486366</v>
      </c>
      <c r="AB64" s="62"/>
      <c r="AC64" s="62"/>
      <c r="AD64" s="87"/>
      <c r="AE64" s="86"/>
      <c r="AF64" s="85"/>
      <c r="AG64" s="85"/>
      <c r="AH64" s="87"/>
      <c r="AI64" s="87"/>
      <c r="AJ64" s="87"/>
      <c r="AK64" s="87"/>
      <c r="AL64" s="87"/>
      <c r="AM64" s="87"/>
      <c r="AN64" s="63"/>
      <c r="AO64" s="63"/>
      <c r="AP64" s="63"/>
      <c r="AQ64" s="63"/>
      <c r="AR64" s="63"/>
      <c r="AS64" s="93"/>
    </row>
    <row r="65" spans="5:45" s="60" customFormat="1" ht="17">
      <c r="E65" s="56" t="str">
        <f t="shared" si="2"/>
        <v/>
      </c>
      <c r="F65" s="44" t="s">
        <v>157</v>
      </c>
      <c r="G65" s="57" t="s">
        <v>35</v>
      </c>
      <c r="H65" s="58">
        <f t="shared" si="3"/>
        <v>321.64939552190145</v>
      </c>
      <c r="I65" s="58">
        <f t="shared" si="4"/>
        <v>74.754470181264352</v>
      </c>
      <c r="J65" s="44" t="s">
        <v>154</v>
      </c>
      <c r="K65" s="45">
        <v>10.199999999999999</v>
      </c>
      <c r="L65" s="45">
        <v>10.6</v>
      </c>
      <c r="M65" s="48">
        <v>10.59</v>
      </c>
      <c r="N65" s="49" t="s">
        <v>35</v>
      </c>
      <c r="O65" s="45">
        <v>19.399999999999999</v>
      </c>
      <c r="P65" s="46">
        <v>162</v>
      </c>
      <c r="Q65" s="49" t="s">
        <v>35</v>
      </c>
      <c r="R65" s="49"/>
      <c r="S65" s="46">
        <v>108</v>
      </c>
      <c r="T65" s="46">
        <v>141</v>
      </c>
      <c r="U65" s="49" t="s">
        <v>35</v>
      </c>
      <c r="V65" s="49"/>
      <c r="W65" s="47">
        <v>15.941944444444445</v>
      </c>
      <c r="X65" s="47">
        <v>57.282777777777774</v>
      </c>
      <c r="Y65" s="59">
        <f t="shared" si="5"/>
        <v>17.569741083486349</v>
      </c>
      <c r="AB65" s="62"/>
      <c r="AC65" s="62"/>
      <c r="AD65" s="87"/>
      <c r="AE65" s="86"/>
      <c r="AF65" s="85"/>
      <c r="AG65" s="85"/>
      <c r="AH65" s="87"/>
      <c r="AI65" s="87"/>
      <c r="AJ65" s="87"/>
      <c r="AK65" s="87"/>
      <c r="AL65" s="87"/>
      <c r="AM65" s="87"/>
      <c r="AN65" s="63"/>
      <c r="AO65" s="63"/>
      <c r="AP65" s="63"/>
      <c r="AQ65" s="63"/>
      <c r="AR65" s="63"/>
      <c r="AS65" s="93"/>
    </row>
    <row r="66" spans="5:45" s="60" customFormat="1" ht="17">
      <c r="E66" s="56" t="str">
        <f t="shared" si="2"/>
        <v/>
      </c>
      <c r="F66" s="44" t="s">
        <v>158</v>
      </c>
      <c r="G66" s="57" t="s">
        <v>35</v>
      </c>
      <c r="H66" s="58">
        <f t="shared" si="3"/>
        <v>6.843722100783042</v>
      </c>
      <c r="I66" s="58">
        <f t="shared" si="4"/>
        <v>60.076681927320877</v>
      </c>
      <c r="J66" s="44" t="s">
        <v>154</v>
      </c>
      <c r="K66" s="46">
        <v>7</v>
      </c>
      <c r="L66" s="45">
        <v>9.9</v>
      </c>
      <c r="M66" s="45">
        <v>9.6</v>
      </c>
      <c r="N66" s="49" t="s">
        <v>35</v>
      </c>
      <c r="O66" s="45">
        <v>5.6</v>
      </c>
      <c r="P66" s="45">
        <v>22.9</v>
      </c>
      <c r="Q66" s="49" t="s">
        <v>35</v>
      </c>
      <c r="R66" s="44" t="s">
        <v>159</v>
      </c>
      <c r="S66" s="46">
        <v>248</v>
      </c>
      <c r="T66" s="46">
        <v>278</v>
      </c>
      <c r="U66" s="49" t="s">
        <v>35</v>
      </c>
      <c r="V66" s="44" t="s">
        <v>160</v>
      </c>
      <c r="W66" s="66">
        <v>18.047500000000003</v>
      </c>
      <c r="X66" s="47">
        <v>75.789999999999992</v>
      </c>
      <c r="Y66" s="59">
        <f t="shared" si="5"/>
        <v>-14.013592249847022</v>
      </c>
      <c r="AB66" s="62"/>
      <c r="AC66" s="62"/>
      <c r="AD66" s="87"/>
      <c r="AE66" s="86"/>
      <c r="AF66" s="85"/>
      <c r="AG66" s="85"/>
      <c r="AH66" s="87"/>
      <c r="AI66" s="87"/>
      <c r="AJ66" s="87"/>
      <c r="AK66" s="87"/>
      <c r="AL66" s="87"/>
      <c r="AM66" s="87"/>
      <c r="AN66" s="63"/>
      <c r="AO66" s="63"/>
      <c r="AP66" s="63"/>
      <c r="AQ66" s="63"/>
      <c r="AR66" s="63"/>
      <c r="AS66" s="93"/>
    </row>
    <row r="67" spans="5:45" s="60" customFormat="1" ht="17">
      <c r="E67" s="56" t="str">
        <f t="shared" si="2"/>
        <v/>
      </c>
      <c r="F67" s="44" t="s">
        <v>161</v>
      </c>
      <c r="G67" s="57" t="s">
        <v>35</v>
      </c>
      <c r="H67" s="58">
        <f t="shared" si="3"/>
        <v>19.957698379505615</v>
      </c>
      <c r="I67" s="58">
        <f t="shared" si="4"/>
        <v>-49.656869050765522</v>
      </c>
      <c r="J67" s="44" t="s">
        <v>162</v>
      </c>
      <c r="K67" s="45">
        <v>4.4000000000000004</v>
      </c>
      <c r="L67" s="45">
        <v>9.3000000000000007</v>
      </c>
      <c r="M67" s="45">
        <v>11.1</v>
      </c>
      <c r="N67" s="45">
        <v>12.6</v>
      </c>
      <c r="O67" s="44" t="s">
        <v>163</v>
      </c>
      <c r="P67" s="45">
        <v>78.099999999999994</v>
      </c>
      <c r="Q67" s="46">
        <v>481</v>
      </c>
      <c r="R67" s="44" t="s">
        <v>164</v>
      </c>
      <c r="S67" s="44" t="s">
        <v>165</v>
      </c>
      <c r="T67" s="46">
        <v>98</v>
      </c>
      <c r="U67" s="46">
        <v>38</v>
      </c>
      <c r="V67" s="44" t="s">
        <v>166</v>
      </c>
      <c r="W67" s="66">
        <v>4.2544444444444443</v>
      </c>
      <c r="X67" s="47">
        <v>-7.6527777777777786</v>
      </c>
      <c r="Y67" s="59">
        <f t="shared" si="5"/>
        <v>192.88224108348635</v>
      </c>
      <c r="AB67" s="62"/>
      <c r="AC67" s="62"/>
      <c r="AD67" s="87"/>
      <c r="AE67" s="86"/>
      <c r="AF67" s="85"/>
      <c r="AG67" s="85"/>
      <c r="AH67" s="87"/>
      <c r="AI67" s="87"/>
      <c r="AJ67" s="87"/>
      <c r="AK67" s="87"/>
      <c r="AL67" s="87"/>
      <c r="AM67" s="87"/>
      <c r="AN67" s="63"/>
      <c r="AO67" s="63"/>
      <c r="AP67" s="63"/>
      <c r="AQ67" s="63"/>
      <c r="AR67" s="63"/>
      <c r="AS67" s="93"/>
    </row>
    <row r="68" spans="5:45" s="60" customFormat="1" ht="17">
      <c r="E68" s="56" t="str">
        <f t="shared" si="2"/>
        <v/>
      </c>
      <c r="F68" s="44" t="s">
        <v>167</v>
      </c>
      <c r="G68" s="57" t="s">
        <v>35</v>
      </c>
      <c r="H68" s="58">
        <f t="shared" si="3"/>
        <v>27.400167902038206</v>
      </c>
      <c r="I68" s="58">
        <f t="shared" si="4"/>
        <v>-67.403875288902739</v>
      </c>
      <c r="J68" s="44" t="s">
        <v>162</v>
      </c>
      <c r="K68" s="44" t="s">
        <v>168</v>
      </c>
      <c r="L68" s="49"/>
      <c r="M68" s="45">
        <v>12.8</v>
      </c>
      <c r="N68" s="45">
        <v>8.1999999999999993</v>
      </c>
      <c r="O68" s="44" t="s">
        <v>169</v>
      </c>
      <c r="P68" s="49" t="s">
        <v>35</v>
      </c>
      <c r="Q68" s="44" t="s">
        <v>170</v>
      </c>
      <c r="R68" s="49" t="s">
        <v>35</v>
      </c>
      <c r="S68" s="44" t="s">
        <v>171</v>
      </c>
      <c r="T68" s="49" t="s">
        <v>35</v>
      </c>
      <c r="U68" s="44" t="s">
        <v>172</v>
      </c>
      <c r="V68" s="49" t="s">
        <v>35</v>
      </c>
      <c r="W68" s="66">
        <v>4.3586111111111103</v>
      </c>
      <c r="X68" s="47">
        <v>-25.728333333333332</v>
      </c>
      <c r="Y68" s="59">
        <f t="shared" si="5"/>
        <v>191.31974108348635</v>
      </c>
      <c r="AB68" s="62"/>
      <c r="AC68" s="62"/>
      <c r="AD68" s="87"/>
      <c r="AE68" s="86"/>
      <c r="AF68" s="85"/>
      <c r="AG68" s="85"/>
      <c r="AH68" s="87"/>
      <c r="AI68" s="87"/>
      <c r="AJ68" s="87"/>
      <c r="AK68" s="87"/>
      <c r="AL68" s="87"/>
      <c r="AM68" s="87"/>
      <c r="AN68" s="63"/>
      <c r="AO68" s="63"/>
      <c r="AP68" s="63"/>
      <c r="AQ68" s="63"/>
      <c r="AR68" s="63"/>
      <c r="AS68" s="93"/>
    </row>
    <row r="69" spans="5:45" s="60" customFormat="1" ht="17">
      <c r="E69" s="56" t="str">
        <f t="shared" si="2"/>
        <v/>
      </c>
      <c r="F69" s="44" t="s">
        <v>173</v>
      </c>
      <c r="G69" s="57" t="s">
        <v>35</v>
      </c>
      <c r="H69" s="58">
        <f t="shared" si="3"/>
        <v>10.44542610177152</v>
      </c>
      <c r="I69" s="58">
        <f t="shared" si="4"/>
        <v>-45.564978144090304</v>
      </c>
      <c r="J69" s="44" t="s">
        <v>162</v>
      </c>
      <c r="K69" s="45">
        <v>5.2</v>
      </c>
      <c r="L69" s="45">
        <v>11.8</v>
      </c>
      <c r="M69" s="45">
        <v>10.5</v>
      </c>
      <c r="N69" s="49" t="s">
        <v>35</v>
      </c>
      <c r="O69" s="44" t="s">
        <v>174</v>
      </c>
      <c r="P69" s="45">
        <v>66.7</v>
      </c>
      <c r="Q69" s="49" t="s">
        <v>35</v>
      </c>
      <c r="R69" s="49" t="s">
        <v>35</v>
      </c>
      <c r="S69" s="46">
        <v>75</v>
      </c>
      <c r="T69" s="46">
        <v>163</v>
      </c>
      <c r="U69" s="49" t="s">
        <v>35</v>
      </c>
      <c r="V69" s="49" t="s">
        <v>35</v>
      </c>
      <c r="W69" s="47">
        <v>4.6266666666666669</v>
      </c>
      <c r="X69" s="47">
        <v>-2.4733333333333336</v>
      </c>
      <c r="Y69" s="59">
        <f t="shared" si="5"/>
        <v>187.29890775015301</v>
      </c>
      <c r="AB69" s="62"/>
      <c r="AC69" s="62"/>
      <c r="AD69" s="87"/>
      <c r="AE69" s="86"/>
      <c r="AF69" s="85"/>
      <c r="AG69" s="85"/>
      <c r="AH69" s="87"/>
      <c r="AI69" s="87"/>
      <c r="AJ69" s="87"/>
      <c r="AK69" s="87"/>
      <c r="AL69" s="87"/>
      <c r="AM69" s="87"/>
      <c r="AN69" s="63"/>
      <c r="AO69" s="63"/>
      <c r="AP69" s="63"/>
      <c r="AQ69" s="63"/>
      <c r="AR69" s="63"/>
      <c r="AS69" s="93"/>
    </row>
    <row r="70" spans="5:45" s="60" customFormat="1" ht="17">
      <c r="E70" s="56" t="str">
        <f t="shared" si="2"/>
        <v/>
      </c>
      <c r="F70" s="44" t="s">
        <v>175</v>
      </c>
      <c r="G70" s="57" t="s">
        <v>35</v>
      </c>
      <c r="H70" s="58">
        <f t="shared" si="3"/>
        <v>19.223464164708773</v>
      </c>
      <c r="I70" s="58">
        <f t="shared" si="4"/>
        <v>-72.363844186897865</v>
      </c>
      <c r="J70" s="44" t="s">
        <v>162</v>
      </c>
      <c r="K70" s="45">
        <v>9.8000000000000007</v>
      </c>
      <c r="L70" s="45">
        <v>10.199999999999999</v>
      </c>
      <c r="M70" s="45">
        <v>11.2</v>
      </c>
      <c r="N70" s="49" t="s">
        <v>35</v>
      </c>
      <c r="O70" s="45">
        <v>10.6</v>
      </c>
      <c r="P70" s="44" t="s">
        <v>176</v>
      </c>
      <c r="Q70" s="49" t="s">
        <v>35</v>
      </c>
      <c r="R70" s="49" t="s">
        <v>35</v>
      </c>
      <c r="S70" s="46">
        <v>354</v>
      </c>
      <c r="T70" s="49" t="s">
        <v>35</v>
      </c>
      <c r="U70" s="49" t="s">
        <v>35</v>
      </c>
      <c r="V70" s="44" t="s">
        <v>177</v>
      </c>
      <c r="W70" s="47">
        <v>4.6741666666666672</v>
      </c>
      <c r="X70" s="47">
        <v>-29.577777777777779</v>
      </c>
      <c r="Y70" s="59">
        <f t="shared" si="5"/>
        <v>186.586407750153</v>
      </c>
      <c r="AB70" s="62"/>
      <c r="AC70" s="62"/>
      <c r="AD70" s="87"/>
      <c r="AE70" s="86"/>
      <c r="AF70" s="85"/>
      <c r="AG70" s="85"/>
      <c r="AH70" s="87"/>
      <c r="AI70" s="87"/>
      <c r="AJ70" s="87"/>
      <c r="AK70" s="87"/>
      <c r="AL70" s="87"/>
      <c r="AM70" s="87"/>
      <c r="AN70" s="63"/>
      <c r="AO70" s="63"/>
      <c r="AP70" s="63"/>
      <c r="AQ70" s="63"/>
      <c r="AR70" s="63"/>
      <c r="AS70" s="93"/>
    </row>
    <row r="71" spans="5:45" s="60" customFormat="1" ht="17">
      <c r="E71" s="56" t="str">
        <f t="shared" si="2"/>
        <v/>
      </c>
      <c r="F71" s="44" t="s">
        <v>178</v>
      </c>
      <c r="G71" s="57" t="s">
        <v>35</v>
      </c>
      <c r="H71" s="58">
        <f t="shared" si="3"/>
        <v>3.9203123312564343</v>
      </c>
      <c r="I71" s="58">
        <f t="shared" si="4"/>
        <v>-48.660129910408308</v>
      </c>
      <c r="J71" s="44" t="s">
        <v>162</v>
      </c>
      <c r="K71" s="45">
        <v>5.4</v>
      </c>
      <c r="L71" s="45">
        <v>8.9</v>
      </c>
      <c r="M71" s="45">
        <v>11.4</v>
      </c>
      <c r="N71" s="49" t="s">
        <v>35</v>
      </c>
      <c r="O71" s="46">
        <v>65</v>
      </c>
      <c r="P71" s="46">
        <v>127</v>
      </c>
      <c r="Q71" s="49" t="s">
        <v>35</v>
      </c>
      <c r="R71" s="49" t="s">
        <v>35</v>
      </c>
      <c r="S71" s="46">
        <v>76</v>
      </c>
      <c r="T71" s="46">
        <v>331</v>
      </c>
      <c r="U71" s="49" t="s">
        <v>35</v>
      </c>
      <c r="V71" s="49" t="s">
        <v>35</v>
      </c>
      <c r="W71" s="47">
        <v>4.9400000000000004</v>
      </c>
      <c r="X71" s="47">
        <v>-5.171388888888889</v>
      </c>
      <c r="Y71" s="59">
        <f t="shared" si="5"/>
        <v>182.59890775015299</v>
      </c>
      <c r="AB71" s="62"/>
      <c r="AC71" s="62"/>
      <c r="AD71" s="87"/>
      <c r="AE71" s="86"/>
      <c r="AF71" s="85"/>
      <c r="AG71" s="85"/>
      <c r="AH71" s="87"/>
      <c r="AI71" s="87"/>
      <c r="AJ71" s="87"/>
      <c r="AK71" s="87"/>
      <c r="AL71" s="87"/>
      <c r="AM71" s="87"/>
      <c r="AN71" s="63"/>
      <c r="AO71" s="63"/>
      <c r="AP71" s="63"/>
      <c r="AQ71" s="63"/>
      <c r="AR71" s="63"/>
      <c r="AS71" s="93"/>
    </row>
    <row r="72" spans="5:45" s="60" customFormat="1" ht="17">
      <c r="E72" s="56" t="str">
        <f t="shared" si="2"/>
        <v/>
      </c>
      <c r="F72" s="44" t="s">
        <v>179</v>
      </c>
      <c r="G72" s="57" t="s">
        <v>35</v>
      </c>
      <c r="H72" s="58">
        <f t="shared" si="3"/>
        <v>1.0829088656035605E-2</v>
      </c>
      <c r="I72" s="58">
        <f t="shared" ref="I72:I103" si="6">ASIN(SIN($Y$123*X72)*SIN($Y$123*$C$13)+COS($Y$123*X72)*COS($Y$123*$C$13)*COS($Y$123*Y72))/$Y$123</f>
        <v>-48.205277306307771</v>
      </c>
      <c r="J72" s="44" t="s">
        <v>162</v>
      </c>
      <c r="K72" s="45">
        <v>5.0999999999999996</v>
      </c>
      <c r="L72" s="45">
        <v>9.3000000000000007</v>
      </c>
      <c r="M72" s="45">
        <v>10.8</v>
      </c>
      <c r="N72" s="49" t="s">
        <v>35</v>
      </c>
      <c r="O72" s="45">
        <v>1.6</v>
      </c>
      <c r="P72" s="45">
        <v>52.2</v>
      </c>
      <c r="Q72" s="49" t="s">
        <v>35</v>
      </c>
      <c r="R72" s="49" t="s">
        <v>35</v>
      </c>
      <c r="S72" s="46">
        <v>233</v>
      </c>
      <c r="T72" s="46">
        <v>10</v>
      </c>
      <c r="U72" s="49" t="s">
        <v>35</v>
      </c>
      <c r="V72" s="49" t="s">
        <v>35</v>
      </c>
      <c r="W72" s="66">
        <v>5.1127777777777776</v>
      </c>
      <c r="X72" s="47">
        <v>-4.6552777777777781</v>
      </c>
      <c r="Y72" s="59">
        <f t="shared" ref="Y72:Y121" si="7">$C$16-((W72/24)*360)</f>
        <v>180.00724108348635</v>
      </c>
      <c r="AB72" s="62"/>
      <c r="AC72" s="62"/>
      <c r="AD72" s="87"/>
      <c r="AE72" s="86"/>
      <c r="AF72" s="85"/>
      <c r="AG72" s="85"/>
      <c r="AH72" s="87"/>
      <c r="AI72" s="87"/>
      <c r="AJ72" s="87"/>
      <c r="AK72" s="87"/>
      <c r="AL72" s="87"/>
      <c r="AM72" s="87"/>
      <c r="AN72" s="63"/>
      <c r="AO72" s="63"/>
      <c r="AP72" s="63"/>
      <c r="AQ72" s="63"/>
      <c r="AR72" s="63"/>
      <c r="AS72" s="93"/>
    </row>
    <row r="73" spans="5:45" s="60" customFormat="1" ht="17">
      <c r="E73" s="56" t="str">
        <f t="shared" ref="E73:E121" si="8">IF(AND(I73&gt;=$I$4,I73&lt;=$I$6,H73&gt;=$H$4,H73&lt;=$H$6),IF(VLOOKUP(G73,$C$19:$D$24,2,FALSE)="yes","*","-"),"")</f>
        <v/>
      </c>
      <c r="F73" s="44" t="s">
        <v>180</v>
      </c>
      <c r="G73" s="57" t="s">
        <v>35</v>
      </c>
      <c r="H73" s="58">
        <f t="shared" ref="H73:H121" si="9">IF(SIN($Y$123*Y73)&lt;0,ACOS((SIN($Y$123*X73)-SIN($Y$123*I73)*SIN($Y$123*$C$13))/(COS($Y$123*I73)*COS($Y$123*$C$13)))/$Y$123,360-ACOS((SIN($Y$123*X73)-SIN($Y$123*I73)*SIN($Y$123*$C$13))/(COS($Y$123*I73)*COS($Y$123*$C$13)))/$Y$123)</f>
        <v>70.751254214287272</v>
      </c>
      <c r="I73" s="58">
        <f t="shared" si="6"/>
        <v>-55.824057094905044</v>
      </c>
      <c r="J73" s="44" t="s">
        <v>181</v>
      </c>
      <c r="K73" s="48">
        <v>9.3800000000000008</v>
      </c>
      <c r="L73" s="45">
        <v>11.2</v>
      </c>
      <c r="M73" s="48">
        <v>11.37</v>
      </c>
      <c r="N73" s="49" t="s">
        <v>35</v>
      </c>
      <c r="O73" s="45">
        <v>13.5</v>
      </c>
      <c r="P73" s="45">
        <v>31.1</v>
      </c>
      <c r="Q73" s="49" t="s">
        <v>35</v>
      </c>
      <c r="R73" s="49" t="s">
        <v>35</v>
      </c>
      <c r="S73" s="46">
        <v>15</v>
      </c>
      <c r="T73" s="46">
        <v>199</v>
      </c>
      <c r="U73" s="49" t="s">
        <v>35</v>
      </c>
      <c r="V73" s="49" t="s">
        <v>35</v>
      </c>
      <c r="W73" s="47">
        <v>2.6477777777777778</v>
      </c>
      <c r="X73" s="47">
        <v>-28.165833333333332</v>
      </c>
      <c r="Y73" s="59">
        <f t="shared" si="7"/>
        <v>216.98224108348634</v>
      </c>
      <c r="AB73" s="62"/>
      <c r="AC73" s="62"/>
      <c r="AD73" s="87"/>
      <c r="AE73" s="86"/>
      <c r="AF73" s="85"/>
      <c r="AG73" s="85"/>
      <c r="AH73" s="87"/>
      <c r="AI73" s="87"/>
      <c r="AJ73" s="87"/>
      <c r="AK73" s="87"/>
      <c r="AL73" s="87"/>
      <c r="AM73" s="87"/>
      <c r="AN73" s="63"/>
      <c r="AO73" s="63"/>
      <c r="AP73" s="63"/>
      <c r="AQ73" s="63"/>
      <c r="AR73" s="63"/>
      <c r="AS73" s="93"/>
    </row>
    <row r="74" spans="5:45" s="60" customFormat="1" ht="17">
      <c r="E74" s="56" t="str">
        <f t="shared" si="8"/>
        <v/>
      </c>
      <c r="F74" s="44" t="s">
        <v>182</v>
      </c>
      <c r="G74" s="57" t="s">
        <v>35</v>
      </c>
      <c r="H74" s="58">
        <f t="shared" si="9"/>
        <v>330.68341442517948</v>
      </c>
      <c r="I74" s="58">
        <f t="shared" si="6"/>
        <v>-25.63988283155928</v>
      </c>
      <c r="J74" s="44" t="s">
        <v>183</v>
      </c>
      <c r="K74" s="45">
        <v>4.7</v>
      </c>
      <c r="L74" s="45">
        <v>7.8</v>
      </c>
      <c r="M74" s="45">
        <v>11.3</v>
      </c>
      <c r="N74" s="49" t="s">
        <v>35</v>
      </c>
      <c r="O74" s="45">
        <v>7.3</v>
      </c>
      <c r="P74" s="45">
        <v>120.8</v>
      </c>
      <c r="Q74" s="49" t="s">
        <v>35</v>
      </c>
      <c r="R74" s="49" t="s">
        <v>35</v>
      </c>
      <c r="S74" s="46">
        <v>142</v>
      </c>
      <c r="T74" s="46">
        <v>328</v>
      </c>
      <c r="U74" s="49" t="s">
        <v>35</v>
      </c>
      <c r="V74" s="49" t="s">
        <v>35</v>
      </c>
      <c r="W74" s="47">
        <v>6.9105555555555558</v>
      </c>
      <c r="X74" s="47">
        <v>13.177777777777777</v>
      </c>
      <c r="Y74" s="59">
        <f t="shared" si="7"/>
        <v>153.04057441681965</v>
      </c>
      <c r="AB74" s="62"/>
      <c r="AC74" s="62"/>
      <c r="AD74" s="87"/>
      <c r="AE74" s="86"/>
      <c r="AF74" s="85"/>
      <c r="AG74" s="85"/>
      <c r="AH74" s="87"/>
      <c r="AI74" s="87"/>
      <c r="AJ74" s="87"/>
      <c r="AK74" s="87"/>
      <c r="AL74" s="87"/>
      <c r="AM74" s="87"/>
      <c r="AN74" s="63"/>
      <c r="AO74" s="63"/>
      <c r="AP74" s="63"/>
      <c r="AQ74" s="63"/>
      <c r="AR74" s="63"/>
      <c r="AS74" s="93"/>
    </row>
    <row r="75" spans="5:45" s="60" customFormat="1" ht="17">
      <c r="E75" s="56" t="str">
        <f t="shared" si="8"/>
        <v/>
      </c>
      <c r="F75" s="44" t="s">
        <v>184</v>
      </c>
      <c r="G75" s="57" t="s">
        <v>35</v>
      </c>
      <c r="H75" s="58">
        <f t="shared" si="9"/>
        <v>328.99345327321521</v>
      </c>
      <c r="I75" s="58">
        <f t="shared" si="6"/>
        <v>-25.546885096474107</v>
      </c>
      <c r="J75" s="44" t="s">
        <v>183</v>
      </c>
      <c r="K75" s="45">
        <v>7.4</v>
      </c>
      <c r="L75" s="45">
        <v>11.4</v>
      </c>
      <c r="M75" s="46">
        <v>10</v>
      </c>
      <c r="N75" s="45">
        <v>7.7</v>
      </c>
      <c r="O75" s="45">
        <v>14.6</v>
      </c>
      <c r="P75" s="45">
        <v>21.9</v>
      </c>
      <c r="Q75" s="45">
        <v>67.7</v>
      </c>
      <c r="R75" s="49" t="s">
        <v>35</v>
      </c>
      <c r="S75" s="46">
        <v>300</v>
      </c>
      <c r="T75" s="46">
        <v>244</v>
      </c>
      <c r="U75" s="46">
        <v>28</v>
      </c>
      <c r="V75" s="44" t="s">
        <v>35</v>
      </c>
      <c r="W75" s="47">
        <v>7.0102777777777776</v>
      </c>
      <c r="X75" s="47">
        <v>12.723333333333333</v>
      </c>
      <c r="Y75" s="59">
        <f t="shared" si="7"/>
        <v>151.54474108348634</v>
      </c>
      <c r="AB75" s="62"/>
      <c r="AC75" s="62"/>
      <c r="AD75" s="87"/>
      <c r="AE75" s="86"/>
      <c r="AF75" s="85"/>
      <c r="AG75" s="85"/>
      <c r="AH75" s="87"/>
      <c r="AI75" s="87"/>
      <c r="AJ75" s="87"/>
      <c r="AK75" s="87"/>
      <c r="AL75" s="87"/>
      <c r="AM75" s="87"/>
      <c r="AN75" s="63"/>
      <c r="AO75" s="63"/>
      <c r="AP75" s="63"/>
      <c r="AQ75" s="63"/>
      <c r="AR75" s="63"/>
      <c r="AS75" s="93"/>
    </row>
    <row r="76" spans="5:45" s="60" customFormat="1" ht="17">
      <c r="E76" s="56" t="str">
        <f t="shared" si="8"/>
        <v/>
      </c>
      <c r="F76" s="44" t="s">
        <v>185</v>
      </c>
      <c r="G76" s="57" t="s">
        <v>35</v>
      </c>
      <c r="H76" s="58">
        <f t="shared" si="9"/>
        <v>333.57336034620391</v>
      </c>
      <c r="I76" s="58">
        <f t="shared" si="6"/>
        <v>-3.402761552030424</v>
      </c>
      <c r="J76" s="44" t="s">
        <v>183</v>
      </c>
      <c r="K76" s="45">
        <v>8.1</v>
      </c>
      <c r="L76" s="48">
        <v>9.9600000000000009</v>
      </c>
      <c r="M76" s="48">
        <v>9.93</v>
      </c>
      <c r="N76" s="49" t="s">
        <v>35</v>
      </c>
      <c r="O76" s="45">
        <v>18.7</v>
      </c>
      <c r="P76" s="45">
        <v>96.9</v>
      </c>
      <c r="Q76" s="49" t="s">
        <v>35</v>
      </c>
      <c r="R76" s="49" t="s">
        <v>35</v>
      </c>
      <c r="S76" s="46">
        <v>292</v>
      </c>
      <c r="T76" s="46">
        <v>274</v>
      </c>
      <c r="U76" s="49" t="s">
        <v>35</v>
      </c>
      <c r="V76" s="49" t="s">
        <v>35</v>
      </c>
      <c r="W76" s="66">
        <v>7.3013888888888889</v>
      </c>
      <c r="X76" s="47">
        <v>34.951666666666668</v>
      </c>
      <c r="Y76" s="59">
        <f t="shared" si="7"/>
        <v>147.17807441681967</v>
      </c>
      <c r="AB76" s="62"/>
      <c r="AC76" s="62"/>
      <c r="AD76" s="87"/>
      <c r="AE76" s="86"/>
      <c r="AF76" s="85"/>
      <c r="AG76" s="85"/>
      <c r="AH76" s="87"/>
      <c r="AI76" s="87"/>
      <c r="AJ76" s="87"/>
      <c r="AK76" s="87"/>
      <c r="AL76" s="87"/>
      <c r="AM76" s="87"/>
      <c r="AN76" s="63"/>
      <c r="AO76" s="63"/>
      <c r="AP76" s="63"/>
      <c r="AQ76" s="63"/>
      <c r="AR76" s="63"/>
      <c r="AS76" s="93"/>
    </row>
    <row r="77" spans="5:45" s="60" customFormat="1" ht="17">
      <c r="E77" s="56" t="str">
        <f t="shared" si="8"/>
        <v/>
      </c>
      <c r="F77" s="44" t="s">
        <v>186</v>
      </c>
      <c r="G77" s="57" t="s">
        <v>35</v>
      </c>
      <c r="H77" s="58">
        <f t="shared" si="9"/>
        <v>322.23552331833673</v>
      </c>
      <c r="I77" s="58">
        <f t="shared" si="6"/>
        <v>-21.598562344223275</v>
      </c>
      <c r="J77" s="44" t="s">
        <v>183</v>
      </c>
      <c r="K77" s="45">
        <v>7.3</v>
      </c>
      <c r="L77" s="45">
        <v>9.1999999999999993</v>
      </c>
      <c r="M77" s="49" t="s">
        <v>35</v>
      </c>
      <c r="N77" s="46">
        <v>8</v>
      </c>
      <c r="O77" s="45">
        <v>7.5</v>
      </c>
      <c r="P77" s="49" t="s">
        <v>35</v>
      </c>
      <c r="Q77" s="46">
        <v>112</v>
      </c>
      <c r="R77" s="49" t="s">
        <v>35</v>
      </c>
      <c r="S77" s="46">
        <v>45</v>
      </c>
      <c r="T77" s="49" t="s">
        <v>35</v>
      </c>
      <c r="U77" s="46">
        <v>131</v>
      </c>
      <c r="V77" s="49" t="s">
        <v>35</v>
      </c>
      <c r="W77" s="66">
        <v>7.5072222222222225</v>
      </c>
      <c r="X77" s="47">
        <v>13.865</v>
      </c>
      <c r="Y77" s="59">
        <f t="shared" si="7"/>
        <v>144.09057441681966</v>
      </c>
      <c r="AB77" s="62"/>
      <c r="AC77" s="62"/>
      <c r="AD77" s="87"/>
      <c r="AE77" s="86"/>
      <c r="AF77" s="85"/>
      <c r="AG77" s="85"/>
      <c r="AH77" s="87"/>
      <c r="AI77" s="87"/>
      <c r="AJ77" s="87"/>
      <c r="AK77" s="87"/>
      <c r="AL77" s="87"/>
      <c r="AM77" s="87"/>
      <c r="AN77" s="63"/>
      <c r="AO77" s="63"/>
      <c r="AP77" s="63"/>
      <c r="AQ77" s="63"/>
      <c r="AR77" s="63"/>
      <c r="AS77" s="93"/>
    </row>
    <row r="78" spans="5:45" s="60" customFormat="1" ht="17">
      <c r="E78" s="56" t="str">
        <f t="shared" si="8"/>
        <v/>
      </c>
      <c r="F78" s="44" t="s">
        <v>187</v>
      </c>
      <c r="G78" s="57" t="s">
        <v>35</v>
      </c>
      <c r="H78" s="58">
        <f t="shared" si="9"/>
        <v>329.18957836878792</v>
      </c>
      <c r="I78" s="58">
        <f t="shared" si="6"/>
        <v>-4.856406512277033</v>
      </c>
      <c r="J78" s="44" t="s">
        <v>183</v>
      </c>
      <c r="K78" s="45">
        <v>1.9</v>
      </c>
      <c r="L78" s="45">
        <v>2.9</v>
      </c>
      <c r="M78" s="45">
        <v>9.8000000000000007</v>
      </c>
      <c r="N78" s="45">
        <v>10.7</v>
      </c>
      <c r="O78" s="45">
        <v>5.3</v>
      </c>
      <c r="P78" s="45">
        <v>69.8</v>
      </c>
      <c r="Q78" s="45">
        <v>179.8</v>
      </c>
      <c r="R78" s="49" t="s">
        <v>35</v>
      </c>
      <c r="S78" s="46">
        <v>52</v>
      </c>
      <c r="T78" s="46">
        <v>163</v>
      </c>
      <c r="U78" s="46">
        <v>221</v>
      </c>
      <c r="V78" s="49" t="s">
        <v>35</v>
      </c>
      <c r="W78" s="47">
        <v>7.5763888888888884</v>
      </c>
      <c r="X78" s="47">
        <v>31.888333333333332</v>
      </c>
      <c r="Y78" s="59">
        <f t="shared" si="7"/>
        <v>143.0530744168197</v>
      </c>
      <c r="AB78" s="62"/>
      <c r="AC78" s="62"/>
      <c r="AD78" s="87"/>
      <c r="AE78" s="86"/>
      <c r="AF78" s="85"/>
      <c r="AG78" s="85"/>
      <c r="AH78" s="87"/>
      <c r="AI78" s="87"/>
      <c r="AJ78" s="87"/>
      <c r="AK78" s="87"/>
      <c r="AL78" s="87"/>
      <c r="AM78" s="87"/>
      <c r="AN78" s="63"/>
      <c r="AO78" s="63"/>
      <c r="AP78" s="63"/>
      <c r="AQ78" s="63"/>
      <c r="AR78" s="63"/>
      <c r="AS78" s="93"/>
    </row>
    <row r="79" spans="5:45" s="60" customFormat="1" ht="17">
      <c r="E79" s="56" t="str">
        <f t="shared" si="8"/>
        <v/>
      </c>
      <c r="F79" s="44" t="s">
        <v>188</v>
      </c>
      <c r="G79" s="57" t="s">
        <v>35</v>
      </c>
      <c r="H79" s="58">
        <f t="shared" si="9"/>
        <v>198.73592429155826</v>
      </c>
      <c r="I79" s="58">
        <f t="shared" si="6"/>
        <v>60.895003994719154</v>
      </c>
      <c r="J79" s="44" t="s">
        <v>189</v>
      </c>
      <c r="K79" s="48">
        <v>7.69</v>
      </c>
      <c r="L79" s="48">
        <v>7.91</v>
      </c>
      <c r="M79" s="45">
        <v>11.8</v>
      </c>
      <c r="N79" s="49" t="s">
        <v>35</v>
      </c>
      <c r="O79" s="45">
        <v>2.4</v>
      </c>
      <c r="P79" s="45">
        <v>141.4</v>
      </c>
      <c r="Q79" s="49" t="s">
        <v>35</v>
      </c>
      <c r="R79" s="49" t="s">
        <v>35</v>
      </c>
      <c r="S79" s="46">
        <v>118</v>
      </c>
      <c r="T79" s="46">
        <v>41</v>
      </c>
      <c r="U79" s="49" t="s">
        <v>35</v>
      </c>
      <c r="V79" s="49" t="s">
        <v>35</v>
      </c>
      <c r="W79" s="47">
        <v>16.481388888888887</v>
      </c>
      <c r="X79" s="47">
        <v>18.414166666666667</v>
      </c>
      <c r="Y79" s="59">
        <f t="shared" si="7"/>
        <v>9.4780744168197089</v>
      </c>
      <c r="AB79" s="62"/>
      <c r="AC79" s="62"/>
      <c r="AD79" s="87"/>
      <c r="AE79" s="86"/>
      <c r="AF79" s="85"/>
      <c r="AG79" s="85"/>
      <c r="AH79" s="87"/>
      <c r="AI79" s="87"/>
      <c r="AJ79" s="87"/>
      <c r="AK79" s="87"/>
      <c r="AL79" s="87"/>
      <c r="AM79" s="87"/>
      <c r="AN79" s="63"/>
      <c r="AO79" s="63"/>
      <c r="AP79" s="63"/>
      <c r="AQ79" s="63"/>
      <c r="AR79" s="63"/>
      <c r="AS79" s="93"/>
    </row>
    <row r="80" spans="5:45" s="60" customFormat="1" ht="17">
      <c r="E80" s="56" t="str">
        <f t="shared" si="8"/>
        <v/>
      </c>
      <c r="F80" s="44" t="s">
        <v>190</v>
      </c>
      <c r="G80" s="57" t="s">
        <v>35</v>
      </c>
      <c r="H80" s="58">
        <f t="shared" si="9"/>
        <v>189.65962037047552</v>
      </c>
      <c r="I80" s="58">
        <f t="shared" si="6"/>
        <v>47.389866854521593</v>
      </c>
      <c r="J80" s="44" t="s">
        <v>189</v>
      </c>
      <c r="K80" s="48">
        <v>5.76</v>
      </c>
      <c r="L80" s="48">
        <v>6.92</v>
      </c>
      <c r="M80" s="45">
        <v>11.4</v>
      </c>
      <c r="N80" s="49" t="s">
        <v>35</v>
      </c>
      <c r="O80" s="45">
        <v>69.3</v>
      </c>
      <c r="P80" s="45">
        <v>25.9</v>
      </c>
      <c r="Q80" s="49" t="s">
        <v>35</v>
      </c>
      <c r="R80" s="49" t="s">
        <v>35</v>
      </c>
      <c r="S80" s="46">
        <v>229</v>
      </c>
      <c r="T80" s="46">
        <v>316</v>
      </c>
      <c r="U80" s="49" t="s">
        <v>35</v>
      </c>
      <c r="V80" s="49" t="s">
        <v>35</v>
      </c>
      <c r="W80" s="47">
        <v>16.677222222222223</v>
      </c>
      <c r="X80" s="47">
        <v>4.2197222222222219</v>
      </c>
      <c r="Y80" s="59">
        <f t="shared" si="7"/>
        <v>6.540574416819652</v>
      </c>
      <c r="AB80" s="62"/>
      <c r="AC80" s="62"/>
      <c r="AD80" s="87"/>
      <c r="AE80" s="86"/>
      <c r="AF80" s="85"/>
      <c r="AG80" s="85"/>
      <c r="AH80" s="87"/>
      <c r="AI80" s="87"/>
      <c r="AJ80" s="87"/>
      <c r="AK80" s="87"/>
      <c r="AL80" s="87"/>
      <c r="AM80" s="87"/>
      <c r="AN80" s="63"/>
      <c r="AO80" s="63"/>
      <c r="AP80" s="63"/>
      <c r="AQ80" s="63"/>
      <c r="AR80" s="63"/>
      <c r="AS80" s="93"/>
    </row>
    <row r="81" spans="5:45" s="60" customFormat="1" ht="17">
      <c r="E81" s="56" t="str">
        <f t="shared" si="8"/>
        <v/>
      </c>
      <c r="F81" s="44" t="s">
        <v>191</v>
      </c>
      <c r="G81" s="57" t="s">
        <v>35</v>
      </c>
      <c r="H81" s="58">
        <f t="shared" si="9"/>
        <v>190.71199372335749</v>
      </c>
      <c r="I81" s="58">
        <f t="shared" si="6"/>
        <v>56.770509477548572</v>
      </c>
      <c r="J81" s="44" t="s">
        <v>189</v>
      </c>
      <c r="K81" s="48">
        <v>9.1300000000000008</v>
      </c>
      <c r="L81" s="48">
        <v>9.56</v>
      </c>
      <c r="M81" s="48">
        <v>11.38</v>
      </c>
      <c r="N81" s="49" t="s">
        <v>35</v>
      </c>
      <c r="O81" s="45">
        <v>12.8</v>
      </c>
      <c r="P81" s="45">
        <v>119.1</v>
      </c>
      <c r="Q81" s="49" t="s">
        <v>35</v>
      </c>
      <c r="R81" s="49" t="s">
        <v>35</v>
      </c>
      <c r="S81" s="46">
        <v>334</v>
      </c>
      <c r="T81" s="46">
        <v>191</v>
      </c>
      <c r="U81" s="49" t="s">
        <v>35</v>
      </c>
      <c r="V81" s="49" t="s">
        <v>35</v>
      </c>
      <c r="W81" s="47">
        <v>16.71222222222222</v>
      </c>
      <c r="X81" s="47">
        <v>13.608055555555556</v>
      </c>
      <c r="Y81" s="59">
        <f t="shared" si="7"/>
        <v>6.0155744168197316</v>
      </c>
      <c r="AB81" s="62"/>
      <c r="AC81" s="62"/>
      <c r="AD81" s="87"/>
      <c r="AE81" s="86"/>
      <c r="AF81" s="85"/>
      <c r="AG81" s="85"/>
      <c r="AH81" s="87"/>
      <c r="AI81" s="87"/>
      <c r="AJ81" s="87"/>
      <c r="AK81" s="87"/>
      <c r="AL81" s="87"/>
      <c r="AM81" s="87"/>
      <c r="AN81" s="63"/>
      <c r="AO81" s="63"/>
      <c r="AP81" s="63"/>
      <c r="AQ81" s="63"/>
      <c r="AR81" s="63"/>
      <c r="AS81" s="93"/>
    </row>
    <row r="82" spans="5:45" s="60" customFormat="1" ht="17">
      <c r="E82" s="56" t="str">
        <f t="shared" si="8"/>
        <v>*</v>
      </c>
      <c r="F82" s="44" t="s">
        <v>192</v>
      </c>
      <c r="G82" s="57" t="s">
        <v>35</v>
      </c>
      <c r="H82" s="58">
        <f t="shared" si="9"/>
        <v>143.95655560582009</v>
      </c>
      <c r="I82" s="58">
        <f t="shared" si="6"/>
        <v>66.316579237321889</v>
      </c>
      <c r="J82" s="44" t="s">
        <v>189</v>
      </c>
      <c r="K82" s="48">
        <v>5.81</v>
      </c>
      <c r="L82" s="48">
        <v>5.84</v>
      </c>
      <c r="M82" s="45">
        <v>11.8</v>
      </c>
      <c r="N82" s="49" t="s">
        <v>35</v>
      </c>
      <c r="O82" s="45">
        <v>14.3</v>
      </c>
      <c r="P82" s="45">
        <v>79.900000000000006</v>
      </c>
      <c r="Q82" s="49" t="s">
        <v>35</v>
      </c>
      <c r="R82" s="49" t="s">
        <v>35</v>
      </c>
      <c r="S82" s="46">
        <v>183</v>
      </c>
      <c r="T82" s="46">
        <v>127</v>
      </c>
      <c r="U82" s="49" t="s">
        <v>35</v>
      </c>
      <c r="V82" s="49" t="s">
        <v>35</v>
      </c>
      <c r="W82" s="66">
        <v>18.130555555555556</v>
      </c>
      <c r="X82" s="47">
        <v>26.101111111111113</v>
      </c>
      <c r="Y82" s="59">
        <f t="shared" si="7"/>
        <v>-15.259425583180303</v>
      </c>
      <c r="AB82" s="62"/>
      <c r="AC82" s="62"/>
      <c r="AD82" s="87"/>
      <c r="AE82" s="86"/>
      <c r="AF82" s="85"/>
      <c r="AG82" s="85"/>
      <c r="AH82" s="87"/>
      <c r="AI82" s="87"/>
      <c r="AJ82" s="87"/>
      <c r="AK82" s="87"/>
      <c r="AL82" s="87"/>
      <c r="AM82" s="87"/>
      <c r="AN82" s="63"/>
      <c r="AO82" s="63"/>
      <c r="AP82" s="63"/>
      <c r="AQ82" s="63"/>
      <c r="AR82" s="63"/>
      <c r="AS82" s="93"/>
    </row>
    <row r="83" spans="5:45" s="60" customFormat="1" ht="17">
      <c r="E83" s="56" t="str">
        <f t="shared" si="8"/>
        <v/>
      </c>
      <c r="F83" s="44" t="s">
        <v>193</v>
      </c>
      <c r="G83" s="57" t="s">
        <v>35</v>
      </c>
      <c r="H83" s="58">
        <f t="shared" si="9"/>
        <v>287.46194827396391</v>
      </c>
      <c r="I83" s="58">
        <f t="shared" si="6"/>
        <v>-25.411962423118727</v>
      </c>
      <c r="J83" s="44" t="s">
        <v>194</v>
      </c>
      <c r="K83" s="45">
        <v>8.8000000000000007</v>
      </c>
      <c r="L83" s="45">
        <v>10.7</v>
      </c>
      <c r="M83" s="45">
        <v>9.9</v>
      </c>
      <c r="N83" s="49" t="s">
        <v>35</v>
      </c>
      <c r="O83" s="45">
        <v>7.2</v>
      </c>
      <c r="P83" s="45">
        <v>8.1</v>
      </c>
      <c r="Q83" s="49" t="s">
        <v>35</v>
      </c>
      <c r="R83" s="49" t="s">
        <v>35</v>
      </c>
      <c r="S83" s="46">
        <v>137</v>
      </c>
      <c r="T83" s="46">
        <v>280</v>
      </c>
      <c r="U83" s="49" t="s">
        <v>35</v>
      </c>
      <c r="V83" s="49" t="s">
        <v>35</v>
      </c>
      <c r="W83" s="66">
        <v>9.1311111111111121</v>
      </c>
      <c r="X83" s="47">
        <v>-7.1388888888888893</v>
      </c>
      <c r="Y83" s="59">
        <f t="shared" si="7"/>
        <v>119.73224108348634</v>
      </c>
      <c r="AB83" s="62"/>
      <c r="AC83" s="62"/>
      <c r="AD83" s="87"/>
      <c r="AE83" s="86"/>
      <c r="AF83" s="85"/>
      <c r="AG83" s="85"/>
      <c r="AH83" s="87"/>
      <c r="AI83" s="87"/>
      <c r="AJ83" s="87"/>
      <c r="AK83" s="87"/>
      <c r="AL83" s="87"/>
      <c r="AM83" s="87"/>
      <c r="AN83" s="63"/>
      <c r="AO83" s="63"/>
      <c r="AP83" s="63"/>
      <c r="AQ83" s="63"/>
      <c r="AR83" s="63"/>
      <c r="AS83" s="93"/>
    </row>
    <row r="84" spans="5:45" s="60" customFormat="1" ht="17">
      <c r="E84" s="56" t="str">
        <f t="shared" si="8"/>
        <v/>
      </c>
      <c r="F84" s="44" t="s">
        <v>195</v>
      </c>
      <c r="G84" s="57" t="s">
        <v>35</v>
      </c>
      <c r="H84" s="58">
        <f t="shared" si="9"/>
        <v>281.81405869316967</v>
      </c>
      <c r="I84" s="58">
        <f t="shared" si="6"/>
        <v>-30.395592685878167</v>
      </c>
      <c r="J84" s="44" t="s">
        <v>194</v>
      </c>
      <c r="K84" s="45">
        <v>7.7</v>
      </c>
      <c r="L84" s="46">
        <v>10</v>
      </c>
      <c r="M84" s="46">
        <v>11</v>
      </c>
      <c r="N84" s="49" t="s">
        <v>35</v>
      </c>
      <c r="O84" s="45">
        <v>2.5</v>
      </c>
      <c r="P84" s="45">
        <v>26.9</v>
      </c>
      <c r="Q84" s="49" t="s">
        <v>35</v>
      </c>
      <c r="R84" s="49" t="s">
        <v>35</v>
      </c>
      <c r="S84" s="46">
        <v>223</v>
      </c>
      <c r="T84" s="46">
        <v>325</v>
      </c>
      <c r="U84" s="49" t="s">
        <v>35</v>
      </c>
      <c r="V84" s="49" t="s">
        <v>35</v>
      </c>
      <c r="W84" s="66">
        <v>9.1502777777777773</v>
      </c>
      <c r="X84" s="47">
        <v>-14.184166666666666</v>
      </c>
      <c r="Y84" s="59">
        <f t="shared" si="7"/>
        <v>119.44474108348635</v>
      </c>
      <c r="AB84" s="62"/>
      <c r="AC84" s="62"/>
      <c r="AD84" s="87"/>
      <c r="AE84" s="86"/>
      <c r="AF84" s="85"/>
      <c r="AG84" s="85"/>
      <c r="AH84" s="87"/>
      <c r="AI84" s="87"/>
      <c r="AJ84" s="87"/>
      <c r="AK84" s="87"/>
      <c r="AL84" s="87"/>
      <c r="AM84" s="87"/>
      <c r="AN84" s="63"/>
      <c r="AO84" s="63"/>
      <c r="AP84" s="63"/>
      <c r="AQ84" s="63"/>
      <c r="AR84" s="63"/>
      <c r="AS84" s="93"/>
    </row>
    <row r="85" spans="5:45" s="60" customFormat="1" ht="17">
      <c r="E85" s="56" t="str">
        <f t="shared" si="8"/>
        <v/>
      </c>
      <c r="F85" s="44" t="s">
        <v>196</v>
      </c>
      <c r="G85" s="57" t="s">
        <v>35</v>
      </c>
      <c r="H85" s="58">
        <f t="shared" si="9"/>
        <v>238.78814643717214</v>
      </c>
      <c r="I85" s="58">
        <f t="shared" si="6"/>
        <v>-15.134554420842736</v>
      </c>
      <c r="J85" s="44" t="s">
        <v>194</v>
      </c>
      <c r="K85" s="45">
        <v>7.6</v>
      </c>
      <c r="L85" s="45">
        <v>7.8</v>
      </c>
      <c r="M85" s="45">
        <v>11.6</v>
      </c>
      <c r="N85" s="49" t="s">
        <v>35</v>
      </c>
      <c r="O85" s="45">
        <v>18.7</v>
      </c>
      <c r="P85" s="45">
        <v>28.9</v>
      </c>
      <c r="Q85" s="49" t="s">
        <v>35</v>
      </c>
      <c r="R85" s="49" t="s">
        <v>35</v>
      </c>
      <c r="S85" s="46">
        <v>81</v>
      </c>
      <c r="T85" s="46">
        <v>32</v>
      </c>
      <c r="U85" s="49" t="s">
        <v>35</v>
      </c>
      <c r="V85" s="49" t="s">
        <v>35</v>
      </c>
      <c r="W85" s="47">
        <v>11.945</v>
      </c>
      <c r="X85" s="47">
        <v>-32.268055555555556</v>
      </c>
      <c r="Y85" s="59">
        <f t="shared" si="7"/>
        <v>77.523907750153001</v>
      </c>
      <c r="AB85" s="71"/>
      <c r="AC85" s="62"/>
      <c r="AD85" s="87"/>
      <c r="AE85" s="86"/>
      <c r="AF85" s="85"/>
      <c r="AG85" s="85"/>
      <c r="AH85" s="87"/>
      <c r="AI85" s="87"/>
      <c r="AJ85" s="87"/>
      <c r="AK85" s="87"/>
      <c r="AL85" s="87"/>
      <c r="AM85" s="87"/>
      <c r="AN85" s="63"/>
      <c r="AO85" s="63"/>
      <c r="AP85" s="63"/>
      <c r="AQ85" s="63"/>
      <c r="AR85" s="63"/>
      <c r="AS85" s="93"/>
    </row>
    <row r="86" spans="5:45" s="60" customFormat="1" ht="34">
      <c r="E86" s="56" t="str">
        <f t="shared" si="8"/>
        <v>*</v>
      </c>
      <c r="F86" s="44" t="s">
        <v>197</v>
      </c>
      <c r="G86" s="57" t="s">
        <v>35</v>
      </c>
      <c r="H86" s="58">
        <f t="shared" si="9"/>
        <v>60.776443504399523</v>
      </c>
      <c r="I86" s="58">
        <f t="shared" si="6"/>
        <v>30.815314986290037</v>
      </c>
      <c r="J86" s="44" t="s">
        <v>198</v>
      </c>
      <c r="K86" s="48">
        <v>7.06</v>
      </c>
      <c r="L86" s="48">
        <v>11.48</v>
      </c>
      <c r="M86" s="48">
        <v>8.11</v>
      </c>
      <c r="N86" s="49" t="s">
        <v>280</v>
      </c>
      <c r="O86" s="45">
        <v>18.7</v>
      </c>
      <c r="P86" s="45">
        <v>81.599999999999994</v>
      </c>
      <c r="Q86" s="44" t="s">
        <v>199</v>
      </c>
      <c r="R86" s="44" t="s">
        <v>200</v>
      </c>
      <c r="S86" s="46">
        <v>264</v>
      </c>
      <c r="T86" s="46">
        <v>338</v>
      </c>
      <c r="U86" s="44" t="s">
        <v>201</v>
      </c>
      <c r="V86" s="44" t="s">
        <v>202</v>
      </c>
      <c r="W86" s="47">
        <v>22.863611111111112</v>
      </c>
      <c r="X86" s="47">
        <v>41.312777777777775</v>
      </c>
      <c r="Y86" s="59">
        <f t="shared" si="7"/>
        <v>-86.25525891651364</v>
      </c>
      <c r="AB86" s="63"/>
      <c r="AC86" s="62"/>
      <c r="AD86" s="63"/>
      <c r="AF86" s="63"/>
      <c r="AG86" s="63"/>
      <c r="AH86" s="63"/>
      <c r="AI86" s="63"/>
      <c r="AJ86" s="63"/>
      <c r="AK86" s="63"/>
      <c r="AL86" s="63"/>
      <c r="AM86" s="63"/>
      <c r="AN86" s="63"/>
      <c r="AO86" s="63"/>
      <c r="AP86" s="63"/>
      <c r="AQ86" s="63"/>
      <c r="AR86" s="63"/>
      <c r="AS86" s="93"/>
    </row>
    <row r="87" spans="5:45" s="60" customFormat="1" ht="17">
      <c r="E87" s="56" t="str">
        <f t="shared" si="8"/>
        <v/>
      </c>
      <c r="F87" s="44" t="s">
        <v>203</v>
      </c>
      <c r="G87" s="57" t="s">
        <v>35</v>
      </c>
      <c r="H87" s="58">
        <f t="shared" si="9"/>
        <v>300.65223183965168</v>
      </c>
      <c r="I87" s="58">
        <f t="shared" si="6"/>
        <v>-0.66799538875940079</v>
      </c>
      <c r="J87" s="44" t="s">
        <v>204</v>
      </c>
      <c r="K87" s="48">
        <v>8.59</v>
      </c>
      <c r="L87" s="45">
        <v>9.6999999999999993</v>
      </c>
      <c r="M87" s="48">
        <v>12.48</v>
      </c>
      <c r="N87" s="49" t="s">
        <v>35</v>
      </c>
      <c r="O87" s="45">
        <v>16.399999999999999</v>
      </c>
      <c r="P87" s="45">
        <v>36.200000000000003</v>
      </c>
      <c r="Q87" s="49" t="s">
        <v>35</v>
      </c>
      <c r="R87" s="49" t="s">
        <v>35</v>
      </c>
      <c r="S87" s="46">
        <v>155</v>
      </c>
      <c r="T87" s="46">
        <v>297</v>
      </c>
      <c r="U87" s="49" t="s">
        <v>35</v>
      </c>
      <c r="V87" s="49" t="s">
        <v>35</v>
      </c>
      <c r="W87" s="47">
        <v>9.5336111111111101</v>
      </c>
      <c r="X87" s="47">
        <v>20.046944444444446</v>
      </c>
      <c r="Y87" s="59">
        <f t="shared" si="7"/>
        <v>113.69474108348638</v>
      </c>
      <c r="AB87" s="63"/>
      <c r="AC87" s="62"/>
      <c r="AD87" s="63"/>
      <c r="AF87" s="63"/>
      <c r="AG87" s="63"/>
      <c r="AH87" s="63"/>
      <c r="AI87" s="63"/>
      <c r="AJ87" s="63"/>
      <c r="AK87" s="63"/>
      <c r="AL87" s="63"/>
      <c r="AM87" s="63"/>
      <c r="AN87" s="63"/>
      <c r="AO87" s="63"/>
      <c r="AP87" s="63"/>
      <c r="AQ87" s="63"/>
      <c r="AR87" s="63"/>
      <c r="AS87" s="93"/>
    </row>
    <row r="88" spans="5:45" s="60" customFormat="1" ht="17">
      <c r="E88" s="56" t="str">
        <f t="shared" si="8"/>
        <v/>
      </c>
      <c r="F88" s="44" t="s">
        <v>205</v>
      </c>
      <c r="G88" s="57" t="s">
        <v>35</v>
      </c>
      <c r="H88" s="58">
        <f t="shared" si="9"/>
        <v>293.48290239757517</v>
      </c>
      <c r="I88" s="58">
        <f t="shared" si="6"/>
        <v>-6.7848875533744737</v>
      </c>
      <c r="J88" s="44" t="s">
        <v>204</v>
      </c>
      <c r="K88" s="45">
        <v>6.7</v>
      </c>
      <c r="L88" s="45">
        <v>10.7</v>
      </c>
      <c r="M88" s="45">
        <v>10.6</v>
      </c>
      <c r="N88" s="49" t="s">
        <v>35</v>
      </c>
      <c r="O88" s="45">
        <v>8.3000000000000007</v>
      </c>
      <c r="P88" s="45">
        <v>85.7</v>
      </c>
      <c r="Q88" s="49" t="s">
        <v>35</v>
      </c>
      <c r="R88" s="49" t="s">
        <v>35</v>
      </c>
      <c r="S88" s="46">
        <v>99</v>
      </c>
      <c r="T88" s="46">
        <v>81</v>
      </c>
      <c r="U88" s="49" t="s">
        <v>35</v>
      </c>
      <c r="V88" s="49" t="s">
        <v>35</v>
      </c>
      <c r="W88" s="47">
        <v>9.6458333333333321</v>
      </c>
      <c r="X88" s="47">
        <v>10.777500000000002</v>
      </c>
      <c r="Y88" s="59">
        <f t="shared" si="7"/>
        <v>112.01140775015304</v>
      </c>
      <c r="AB88" s="63"/>
      <c r="AC88" s="62"/>
      <c r="AD88" s="63"/>
      <c r="AF88" s="63"/>
      <c r="AG88" s="63"/>
      <c r="AH88" s="63"/>
      <c r="AI88" s="63"/>
      <c r="AJ88" s="63"/>
      <c r="AK88" s="63"/>
      <c r="AL88" s="63"/>
      <c r="AM88" s="63"/>
      <c r="AN88" s="63"/>
      <c r="AO88" s="63"/>
      <c r="AP88" s="63"/>
      <c r="AQ88" s="63"/>
      <c r="AR88" s="63"/>
      <c r="AS88" s="93"/>
    </row>
    <row r="89" spans="5:45" s="60" customFormat="1" ht="17">
      <c r="E89" s="56" t="str">
        <f t="shared" si="8"/>
        <v/>
      </c>
      <c r="F89" s="44" t="s">
        <v>206</v>
      </c>
      <c r="G89" s="57" t="s">
        <v>35</v>
      </c>
      <c r="H89" s="58">
        <f t="shared" si="9"/>
        <v>344.09788656962496</v>
      </c>
      <c r="I89" s="58">
        <f t="shared" si="6"/>
        <v>-60.622549557560212</v>
      </c>
      <c r="J89" s="44" t="s">
        <v>207</v>
      </c>
      <c r="K89" s="48">
        <v>6.69</v>
      </c>
      <c r="L89" s="48">
        <v>7.83</v>
      </c>
      <c r="M89" s="48">
        <v>8.89</v>
      </c>
      <c r="N89" s="45">
        <v>9.5</v>
      </c>
      <c r="O89" s="45">
        <v>0.5</v>
      </c>
      <c r="P89" s="45">
        <v>88.8</v>
      </c>
      <c r="Q89" s="44" t="s">
        <v>128</v>
      </c>
      <c r="R89" s="49" t="s">
        <v>35</v>
      </c>
      <c r="S89" s="46">
        <v>160</v>
      </c>
      <c r="T89" s="46">
        <v>137</v>
      </c>
      <c r="U89" s="44" t="s">
        <v>208</v>
      </c>
      <c r="V89" s="49" t="s">
        <v>35</v>
      </c>
      <c r="W89" s="47">
        <v>5.6544444444444446</v>
      </c>
      <c r="X89" s="47">
        <v>-17.849444444444444</v>
      </c>
      <c r="Y89" s="59">
        <f t="shared" si="7"/>
        <v>171.88224108348635</v>
      </c>
      <c r="AB89" s="63"/>
      <c r="AC89" s="62"/>
      <c r="AD89" s="63"/>
      <c r="AF89" s="63"/>
      <c r="AG89" s="63"/>
      <c r="AH89" s="63"/>
      <c r="AI89" s="63"/>
      <c r="AJ89" s="63"/>
      <c r="AK89" s="63"/>
      <c r="AL89" s="63"/>
      <c r="AM89" s="63"/>
      <c r="AN89" s="63"/>
      <c r="AO89" s="63"/>
      <c r="AP89" s="63"/>
      <c r="AQ89" s="63"/>
      <c r="AR89" s="63"/>
      <c r="AS89" s="93"/>
    </row>
    <row r="90" spans="5:45" s="60" customFormat="1" ht="17">
      <c r="E90" s="56" t="str">
        <f t="shared" si="8"/>
        <v/>
      </c>
      <c r="F90" s="44" t="s">
        <v>209</v>
      </c>
      <c r="G90" s="57" t="s">
        <v>35</v>
      </c>
      <c r="H90" s="58">
        <f t="shared" si="9"/>
        <v>349.24892150349899</v>
      </c>
      <c r="I90" s="58">
        <f t="shared" si="6"/>
        <v>16.162185284975344</v>
      </c>
      <c r="J90" s="44" t="s">
        <v>210</v>
      </c>
      <c r="K90" s="45">
        <v>5.3</v>
      </c>
      <c r="L90" s="45">
        <v>11.9</v>
      </c>
      <c r="M90" s="45">
        <v>7.9</v>
      </c>
      <c r="N90" s="44" t="s">
        <v>211</v>
      </c>
      <c r="O90" s="45">
        <v>32.4</v>
      </c>
      <c r="P90" s="45">
        <v>94.9</v>
      </c>
      <c r="Q90" s="45">
        <v>92.8</v>
      </c>
      <c r="R90" s="49" t="s">
        <v>35</v>
      </c>
      <c r="S90" s="46">
        <v>140</v>
      </c>
      <c r="T90" s="46">
        <v>272</v>
      </c>
      <c r="U90" s="46">
        <v>168</v>
      </c>
      <c r="V90" s="49" t="s">
        <v>35</v>
      </c>
      <c r="W90" s="66">
        <v>6.446944444444445</v>
      </c>
      <c r="X90" s="47">
        <v>58.417499999999997</v>
      </c>
      <c r="Y90" s="59">
        <f t="shared" si="7"/>
        <v>159.99474108348633</v>
      </c>
      <c r="AB90" s="63"/>
      <c r="AC90" s="62"/>
      <c r="AD90" s="63"/>
      <c r="AF90" s="63"/>
      <c r="AG90" s="63"/>
      <c r="AH90" s="63"/>
      <c r="AI90" s="63"/>
      <c r="AJ90" s="63"/>
      <c r="AK90" s="63"/>
      <c r="AL90" s="63"/>
      <c r="AM90" s="63"/>
      <c r="AN90" s="63"/>
      <c r="AO90" s="63"/>
      <c r="AP90" s="63"/>
      <c r="AQ90" s="63"/>
      <c r="AR90" s="63"/>
      <c r="AS90" s="93"/>
    </row>
    <row r="91" spans="5:45" s="60" customFormat="1" ht="17">
      <c r="E91" s="56" t="str">
        <f t="shared" si="8"/>
        <v>*</v>
      </c>
      <c r="F91" s="44" t="s">
        <v>212</v>
      </c>
      <c r="G91" s="57" t="s">
        <v>35</v>
      </c>
      <c r="H91" s="58">
        <f t="shared" si="9"/>
        <v>111.77913391301955</v>
      </c>
      <c r="I91" s="58">
        <f t="shared" si="6"/>
        <v>66.06480326193001</v>
      </c>
      <c r="J91" s="44" t="s">
        <v>213</v>
      </c>
      <c r="K91" s="45">
        <v>6.1</v>
      </c>
      <c r="L91" s="48">
        <v>9.1199999999999992</v>
      </c>
      <c r="M91" s="45">
        <v>7.6</v>
      </c>
      <c r="N91" s="46">
        <v>11</v>
      </c>
      <c r="O91" s="45">
        <v>1.8</v>
      </c>
      <c r="P91" s="45">
        <v>45.5</v>
      </c>
      <c r="Q91" s="45">
        <v>214.8</v>
      </c>
      <c r="R91" s="44" t="s">
        <v>214</v>
      </c>
      <c r="S91" s="46">
        <v>130</v>
      </c>
      <c r="T91" s="46">
        <v>350</v>
      </c>
      <c r="U91" s="46">
        <v>295</v>
      </c>
      <c r="V91" s="44" t="s">
        <v>215</v>
      </c>
      <c r="W91" s="47">
        <v>18.914444444444442</v>
      </c>
      <c r="X91" s="47">
        <v>33.968333333333334</v>
      </c>
      <c r="Y91" s="59">
        <f t="shared" si="7"/>
        <v>-27.017758916513628</v>
      </c>
      <c r="AB91" s="63"/>
      <c r="AC91" s="62"/>
      <c r="AD91" s="63"/>
      <c r="AF91" s="63"/>
      <c r="AG91" s="63"/>
      <c r="AH91" s="63"/>
      <c r="AI91" s="63"/>
      <c r="AJ91" s="63"/>
      <c r="AK91" s="63"/>
      <c r="AL91" s="63"/>
      <c r="AM91" s="63"/>
      <c r="AN91" s="63"/>
      <c r="AO91" s="63"/>
      <c r="AP91" s="63"/>
      <c r="AQ91" s="63"/>
      <c r="AR91" s="63"/>
      <c r="AS91" s="93"/>
    </row>
    <row r="92" spans="5:45" s="60" customFormat="1" ht="17">
      <c r="E92" s="56" t="str">
        <f t="shared" si="8"/>
        <v/>
      </c>
      <c r="F92" s="44" t="s">
        <v>216</v>
      </c>
      <c r="G92" s="57" t="s">
        <v>35</v>
      </c>
      <c r="H92" s="58">
        <f t="shared" si="9"/>
        <v>330.87195566790064</v>
      </c>
      <c r="I92" s="58">
        <f t="shared" si="6"/>
        <v>-44.762057792597105</v>
      </c>
      <c r="J92" s="44" t="s">
        <v>217</v>
      </c>
      <c r="K92" s="46">
        <v>5</v>
      </c>
      <c r="L92" s="45">
        <v>9.5</v>
      </c>
      <c r="M92" s="45">
        <v>9.8000000000000007</v>
      </c>
      <c r="N92" s="49" t="s">
        <v>35</v>
      </c>
      <c r="O92" s="46">
        <v>77</v>
      </c>
      <c r="P92" s="46">
        <v>78</v>
      </c>
      <c r="Q92" s="49" t="s">
        <v>35</v>
      </c>
      <c r="R92" s="49" t="s">
        <v>35</v>
      </c>
      <c r="S92" s="46">
        <v>257</v>
      </c>
      <c r="T92" s="46">
        <v>232</v>
      </c>
      <c r="U92" s="49" t="s">
        <v>35</v>
      </c>
      <c r="V92" s="49" t="s">
        <v>35</v>
      </c>
      <c r="W92" s="66">
        <v>6.4661111111111111</v>
      </c>
      <c r="X92" s="47">
        <v>-4.7622222222222224</v>
      </c>
      <c r="Y92" s="59">
        <f t="shared" si="7"/>
        <v>159.70724108348634</v>
      </c>
      <c r="AB92" s="63"/>
      <c r="AC92" s="62"/>
      <c r="AD92" s="63"/>
      <c r="AF92" s="63"/>
      <c r="AG92" s="63"/>
      <c r="AH92" s="63"/>
      <c r="AI92" s="63"/>
      <c r="AJ92" s="63"/>
      <c r="AK92" s="63"/>
      <c r="AL92" s="63"/>
      <c r="AM92" s="63"/>
      <c r="AN92" s="63"/>
      <c r="AO92" s="63"/>
      <c r="AP92" s="63"/>
      <c r="AQ92" s="63"/>
      <c r="AR92" s="63"/>
      <c r="AS92" s="93"/>
    </row>
    <row r="93" spans="5:45" s="60" customFormat="1" ht="51">
      <c r="E93" s="56" t="str">
        <f t="shared" si="8"/>
        <v/>
      </c>
      <c r="F93" s="44" t="s">
        <v>218</v>
      </c>
      <c r="G93" s="57" t="s">
        <v>35</v>
      </c>
      <c r="H93" s="58">
        <f t="shared" si="9"/>
        <v>190.02359029759339</v>
      </c>
      <c r="I93" s="58">
        <f t="shared" si="6"/>
        <v>19.482963418955688</v>
      </c>
      <c r="J93" s="44" t="s">
        <v>219</v>
      </c>
      <c r="K93" s="46">
        <v>5</v>
      </c>
      <c r="L93" s="45">
        <v>5.7</v>
      </c>
      <c r="M93" s="45">
        <v>7.2</v>
      </c>
      <c r="N93" s="49" t="s">
        <v>281</v>
      </c>
      <c r="O93" s="45">
        <v>2.9</v>
      </c>
      <c r="P93" s="45">
        <v>149.19999999999999</v>
      </c>
      <c r="Q93" s="46">
        <v>156</v>
      </c>
      <c r="R93" s="49" t="s">
        <v>282</v>
      </c>
      <c r="S93" s="46">
        <v>337</v>
      </c>
      <c r="T93" s="46">
        <v>0</v>
      </c>
      <c r="U93" s="46">
        <v>252</v>
      </c>
      <c r="V93" s="49" t="s">
        <v>283</v>
      </c>
      <c r="W93" s="47">
        <v>16.426388888888891</v>
      </c>
      <c r="X93" s="47">
        <v>-23.44638888888889</v>
      </c>
      <c r="Y93" s="59">
        <f t="shared" si="7"/>
        <v>10.303074416819641</v>
      </c>
      <c r="AB93" s="63"/>
      <c r="AC93" s="62"/>
      <c r="AD93" s="63"/>
      <c r="AF93" s="63"/>
      <c r="AG93" s="63"/>
      <c r="AH93" s="63"/>
      <c r="AI93" s="63"/>
      <c r="AJ93" s="63"/>
      <c r="AK93" s="63"/>
      <c r="AL93" s="63"/>
      <c r="AM93" s="63"/>
      <c r="AN93" s="63"/>
      <c r="AO93" s="63"/>
      <c r="AP93" s="63"/>
      <c r="AQ93" s="63"/>
      <c r="AR93" s="63"/>
      <c r="AS93" s="93"/>
    </row>
    <row r="94" spans="5:45" s="60" customFormat="1" ht="17">
      <c r="E94" s="56" t="str">
        <f t="shared" si="8"/>
        <v/>
      </c>
      <c r="F94" s="44" t="s">
        <v>220</v>
      </c>
      <c r="G94" s="57" t="s">
        <v>35</v>
      </c>
      <c r="H94" s="58">
        <f t="shared" si="9"/>
        <v>190.10777578582929</v>
      </c>
      <c r="I94" s="58">
        <f t="shared" si="6"/>
        <v>29.871041786779198</v>
      </c>
      <c r="J94" s="44" t="s">
        <v>219</v>
      </c>
      <c r="K94" s="45">
        <v>8.1999999999999993</v>
      </c>
      <c r="L94" s="45">
        <v>9.6999999999999993</v>
      </c>
      <c r="M94" s="45">
        <v>9.3000000000000007</v>
      </c>
      <c r="N94" s="45">
        <v>12.9</v>
      </c>
      <c r="O94" s="48">
        <v>5.67</v>
      </c>
      <c r="P94" s="45">
        <v>140.69999999999999</v>
      </c>
      <c r="Q94" s="45">
        <v>81.3</v>
      </c>
      <c r="R94" s="49" t="s">
        <v>35</v>
      </c>
      <c r="S94" s="46">
        <v>219</v>
      </c>
      <c r="T94" s="46">
        <v>295</v>
      </c>
      <c r="U94" s="46">
        <v>44</v>
      </c>
      <c r="V94" s="49" t="s">
        <v>35</v>
      </c>
      <c r="W94" s="47">
        <v>16.513888888888889</v>
      </c>
      <c r="X94" s="47">
        <v>-13.132777777777779</v>
      </c>
      <c r="Y94" s="59">
        <f t="shared" si="7"/>
        <v>8.9905744168196691</v>
      </c>
      <c r="AB94" s="63"/>
      <c r="AC94" s="62"/>
      <c r="AD94" s="63"/>
      <c r="AF94" s="63"/>
      <c r="AG94" s="63"/>
      <c r="AH94" s="63"/>
      <c r="AI94" s="63"/>
      <c r="AJ94" s="63"/>
      <c r="AK94" s="63"/>
      <c r="AL94" s="63"/>
      <c r="AM94" s="63"/>
      <c r="AN94" s="63"/>
      <c r="AO94" s="63"/>
      <c r="AP94" s="63"/>
      <c r="AQ94" s="63"/>
      <c r="AR94" s="63"/>
      <c r="AS94" s="93"/>
    </row>
    <row r="95" spans="5:45" s="60" customFormat="1" ht="17">
      <c r="E95" s="56" t="str">
        <f t="shared" si="8"/>
        <v/>
      </c>
      <c r="F95" s="44" t="s">
        <v>221</v>
      </c>
      <c r="G95" s="57" t="s">
        <v>35</v>
      </c>
      <c r="H95" s="58">
        <f t="shared" si="9"/>
        <v>2.1612068669304465</v>
      </c>
      <c r="I95" s="58">
        <f t="shared" si="6"/>
        <v>-28.981288158554634</v>
      </c>
      <c r="J95" s="44" t="s">
        <v>222</v>
      </c>
      <c r="K95" s="46">
        <v>6</v>
      </c>
      <c r="L95" s="45">
        <v>7.4</v>
      </c>
      <c r="M95" s="45">
        <v>9.6</v>
      </c>
      <c r="N95" s="45">
        <v>13.2</v>
      </c>
      <c r="O95" s="45">
        <v>39.4</v>
      </c>
      <c r="P95" s="46">
        <v>54</v>
      </c>
      <c r="Q95" s="45">
        <v>88.9</v>
      </c>
      <c r="R95" s="49" t="s">
        <v>35</v>
      </c>
      <c r="S95" s="46">
        <v>306</v>
      </c>
      <c r="T95" s="46">
        <v>89</v>
      </c>
      <c r="U95" s="46">
        <v>292</v>
      </c>
      <c r="V95" s="49" t="s">
        <v>35</v>
      </c>
      <c r="W95" s="47">
        <v>4.9830555555555556</v>
      </c>
      <c r="X95" s="47">
        <v>14.543333333333333</v>
      </c>
      <c r="Y95" s="59">
        <f t="shared" si="7"/>
        <v>181.95307441681967</v>
      </c>
      <c r="AB95" s="63"/>
      <c r="AC95" s="62"/>
      <c r="AD95" s="63"/>
      <c r="AF95" s="63"/>
      <c r="AG95" s="63"/>
      <c r="AH95" s="63"/>
      <c r="AI95" s="63"/>
      <c r="AJ95" s="63"/>
      <c r="AK95" s="63"/>
      <c r="AL95" s="63"/>
      <c r="AM95" s="63"/>
      <c r="AN95" s="63"/>
      <c r="AO95" s="63"/>
      <c r="AP95" s="63"/>
      <c r="AQ95" s="63"/>
      <c r="AR95" s="63"/>
      <c r="AS95" s="93"/>
    </row>
    <row r="96" spans="5:45" s="60" customFormat="1" ht="17">
      <c r="E96" s="56" t="str">
        <f t="shared" si="8"/>
        <v/>
      </c>
      <c r="F96" s="44" t="s">
        <v>223</v>
      </c>
      <c r="G96" s="57" t="s">
        <v>35</v>
      </c>
      <c r="H96" s="58">
        <f t="shared" si="9"/>
        <v>355.46982214731446</v>
      </c>
      <c r="I96" s="58">
        <f t="shared" si="6"/>
        <v>-27.395478684639166</v>
      </c>
      <c r="J96" s="44" t="s">
        <v>222</v>
      </c>
      <c r="K96" s="45">
        <v>7.2</v>
      </c>
      <c r="L96" s="45">
        <v>8.1</v>
      </c>
      <c r="M96" s="45">
        <v>10.8</v>
      </c>
      <c r="N96" s="46">
        <v>10</v>
      </c>
      <c r="O96" s="45">
        <v>25.9</v>
      </c>
      <c r="P96" s="45">
        <v>98.1</v>
      </c>
      <c r="Q96" s="46">
        <v>250</v>
      </c>
      <c r="R96" s="49" t="s">
        <v>35</v>
      </c>
      <c r="S96" s="46">
        <v>286</v>
      </c>
      <c r="T96" s="46">
        <v>284</v>
      </c>
      <c r="U96" s="46">
        <v>285</v>
      </c>
      <c r="V96" s="49" t="s">
        <v>35</v>
      </c>
      <c r="W96" s="66">
        <v>5.3922222222222222</v>
      </c>
      <c r="X96" s="47">
        <v>16.040555555555557</v>
      </c>
      <c r="Y96" s="59">
        <f t="shared" si="7"/>
        <v>175.81557441681969</v>
      </c>
      <c r="AB96" s="63"/>
      <c r="AC96" s="62"/>
      <c r="AD96" s="63"/>
      <c r="AF96" s="63"/>
      <c r="AG96" s="63"/>
      <c r="AH96" s="63"/>
      <c r="AI96" s="63"/>
      <c r="AJ96" s="63"/>
      <c r="AK96" s="63"/>
      <c r="AL96" s="63"/>
      <c r="AM96" s="63"/>
      <c r="AN96" s="63"/>
      <c r="AO96" s="63"/>
      <c r="AP96" s="63"/>
      <c r="AQ96" s="63"/>
      <c r="AR96" s="63"/>
      <c r="AS96" s="93"/>
    </row>
    <row r="97" spans="5:45" s="60" customFormat="1" ht="17">
      <c r="E97" s="56" t="str">
        <f t="shared" si="8"/>
        <v/>
      </c>
      <c r="F97" s="44" t="s">
        <v>224</v>
      </c>
      <c r="G97" s="57" t="s">
        <v>35</v>
      </c>
      <c r="H97" s="58">
        <f t="shared" si="9"/>
        <v>348.61105727680149</v>
      </c>
      <c r="I97" s="58">
        <f t="shared" si="6"/>
        <v>-45.558923130503352</v>
      </c>
      <c r="J97" s="44" t="s">
        <v>222</v>
      </c>
      <c r="K97" s="45">
        <v>7.8</v>
      </c>
      <c r="L97" s="45">
        <v>8.3000000000000007</v>
      </c>
      <c r="M97" s="45">
        <v>8.5</v>
      </c>
      <c r="N97" s="45">
        <v>11.8</v>
      </c>
      <c r="O97" s="45">
        <v>68.099999999999994</v>
      </c>
      <c r="P97" s="45">
        <v>72.099999999999994</v>
      </c>
      <c r="Q97" s="45">
        <v>32.700000000000003</v>
      </c>
      <c r="R97" s="49" t="s">
        <v>35</v>
      </c>
      <c r="S97" s="46">
        <v>202</v>
      </c>
      <c r="T97" s="46">
        <v>209</v>
      </c>
      <c r="U97" s="46">
        <v>308</v>
      </c>
      <c r="V97" s="95" t="s">
        <v>35</v>
      </c>
      <c r="W97" s="47">
        <v>5.6436111111111105</v>
      </c>
      <c r="X97" s="47">
        <v>-2.5536111111111111</v>
      </c>
      <c r="Y97" s="59">
        <f t="shared" si="7"/>
        <v>172.04474108348637</v>
      </c>
      <c r="AB97" s="63"/>
      <c r="AC97" s="62"/>
      <c r="AD97" s="63"/>
      <c r="AF97" s="63"/>
      <c r="AG97" s="63"/>
      <c r="AH97" s="63"/>
      <c r="AI97" s="63"/>
      <c r="AJ97" s="63"/>
      <c r="AK97" s="63"/>
      <c r="AL97" s="63"/>
      <c r="AM97" s="63"/>
      <c r="AN97" s="63"/>
      <c r="AO97" s="63"/>
      <c r="AP97" s="63"/>
      <c r="AQ97" s="63"/>
      <c r="AR97" s="63"/>
      <c r="AS97" s="93"/>
    </row>
    <row r="98" spans="5:45" s="60" customFormat="1" ht="17">
      <c r="E98" s="56" t="str">
        <f t="shared" si="8"/>
        <v/>
      </c>
      <c r="F98" s="44" t="s">
        <v>225</v>
      </c>
      <c r="G98" s="57" t="s">
        <v>35</v>
      </c>
      <c r="H98" s="58">
        <f t="shared" si="9"/>
        <v>347.78775767798271</v>
      </c>
      <c r="I98" s="58">
        <f t="shared" si="6"/>
        <v>-39.022743487881456</v>
      </c>
      <c r="J98" s="44" t="s">
        <v>222</v>
      </c>
      <c r="K98" s="45">
        <v>7.6</v>
      </c>
      <c r="L98" s="46">
        <v>10</v>
      </c>
      <c r="M98" s="45">
        <v>10.3</v>
      </c>
      <c r="N98" s="49" t="s">
        <v>35</v>
      </c>
      <c r="O98" s="45">
        <v>7.5</v>
      </c>
      <c r="P98" s="45">
        <v>36.200000000000003</v>
      </c>
      <c r="Q98" s="49" t="s">
        <v>35</v>
      </c>
      <c r="R98" s="49" t="s">
        <v>35</v>
      </c>
      <c r="S98" s="46">
        <v>91</v>
      </c>
      <c r="T98" s="46">
        <v>149</v>
      </c>
      <c r="U98" s="49" t="s">
        <v>35</v>
      </c>
      <c r="V98" s="49" t="s">
        <v>35</v>
      </c>
      <c r="W98" s="47">
        <v>5.7452777777777779</v>
      </c>
      <c r="X98" s="47">
        <v>3.8313888888888887</v>
      </c>
      <c r="Y98" s="59">
        <f t="shared" si="7"/>
        <v>170.51974108348634</v>
      </c>
      <c r="AB98" s="63"/>
      <c r="AC98" s="62"/>
      <c r="AD98" s="63"/>
      <c r="AF98" s="63"/>
      <c r="AG98" s="63"/>
      <c r="AH98" s="63"/>
      <c r="AI98" s="63"/>
      <c r="AJ98" s="63"/>
      <c r="AK98" s="63"/>
      <c r="AL98" s="63"/>
      <c r="AM98" s="63"/>
      <c r="AN98" s="63"/>
      <c r="AO98" s="63"/>
      <c r="AP98" s="63"/>
      <c r="AQ98" s="63"/>
      <c r="AR98" s="63"/>
      <c r="AS98" s="93"/>
    </row>
    <row r="99" spans="5:45" s="60" customFormat="1" ht="17">
      <c r="E99" s="56" t="str">
        <f t="shared" si="8"/>
        <v/>
      </c>
      <c r="F99" s="44" t="s">
        <v>226</v>
      </c>
      <c r="G99" s="57" t="s">
        <v>35</v>
      </c>
      <c r="H99" s="58">
        <f t="shared" si="9"/>
        <v>345.02009474158763</v>
      </c>
      <c r="I99" s="58">
        <f t="shared" si="6"/>
        <v>-37.121004775529919</v>
      </c>
      <c r="J99" s="44" t="s">
        <v>222</v>
      </c>
      <c r="K99" s="45">
        <v>8.3000000000000007</v>
      </c>
      <c r="L99" s="45">
        <v>9.8000000000000007</v>
      </c>
      <c r="M99" s="45">
        <v>9.6999999999999993</v>
      </c>
      <c r="N99" s="49" t="s">
        <v>35</v>
      </c>
      <c r="O99" s="46">
        <v>13</v>
      </c>
      <c r="P99" s="46">
        <v>85</v>
      </c>
      <c r="Q99" s="49" t="s">
        <v>35</v>
      </c>
      <c r="R99" s="49" t="s">
        <v>35</v>
      </c>
      <c r="S99" s="46">
        <v>137</v>
      </c>
      <c r="T99" s="46">
        <v>309</v>
      </c>
      <c r="U99" s="49" t="s">
        <v>35</v>
      </c>
      <c r="V99" s="49" t="s">
        <v>35</v>
      </c>
      <c r="W99" s="47">
        <v>5.9097222222222223</v>
      </c>
      <c r="X99" s="47">
        <v>5.3536111111111104</v>
      </c>
      <c r="Y99" s="59">
        <f t="shared" si="7"/>
        <v>168.0530744168197</v>
      </c>
      <c r="AB99" s="63"/>
      <c r="AC99" s="62"/>
      <c r="AD99" s="63"/>
      <c r="AF99" s="63"/>
      <c r="AG99" s="63"/>
      <c r="AH99" s="63"/>
      <c r="AI99" s="63"/>
      <c r="AJ99" s="63"/>
      <c r="AK99" s="63"/>
      <c r="AL99" s="63"/>
      <c r="AM99" s="63"/>
      <c r="AN99" s="63"/>
      <c r="AO99" s="63"/>
      <c r="AP99" s="63"/>
      <c r="AQ99" s="63"/>
      <c r="AR99" s="63"/>
      <c r="AS99" s="93"/>
    </row>
    <row r="100" spans="5:45" s="60" customFormat="1" ht="17">
      <c r="E100" s="56" t="str">
        <f t="shared" si="8"/>
        <v/>
      </c>
      <c r="F100" s="44" t="s">
        <v>227</v>
      </c>
      <c r="G100" s="57" t="s">
        <v>35</v>
      </c>
      <c r="H100" s="58">
        <f t="shared" si="9"/>
        <v>338.24802908855133</v>
      </c>
      <c r="I100" s="58">
        <f t="shared" si="6"/>
        <v>-37.348211187715023</v>
      </c>
      <c r="J100" s="44" t="s">
        <v>222</v>
      </c>
      <c r="K100" s="45">
        <v>6.9</v>
      </c>
      <c r="L100" s="45">
        <v>12.3</v>
      </c>
      <c r="M100" s="46">
        <v>10</v>
      </c>
      <c r="N100" s="49" t="s">
        <v>35</v>
      </c>
      <c r="O100" s="45">
        <v>19.7</v>
      </c>
      <c r="P100" s="45">
        <v>57.8</v>
      </c>
      <c r="Q100" s="49" t="s">
        <v>35</v>
      </c>
      <c r="R100" s="49" t="s">
        <v>35</v>
      </c>
      <c r="S100" s="46">
        <v>97</v>
      </c>
      <c r="T100" s="46">
        <v>232</v>
      </c>
      <c r="U100" s="49" t="s">
        <v>35</v>
      </c>
      <c r="V100" s="49" t="s">
        <v>35</v>
      </c>
      <c r="W100" s="66">
        <v>6.2583333333333337</v>
      </c>
      <c r="X100" s="47">
        <v>3.9583333333333335</v>
      </c>
      <c r="Y100" s="59">
        <f t="shared" si="7"/>
        <v>162.82390775015301</v>
      </c>
      <c r="AB100" s="63"/>
      <c r="AC100" s="62"/>
      <c r="AD100" s="63"/>
      <c r="AF100" s="63"/>
      <c r="AG100" s="63"/>
      <c r="AH100" s="63"/>
      <c r="AI100" s="63"/>
      <c r="AJ100" s="63"/>
      <c r="AK100" s="63"/>
      <c r="AL100" s="63"/>
      <c r="AM100" s="63"/>
      <c r="AN100" s="63"/>
      <c r="AO100" s="63"/>
      <c r="AP100" s="63"/>
      <c r="AQ100" s="63"/>
      <c r="AR100" s="63"/>
      <c r="AS100" s="93"/>
    </row>
    <row r="101" spans="5:45" s="60" customFormat="1" ht="17">
      <c r="E101" s="56" t="str">
        <f t="shared" si="8"/>
        <v/>
      </c>
      <c r="F101" s="44" t="s">
        <v>228</v>
      </c>
      <c r="G101" s="57" t="s">
        <v>35</v>
      </c>
      <c r="H101" s="58">
        <f t="shared" si="9"/>
        <v>67.03278559102344</v>
      </c>
      <c r="I101" s="58">
        <f t="shared" si="6"/>
        <v>3.3128802953593541</v>
      </c>
      <c r="J101" s="44" t="s">
        <v>229</v>
      </c>
      <c r="K101" s="45">
        <v>9.3000000000000007</v>
      </c>
      <c r="L101" s="45">
        <v>9.6</v>
      </c>
      <c r="M101" s="46">
        <v>12</v>
      </c>
      <c r="N101" s="45">
        <v>7.4</v>
      </c>
      <c r="O101" s="45">
        <v>3.4</v>
      </c>
      <c r="P101" s="46">
        <v>66</v>
      </c>
      <c r="Q101" s="45">
        <v>572.9</v>
      </c>
      <c r="R101" s="49" t="s">
        <v>35</v>
      </c>
      <c r="S101" s="46">
        <v>136</v>
      </c>
      <c r="T101" s="46">
        <v>272</v>
      </c>
      <c r="U101" s="46">
        <v>359</v>
      </c>
      <c r="V101" s="49" t="s">
        <v>35</v>
      </c>
      <c r="W101" s="47">
        <v>9.8611111111111108E-2</v>
      </c>
      <c r="X101" s="47">
        <v>18.076111111111111</v>
      </c>
      <c r="Y101" s="59">
        <f t="shared" si="7"/>
        <v>255.21974108348635</v>
      </c>
      <c r="AB101" s="63"/>
      <c r="AC101" s="62"/>
      <c r="AD101" s="63"/>
      <c r="AF101" s="63"/>
      <c r="AG101" s="63"/>
      <c r="AH101" s="63"/>
      <c r="AI101" s="63"/>
      <c r="AJ101" s="63"/>
      <c r="AK101" s="63"/>
      <c r="AL101" s="63"/>
      <c r="AM101" s="63"/>
      <c r="AN101" s="63"/>
      <c r="AO101" s="63"/>
      <c r="AP101" s="63"/>
      <c r="AQ101" s="63"/>
      <c r="AR101" s="63"/>
      <c r="AS101" s="93"/>
    </row>
    <row r="102" spans="5:45" s="60" customFormat="1" ht="17">
      <c r="E102" s="56" t="str">
        <f t="shared" si="8"/>
        <v/>
      </c>
      <c r="F102" s="44" t="s">
        <v>230</v>
      </c>
      <c r="G102" s="57" t="s">
        <v>35</v>
      </c>
      <c r="H102" s="58">
        <f t="shared" si="9"/>
        <v>100.29550549626633</v>
      </c>
      <c r="I102" s="58">
        <f t="shared" si="6"/>
        <v>24.802879382929067</v>
      </c>
      <c r="J102" s="44" t="s">
        <v>229</v>
      </c>
      <c r="K102" s="45">
        <v>7.3</v>
      </c>
      <c r="L102" s="45">
        <v>7.4</v>
      </c>
      <c r="M102" s="45">
        <v>10.199999999999999</v>
      </c>
      <c r="N102" s="49"/>
      <c r="O102" s="45">
        <v>1.9</v>
      </c>
      <c r="P102" s="45">
        <v>135.9</v>
      </c>
      <c r="Q102" s="49" t="s">
        <v>35</v>
      </c>
      <c r="R102" s="49" t="s">
        <v>35</v>
      </c>
      <c r="S102" s="46">
        <v>258</v>
      </c>
      <c r="T102" s="46">
        <v>331</v>
      </c>
      <c r="U102" s="49" t="s">
        <v>35</v>
      </c>
      <c r="V102" s="49" t="s">
        <v>35</v>
      </c>
      <c r="W102" s="47">
        <v>21.481388888888887</v>
      </c>
      <c r="X102" s="47">
        <v>11.084722222222222</v>
      </c>
      <c r="Y102" s="59">
        <f t="shared" si="7"/>
        <v>-65.521925583180291</v>
      </c>
      <c r="AB102" s="63"/>
      <c r="AC102" s="62"/>
      <c r="AD102" s="63"/>
      <c r="AF102" s="63"/>
      <c r="AG102" s="63"/>
      <c r="AH102" s="63"/>
      <c r="AI102" s="63"/>
      <c r="AJ102" s="63"/>
      <c r="AK102" s="63"/>
      <c r="AL102" s="63"/>
      <c r="AM102" s="63"/>
      <c r="AN102" s="63"/>
      <c r="AO102" s="63"/>
      <c r="AP102" s="63"/>
      <c r="AQ102" s="63"/>
      <c r="AR102" s="63"/>
      <c r="AS102" s="93"/>
    </row>
    <row r="103" spans="5:45" s="60" customFormat="1" ht="17">
      <c r="E103" s="56" t="str">
        <f t="shared" si="8"/>
        <v/>
      </c>
      <c r="F103" s="44" t="s">
        <v>231</v>
      </c>
      <c r="G103" s="57" t="s">
        <v>35</v>
      </c>
      <c r="H103" s="58">
        <f t="shared" si="9"/>
        <v>31.594028021588326</v>
      </c>
      <c r="I103" s="58">
        <f t="shared" si="6"/>
        <v>13.711131571890874</v>
      </c>
      <c r="J103" s="44" t="s">
        <v>232</v>
      </c>
      <c r="K103" s="48">
        <v>6.47</v>
      </c>
      <c r="L103" s="48">
        <v>7.22</v>
      </c>
      <c r="M103" s="48">
        <v>9.24</v>
      </c>
      <c r="N103" s="48">
        <v>10.01</v>
      </c>
      <c r="O103" s="45">
        <v>2.1</v>
      </c>
      <c r="P103" s="45">
        <v>20.8</v>
      </c>
      <c r="Q103" s="45">
        <v>138.69999999999999</v>
      </c>
      <c r="R103" s="44" t="s">
        <v>233</v>
      </c>
      <c r="S103" s="46">
        <v>199</v>
      </c>
      <c r="T103" s="46">
        <v>178</v>
      </c>
      <c r="U103" s="46">
        <v>96</v>
      </c>
      <c r="V103" s="44" t="s">
        <v>234</v>
      </c>
      <c r="W103" s="47">
        <v>1.8208333333333333</v>
      </c>
      <c r="X103" s="47">
        <v>47.896388888888886</v>
      </c>
      <c r="Y103" s="59">
        <f t="shared" si="7"/>
        <v>229.38640775015301</v>
      </c>
      <c r="AB103" s="63"/>
      <c r="AC103" s="62"/>
      <c r="AD103" s="63"/>
      <c r="AF103" s="63"/>
      <c r="AG103" s="63"/>
      <c r="AH103" s="63"/>
      <c r="AI103" s="63"/>
      <c r="AJ103" s="63"/>
      <c r="AK103" s="63"/>
      <c r="AL103" s="63"/>
      <c r="AM103" s="63"/>
      <c r="AN103" s="63"/>
      <c r="AO103" s="63"/>
      <c r="AP103" s="63"/>
      <c r="AQ103" s="63"/>
      <c r="AR103" s="63"/>
      <c r="AS103" s="93"/>
    </row>
    <row r="104" spans="5:45" s="60" customFormat="1" ht="17">
      <c r="E104" s="56" t="str">
        <f t="shared" si="8"/>
        <v/>
      </c>
      <c r="F104" s="44" t="s">
        <v>37</v>
      </c>
      <c r="G104" s="57" t="s">
        <v>35</v>
      </c>
      <c r="H104" s="58">
        <f t="shared" si="9"/>
        <v>21.867548125952521</v>
      </c>
      <c r="I104" s="58">
        <f t="shared" ref="I104:I121" si="10">ASIN(SIN($Y$123*X104)*SIN($Y$123*$C$13)+COS($Y$123*X104)*COS($Y$123*$C$13)*COS($Y$123*Y104))/$Y$123</f>
        <v>17.139157401865479</v>
      </c>
      <c r="J104" s="44" t="s">
        <v>232</v>
      </c>
      <c r="K104" s="46">
        <v>7</v>
      </c>
      <c r="L104" s="48">
        <v>9.66</v>
      </c>
      <c r="M104" s="48">
        <v>11.37</v>
      </c>
      <c r="N104" s="45">
        <v>14.2</v>
      </c>
      <c r="O104" s="45">
        <v>21.3</v>
      </c>
      <c r="P104" s="46">
        <v>48</v>
      </c>
      <c r="Q104" s="46">
        <v>51</v>
      </c>
      <c r="R104" s="49"/>
      <c r="S104" s="46">
        <v>306</v>
      </c>
      <c r="T104" s="46">
        <v>333</v>
      </c>
      <c r="U104" s="46">
        <v>281</v>
      </c>
      <c r="V104" s="49"/>
      <c r="W104" s="47">
        <v>2.5140555555555557</v>
      </c>
      <c r="X104" s="47">
        <v>55.548333333333332</v>
      </c>
      <c r="Y104" s="59">
        <f t="shared" si="7"/>
        <v>218.98807441681967</v>
      </c>
      <c r="AB104" s="63"/>
      <c r="AC104" s="62"/>
      <c r="AD104" s="63"/>
      <c r="AF104" s="63"/>
      <c r="AG104" s="63"/>
      <c r="AH104" s="63"/>
      <c r="AI104" s="63"/>
      <c r="AJ104" s="63"/>
      <c r="AK104" s="63"/>
      <c r="AL104" s="63"/>
      <c r="AM104" s="63"/>
      <c r="AN104" s="63"/>
      <c r="AO104" s="63"/>
      <c r="AP104" s="63"/>
      <c r="AQ104" s="63"/>
      <c r="AR104" s="63"/>
      <c r="AS104" s="93"/>
    </row>
    <row r="105" spans="5:45" s="60" customFormat="1" ht="34">
      <c r="E105" s="56" t="str">
        <f t="shared" si="8"/>
        <v/>
      </c>
      <c r="F105" s="44" t="s">
        <v>235</v>
      </c>
      <c r="G105" s="57" t="s">
        <v>35</v>
      </c>
      <c r="H105" s="58">
        <f t="shared" si="9"/>
        <v>15.591759559466762</v>
      </c>
      <c r="I105" s="58">
        <f t="shared" si="10"/>
        <v>-9.9654572310110634</v>
      </c>
      <c r="J105" s="44" t="s">
        <v>232</v>
      </c>
      <c r="K105" s="45">
        <v>2.8</v>
      </c>
      <c r="L105" s="45">
        <v>9.1</v>
      </c>
      <c r="M105" s="45">
        <v>11.2</v>
      </c>
      <c r="N105" s="49" t="s">
        <v>284</v>
      </c>
      <c r="O105" s="45">
        <v>12.9</v>
      </c>
      <c r="P105" s="45">
        <v>33.299999999999997</v>
      </c>
      <c r="Q105" s="45">
        <v>98.6</v>
      </c>
      <c r="R105" s="44" t="s">
        <v>236</v>
      </c>
      <c r="S105" s="46">
        <v>209</v>
      </c>
      <c r="T105" s="46">
        <v>286</v>
      </c>
      <c r="U105" s="46">
        <v>195</v>
      </c>
      <c r="V105" s="44" t="s">
        <v>237</v>
      </c>
      <c r="W105" s="47">
        <v>3.902222222222222</v>
      </c>
      <c r="X105" s="47">
        <v>31.883611111111112</v>
      </c>
      <c r="Y105" s="59">
        <f t="shared" si="7"/>
        <v>198.16557441681968</v>
      </c>
      <c r="AB105" s="63"/>
      <c r="AC105" s="62"/>
      <c r="AD105" s="63"/>
      <c r="AF105" s="63"/>
      <c r="AG105" s="63"/>
      <c r="AH105" s="63"/>
      <c r="AI105" s="63"/>
      <c r="AJ105" s="63"/>
      <c r="AK105" s="63"/>
      <c r="AL105" s="63"/>
      <c r="AM105" s="63"/>
      <c r="AN105" s="63"/>
      <c r="AO105" s="63"/>
      <c r="AP105" s="63"/>
      <c r="AQ105" s="63"/>
      <c r="AR105" s="63"/>
      <c r="AS105" s="93"/>
    </row>
    <row r="106" spans="5:45" s="60" customFormat="1" ht="17">
      <c r="E106" s="56" t="str">
        <f t="shared" si="8"/>
        <v/>
      </c>
      <c r="F106" s="44" t="s">
        <v>238</v>
      </c>
      <c r="G106" s="57" t="s">
        <v>35</v>
      </c>
      <c r="H106" s="58">
        <f t="shared" si="9"/>
        <v>8.8366053348621634</v>
      </c>
      <c r="I106" s="58">
        <f t="shared" si="10"/>
        <v>-8.6725689978220029</v>
      </c>
      <c r="J106" s="44" t="s">
        <v>232</v>
      </c>
      <c r="K106" s="45">
        <v>7.3</v>
      </c>
      <c r="L106" s="45">
        <v>8.4</v>
      </c>
      <c r="M106" s="46">
        <v>12</v>
      </c>
      <c r="N106" s="49" t="s">
        <v>35</v>
      </c>
      <c r="O106" s="46">
        <v>20</v>
      </c>
      <c r="P106" s="45">
        <v>106.9</v>
      </c>
      <c r="Q106" s="49" t="s">
        <v>35</v>
      </c>
      <c r="R106" s="49" t="s">
        <v>35</v>
      </c>
      <c r="S106" s="46">
        <v>61</v>
      </c>
      <c r="T106" s="46">
        <v>193</v>
      </c>
      <c r="U106" s="49" t="s">
        <v>35</v>
      </c>
      <c r="V106" s="49" t="s">
        <v>35</v>
      </c>
      <c r="W106" s="66">
        <v>4.406944444444445</v>
      </c>
      <c r="X106" s="47">
        <v>34.314722222222223</v>
      </c>
      <c r="Y106" s="59">
        <f t="shared" si="7"/>
        <v>190.59474108348633</v>
      </c>
      <c r="AB106" s="63"/>
      <c r="AC106" s="62"/>
      <c r="AD106" s="63"/>
      <c r="AF106" s="63"/>
      <c r="AG106" s="63"/>
      <c r="AH106" s="63"/>
      <c r="AI106" s="63"/>
      <c r="AJ106" s="63"/>
      <c r="AK106" s="63"/>
      <c r="AL106" s="63"/>
      <c r="AM106" s="63"/>
      <c r="AN106" s="63"/>
      <c r="AO106" s="63"/>
      <c r="AP106" s="63"/>
      <c r="AQ106" s="63"/>
      <c r="AR106" s="63"/>
      <c r="AS106" s="93"/>
    </row>
    <row r="107" spans="5:45" s="60" customFormat="1" ht="17">
      <c r="E107" s="56" t="str">
        <f t="shared" si="8"/>
        <v/>
      </c>
      <c r="F107" s="44" t="s">
        <v>239</v>
      </c>
      <c r="G107" s="57" t="s">
        <v>35</v>
      </c>
      <c r="H107" s="58">
        <f t="shared" si="9"/>
        <v>265.67662037678321</v>
      </c>
      <c r="I107" s="58">
        <f t="shared" si="10"/>
        <v>-51.219782799945357</v>
      </c>
      <c r="J107" s="44" t="s">
        <v>240</v>
      </c>
      <c r="K107" s="48">
        <v>7.86</v>
      </c>
      <c r="L107" s="45">
        <v>9.9</v>
      </c>
      <c r="M107" s="48">
        <v>10.35</v>
      </c>
      <c r="N107" s="49" t="s">
        <v>35</v>
      </c>
      <c r="O107" s="45">
        <v>6.2</v>
      </c>
      <c r="P107" s="45">
        <v>47.7</v>
      </c>
      <c r="Q107" s="49" t="s">
        <v>35</v>
      </c>
      <c r="R107" s="49" t="s">
        <v>35</v>
      </c>
      <c r="S107" s="46">
        <v>308</v>
      </c>
      <c r="T107" s="46">
        <v>219</v>
      </c>
      <c r="U107" s="49" t="s">
        <v>35</v>
      </c>
      <c r="V107" s="49" t="s">
        <v>35</v>
      </c>
      <c r="W107" s="66">
        <v>8.5238888888888891</v>
      </c>
      <c r="X107" s="47">
        <v>-36.693333333333328</v>
      </c>
      <c r="Y107" s="59">
        <f t="shared" si="7"/>
        <v>128.84057441681966</v>
      </c>
      <c r="AB107" s="63"/>
      <c r="AC107" s="62"/>
      <c r="AD107" s="63"/>
      <c r="AF107" s="63"/>
      <c r="AG107" s="63"/>
      <c r="AH107" s="63"/>
      <c r="AI107" s="63"/>
      <c r="AJ107" s="63"/>
      <c r="AK107" s="63"/>
      <c r="AL107" s="63"/>
      <c r="AM107" s="63"/>
      <c r="AN107" s="63"/>
      <c r="AO107" s="63"/>
      <c r="AP107" s="63"/>
      <c r="AQ107" s="63"/>
      <c r="AR107" s="63"/>
      <c r="AS107" s="93"/>
    </row>
    <row r="108" spans="5:45" s="60" customFormat="1" ht="17">
      <c r="E108" s="56" t="str">
        <f t="shared" si="8"/>
        <v/>
      </c>
      <c r="F108" s="44" t="s">
        <v>241</v>
      </c>
      <c r="G108" s="57" t="s">
        <v>35</v>
      </c>
      <c r="H108" s="58">
        <f t="shared" si="9"/>
        <v>268.92216783715111</v>
      </c>
      <c r="I108" s="58">
        <f t="shared" si="10"/>
        <v>-46.230254647351451</v>
      </c>
      <c r="J108" s="44" t="s">
        <v>240</v>
      </c>
      <c r="K108" s="48">
        <v>6.96</v>
      </c>
      <c r="L108" s="45">
        <v>11.9</v>
      </c>
      <c r="M108" s="45">
        <v>11.8</v>
      </c>
      <c r="N108" s="49" t="s">
        <v>35</v>
      </c>
      <c r="O108" s="45">
        <v>15.8</v>
      </c>
      <c r="P108" s="45">
        <v>20.3</v>
      </c>
      <c r="Q108" s="49" t="s">
        <v>35</v>
      </c>
      <c r="R108" s="49" t="s">
        <v>35</v>
      </c>
      <c r="S108" s="46">
        <v>327</v>
      </c>
      <c r="T108" s="46">
        <v>278</v>
      </c>
      <c r="U108" s="49" t="s">
        <v>35</v>
      </c>
      <c r="V108" s="49" t="s">
        <v>35</v>
      </c>
      <c r="W108" s="47">
        <v>8.7658333333333331</v>
      </c>
      <c r="X108" s="47">
        <v>-32.163888888888884</v>
      </c>
      <c r="Y108" s="59">
        <f t="shared" si="7"/>
        <v>125.21140775015303</v>
      </c>
      <c r="AB108" s="63"/>
      <c r="AC108" s="62"/>
      <c r="AD108" s="63"/>
      <c r="AF108" s="63"/>
      <c r="AG108" s="63"/>
      <c r="AH108" s="63"/>
      <c r="AI108" s="63"/>
      <c r="AJ108" s="63"/>
      <c r="AK108" s="63"/>
      <c r="AL108" s="63"/>
      <c r="AM108" s="63"/>
      <c r="AN108" s="63"/>
      <c r="AO108" s="63"/>
      <c r="AP108" s="63"/>
      <c r="AQ108" s="63"/>
      <c r="AR108" s="63"/>
      <c r="AS108" s="93"/>
    </row>
    <row r="109" spans="5:45" s="60" customFormat="1" ht="17">
      <c r="E109" s="56" t="str">
        <f t="shared" si="8"/>
        <v/>
      </c>
      <c r="F109" s="44" t="s">
        <v>242</v>
      </c>
      <c r="G109" s="57" t="s">
        <v>35</v>
      </c>
      <c r="H109" s="58">
        <f t="shared" si="9"/>
        <v>267.61781386298287</v>
      </c>
      <c r="I109" s="58">
        <f t="shared" si="10"/>
        <v>-37.714911271639416</v>
      </c>
      <c r="J109" s="44" t="s">
        <v>240</v>
      </c>
      <c r="K109" s="48">
        <v>8.2899999999999991</v>
      </c>
      <c r="L109" s="48">
        <v>9.48</v>
      </c>
      <c r="M109" s="45">
        <v>8.1999999999999993</v>
      </c>
      <c r="N109" s="49" t="s">
        <v>35</v>
      </c>
      <c r="O109" s="45">
        <v>11.7</v>
      </c>
      <c r="P109" s="45">
        <v>6.7</v>
      </c>
      <c r="Q109" s="49" t="s">
        <v>35</v>
      </c>
      <c r="R109" s="49" t="s">
        <v>35</v>
      </c>
      <c r="S109" s="46">
        <v>111</v>
      </c>
      <c r="T109" s="46">
        <v>269</v>
      </c>
      <c r="U109" s="49" t="s">
        <v>35</v>
      </c>
      <c r="V109" s="49" t="s">
        <v>35</v>
      </c>
      <c r="W109" s="66">
        <v>9.3327777777777783</v>
      </c>
      <c r="X109" s="47">
        <v>-27.776388888888889</v>
      </c>
      <c r="Y109" s="59">
        <f t="shared" si="7"/>
        <v>116.70724108348634</v>
      </c>
      <c r="AB109" s="63"/>
      <c r="AC109" s="62"/>
      <c r="AD109" s="63"/>
      <c r="AF109" s="63"/>
      <c r="AG109" s="63"/>
      <c r="AH109" s="63"/>
      <c r="AI109" s="63"/>
      <c r="AJ109" s="63"/>
      <c r="AK109" s="63"/>
      <c r="AL109" s="63"/>
      <c r="AM109" s="63"/>
      <c r="AN109" s="63"/>
      <c r="AO109" s="63"/>
      <c r="AP109" s="63"/>
      <c r="AQ109" s="63"/>
      <c r="AR109" s="63"/>
      <c r="AS109" s="93"/>
    </row>
    <row r="110" spans="5:45" s="60" customFormat="1" ht="34">
      <c r="E110" s="56" t="str">
        <f t="shared" si="8"/>
        <v/>
      </c>
      <c r="F110" s="44" t="s">
        <v>243</v>
      </c>
      <c r="G110" s="57" t="s">
        <v>35</v>
      </c>
      <c r="H110" s="58">
        <f t="shared" si="9"/>
        <v>177.48324750328206</v>
      </c>
      <c r="I110" s="58">
        <f t="shared" si="10"/>
        <v>8.5142987472962677</v>
      </c>
      <c r="J110" s="44" t="s">
        <v>244</v>
      </c>
      <c r="K110" s="45">
        <v>6.3</v>
      </c>
      <c r="L110" s="45">
        <v>7.3</v>
      </c>
      <c r="M110" s="45">
        <v>10.199999999999999</v>
      </c>
      <c r="N110" s="44" t="s">
        <v>245</v>
      </c>
      <c r="O110" s="45">
        <v>0.5</v>
      </c>
      <c r="P110" s="45">
        <v>33.1</v>
      </c>
      <c r="Q110" s="46">
        <v>65</v>
      </c>
      <c r="R110" s="49" t="s">
        <v>285</v>
      </c>
      <c r="S110" s="46">
        <v>23</v>
      </c>
      <c r="T110" s="46">
        <v>141</v>
      </c>
      <c r="U110" s="46">
        <v>287</v>
      </c>
      <c r="V110" s="49" t="s">
        <v>286</v>
      </c>
      <c r="W110" s="47">
        <v>17.315833333333334</v>
      </c>
      <c r="X110" s="47">
        <v>-34.98972222222222</v>
      </c>
      <c r="Y110" s="59">
        <f t="shared" si="7"/>
        <v>-3.0385922498469995</v>
      </c>
      <c r="AB110" s="63"/>
      <c r="AC110" s="62"/>
      <c r="AD110" s="63"/>
      <c r="AF110" s="63"/>
      <c r="AG110" s="63"/>
      <c r="AH110" s="63"/>
      <c r="AI110" s="63"/>
      <c r="AJ110" s="63"/>
      <c r="AK110" s="63"/>
      <c r="AL110" s="63"/>
      <c r="AM110" s="63"/>
      <c r="AN110" s="63"/>
      <c r="AO110" s="63"/>
      <c r="AP110" s="63"/>
      <c r="AQ110" s="63"/>
      <c r="AR110" s="63"/>
      <c r="AS110" s="93"/>
    </row>
    <row r="111" spans="5:45" s="60" customFormat="1" ht="17">
      <c r="E111" s="56" t="str">
        <f t="shared" si="8"/>
        <v/>
      </c>
      <c r="F111" s="44" t="s">
        <v>246</v>
      </c>
      <c r="G111" s="57" t="s">
        <v>35</v>
      </c>
      <c r="H111" s="58">
        <f t="shared" si="9"/>
        <v>206.03250780236445</v>
      </c>
      <c r="I111" s="58">
        <f t="shared" si="10"/>
        <v>54.491590014122671</v>
      </c>
      <c r="J111" s="44" t="s">
        <v>247</v>
      </c>
      <c r="K111" s="45">
        <v>6.8</v>
      </c>
      <c r="L111" s="45">
        <v>7.9</v>
      </c>
      <c r="M111" s="45">
        <v>10.8</v>
      </c>
      <c r="N111" s="49" t="s">
        <v>35</v>
      </c>
      <c r="O111" s="45">
        <v>37.5</v>
      </c>
      <c r="P111" s="45">
        <v>162.69999999999999</v>
      </c>
      <c r="Q111" s="49" t="s">
        <v>35</v>
      </c>
      <c r="R111" s="49" t="s">
        <v>35</v>
      </c>
      <c r="S111" s="46">
        <v>322</v>
      </c>
      <c r="T111" s="46">
        <v>137</v>
      </c>
      <c r="U111" s="49" t="s">
        <v>35</v>
      </c>
      <c r="V111" s="49" t="s">
        <v>35</v>
      </c>
      <c r="W111" s="66">
        <v>16.100833333333334</v>
      </c>
      <c r="X111" s="47">
        <v>13.321111111111112</v>
      </c>
      <c r="Y111" s="59">
        <f t="shared" si="7"/>
        <v>15.186407750152995</v>
      </c>
      <c r="AB111" s="63"/>
      <c r="AC111" s="62"/>
      <c r="AD111" s="63"/>
      <c r="AF111" s="63"/>
      <c r="AG111" s="63"/>
      <c r="AH111" s="63"/>
      <c r="AI111" s="63"/>
      <c r="AJ111" s="63"/>
      <c r="AK111" s="63"/>
      <c r="AL111" s="63"/>
      <c r="AM111" s="63"/>
      <c r="AN111" s="63"/>
      <c r="AO111" s="63"/>
      <c r="AP111" s="63"/>
      <c r="AQ111" s="63"/>
      <c r="AR111" s="63"/>
      <c r="AS111" s="93"/>
    </row>
    <row r="112" spans="5:45" s="60" customFormat="1" ht="17">
      <c r="E112" s="56" t="str">
        <f t="shared" si="8"/>
        <v/>
      </c>
      <c r="F112" s="44" t="s">
        <v>248</v>
      </c>
      <c r="G112" s="57" t="s">
        <v>35</v>
      </c>
      <c r="H112" s="58">
        <f t="shared" si="9"/>
        <v>274.76450604739989</v>
      </c>
      <c r="I112" s="58">
        <f t="shared" si="10"/>
        <v>-4.14023889859115</v>
      </c>
      <c r="J112" s="44" t="s">
        <v>249</v>
      </c>
      <c r="K112" s="48">
        <v>8.26</v>
      </c>
      <c r="L112" s="48">
        <v>10.26</v>
      </c>
      <c r="M112" s="48">
        <v>10.51</v>
      </c>
      <c r="N112" s="49" t="s">
        <v>35</v>
      </c>
      <c r="O112" s="45">
        <v>5.8</v>
      </c>
      <c r="P112" s="45">
        <v>66.7</v>
      </c>
      <c r="Q112" s="49" t="s">
        <v>35</v>
      </c>
      <c r="R112" s="49" t="s">
        <v>35</v>
      </c>
      <c r="S112" s="46">
        <v>302</v>
      </c>
      <c r="T112" s="46">
        <v>226</v>
      </c>
      <c r="U112" s="49" t="s">
        <v>35</v>
      </c>
      <c r="V112" s="49" t="s">
        <v>35</v>
      </c>
      <c r="W112" s="47">
        <v>10.693055555555556</v>
      </c>
      <c r="X112" s="47">
        <v>0.2722222222222222</v>
      </c>
      <c r="Y112" s="59">
        <f t="shared" si="7"/>
        <v>96.303074416819669</v>
      </c>
      <c r="AB112" s="63"/>
      <c r="AC112" s="62"/>
      <c r="AD112" s="63"/>
      <c r="AF112" s="63"/>
      <c r="AG112" s="63"/>
      <c r="AH112" s="63"/>
      <c r="AI112" s="63"/>
      <c r="AJ112" s="63"/>
      <c r="AK112" s="63"/>
      <c r="AL112" s="63"/>
      <c r="AM112" s="63"/>
      <c r="AN112" s="63"/>
      <c r="AO112" s="63"/>
      <c r="AP112" s="63"/>
      <c r="AQ112" s="63"/>
      <c r="AR112" s="63"/>
      <c r="AS112" s="93"/>
    </row>
    <row r="113" spans="5:45" s="60" customFormat="1" ht="34">
      <c r="E113" s="56" t="str">
        <f t="shared" si="8"/>
        <v/>
      </c>
      <c r="F113" s="44" t="s">
        <v>305</v>
      </c>
      <c r="G113" s="57" t="s">
        <v>35</v>
      </c>
      <c r="H113" s="58">
        <f t="shared" si="9"/>
        <v>21.5980936941206</v>
      </c>
      <c r="I113" s="58">
        <f t="shared" si="10"/>
        <v>-12.718518108011876</v>
      </c>
      <c r="J113" s="44" t="s">
        <v>250</v>
      </c>
      <c r="K113" s="49" t="s">
        <v>287</v>
      </c>
      <c r="L113" s="49" t="s">
        <v>288</v>
      </c>
      <c r="M113" s="44" t="s">
        <v>251</v>
      </c>
      <c r="N113" s="49" t="s">
        <v>35</v>
      </c>
      <c r="O113" s="44" t="s">
        <v>252</v>
      </c>
      <c r="P113" s="44" t="s">
        <v>253</v>
      </c>
      <c r="Q113" s="49" t="s">
        <v>35</v>
      </c>
      <c r="R113" s="49" t="s">
        <v>35</v>
      </c>
      <c r="S113" s="44" t="s">
        <v>254</v>
      </c>
      <c r="T113" s="49" t="s">
        <v>289</v>
      </c>
      <c r="U113" s="49" t="s">
        <v>35</v>
      </c>
      <c r="V113" s="49" t="s">
        <v>35</v>
      </c>
      <c r="W113" s="73">
        <v>3.5177777777777779</v>
      </c>
      <c r="X113" s="73">
        <v>27.731388888888887</v>
      </c>
      <c r="Y113" s="59">
        <f t="shared" si="7"/>
        <v>203.93224108348636</v>
      </c>
      <c r="AB113" s="63"/>
      <c r="AC113" s="62"/>
      <c r="AD113" s="63"/>
      <c r="AF113" s="63"/>
      <c r="AG113" s="63"/>
      <c r="AH113" s="63"/>
      <c r="AI113" s="63"/>
      <c r="AJ113" s="63"/>
      <c r="AK113" s="63"/>
      <c r="AL113" s="63"/>
      <c r="AM113" s="63"/>
      <c r="AN113" s="63"/>
      <c r="AO113" s="63"/>
      <c r="AP113" s="63"/>
      <c r="AQ113" s="63"/>
      <c r="AR113" s="63"/>
      <c r="AS113" s="93"/>
    </row>
    <row r="114" spans="5:45" s="60" customFormat="1" ht="17">
      <c r="E114" s="56" t="str">
        <f t="shared" si="8"/>
        <v/>
      </c>
      <c r="F114" s="44" t="s">
        <v>255</v>
      </c>
      <c r="G114" s="57" t="s">
        <v>35</v>
      </c>
      <c r="H114" s="58">
        <f t="shared" si="9"/>
        <v>18.911400236209143</v>
      </c>
      <c r="I114" s="58">
        <f t="shared" si="10"/>
        <v>-17.194533241991117</v>
      </c>
      <c r="J114" s="44" t="s">
        <v>250</v>
      </c>
      <c r="K114" s="45">
        <v>2.8</v>
      </c>
      <c r="L114" s="45">
        <v>6.2</v>
      </c>
      <c r="M114" s="45">
        <v>8.1999999999999993</v>
      </c>
      <c r="N114" s="45">
        <v>8.6999999999999993</v>
      </c>
      <c r="O114" s="45">
        <v>117.6</v>
      </c>
      <c r="P114" s="46">
        <v>182</v>
      </c>
      <c r="Q114" s="45">
        <v>191.8</v>
      </c>
      <c r="R114" s="49"/>
      <c r="S114" s="46">
        <v>291</v>
      </c>
      <c r="T114" s="46">
        <v>313</v>
      </c>
      <c r="U114" s="46">
        <v>297</v>
      </c>
      <c r="V114" s="49" t="s">
        <v>35</v>
      </c>
      <c r="W114" s="47">
        <v>3.7913888888888887</v>
      </c>
      <c r="X114" s="47">
        <v>24.105</v>
      </c>
      <c r="Y114" s="59">
        <f t="shared" si="7"/>
        <v>199.82807441681967</v>
      </c>
      <c r="AB114" s="63"/>
      <c r="AC114" s="62"/>
      <c r="AD114" s="63"/>
      <c r="AF114" s="63"/>
      <c r="AG114" s="63"/>
      <c r="AH114" s="63"/>
      <c r="AI114" s="63"/>
      <c r="AJ114" s="63"/>
      <c r="AK114" s="63"/>
      <c r="AL114" s="63"/>
      <c r="AM114" s="63"/>
      <c r="AN114" s="63"/>
      <c r="AO114" s="63"/>
      <c r="AP114" s="63"/>
      <c r="AQ114" s="63"/>
      <c r="AR114" s="63"/>
      <c r="AS114" s="93"/>
    </row>
    <row r="115" spans="5:45" s="60" customFormat="1" ht="17">
      <c r="E115" s="56" t="str">
        <f t="shared" si="8"/>
        <v/>
      </c>
      <c r="F115" s="44" t="s">
        <v>256</v>
      </c>
      <c r="G115" s="57" t="s">
        <v>35</v>
      </c>
      <c r="H115" s="58">
        <f t="shared" si="9"/>
        <v>32.978830812334017</v>
      </c>
      <c r="I115" s="58">
        <f t="shared" si="10"/>
        <v>-2.0211994090293319</v>
      </c>
      <c r="J115" s="44" t="s">
        <v>257</v>
      </c>
      <c r="K115" s="48">
        <v>7.93</v>
      </c>
      <c r="L115" s="48">
        <v>11.27</v>
      </c>
      <c r="M115" s="48">
        <v>10.16</v>
      </c>
      <c r="N115" s="48">
        <v>10.61</v>
      </c>
      <c r="O115" s="45">
        <v>1.2</v>
      </c>
      <c r="P115" s="45">
        <v>70.900000000000006</v>
      </c>
      <c r="Q115" s="49" t="s">
        <v>35</v>
      </c>
      <c r="R115" s="44" t="s">
        <v>258</v>
      </c>
      <c r="S115" s="46">
        <v>241</v>
      </c>
      <c r="T115" s="46">
        <v>152</v>
      </c>
      <c r="U115" s="49" t="s">
        <v>35</v>
      </c>
      <c r="V115" s="44" t="s">
        <v>259</v>
      </c>
      <c r="W115" s="66">
        <v>2.3983333333333334</v>
      </c>
      <c r="X115" s="47">
        <v>33.507777777777775</v>
      </c>
      <c r="Y115" s="59">
        <f t="shared" si="7"/>
        <v>220.72390775015302</v>
      </c>
      <c r="AB115" s="63"/>
      <c r="AC115" s="62"/>
      <c r="AD115" s="63"/>
      <c r="AF115" s="63"/>
      <c r="AG115" s="63"/>
      <c r="AH115" s="63"/>
      <c r="AI115" s="63"/>
      <c r="AJ115" s="63"/>
      <c r="AK115" s="63"/>
      <c r="AL115" s="63"/>
      <c r="AM115" s="63"/>
      <c r="AN115" s="63"/>
      <c r="AO115" s="63"/>
      <c r="AP115" s="63"/>
      <c r="AQ115" s="63"/>
      <c r="AR115" s="63"/>
      <c r="AS115" s="93"/>
    </row>
    <row r="116" spans="5:45" s="60" customFormat="1" ht="17">
      <c r="E116" s="56" t="str">
        <f t="shared" si="8"/>
        <v/>
      </c>
      <c r="F116" s="44" t="s">
        <v>260</v>
      </c>
      <c r="G116" s="57" t="s">
        <v>35</v>
      </c>
      <c r="H116" s="58">
        <f t="shared" si="9"/>
        <v>335.67079455511231</v>
      </c>
      <c r="I116" s="58">
        <f t="shared" si="10"/>
        <v>39.653368318599242</v>
      </c>
      <c r="J116" s="44" t="s">
        <v>261</v>
      </c>
      <c r="K116" s="45">
        <v>6.6</v>
      </c>
      <c r="L116" s="45">
        <v>7.2</v>
      </c>
      <c r="M116" s="45">
        <v>10.8</v>
      </c>
      <c r="N116" s="49" t="s">
        <v>35</v>
      </c>
      <c r="O116" s="45">
        <v>16.600000000000001</v>
      </c>
      <c r="P116" s="45">
        <v>153.19999999999999</v>
      </c>
      <c r="Q116" s="49" t="s">
        <v>35</v>
      </c>
      <c r="R116" s="49" t="s">
        <v>35</v>
      </c>
      <c r="S116" s="46">
        <v>168</v>
      </c>
      <c r="T116" s="46">
        <v>13</v>
      </c>
      <c r="U116" s="49" t="s">
        <v>35</v>
      </c>
      <c r="V116" s="49" t="s">
        <v>35</v>
      </c>
      <c r="W116" s="66">
        <v>10.297499999999999</v>
      </c>
      <c r="X116" s="47">
        <v>71.060833333333335</v>
      </c>
      <c r="Y116" s="59">
        <f t="shared" si="7"/>
        <v>102.23640775015303</v>
      </c>
      <c r="AB116" s="63"/>
      <c r="AC116" s="62"/>
      <c r="AD116" s="63"/>
      <c r="AF116" s="63"/>
      <c r="AG116" s="63"/>
      <c r="AH116" s="63"/>
      <c r="AI116" s="63"/>
      <c r="AJ116" s="63"/>
      <c r="AK116" s="63"/>
      <c r="AL116" s="63"/>
      <c r="AM116" s="63"/>
      <c r="AN116" s="63"/>
      <c r="AO116" s="63"/>
      <c r="AP116" s="63"/>
      <c r="AQ116" s="63"/>
      <c r="AR116" s="63"/>
      <c r="AS116" s="93"/>
    </row>
    <row r="117" spans="5:45" s="60" customFormat="1" ht="17">
      <c r="E117" s="56" t="str">
        <f t="shared" si="8"/>
        <v/>
      </c>
      <c r="F117" s="44" t="s">
        <v>262</v>
      </c>
      <c r="G117" s="57" t="s">
        <v>35</v>
      </c>
      <c r="H117" s="58">
        <f t="shared" si="9"/>
        <v>318.97920540005282</v>
      </c>
      <c r="I117" s="58">
        <f t="shared" si="10"/>
        <v>32.704086427914355</v>
      </c>
      <c r="J117" s="44" t="s">
        <v>261</v>
      </c>
      <c r="K117" s="45">
        <v>4.8</v>
      </c>
      <c r="L117" s="45">
        <v>8.8000000000000007</v>
      </c>
      <c r="M117" s="45">
        <v>11.4</v>
      </c>
      <c r="N117" s="49" t="s">
        <v>35</v>
      </c>
      <c r="O117" s="46">
        <v>122</v>
      </c>
      <c r="P117" s="46">
        <v>240</v>
      </c>
      <c r="Q117" s="49" t="s">
        <v>35</v>
      </c>
      <c r="R117" s="49" t="s">
        <v>35</v>
      </c>
      <c r="S117" s="46">
        <v>303</v>
      </c>
      <c r="T117" s="46">
        <v>292</v>
      </c>
      <c r="U117" s="49" t="s">
        <v>35</v>
      </c>
      <c r="V117" s="49" t="s">
        <v>35</v>
      </c>
      <c r="W117" s="66">
        <v>10.510555555555555</v>
      </c>
      <c r="X117" s="47">
        <v>55.99722222222222</v>
      </c>
      <c r="Y117" s="59">
        <f t="shared" si="7"/>
        <v>99.04057441681968</v>
      </c>
      <c r="AB117" s="63"/>
      <c r="AC117" s="62"/>
      <c r="AD117" s="63"/>
      <c r="AF117" s="63"/>
      <c r="AG117" s="63"/>
      <c r="AH117" s="63"/>
      <c r="AI117" s="63"/>
      <c r="AJ117" s="63"/>
      <c r="AK117" s="63"/>
      <c r="AL117" s="63"/>
      <c r="AM117" s="63"/>
      <c r="AN117" s="63"/>
      <c r="AO117" s="63"/>
      <c r="AP117" s="63"/>
      <c r="AQ117" s="63"/>
      <c r="AR117" s="63"/>
      <c r="AS117" s="93"/>
    </row>
    <row r="118" spans="5:45" s="60" customFormat="1" ht="17">
      <c r="E118" s="56" t="str">
        <f t="shared" si="8"/>
        <v/>
      </c>
      <c r="F118" s="44" t="s">
        <v>263</v>
      </c>
      <c r="G118" s="57" t="s">
        <v>35</v>
      </c>
      <c r="H118" s="58">
        <f t="shared" si="9"/>
        <v>307.10946444285321</v>
      </c>
      <c r="I118" s="58">
        <f t="shared" si="10"/>
        <v>44.134865469940827</v>
      </c>
      <c r="J118" s="44" t="s">
        <v>261</v>
      </c>
      <c r="K118" s="45">
        <v>8.1</v>
      </c>
      <c r="L118" s="45">
        <v>8.1999999999999993</v>
      </c>
      <c r="M118" s="46">
        <v>11</v>
      </c>
      <c r="N118" s="49" t="s">
        <v>35</v>
      </c>
      <c r="O118" s="45">
        <v>13.6</v>
      </c>
      <c r="P118" s="46">
        <v>999</v>
      </c>
      <c r="Q118" s="49" t="s">
        <v>35</v>
      </c>
      <c r="R118" s="49" t="s">
        <v>35</v>
      </c>
      <c r="S118" s="46">
        <v>221</v>
      </c>
      <c r="T118" s="46">
        <v>117</v>
      </c>
      <c r="U118" s="49" t="s">
        <v>35</v>
      </c>
      <c r="V118" s="49" t="s">
        <v>35</v>
      </c>
      <c r="W118" s="66">
        <v>12.191111111111111</v>
      </c>
      <c r="X118" s="47">
        <v>53.421388888888885</v>
      </c>
      <c r="Y118" s="59">
        <f t="shared" si="7"/>
        <v>73.832241083486338</v>
      </c>
      <c r="AB118" s="63"/>
      <c r="AC118" s="62"/>
      <c r="AD118" s="63"/>
      <c r="AF118" s="63"/>
      <c r="AG118" s="63"/>
      <c r="AH118" s="63"/>
      <c r="AI118" s="63"/>
      <c r="AJ118" s="63"/>
      <c r="AK118" s="63"/>
      <c r="AL118" s="63"/>
      <c r="AM118" s="63"/>
      <c r="AN118" s="63"/>
      <c r="AO118" s="63"/>
      <c r="AP118" s="63"/>
      <c r="AQ118" s="63"/>
      <c r="AR118" s="63"/>
      <c r="AS118" s="93"/>
    </row>
    <row r="119" spans="5:45" s="60" customFormat="1" ht="17">
      <c r="E119" s="56" t="str">
        <f t="shared" si="8"/>
        <v/>
      </c>
      <c r="F119" s="44" t="s">
        <v>264</v>
      </c>
      <c r="G119" s="57" t="s">
        <v>35</v>
      </c>
      <c r="H119" s="58">
        <f t="shared" si="9"/>
        <v>311.20866870330354</v>
      </c>
      <c r="I119" s="58">
        <f t="shared" si="10"/>
        <v>51.353756638428152</v>
      </c>
      <c r="J119" s="44" t="s">
        <v>261</v>
      </c>
      <c r="K119" s="45">
        <v>8.5</v>
      </c>
      <c r="L119" s="45">
        <v>9.8000000000000007</v>
      </c>
      <c r="M119" s="45">
        <v>9.6</v>
      </c>
      <c r="N119" s="49" t="s">
        <v>35</v>
      </c>
      <c r="O119" s="45">
        <v>18.7</v>
      </c>
      <c r="P119" s="46">
        <v>130</v>
      </c>
      <c r="Q119" s="49" t="s">
        <v>35</v>
      </c>
      <c r="R119" s="49" t="s">
        <v>35</v>
      </c>
      <c r="S119" s="46">
        <v>276</v>
      </c>
      <c r="T119" s="46">
        <v>84</v>
      </c>
      <c r="U119" s="49" t="s">
        <v>35</v>
      </c>
      <c r="V119" s="49" t="s">
        <v>35</v>
      </c>
      <c r="W119" s="47">
        <v>12.916666666666668</v>
      </c>
      <c r="X119" s="47">
        <v>58.160555555555554</v>
      </c>
      <c r="Y119" s="59">
        <f t="shared" si="7"/>
        <v>62.948907750152983</v>
      </c>
      <c r="AB119" s="63"/>
      <c r="AC119" s="62"/>
      <c r="AD119" s="63"/>
      <c r="AF119" s="63"/>
      <c r="AG119" s="63"/>
      <c r="AH119" s="63"/>
      <c r="AI119" s="63"/>
      <c r="AJ119" s="63"/>
      <c r="AK119" s="63"/>
      <c r="AL119" s="63"/>
      <c r="AM119" s="63"/>
      <c r="AN119" s="63"/>
      <c r="AO119" s="63"/>
      <c r="AP119" s="63"/>
      <c r="AQ119" s="63"/>
      <c r="AR119" s="63"/>
      <c r="AS119" s="93"/>
    </row>
    <row r="120" spans="5:45" s="60" customFormat="1" ht="34">
      <c r="E120" s="56" t="str">
        <f t="shared" si="8"/>
        <v/>
      </c>
      <c r="F120" s="44" t="s">
        <v>265</v>
      </c>
      <c r="G120" s="57" t="s">
        <v>35</v>
      </c>
      <c r="H120" s="58">
        <f t="shared" si="9"/>
        <v>307.30882808670162</v>
      </c>
      <c r="I120" s="58">
        <f t="shared" si="10"/>
        <v>62.118333046051852</v>
      </c>
      <c r="J120" s="44" t="s">
        <v>261</v>
      </c>
      <c r="K120" s="48">
        <v>7.16</v>
      </c>
      <c r="L120" s="45">
        <v>9.6</v>
      </c>
      <c r="M120" s="45">
        <v>6.7</v>
      </c>
      <c r="N120" s="44" t="s">
        <v>266</v>
      </c>
      <c r="O120" s="45">
        <v>5.8</v>
      </c>
      <c r="P120" s="45">
        <v>112.2</v>
      </c>
      <c r="Q120" s="49" t="s">
        <v>35</v>
      </c>
      <c r="R120" s="49" t="s">
        <v>290</v>
      </c>
      <c r="S120" s="46">
        <v>138</v>
      </c>
      <c r="T120" s="46">
        <v>219</v>
      </c>
      <c r="U120" s="44" t="s">
        <v>267</v>
      </c>
      <c r="V120" s="49" t="s">
        <v>291</v>
      </c>
      <c r="W120" s="74">
        <v>14.26888888888889</v>
      </c>
      <c r="X120" s="74">
        <v>56.712694444444445</v>
      </c>
      <c r="Y120" s="59">
        <f t="shared" si="7"/>
        <v>42.665574416819652</v>
      </c>
      <c r="AB120" s="63"/>
      <c r="AC120" s="62"/>
      <c r="AD120" s="63"/>
      <c r="AF120" s="63"/>
      <c r="AG120" s="63"/>
      <c r="AH120" s="63"/>
      <c r="AI120" s="63"/>
      <c r="AJ120" s="63"/>
      <c r="AK120" s="63"/>
      <c r="AL120" s="63"/>
      <c r="AM120" s="63"/>
      <c r="AN120" s="63"/>
      <c r="AO120" s="63"/>
      <c r="AP120" s="63"/>
      <c r="AQ120" s="63"/>
      <c r="AR120" s="63"/>
      <c r="AS120" s="93"/>
    </row>
    <row r="121" spans="5:45" s="60" customFormat="1" ht="17">
      <c r="E121" s="56" t="str">
        <f t="shared" si="8"/>
        <v>*</v>
      </c>
      <c r="F121" s="44" t="s">
        <v>268</v>
      </c>
      <c r="G121" s="57" t="s">
        <v>35</v>
      </c>
      <c r="H121" s="58">
        <f t="shared" si="9"/>
        <v>121.07551118021443</v>
      </c>
      <c r="I121" s="58">
        <f t="shared" si="10"/>
        <v>51.062129405751939</v>
      </c>
      <c r="J121" s="44" t="s">
        <v>269</v>
      </c>
      <c r="K121" s="45">
        <v>5.8</v>
      </c>
      <c r="L121" s="45">
        <v>10.5</v>
      </c>
      <c r="M121" s="48">
        <v>10.54</v>
      </c>
      <c r="N121" s="48">
        <v>10.57</v>
      </c>
      <c r="O121" s="46">
        <v>29</v>
      </c>
      <c r="P121" s="46">
        <v>75</v>
      </c>
      <c r="Q121" s="46">
        <v>152</v>
      </c>
      <c r="R121" s="49" t="s">
        <v>35</v>
      </c>
      <c r="S121" s="46">
        <v>32</v>
      </c>
      <c r="T121" s="46">
        <v>326</v>
      </c>
      <c r="U121" s="46">
        <v>62</v>
      </c>
      <c r="V121" s="49" t="s">
        <v>35</v>
      </c>
      <c r="W121" s="74">
        <v>19.441277777777778</v>
      </c>
      <c r="X121" s="74">
        <v>19.891611111111111</v>
      </c>
      <c r="Y121" s="59">
        <f t="shared" si="7"/>
        <v>-34.92025891651366</v>
      </c>
      <c r="AB121" s="63"/>
      <c r="AC121" s="71"/>
      <c r="AD121" s="72"/>
      <c r="AE121" s="89"/>
      <c r="AF121" s="72"/>
      <c r="AG121" s="72"/>
      <c r="AH121" s="72"/>
      <c r="AI121" s="72"/>
      <c r="AJ121" s="72"/>
      <c r="AK121" s="72"/>
      <c r="AL121" s="72"/>
      <c r="AM121" s="72"/>
      <c r="AN121" s="72"/>
      <c r="AO121" s="72"/>
      <c r="AP121" s="72"/>
      <c r="AQ121" s="72"/>
      <c r="AR121" s="72"/>
      <c r="AS121" s="94"/>
    </row>
    <row r="123" spans="5:45">
      <c r="X123" s="113" t="s">
        <v>314</v>
      </c>
      <c r="Y123" s="50">
        <f>PI()/180</f>
        <v>1.7453292519943295E-2</v>
      </c>
    </row>
  </sheetData>
  <sheetProtection sheet="1" objects="1" scenarios="1"/>
  <mergeCells count="6">
    <mergeCell ref="B36:D36"/>
    <mergeCell ref="AC2:AS2"/>
    <mergeCell ref="B2:C2"/>
    <mergeCell ref="F2:Y2"/>
    <mergeCell ref="B19:B24"/>
    <mergeCell ref="B27:D27"/>
  </mergeCells>
  <conditionalFormatting sqref="F8:F85">
    <cfRule type="expression" dxfId="7" priority="18">
      <formula>AND($I8&gt;=$I$4,$I8&lt;=$I$6,$H8&gt;=$H$4,$H8&lt;=$H$6)</formula>
    </cfRule>
  </conditionalFormatting>
  <conditionalFormatting sqref="H8:H121">
    <cfRule type="expression" dxfId="6" priority="17">
      <formula>AND($H8&gt;=$H$4,$H8&lt;=$H$6)</formula>
    </cfRule>
  </conditionalFormatting>
  <conditionalFormatting sqref="I8:I121">
    <cfRule type="expression" dxfId="5" priority="16">
      <formula>AND($I8&gt;=$I$4,$I8&lt;=$I$6)</formula>
    </cfRule>
  </conditionalFormatting>
  <conditionalFormatting sqref="V8 V23:V85">
    <cfRule type="cellIs" dxfId="4" priority="11" operator="equal">
      <formula>"Very Easy"</formula>
    </cfRule>
    <cfRule type="cellIs" dxfId="3" priority="12" operator="equal">
      <formula>"Easy"</formula>
    </cfRule>
    <cfRule type="cellIs" dxfId="2" priority="13" operator="equal">
      <formula>"Moderate"</formula>
    </cfRule>
    <cfRule type="cellIs" dxfId="1" priority="14" operator="equal">
      <formula>"Hard"</formula>
    </cfRule>
    <cfRule type="cellIs" dxfId="0" priority="15" operator="equal">
      <formula>"Very Hard"</formula>
    </cfRule>
  </conditionalFormatting>
  <dataValidations count="3">
    <dataValidation type="list" allowBlank="1" showInputMessage="1" showErrorMessage="1" sqref="G8:G121" xr:uid="{4EA6E2A8-4CBC-364C-8820-F741AFA35364}">
      <formula1>$C$19:$C$24</formula1>
    </dataValidation>
    <dataValidation type="list" allowBlank="1" showInputMessage="1" showErrorMessage="1" sqref="C12" xr:uid="{BA9C67B2-48FD-9D40-9253-1E7F3E954BA3}">
      <formula1>$B$29:$B$33</formula1>
    </dataValidation>
    <dataValidation type="list" allowBlank="1" showInputMessage="1" showErrorMessage="1" sqref="D19:D24" xr:uid="{37A2E102-2594-4B4E-A853-94026ECBAC48}">
      <formula1>$B$55:$B$56</formula1>
    </dataValidation>
  </dataValidations>
  <pageMargins left="0.7" right="0.7" top="0.75" bottom="0.75" header="0.3" footer="0.3"/>
  <pageSetup paperSize="9" scale="57"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1ECCE-7202-B742-892B-3BCAE00AB00C}">
  <dimension ref="B1:J209"/>
  <sheetViews>
    <sheetView showGridLines="0" workbookViewId="0">
      <selection activeCell="C21" sqref="C21"/>
    </sheetView>
  </sheetViews>
  <sheetFormatPr baseColWidth="10" defaultRowHeight="13"/>
  <cols>
    <col min="1" max="1" width="10.83203125" style="154" customWidth="1"/>
    <col min="2" max="2" width="15.83203125" style="154" customWidth="1"/>
    <col min="3" max="3" width="13.33203125" style="154" customWidth="1"/>
    <col min="4" max="4" width="15.83203125" style="154" customWidth="1"/>
    <col min="5" max="7" width="10.83203125" style="154" customWidth="1"/>
    <col min="8" max="10" width="12.1640625" style="154" customWidth="1"/>
    <col min="11" max="22" width="10.83203125" style="154" customWidth="1"/>
    <col min="23" max="23" width="10.1640625" style="154" bestFit="1" customWidth="1"/>
    <col min="24" max="247" width="8.83203125" style="154" customWidth="1"/>
    <col min="248" max="248" width="7.83203125" style="154" customWidth="1"/>
    <col min="249" max="249" width="7.5" style="154" customWidth="1"/>
    <col min="250" max="250" width="9" style="154" customWidth="1"/>
    <col min="251" max="251" width="8.33203125" style="154" customWidth="1"/>
    <col min="252" max="254" width="8.5" style="154" bestFit="1" customWidth="1"/>
    <col min="255" max="255" width="10" style="154" bestFit="1" customWidth="1"/>
    <col min="256" max="256" width="8.1640625" style="154" bestFit="1" customWidth="1"/>
    <col min="257" max="258" width="8.5" style="154" bestFit="1" customWidth="1"/>
    <col min="259" max="259" width="6" style="154" bestFit="1" customWidth="1"/>
    <col min="260" max="260" width="8.83203125" style="154" customWidth="1"/>
    <col min="261" max="261" width="8.5" style="154" bestFit="1" customWidth="1"/>
    <col min="262" max="262" width="7.1640625" style="154" bestFit="1" customWidth="1"/>
    <col min="263" max="263" width="4.5" style="154" bestFit="1" customWidth="1"/>
    <col min="264" max="264" width="5.5" style="154" bestFit="1" customWidth="1"/>
    <col min="265" max="267" width="6.1640625" style="154" bestFit="1" customWidth="1"/>
    <col min="268" max="268" width="7.1640625" style="154" bestFit="1" customWidth="1"/>
    <col min="269" max="278" width="8.83203125" style="154" customWidth="1"/>
    <col min="279" max="279" width="10" style="154" bestFit="1" customWidth="1"/>
    <col min="280" max="503" width="8.83203125" style="154" customWidth="1"/>
    <col min="504" max="504" width="7.83203125" style="154" customWidth="1"/>
    <col min="505" max="505" width="7.5" style="154" customWidth="1"/>
    <col min="506" max="506" width="9" style="154" customWidth="1"/>
    <col min="507" max="507" width="8.33203125" style="154" customWidth="1"/>
    <col min="508" max="510" width="8.5" style="154" bestFit="1" customWidth="1"/>
    <col min="511" max="511" width="10" style="154" bestFit="1" customWidth="1"/>
    <col min="512" max="512" width="8.1640625" style="154" bestFit="1" customWidth="1"/>
    <col min="513" max="514" width="8.5" style="154" bestFit="1" customWidth="1"/>
    <col min="515" max="515" width="6" style="154" bestFit="1" customWidth="1"/>
    <col min="516" max="516" width="8.83203125" style="154" customWidth="1"/>
    <col min="517" max="517" width="8.5" style="154" bestFit="1" customWidth="1"/>
    <col min="518" max="518" width="7.1640625" style="154" bestFit="1" customWidth="1"/>
    <col min="519" max="519" width="4.5" style="154" bestFit="1" customWidth="1"/>
    <col min="520" max="520" width="5.5" style="154" bestFit="1" customWidth="1"/>
    <col min="521" max="523" width="6.1640625" style="154" bestFit="1" customWidth="1"/>
    <col min="524" max="524" width="7.1640625" style="154" bestFit="1" customWidth="1"/>
    <col min="525" max="534" width="8.83203125" style="154" customWidth="1"/>
    <col min="535" max="535" width="10" style="154" bestFit="1" customWidth="1"/>
    <col min="536" max="759" width="8.83203125" style="154" customWidth="1"/>
    <col min="760" max="760" width="7.83203125" style="154" customWidth="1"/>
    <col min="761" max="761" width="7.5" style="154" customWidth="1"/>
    <col min="762" max="762" width="9" style="154" customWidth="1"/>
    <col min="763" max="763" width="8.33203125" style="154" customWidth="1"/>
    <col min="764" max="766" width="8.5" style="154" bestFit="1" customWidth="1"/>
    <col min="767" max="767" width="10" style="154" bestFit="1" customWidth="1"/>
    <col min="768" max="768" width="8.1640625" style="154" bestFit="1" customWidth="1"/>
    <col min="769" max="770" width="8.5" style="154" bestFit="1" customWidth="1"/>
    <col min="771" max="771" width="6" style="154" bestFit="1" customWidth="1"/>
    <col min="772" max="772" width="8.83203125" style="154" customWidth="1"/>
    <col min="773" max="773" width="8.5" style="154" bestFit="1" customWidth="1"/>
    <col min="774" max="774" width="7.1640625" style="154" bestFit="1" customWidth="1"/>
    <col min="775" max="775" width="4.5" style="154" bestFit="1" customWidth="1"/>
    <col min="776" max="776" width="5.5" style="154" bestFit="1" customWidth="1"/>
    <col min="777" max="779" width="6.1640625" style="154" bestFit="1" customWidth="1"/>
    <col min="780" max="780" width="7.1640625" style="154" bestFit="1" customWidth="1"/>
    <col min="781" max="790" width="8.83203125" style="154" customWidth="1"/>
    <col min="791" max="791" width="10" style="154" bestFit="1" customWidth="1"/>
    <col min="792" max="1015" width="8.83203125" style="154" customWidth="1"/>
    <col min="1016" max="1016" width="7.83203125" style="154" customWidth="1"/>
    <col min="1017" max="1017" width="7.5" style="154" customWidth="1"/>
    <col min="1018" max="1018" width="9" style="154" customWidth="1"/>
    <col min="1019" max="1019" width="8.33203125" style="154" customWidth="1"/>
    <col min="1020" max="1022" width="8.5" style="154" bestFit="1" customWidth="1"/>
    <col min="1023" max="1023" width="10" style="154" bestFit="1" customWidth="1"/>
    <col min="1024" max="1024" width="8.1640625" style="154" bestFit="1" customWidth="1"/>
    <col min="1025" max="1026" width="8.5" style="154" bestFit="1" customWidth="1"/>
    <col min="1027" max="1027" width="6" style="154" bestFit="1" customWidth="1"/>
    <col min="1028" max="1028" width="8.83203125" style="154" customWidth="1"/>
    <col min="1029" max="1029" width="8.5" style="154" bestFit="1" customWidth="1"/>
    <col min="1030" max="1030" width="7.1640625" style="154" bestFit="1" customWidth="1"/>
    <col min="1031" max="1031" width="4.5" style="154" bestFit="1" customWidth="1"/>
    <col min="1032" max="1032" width="5.5" style="154" bestFit="1" customWidth="1"/>
    <col min="1033" max="1035" width="6.1640625" style="154" bestFit="1" customWidth="1"/>
    <col min="1036" max="1036" width="7.1640625" style="154" bestFit="1" customWidth="1"/>
    <col min="1037" max="1046" width="8.83203125" style="154" customWidth="1"/>
    <col min="1047" max="1047" width="10" style="154" bestFit="1" customWidth="1"/>
    <col min="1048" max="1271" width="8.83203125" style="154" customWidth="1"/>
    <col min="1272" max="1272" width="7.83203125" style="154" customWidth="1"/>
    <col min="1273" max="1273" width="7.5" style="154" customWidth="1"/>
    <col min="1274" max="1274" width="9" style="154" customWidth="1"/>
    <col min="1275" max="1275" width="8.33203125" style="154" customWidth="1"/>
    <col min="1276" max="1278" width="8.5" style="154" bestFit="1" customWidth="1"/>
    <col min="1279" max="1279" width="10" style="154" bestFit="1" customWidth="1"/>
    <col min="1280" max="1280" width="8.1640625" style="154" bestFit="1" customWidth="1"/>
    <col min="1281" max="1282" width="8.5" style="154" bestFit="1" customWidth="1"/>
    <col min="1283" max="1283" width="6" style="154" bestFit="1" customWidth="1"/>
    <col min="1284" max="1284" width="8.83203125" style="154" customWidth="1"/>
    <col min="1285" max="1285" width="8.5" style="154" bestFit="1" customWidth="1"/>
    <col min="1286" max="1286" width="7.1640625" style="154" bestFit="1" customWidth="1"/>
    <col min="1287" max="1287" width="4.5" style="154" bestFit="1" customWidth="1"/>
    <col min="1288" max="1288" width="5.5" style="154" bestFit="1" customWidth="1"/>
    <col min="1289" max="1291" width="6.1640625" style="154" bestFit="1" customWidth="1"/>
    <col min="1292" max="1292" width="7.1640625" style="154" bestFit="1" customWidth="1"/>
    <col min="1293" max="1302" width="8.83203125" style="154" customWidth="1"/>
    <col min="1303" max="1303" width="10" style="154" bestFit="1" customWidth="1"/>
    <col min="1304" max="1527" width="8.83203125" style="154" customWidth="1"/>
    <col min="1528" max="1528" width="7.83203125" style="154" customWidth="1"/>
    <col min="1529" max="1529" width="7.5" style="154" customWidth="1"/>
    <col min="1530" max="1530" width="9" style="154" customWidth="1"/>
    <col min="1531" max="1531" width="8.33203125" style="154" customWidth="1"/>
    <col min="1532" max="1534" width="8.5" style="154" bestFit="1" customWidth="1"/>
    <col min="1535" max="1535" width="10" style="154" bestFit="1" customWidth="1"/>
    <col min="1536" max="1536" width="8.1640625" style="154" bestFit="1" customWidth="1"/>
    <col min="1537" max="1538" width="8.5" style="154" bestFit="1" customWidth="1"/>
    <col min="1539" max="1539" width="6" style="154" bestFit="1" customWidth="1"/>
    <col min="1540" max="1540" width="8.83203125" style="154" customWidth="1"/>
    <col min="1541" max="1541" width="8.5" style="154" bestFit="1" customWidth="1"/>
    <col min="1542" max="1542" width="7.1640625" style="154" bestFit="1" customWidth="1"/>
    <col min="1543" max="1543" width="4.5" style="154" bestFit="1" customWidth="1"/>
    <col min="1544" max="1544" width="5.5" style="154" bestFit="1" customWidth="1"/>
    <col min="1545" max="1547" width="6.1640625" style="154" bestFit="1" customWidth="1"/>
    <col min="1548" max="1548" width="7.1640625" style="154" bestFit="1" customWidth="1"/>
    <col min="1549" max="1558" width="8.83203125" style="154" customWidth="1"/>
    <col min="1559" max="1559" width="10" style="154" bestFit="1" customWidth="1"/>
    <col min="1560" max="1783" width="8.83203125" style="154" customWidth="1"/>
    <col min="1784" max="1784" width="7.83203125" style="154" customWidth="1"/>
    <col min="1785" max="1785" width="7.5" style="154" customWidth="1"/>
    <col min="1786" max="1786" width="9" style="154" customWidth="1"/>
    <col min="1787" max="1787" width="8.33203125" style="154" customWidth="1"/>
    <col min="1788" max="1790" width="8.5" style="154" bestFit="1" customWidth="1"/>
    <col min="1791" max="1791" width="10" style="154" bestFit="1" customWidth="1"/>
    <col min="1792" max="1792" width="8.1640625" style="154" bestFit="1" customWidth="1"/>
    <col min="1793" max="1794" width="8.5" style="154" bestFit="1" customWidth="1"/>
    <col min="1795" max="1795" width="6" style="154" bestFit="1" customWidth="1"/>
    <col min="1796" max="1796" width="8.83203125" style="154" customWidth="1"/>
    <col min="1797" max="1797" width="8.5" style="154" bestFit="1" customWidth="1"/>
    <col min="1798" max="1798" width="7.1640625" style="154" bestFit="1" customWidth="1"/>
    <col min="1799" max="1799" width="4.5" style="154" bestFit="1" customWidth="1"/>
    <col min="1800" max="1800" width="5.5" style="154" bestFit="1" customWidth="1"/>
    <col min="1801" max="1803" width="6.1640625" style="154" bestFit="1" customWidth="1"/>
    <col min="1804" max="1804" width="7.1640625" style="154" bestFit="1" customWidth="1"/>
    <col min="1805" max="1814" width="8.83203125" style="154" customWidth="1"/>
    <col min="1815" max="1815" width="10" style="154" bestFit="1" customWidth="1"/>
    <col min="1816" max="2039" width="8.83203125" style="154" customWidth="1"/>
    <col min="2040" max="2040" width="7.83203125" style="154" customWidth="1"/>
    <col min="2041" max="2041" width="7.5" style="154" customWidth="1"/>
    <col min="2042" max="2042" width="9" style="154" customWidth="1"/>
    <col min="2043" max="2043" width="8.33203125" style="154" customWidth="1"/>
    <col min="2044" max="2046" width="8.5" style="154" bestFit="1" customWidth="1"/>
    <col min="2047" max="2047" width="10" style="154" bestFit="1" customWidth="1"/>
    <col min="2048" max="2048" width="8.1640625" style="154" bestFit="1" customWidth="1"/>
    <col min="2049" max="2050" width="8.5" style="154" bestFit="1" customWidth="1"/>
    <col min="2051" max="2051" width="6" style="154" bestFit="1" customWidth="1"/>
    <col min="2052" max="2052" width="8.83203125" style="154" customWidth="1"/>
    <col min="2053" max="2053" width="8.5" style="154" bestFit="1" customWidth="1"/>
    <col min="2054" max="2054" width="7.1640625" style="154" bestFit="1" customWidth="1"/>
    <col min="2055" max="2055" width="4.5" style="154" bestFit="1" customWidth="1"/>
    <col min="2056" max="2056" width="5.5" style="154" bestFit="1" customWidth="1"/>
    <col min="2057" max="2059" width="6.1640625" style="154" bestFit="1" customWidth="1"/>
    <col min="2060" max="2060" width="7.1640625" style="154" bestFit="1" customWidth="1"/>
    <col min="2061" max="2070" width="8.83203125" style="154" customWidth="1"/>
    <col min="2071" max="2071" width="10" style="154" bestFit="1" customWidth="1"/>
    <col min="2072" max="2295" width="8.83203125" style="154" customWidth="1"/>
    <col min="2296" max="2296" width="7.83203125" style="154" customWidth="1"/>
    <col min="2297" max="2297" width="7.5" style="154" customWidth="1"/>
    <col min="2298" max="2298" width="9" style="154" customWidth="1"/>
    <col min="2299" max="2299" width="8.33203125" style="154" customWidth="1"/>
    <col min="2300" max="2302" width="8.5" style="154" bestFit="1" customWidth="1"/>
    <col min="2303" max="2303" width="10" style="154" bestFit="1" customWidth="1"/>
    <col min="2304" max="2304" width="8.1640625" style="154" bestFit="1" customWidth="1"/>
    <col min="2305" max="2306" width="8.5" style="154" bestFit="1" customWidth="1"/>
    <col min="2307" max="2307" width="6" style="154" bestFit="1" customWidth="1"/>
    <col min="2308" max="2308" width="8.83203125" style="154" customWidth="1"/>
    <col min="2309" max="2309" width="8.5" style="154" bestFit="1" customWidth="1"/>
    <col min="2310" max="2310" width="7.1640625" style="154" bestFit="1" customWidth="1"/>
    <col min="2311" max="2311" width="4.5" style="154" bestFit="1" customWidth="1"/>
    <col min="2312" max="2312" width="5.5" style="154" bestFit="1" customWidth="1"/>
    <col min="2313" max="2315" width="6.1640625" style="154" bestFit="1" customWidth="1"/>
    <col min="2316" max="2316" width="7.1640625" style="154" bestFit="1" customWidth="1"/>
    <col min="2317" max="2326" width="8.83203125" style="154" customWidth="1"/>
    <col min="2327" max="2327" width="10" style="154" bestFit="1" customWidth="1"/>
    <col min="2328" max="2551" width="8.83203125" style="154" customWidth="1"/>
    <col min="2552" max="2552" width="7.83203125" style="154" customWidth="1"/>
    <col min="2553" max="2553" width="7.5" style="154" customWidth="1"/>
    <col min="2554" max="2554" width="9" style="154" customWidth="1"/>
    <col min="2555" max="2555" width="8.33203125" style="154" customWidth="1"/>
    <col min="2556" max="2558" width="8.5" style="154" bestFit="1" customWidth="1"/>
    <col min="2559" max="2559" width="10" style="154" bestFit="1" customWidth="1"/>
    <col min="2560" max="2560" width="8.1640625" style="154" bestFit="1" customWidth="1"/>
    <col min="2561" max="2562" width="8.5" style="154" bestFit="1" customWidth="1"/>
    <col min="2563" max="2563" width="6" style="154" bestFit="1" customWidth="1"/>
    <col min="2564" max="2564" width="8.83203125" style="154" customWidth="1"/>
    <col min="2565" max="2565" width="8.5" style="154" bestFit="1" customWidth="1"/>
    <col min="2566" max="2566" width="7.1640625" style="154" bestFit="1" customWidth="1"/>
    <col min="2567" max="2567" width="4.5" style="154" bestFit="1" customWidth="1"/>
    <col min="2568" max="2568" width="5.5" style="154" bestFit="1" customWidth="1"/>
    <col min="2569" max="2571" width="6.1640625" style="154" bestFit="1" customWidth="1"/>
    <col min="2572" max="2572" width="7.1640625" style="154" bestFit="1" customWidth="1"/>
    <col min="2573" max="2582" width="8.83203125" style="154" customWidth="1"/>
    <col min="2583" max="2583" width="10" style="154" bestFit="1" customWidth="1"/>
    <col min="2584" max="2807" width="8.83203125" style="154" customWidth="1"/>
    <col min="2808" max="2808" width="7.83203125" style="154" customWidth="1"/>
    <col min="2809" max="2809" width="7.5" style="154" customWidth="1"/>
    <col min="2810" max="2810" width="9" style="154" customWidth="1"/>
    <col min="2811" max="2811" width="8.33203125" style="154" customWidth="1"/>
    <col min="2812" max="2814" width="8.5" style="154" bestFit="1" customWidth="1"/>
    <col min="2815" max="2815" width="10" style="154" bestFit="1" customWidth="1"/>
    <col min="2816" max="2816" width="8.1640625" style="154" bestFit="1" customWidth="1"/>
    <col min="2817" max="2818" width="8.5" style="154" bestFit="1" customWidth="1"/>
    <col min="2819" max="2819" width="6" style="154" bestFit="1" customWidth="1"/>
    <col min="2820" max="2820" width="8.83203125" style="154" customWidth="1"/>
    <col min="2821" max="2821" width="8.5" style="154" bestFit="1" customWidth="1"/>
    <col min="2822" max="2822" width="7.1640625" style="154" bestFit="1" customWidth="1"/>
    <col min="2823" max="2823" width="4.5" style="154" bestFit="1" customWidth="1"/>
    <col min="2824" max="2824" width="5.5" style="154" bestFit="1" customWidth="1"/>
    <col min="2825" max="2827" width="6.1640625" style="154" bestFit="1" customWidth="1"/>
    <col min="2828" max="2828" width="7.1640625" style="154" bestFit="1" customWidth="1"/>
    <col min="2829" max="2838" width="8.83203125" style="154" customWidth="1"/>
    <col min="2839" max="2839" width="10" style="154" bestFit="1" customWidth="1"/>
    <col min="2840" max="3063" width="8.83203125" style="154" customWidth="1"/>
    <col min="3064" max="3064" width="7.83203125" style="154" customWidth="1"/>
    <col min="3065" max="3065" width="7.5" style="154" customWidth="1"/>
    <col min="3066" max="3066" width="9" style="154" customWidth="1"/>
    <col min="3067" max="3067" width="8.33203125" style="154" customWidth="1"/>
    <col min="3068" max="3070" width="8.5" style="154" bestFit="1" customWidth="1"/>
    <col min="3071" max="3071" width="10" style="154" bestFit="1" customWidth="1"/>
    <col min="3072" max="3072" width="8.1640625" style="154" bestFit="1" customWidth="1"/>
    <col min="3073" max="3074" width="8.5" style="154" bestFit="1" customWidth="1"/>
    <col min="3075" max="3075" width="6" style="154" bestFit="1" customWidth="1"/>
    <col min="3076" max="3076" width="8.83203125" style="154" customWidth="1"/>
    <col min="3077" max="3077" width="8.5" style="154" bestFit="1" customWidth="1"/>
    <col min="3078" max="3078" width="7.1640625" style="154" bestFit="1" customWidth="1"/>
    <col min="3079" max="3079" width="4.5" style="154" bestFit="1" customWidth="1"/>
    <col min="3080" max="3080" width="5.5" style="154" bestFit="1" customWidth="1"/>
    <col min="3081" max="3083" width="6.1640625" style="154" bestFit="1" customWidth="1"/>
    <col min="3084" max="3084" width="7.1640625" style="154" bestFit="1" customWidth="1"/>
    <col min="3085" max="3094" width="8.83203125" style="154" customWidth="1"/>
    <col min="3095" max="3095" width="10" style="154" bestFit="1" customWidth="1"/>
    <col min="3096" max="3319" width="8.83203125" style="154" customWidth="1"/>
    <col min="3320" max="3320" width="7.83203125" style="154" customWidth="1"/>
    <col min="3321" max="3321" width="7.5" style="154" customWidth="1"/>
    <col min="3322" max="3322" width="9" style="154" customWidth="1"/>
    <col min="3323" max="3323" width="8.33203125" style="154" customWidth="1"/>
    <col min="3324" max="3326" width="8.5" style="154" bestFit="1" customWidth="1"/>
    <col min="3327" max="3327" width="10" style="154" bestFit="1" customWidth="1"/>
    <col min="3328" max="3328" width="8.1640625" style="154" bestFit="1" customWidth="1"/>
    <col min="3329" max="3330" width="8.5" style="154" bestFit="1" customWidth="1"/>
    <col min="3331" max="3331" width="6" style="154" bestFit="1" customWidth="1"/>
    <col min="3332" max="3332" width="8.83203125" style="154" customWidth="1"/>
    <col min="3333" max="3333" width="8.5" style="154" bestFit="1" customWidth="1"/>
    <col min="3334" max="3334" width="7.1640625" style="154" bestFit="1" customWidth="1"/>
    <col min="3335" max="3335" width="4.5" style="154" bestFit="1" customWidth="1"/>
    <col min="3336" max="3336" width="5.5" style="154" bestFit="1" customWidth="1"/>
    <col min="3337" max="3339" width="6.1640625" style="154" bestFit="1" customWidth="1"/>
    <col min="3340" max="3340" width="7.1640625" style="154" bestFit="1" customWidth="1"/>
    <col min="3341" max="3350" width="8.83203125" style="154" customWidth="1"/>
    <col min="3351" max="3351" width="10" style="154" bestFit="1" customWidth="1"/>
    <col min="3352" max="3575" width="8.83203125" style="154" customWidth="1"/>
    <col min="3576" max="3576" width="7.83203125" style="154" customWidth="1"/>
    <col min="3577" max="3577" width="7.5" style="154" customWidth="1"/>
    <col min="3578" max="3578" width="9" style="154" customWidth="1"/>
    <col min="3579" max="3579" width="8.33203125" style="154" customWidth="1"/>
    <col min="3580" max="3582" width="8.5" style="154" bestFit="1" customWidth="1"/>
    <col min="3583" max="3583" width="10" style="154" bestFit="1" customWidth="1"/>
    <col min="3584" max="3584" width="8.1640625" style="154" bestFit="1" customWidth="1"/>
    <col min="3585" max="3586" width="8.5" style="154" bestFit="1" customWidth="1"/>
    <col min="3587" max="3587" width="6" style="154" bestFit="1" customWidth="1"/>
    <col min="3588" max="3588" width="8.83203125" style="154" customWidth="1"/>
    <col min="3589" max="3589" width="8.5" style="154" bestFit="1" customWidth="1"/>
    <col min="3590" max="3590" width="7.1640625" style="154" bestFit="1" customWidth="1"/>
    <col min="3591" max="3591" width="4.5" style="154" bestFit="1" customWidth="1"/>
    <col min="3592" max="3592" width="5.5" style="154" bestFit="1" customWidth="1"/>
    <col min="3593" max="3595" width="6.1640625" style="154" bestFit="1" customWidth="1"/>
    <col min="3596" max="3596" width="7.1640625" style="154" bestFit="1" customWidth="1"/>
    <col min="3597" max="3606" width="8.83203125" style="154" customWidth="1"/>
    <col min="3607" max="3607" width="10" style="154" bestFit="1" customWidth="1"/>
    <col min="3608" max="3831" width="8.83203125" style="154" customWidth="1"/>
    <col min="3832" max="3832" width="7.83203125" style="154" customWidth="1"/>
    <col min="3833" max="3833" width="7.5" style="154" customWidth="1"/>
    <col min="3834" max="3834" width="9" style="154" customWidth="1"/>
    <col min="3835" max="3835" width="8.33203125" style="154" customWidth="1"/>
    <col min="3836" max="3838" width="8.5" style="154" bestFit="1" customWidth="1"/>
    <col min="3839" max="3839" width="10" style="154" bestFit="1" customWidth="1"/>
    <col min="3840" max="3840" width="8.1640625" style="154" bestFit="1" customWidth="1"/>
    <col min="3841" max="3842" width="8.5" style="154" bestFit="1" customWidth="1"/>
    <col min="3843" max="3843" width="6" style="154" bestFit="1" customWidth="1"/>
    <col min="3844" max="3844" width="8.83203125" style="154" customWidth="1"/>
    <col min="3845" max="3845" width="8.5" style="154" bestFit="1" customWidth="1"/>
    <col min="3846" max="3846" width="7.1640625" style="154" bestFit="1" customWidth="1"/>
    <col min="3847" max="3847" width="4.5" style="154" bestFit="1" customWidth="1"/>
    <col min="3848" max="3848" width="5.5" style="154" bestFit="1" customWidth="1"/>
    <col min="3849" max="3851" width="6.1640625" style="154" bestFit="1" customWidth="1"/>
    <col min="3852" max="3852" width="7.1640625" style="154" bestFit="1" customWidth="1"/>
    <col min="3853" max="3862" width="8.83203125" style="154" customWidth="1"/>
    <col min="3863" max="3863" width="10" style="154" bestFit="1" customWidth="1"/>
    <col min="3864" max="4087" width="8.83203125" style="154" customWidth="1"/>
    <col min="4088" max="4088" width="7.83203125" style="154" customWidth="1"/>
    <col min="4089" max="4089" width="7.5" style="154" customWidth="1"/>
    <col min="4090" max="4090" width="9" style="154" customWidth="1"/>
    <col min="4091" max="4091" width="8.33203125" style="154" customWidth="1"/>
    <col min="4092" max="4094" width="8.5" style="154" bestFit="1" customWidth="1"/>
    <col min="4095" max="4095" width="10" style="154" bestFit="1" customWidth="1"/>
    <col min="4096" max="4096" width="8.1640625" style="154" bestFit="1" customWidth="1"/>
    <col min="4097" max="4098" width="8.5" style="154" bestFit="1" customWidth="1"/>
    <col min="4099" max="4099" width="6" style="154" bestFit="1" customWidth="1"/>
    <col min="4100" max="4100" width="8.83203125" style="154" customWidth="1"/>
    <col min="4101" max="4101" width="8.5" style="154" bestFit="1" customWidth="1"/>
    <col min="4102" max="4102" width="7.1640625" style="154" bestFit="1" customWidth="1"/>
    <col min="4103" max="4103" width="4.5" style="154" bestFit="1" customWidth="1"/>
    <col min="4104" max="4104" width="5.5" style="154" bestFit="1" customWidth="1"/>
    <col min="4105" max="4107" width="6.1640625" style="154" bestFit="1" customWidth="1"/>
    <col min="4108" max="4108" width="7.1640625" style="154" bestFit="1" customWidth="1"/>
    <col min="4109" max="4118" width="8.83203125" style="154" customWidth="1"/>
    <col min="4119" max="4119" width="10" style="154" bestFit="1" customWidth="1"/>
    <col min="4120" max="4343" width="8.83203125" style="154" customWidth="1"/>
    <col min="4344" max="4344" width="7.83203125" style="154" customWidth="1"/>
    <col min="4345" max="4345" width="7.5" style="154" customWidth="1"/>
    <col min="4346" max="4346" width="9" style="154" customWidth="1"/>
    <col min="4347" max="4347" width="8.33203125" style="154" customWidth="1"/>
    <col min="4348" max="4350" width="8.5" style="154" bestFit="1" customWidth="1"/>
    <col min="4351" max="4351" width="10" style="154" bestFit="1" customWidth="1"/>
    <col min="4352" max="4352" width="8.1640625" style="154" bestFit="1" customWidth="1"/>
    <col min="4353" max="4354" width="8.5" style="154" bestFit="1" customWidth="1"/>
    <col min="4355" max="4355" width="6" style="154" bestFit="1" customWidth="1"/>
    <col min="4356" max="4356" width="8.83203125" style="154" customWidth="1"/>
    <col min="4357" max="4357" width="8.5" style="154" bestFit="1" customWidth="1"/>
    <col min="4358" max="4358" width="7.1640625" style="154" bestFit="1" customWidth="1"/>
    <col min="4359" max="4359" width="4.5" style="154" bestFit="1" customWidth="1"/>
    <col min="4360" max="4360" width="5.5" style="154" bestFit="1" customWidth="1"/>
    <col min="4361" max="4363" width="6.1640625" style="154" bestFit="1" customWidth="1"/>
    <col min="4364" max="4364" width="7.1640625" style="154" bestFit="1" customWidth="1"/>
    <col min="4365" max="4374" width="8.83203125" style="154" customWidth="1"/>
    <col min="4375" max="4375" width="10" style="154" bestFit="1" customWidth="1"/>
    <col min="4376" max="4599" width="8.83203125" style="154" customWidth="1"/>
    <col min="4600" max="4600" width="7.83203125" style="154" customWidth="1"/>
    <col min="4601" max="4601" width="7.5" style="154" customWidth="1"/>
    <col min="4602" max="4602" width="9" style="154" customWidth="1"/>
    <col min="4603" max="4603" width="8.33203125" style="154" customWidth="1"/>
    <col min="4604" max="4606" width="8.5" style="154" bestFit="1" customWidth="1"/>
    <col min="4607" max="4607" width="10" style="154" bestFit="1" customWidth="1"/>
    <col min="4608" max="4608" width="8.1640625" style="154" bestFit="1" customWidth="1"/>
    <col min="4609" max="4610" width="8.5" style="154" bestFit="1" customWidth="1"/>
    <col min="4611" max="4611" width="6" style="154" bestFit="1" customWidth="1"/>
    <col min="4612" max="4612" width="8.83203125" style="154" customWidth="1"/>
    <col min="4613" max="4613" width="8.5" style="154" bestFit="1" customWidth="1"/>
    <col min="4614" max="4614" width="7.1640625" style="154" bestFit="1" customWidth="1"/>
    <col min="4615" max="4615" width="4.5" style="154" bestFit="1" customWidth="1"/>
    <col min="4616" max="4616" width="5.5" style="154" bestFit="1" customWidth="1"/>
    <col min="4617" max="4619" width="6.1640625" style="154" bestFit="1" customWidth="1"/>
    <col min="4620" max="4620" width="7.1640625" style="154" bestFit="1" customWidth="1"/>
    <col min="4621" max="4630" width="8.83203125" style="154" customWidth="1"/>
    <col min="4631" max="4631" width="10" style="154" bestFit="1" customWidth="1"/>
    <col min="4632" max="4855" width="8.83203125" style="154" customWidth="1"/>
    <col min="4856" max="4856" width="7.83203125" style="154" customWidth="1"/>
    <col min="4857" max="4857" width="7.5" style="154" customWidth="1"/>
    <col min="4858" max="4858" width="9" style="154" customWidth="1"/>
    <col min="4859" max="4859" width="8.33203125" style="154" customWidth="1"/>
    <col min="4860" max="4862" width="8.5" style="154" bestFit="1" customWidth="1"/>
    <col min="4863" max="4863" width="10" style="154" bestFit="1" customWidth="1"/>
    <col min="4864" max="4864" width="8.1640625" style="154" bestFit="1" customWidth="1"/>
    <col min="4865" max="4866" width="8.5" style="154" bestFit="1" customWidth="1"/>
    <col min="4867" max="4867" width="6" style="154" bestFit="1" customWidth="1"/>
    <col min="4868" max="4868" width="8.83203125" style="154" customWidth="1"/>
    <col min="4869" max="4869" width="8.5" style="154" bestFit="1" customWidth="1"/>
    <col min="4870" max="4870" width="7.1640625" style="154" bestFit="1" customWidth="1"/>
    <col min="4871" max="4871" width="4.5" style="154" bestFit="1" customWidth="1"/>
    <col min="4872" max="4872" width="5.5" style="154" bestFit="1" customWidth="1"/>
    <col min="4873" max="4875" width="6.1640625" style="154" bestFit="1" customWidth="1"/>
    <col min="4876" max="4876" width="7.1640625" style="154" bestFit="1" customWidth="1"/>
    <col min="4877" max="4886" width="8.83203125" style="154" customWidth="1"/>
    <col min="4887" max="4887" width="10" style="154" bestFit="1" customWidth="1"/>
    <col min="4888" max="5111" width="8.83203125" style="154" customWidth="1"/>
    <col min="5112" max="5112" width="7.83203125" style="154" customWidth="1"/>
    <col min="5113" max="5113" width="7.5" style="154" customWidth="1"/>
    <col min="5114" max="5114" width="9" style="154" customWidth="1"/>
    <col min="5115" max="5115" width="8.33203125" style="154" customWidth="1"/>
    <col min="5116" max="5118" width="8.5" style="154" bestFit="1" customWidth="1"/>
    <col min="5119" max="5119" width="10" style="154" bestFit="1" customWidth="1"/>
    <col min="5120" max="5120" width="8.1640625" style="154" bestFit="1" customWidth="1"/>
    <col min="5121" max="5122" width="8.5" style="154" bestFit="1" customWidth="1"/>
    <col min="5123" max="5123" width="6" style="154" bestFit="1" customWidth="1"/>
    <col min="5124" max="5124" width="8.83203125" style="154" customWidth="1"/>
    <col min="5125" max="5125" width="8.5" style="154" bestFit="1" customWidth="1"/>
    <col min="5126" max="5126" width="7.1640625" style="154" bestFit="1" customWidth="1"/>
    <col min="5127" max="5127" width="4.5" style="154" bestFit="1" customWidth="1"/>
    <col min="5128" max="5128" width="5.5" style="154" bestFit="1" customWidth="1"/>
    <col min="5129" max="5131" width="6.1640625" style="154" bestFit="1" customWidth="1"/>
    <col min="5132" max="5132" width="7.1640625" style="154" bestFit="1" customWidth="1"/>
    <col min="5133" max="5142" width="8.83203125" style="154" customWidth="1"/>
    <col min="5143" max="5143" width="10" style="154" bestFit="1" customWidth="1"/>
    <col min="5144" max="5367" width="8.83203125" style="154" customWidth="1"/>
    <col min="5368" max="5368" width="7.83203125" style="154" customWidth="1"/>
    <col min="5369" max="5369" width="7.5" style="154" customWidth="1"/>
    <col min="5370" max="5370" width="9" style="154" customWidth="1"/>
    <col min="5371" max="5371" width="8.33203125" style="154" customWidth="1"/>
    <col min="5372" max="5374" width="8.5" style="154" bestFit="1" customWidth="1"/>
    <col min="5375" max="5375" width="10" style="154" bestFit="1" customWidth="1"/>
    <col min="5376" max="5376" width="8.1640625" style="154" bestFit="1" customWidth="1"/>
    <col min="5377" max="5378" width="8.5" style="154" bestFit="1" customWidth="1"/>
    <col min="5379" max="5379" width="6" style="154" bestFit="1" customWidth="1"/>
    <col min="5380" max="5380" width="8.83203125" style="154" customWidth="1"/>
    <col min="5381" max="5381" width="8.5" style="154" bestFit="1" customWidth="1"/>
    <col min="5382" max="5382" width="7.1640625" style="154" bestFit="1" customWidth="1"/>
    <col min="5383" max="5383" width="4.5" style="154" bestFit="1" customWidth="1"/>
    <col min="5384" max="5384" width="5.5" style="154" bestFit="1" customWidth="1"/>
    <col min="5385" max="5387" width="6.1640625" style="154" bestFit="1" customWidth="1"/>
    <col min="5388" max="5388" width="7.1640625" style="154" bestFit="1" customWidth="1"/>
    <col min="5389" max="5398" width="8.83203125" style="154" customWidth="1"/>
    <col min="5399" max="5399" width="10" style="154" bestFit="1" customWidth="1"/>
    <col min="5400" max="5623" width="8.83203125" style="154" customWidth="1"/>
    <col min="5624" max="5624" width="7.83203125" style="154" customWidth="1"/>
    <col min="5625" max="5625" width="7.5" style="154" customWidth="1"/>
    <col min="5626" max="5626" width="9" style="154" customWidth="1"/>
    <col min="5627" max="5627" width="8.33203125" style="154" customWidth="1"/>
    <col min="5628" max="5630" width="8.5" style="154" bestFit="1" customWidth="1"/>
    <col min="5631" max="5631" width="10" style="154" bestFit="1" customWidth="1"/>
    <col min="5632" max="5632" width="8.1640625" style="154" bestFit="1" customWidth="1"/>
    <col min="5633" max="5634" width="8.5" style="154" bestFit="1" customWidth="1"/>
    <col min="5635" max="5635" width="6" style="154" bestFit="1" customWidth="1"/>
    <col min="5636" max="5636" width="8.83203125" style="154" customWidth="1"/>
    <col min="5637" max="5637" width="8.5" style="154" bestFit="1" customWidth="1"/>
    <col min="5638" max="5638" width="7.1640625" style="154" bestFit="1" customWidth="1"/>
    <col min="5639" max="5639" width="4.5" style="154" bestFit="1" customWidth="1"/>
    <col min="5640" max="5640" width="5.5" style="154" bestFit="1" customWidth="1"/>
    <col min="5641" max="5643" width="6.1640625" style="154" bestFit="1" customWidth="1"/>
    <col min="5644" max="5644" width="7.1640625" style="154" bestFit="1" customWidth="1"/>
    <col min="5645" max="5654" width="8.83203125" style="154" customWidth="1"/>
    <col min="5655" max="5655" width="10" style="154" bestFit="1" customWidth="1"/>
    <col min="5656" max="5879" width="8.83203125" style="154" customWidth="1"/>
    <col min="5880" max="5880" width="7.83203125" style="154" customWidth="1"/>
    <col min="5881" max="5881" width="7.5" style="154" customWidth="1"/>
    <col min="5882" max="5882" width="9" style="154" customWidth="1"/>
    <col min="5883" max="5883" width="8.33203125" style="154" customWidth="1"/>
    <col min="5884" max="5886" width="8.5" style="154" bestFit="1" customWidth="1"/>
    <col min="5887" max="5887" width="10" style="154" bestFit="1" customWidth="1"/>
    <col min="5888" max="5888" width="8.1640625" style="154" bestFit="1" customWidth="1"/>
    <col min="5889" max="5890" width="8.5" style="154" bestFit="1" customWidth="1"/>
    <col min="5891" max="5891" width="6" style="154" bestFit="1" customWidth="1"/>
    <col min="5892" max="5892" width="8.83203125" style="154" customWidth="1"/>
    <col min="5893" max="5893" width="8.5" style="154" bestFit="1" customWidth="1"/>
    <col min="5894" max="5894" width="7.1640625" style="154" bestFit="1" customWidth="1"/>
    <col min="5895" max="5895" width="4.5" style="154" bestFit="1" customWidth="1"/>
    <col min="5896" max="5896" width="5.5" style="154" bestFit="1" customWidth="1"/>
    <col min="5897" max="5899" width="6.1640625" style="154" bestFit="1" customWidth="1"/>
    <col min="5900" max="5900" width="7.1640625" style="154" bestFit="1" customWidth="1"/>
    <col min="5901" max="5910" width="8.83203125" style="154" customWidth="1"/>
    <col min="5911" max="5911" width="10" style="154" bestFit="1" customWidth="1"/>
    <col min="5912" max="6135" width="8.83203125" style="154" customWidth="1"/>
    <col min="6136" max="6136" width="7.83203125" style="154" customWidth="1"/>
    <col min="6137" max="6137" width="7.5" style="154" customWidth="1"/>
    <col min="6138" max="6138" width="9" style="154" customWidth="1"/>
    <col min="6139" max="6139" width="8.33203125" style="154" customWidth="1"/>
    <col min="6140" max="6142" width="8.5" style="154" bestFit="1" customWidth="1"/>
    <col min="6143" max="6143" width="10" style="154" bestFit="1" customWidth="1"/>
    <col min="6144" max="6144" width="8.1640625" style="154" bestFit="1" customWidth="1"/>
    <col min="6145" max="6146" width="8.5" style="154" bestFit="1" customWidth="1"/>
    <col min="6147" max="6147" width="6" style="154" bestFit="1" customWidth="1"/>
    <col min="6148" max="6148" width="8.83203125" style="154" customWidth="1"/>
    <col min="6149" max="6149" width="8.5" style="154" bestFit="1" customWidth="1"/>
    <col min="6150" max="6150" width="7.1640625" style="154" bestFit="1" customWidth="1"/>
    <col min="6151" max="6151" width="4.5" style="154" bestFit="1" customWidth="1"/>
    <col min="6152" max="6152" width="5.5" style="154" bestFit="1" customWidth="1"/>
    <col min="6153" max="6155" width="6.1640625" style="154" bestFit="1" customWidth="1"/>
    <col min="6156" max="6156" width="7.1640625" style="154" bestFit="1" customWidth="1"/>
    <col min="6157" max="6166" width="8.83203125" style="154" customWidth="1"/>
    <col min="6167" max="6167" width="10" style="154" bestFit="1" customWidth="1"/>
    <col min="6168" max="6391" width="8.83203125" style="154" customWidth="1"/>
    <col min="6392" max="6392" width="7.83203125" style="154" customWidth="1"/>
    <col min="6393" max="6393" width="7.5" style="154" customWidth="1"/>
    <col min="6394" max="6394" width="9" style="154" customWidth="1"/>
    <col min="6395" max="6395" width="8.33203125" style="154" customWidth="1"/>
    <col min="6396" max="6398" width="8.5" style="154" bestFit="1" customWidth="1"/>
    <col min="6399" max="6399" width="10" style="154" bestFit="1" customWidth="1"/>
    <col min="6400" max="6400" width="8.1640625" style="154" bestFit="1" customWidth="1"/>
    <col min="6401" max="6402" width="8.5" style="154" bestFit="1" customWidth="1"/>
    <col min="6403" max="6403" width="6" style="154" bestFit="1" customWidth="1"/>
    <col min="6404" max="6404" width="8.83203125" style="154" customWidth="1"/>
    <col min="6405" max="6405" width="8.5" style="154" bestFit="1" customWidth="1"/>
    <col min="6406" max="6406" width="7.1640625" style="154" bestFit="1" customWidth="1"/>
    <col min="6407" max="6407" width="4.5" style="154" bestFit="1" customWidth="1"/>
    <col min="6408" max="6408" width="5.5" style="154" bestFit="1" customWidth="1"/>
    <col min="6409" max="6411" width="6.1640625" style="154" bestFit="1" customWidth="1"/>
    <col min="6412" max="6412" width="7.1640625" style="154" bestFit="1" customWidth="1"/>
    <col min="6413" max="6422" width="8.83203125" style="154" customWidth="1"/>
    <col min="6423" max="6423" width="10" style="154" bestFit="1" customWidth="1"/>
    <col min="6424" max="6647" width="8.83203125" style="154" customWidth="1"/>
    <col min="6648" max="6648" width="7.83203125" style="154" customWidth="1"/>
    <col min="6649" max="6649" width="7.5" style="154" customWidth="1"/>
    <col min="6650" max="6650" width="9" style="154" customWidth="1"/>
    <col min="6651" max="6651" width="8.33203125" style="154" customWidth="1"/>
    <col min="6652" max="6654" width="8.5" style="154" bestFit="1" customWidth="1"/>
    <col min="6655" max="6655" width="10" style="154" bestFit="1" customWidth="1"/>
    <col min="6656" max="6656" width="8.1640625" style="154" bestFit="1" customWidth="1"/>
    <col min="6657" max="6658" width="8.5" style="154" bestFit="1" customWidth="1"/>
    <col min="6659" max="6659" width="6" style="154" bestFit="1" customWidth="1"/>
    <col min="6660" max="6660" width="8.83203125" style="154" customWidth="1"/>
    <col min="6661" max="6661" width="8.5" style="154" bestFit="1" customWidth="1"/>
    <col min="6662" max="6662" width="7.1640625" style="154" bestFit="1" customWidth="1"/>
    <col min="6663" max="6663" width="4.5" style="154" bestFit="1" customWidth="1"/>
    <col min="6664" max="6664" width="5.5" style="154" bestFit="1" customWidth="1"/>
    <col min="6665" max="6667" width="6.1640625" style="154" bestFit="1" customWidth="1"/>
    <col min="6668" max="6668" width="7.1640625" style="154" bestFit="1" customWidth="1"/>
    <col min="6669" max="6678" width="8.83203125" style="154" customWidth="1"/>
    <col min="6679" max="6679" width="10" style="154" bestFit="1" customWidth="1"/>
    <col min="6680" max="6903" width="8.83203125" style="154" customWidth="1"/>
    <col min="6904" max="6904" width="7.83203125" style="154" customWidth="1"/>
    <col min="6905" max="6905" width="7.5" style="154" customWidth="1"/>
    <col min="6906" max="6906" width="9" style="154" customWidth="1"/>
    <col min="6907" max="6907" width="8.33203125" style="154" customWidth="1"/>
    <col min="6908" max="6910" width="8.5" style="154" bestFit="1" customWidth="1"/>
    <col min="6911" max="6911" width="10" style="154" bestFit="1" customWidth="1"/>
    <col min="6912" max="6912" width="8.1640625" style="154" bestFit="1" customWidth="1"/>
    <col min="6913" max="6914" width="8.5" style="154" bestFit="1" customWidth="1"/>
    <col min="6915" max="6915" width="6" style="154" bestFit="1" customWidth="1"/>
    <col min="6916" max="6916" width="8.83203125" style="154" customWidth="1"/>
    <col min="6917" max="6917" width="8.5" style="154" bestFit="1" customWidth="1"/>
    <col min="6918" max="6918" width="7.1640625" style="154" bestFit="1" customWidth="1"/>
    <col min="6919" max="6919" width="4.5" style="154" bestFit="1" customWidth="1"/>
    <col min="6920" max="6920" width="5.5" style="154" bestFit="1" customWidth="1"/>
    <col min="6921" max="6923" width="6.1640625" style="154" bestFit="1" customWidth="1"/>
    <col min="6924" max="6924" width="7.1640625" style="154" bestFit="1" customWidth="1"/>
    <col min="6925" max="6934" width="8.83203125" style="154" customWidth="1"/>
    <col min="6935" max="6935" width="10" style="154" bestFit="1" customWidth="1"/>
    <col min="6936" max="7159" width="8.83203125" style="154" customWidth="1"/>
    <col min="7160" max="7160" width="7.83203125" style="154" customWidth="1"/>
    <col min="7161" max="7161" width="7.5" style="154" customWidth="1"/>
    <col min="7162" max="7162" width="9" style="154" customWidth="1"/>
    <col min="7163" max="7163" width="8.33203125" style="154" customWidth="1"/>
    <col min="7164" max="7166" width="8.5" style="154" bestFit="1" customWidth="1"/>
    <col min="7167" max="7167" width="10" style="154" bestFit="1" customWidth="1"/>
    <col min="7168" max="7168" width="8.1640625" style="154" bestFit="1" customWidth="1"/>
    <col min="7169" max="7170" width="8.5" style="154" bestFit="1" customWidth="1"/>
    <col min="7171" max="7171" width="6" style="154" bestFit="1" customWidth="1"/>
    <col min="7172" max="7172" width="8.83203125" style="154" customWidth="1"/>
    <col min="7173" max="7173" width="8.5" style="154" bestFit="1" customWidth="1"/>
    <col min="7174" max="7174" width="7.1640625" style="154" bestFit="1" customWidth="1"/>
    <col min="7175" max="7175" width="4.5" style="154" bestFit="1" customWidth="1"/>
    <col min="7176" max="7176" width="5.5" style="154" bestFit="1" customWidth="1"/>
    <col min="7177" max="7179" width="6.1640625" style="154" bestFit="1" customWidth="1"/>
    <col min="7180" max="7180" width="7.1640625" style="154" bestFit="1" customWidth="1"/>
    <col min="7181" max="7190" width="8.83203125" style="154" customWidth="1"/>
    <col min="7191" max="7191" width="10" style="154" bestFit="1" customWidth="1"/>
    <col min="7192" max="7415" width="8.83203125" style="154" customWidth="1"/>
    <col min="7416" max="7416" width="7.83203125" style="154" customWidth="1"/>
    <col min="7417" max="7417" width="7.5" style="154" customWidth="1"/>
    <col min="7418" max="7418" width="9" style="154" customWidth="1"/>
    <col min="7419" max="7419" width="8.33203125" style="154" customWidth="1"/>
    <col min="7420" max="7422" width="8.5" style="154" bestFit="1" customWidth="1"/>
    <col min="7423" max="7423" width="10" style="154" bestFit="1" customWidth="1"/>
    <col min="7424" max="7424" width="8.1640625" style="154" bestFit="1" customWidth="1"/>
    <col min="7425" max="7426" width="8.5" style="154" bestFit="1" customWidth="1"/>
    <col min="7427" max="7427" width="6" style="154" bestFit="1" customWidth="1"/>
    <col min="7428" max="7428" width="8.83203125" style="154" customWidth="1"/>
    <col min="7429" max="7429" width="8.5" style="154" bestFit="1" customWidth="1"/>
    <col min="7430" max="7430" width="7.1640625" style="154" bestFit="1" customWidth="1"/>
    <col min="7431" max="7431" width="4.5" style="154" bestFit="1" customWidth="1"/>
    <col min="7432" max="7432" width="5.5" style="154" bestFit="1" customWidth="1"/>
    <col min="7433" max="7435" width="6.1640625" style="154" bestFit="1" customWidth="1"/>
    <col min="7436" max="7436" width="7.1640625" style="154" bestFit="1" customWidth="1"/>
    <col min="7437" max="7446" width="8.83203125" style="154" customWidth="1"/>
    <col min="7447" max="7447" width="10" style="154" bestFit="1" customWidth="1"/>
    <col min="7448" max="7671" width="8.83203125" style="154" customWidth="1"/>
    <col min="7672" max="7672" width="7.83203125" style="154" customWidth="1"/>
    <col min="7673" max="7673" width="7.5" style="154" customWidth="1"/>
    <col min="7674" max="7674" width="9" style="154" customWidth="1"/>
    <col min="7675" max="7675" width="8.33203125" style="154" customWidth="1"/>
    <col min="7676" max="7678" width="8.5" style="154" bestFit="1" customWidth="1"/>
    <col min="7679" max="7679" width="10" style="154" bestFit="1" customWidth="1"/>
    <col min="7680" max="7680" width="8.1640625" style="154" bestFit="1" customWidth="1"/>
    <col min="7681" max="7682" width="8.5" style="154" bestFit="1" customWidth="1"/>
    <col min="7683" max="7683" width="6" style="154" bestFit="1" customWidth="1"/>
    <col min="7684" max="7684" width="8.83203125" style="154" customWidth="1"/>
    <col min="7685" max="7685" width="8.5" style="154" bestFit="1" customWidth="1"/>
    <col min="7686" max="7686" width="7.1640625" style="154" bestFit="1" customWidth="1"/>
    <col min="7687" max="7687" width="4.5" style="154" bestFit="1" customWidth="1"/>
    <col min="7688" max="7688" width="5.5" style="154" bestFit="1" customWidth="1"/>
    <col min="7689" max="7691" width="6.1640625" style="154" bestFit="1" customWidth="1"/>
    <col min="7692" max="7692" width="7.1640625" style="154" bestFit="1" customWidth="1"/>
    <col min="7693" max="7702" width="8.83203125" style="154" customWidth="1"/>
    <col min="7703" max="7703" width="10" style="154" bestFit="1" customWidth="1"/>
    <col min="7704" max="7927" width="8.83203125" style="154" customWidth="1"/>
    <col min="7928" max="7928" width="7.83203125" style="154" customWidth="1"/>
    <col min="7929" max="7929" width="7.5" style="154" customWidth="1"/>
    <col min="7930" max="7930" width="9" style="154" customWidth="1"/>
    <col min="7931" max="7931" width="8.33203125" style="154" customWidth="1"/>
    <col min="7932" max="7934" width="8.5" style="154" bestFit="1" customWidth="1"/>
    <col min="7935" max="7935" width="10" style="154" bestFit="1" customWidth="1"/>
    <col min="7936" max="7936" width="8.1640625" style="154" bestFit="1" customWidth="1"/>
    <col min="7937" max="7938" width="8.5" style="154" bestFit="1" customWidth="1"/>
    <col min="7939" max="7939" width="6" style="154" bestFit="1" customWidth="1"/>
    <col min="7940" max="7940" width="8.83203125" style="154" customWidth="1"/>
    <col min="7941" max="7941" width="8.5" style="154" bestFit="1" customWidth="1"/>
    <col min="7942" max="7942" width="7.1640625" style="154" bestFit="1" customWidth="1"/>
    <col min="7943" max="7943" width="4.5" style="154" bestFit="1" customWidth="1"/>
    <col min="7944" max="7944" width="5.5" style="154" bestFit="1" customWidth="1"/>
    <col min="7945" max="7947" width="6.1640625" style="154" bestFit="1" customWidth="1"/>
    <col min="7948" max="7948" width="7.1640625" style="154" bestFit="1" customWidth="1"/>
    <col min="7949" max="7958" width="8.83203125" style="154" customWidth="1"/>
    <col min="7959" max="7959" width="10" style="154" bestFit="1" customWidth="1"/>
    <col min="7960" max="8183" width="8.83203125" style="154" customWidth="1"/>
    <col min="8184" max="8184" width="7.83203125" style="154" customWidth="1"/>
    <col min="8185" max="8185" width="7.5" style="154" customWidth="1"/>
    <col min="8186" max="8186" width="9" style="154" customWidth="1"/>
    <col min="8187" max="8187" width="8.33203125" style="154" customWidth="1"/>
    <col min="8188" max="8190" width="8.5" style="154" bestFit="1" customWidth="1"/>
    <col min="8191" max="8191" width="10" style="154" bestFit="1" customWidth="1"/>
    <col min="8192" max="8192" width="8.1640625" style="154" bestFit="1" customWidth="1"/>
    <col min="8193" max="8194" width="8.5" style="154" bestFit="1" customWidth="1"/>
    <col min="8195" max="8195" width="6" style="154" bestFit="1" customWidth="1"/>
    <col min="8196" max="8196" width="8.83203125" style="154" customWidth="1"/>
    <col min="8197" max="8197" width="8.5" style="154" bestFit="1" customWidth="1"/>
    <col min="8198" max="8198" width="7.1640625" style="154" bestFit="1" customWidth="1"/>
    <col min="8199" max="8199" width="4.5" style="154" bestFit="1" customWidth="1"/>
    <col min="8200" max="8200" width="5.5" style="154" bestFit="1" customWidth="1"/>
    <col min="8201" max="8203" width="6.1640625" style="154" bestFit="1" customWidth="1"/>
    <col min="8204" max="8204" width="7.1640625" style="154" bestFit="1" customWidth="1"/>
    <col min="8205" max="8214" width="8.83203125" style="154" customWidth="1"/>
    <col min="8215" max="8215" width="10" style="154" bestFit="1" customWidth="1"/>
    <col min="8216" max="8439" width="8.83203125" style="154" customWidth="1"/>
    <col min="8440" max="8440" width="7.83203125" style="154" customWidth="1"/>
    <col min="8441" max="8441" width="7.5" style="154" customWidth="1"/>
    <col min="8442" max="8442" width="9" style="154" customWidth="1"/>
    <col min="8443" max="8443" width="8.33203125" style="154" customWidth="1"/>
    <col min="8444" max="8446" width="8.5" style="154" bestFit="1" customWidth="1"/>
    <col min="8447" max="8447" width="10" style="154" bestFit="1" customWidth="1"/>
    <col min="8448" max="8448" width="8.1640625" style="154" bestFit="1" customWidth="1"/>
    <col min="8449" max="8450" width="8.5" style="154" bestFit="1" customWidth="1"/>
    <col min="8451" max="8451" width="6" style="154" bestFit="1" customWidth="1"/>
    <col min="8452" max="8452" width="8.83203125" style="154" customWidth="1"/>
    <col min="8453" max="8453" width="8.5" style="154" bestFit="1" customWidth="1"/>
    <col min="8454" max="8454" width="7.1640625" style="154" bestFit="1" customWidth="1"/>
    <col min="8455" max="8455" width="4.5" style="154" bestFit="1" customWidth="1"/>
    <col min="8456" max="8456" width="5.5" style="154" bestFit="1" customWidth="1"/>
    <col min="8457" max="8459" width="6.1640625" style="154" bestFit="1" customWidth="1"/>
    <col min="8460" max="8460" width="7.1640625" style="154" bestFit="1" customWidth="1"/>
    <col min="8461" max="8470" width="8.83203125" style="154" customWidth="1"/>
    <col min="8471" max="8471" width="10" style="154" bestFit="1" customWidth="1"/>
    <col min="8472" max="8695" width="8.83203125" style="154" customWidth="1"/>
    <col min="8696" max="8696" width="7.83203125" style="154" customWidth="1"/>
    <col min="8697" max="8697" width="7.5" style="154" customWidth="1"/>
    <col min="8698" max="8698" width="9" style="154" customWidth="1"/>
    <col min="8699" max="8699" width="8.33203125" style="154" customWidth="1"/>
    <col min="8700" max="8702" width="8.5" style="154" bestFit="1" customWidth="1"/>
    <col min="8703" max="8703" width="10" style="154" bestFit="1" customWidth="1"/>
    <col min="8704" max="8704" width="8.1640625" style="154" bestFit="1" customWidth="1"/>
    <col min="8705" max="8706" width="8.5" style="154" bestFit="1" customWidth="1"/>
    <col min="8707" max="8707" width="6" style="154" bestFit="1" customWidth="1"/>
    <col min="8708" max="8708" width="8.83203125" style="154" customWidth="1"/>
    <col min="8709" max="8709" width="8.5" style="154" bestFit="1" customWidth="1"/>
    <col min="8710" max="8710" width="7.1640625" style="154" bestFit="1" customWidth="1"/>
    <col min="8711" max="8711" width="4.5" style="154" bestFit="1" customWidth="1"/>
    <col min="8712" max="8712" width="5.5" style="154" bestFit="1" customWidth="1"/>
    <col min="8713" max="8715" width="6.1640625" style="154" bestFit="1" customWidth="1"/>
    <col min="8716" max="8716" width="7.1640625" style="154" bestFit="1" customWidth="1"/>
    <col min="8717" max="8726" width="8.83203125" style="154" customWidth="1"/>
    <col min="8727" max="8727" width="10" style="154" bestFit="1" customWidth="1"/>
    <col min="8728" max="8951" width="8.83203125" style="154" customWidth="1"/>
    <col min="8952" max="8952" width="7.83203125" style="154" customWidth="1"/>
    <col min="8953" max="8953" width="7.5" style="154" customWidth="1"/>
    <col min="8954" max="8954" width="9" style="154" customWidth="1"/>
    <col min="8955" max="8955" width="8.33203125" style="154" customWidth="1"/>
    <col min="8956" max="8958" width="8.5" style="154" bestFit="1" customWidth="1"/>
    <col min="8959" max="8959" width="10" style="154" bestFit="1" customWidth="1"/>
    <col min="8960" max="8960" width="8.1640625" style="154" bestFit="1" customWidth="1"/>
    <col min="8961" max="8962" width="8.5" style="154" bestFit="1" customWidth="1"/>
    <col min="8963" max="8963" width="6" style="154" bestFit="1" customWidth="1"/>
    <col min="8964" max="8964" width="8.83203125" style="154" customWidth="1"/>
    <col min="8965" max="8965" width="8.5" style="154" bestFit="1" customWidth="1"/>
    <col min="8966" max="8966" width="7.1640625" style="154" bestFit="1" customWidth="1"/>
    <col min="8967" max="8967" width="4.5" style="154" bestFit="1" customWidth="1"/>
    <col min="8968" max="8968" width="5.5" style="154" bestFit="1" customWidth="1"/>
    <col min="8969" max="8971" width="6.1640625" style="154" bestFit="1" customWidth="1"/>
    <col min="8972" max="8972" width="7.1640625" style="154" bestFit="1" customWidth="1"/>
    <col min="8973" max="8982" width="8.83203125" style="154" customWidth="1"/>
    <col min="8983" max="8983" width="10" style="154" bestFit="1" customWidth="1"/>
    <col min="8984" max="9207" width="8.83203125" style="154" customWidth="1"/>
    <col min="9208" max="9208" width="7.83203125" style="154" customWidth="1"/>
    <col min="9209" max="9209" width="7.5" style="154" customWidth="1"/>
    <col min="9210" max="9210" width="9" style="154" customWidth="1"/>
    <col min="9211" max="9211" width="8.33203125" style="154" customWidth="1"/>
    <col min="9212" max="9214" width="8.5" style="154" bestFit="1" customWidth="1"/>
    <col min="9215" max="9215" width="10" style="154" bestFit="1" customWidth="1"/>
    <col min="9216" max="9216" width="8.1640625" style="154" bestFit="1" customWidth="1"/>
    <col min="9217" max="9218" width="8.5" style="154" bestFit="1" customWidth="1"/>
    <col min="9219" max="9219" width="6" style="154" bestFit="1" customWidth="1"/>
    <col min="9220" max="9220" width="8.83203125" style="154" customWidth="1"/>
    <col min="9221" max="9221" width="8.5" style="154" bestFit="1" customWidth="1"/>
    <col min="9222" max="9222" width="7.1640625" style="154" bestFit="1" customWidth="1"/>
    <col min="9223" max="9223" width="4.5" style="154" bestFit="1" customWidth="1"/>
    <col min="9224" max="9224" width="5.5" style="154" bestFit="1" customWidth="1"/>
    <col min="9225" max="9227" width="6.1640625" style="154" bestFit="1" customWidth="1"/>
    <col min="9228" max="9228" width="7.1640625" style="154" bestFit="1" customWidth="1"/>
    <col min="9229" max="9238" width="8.83203125" style="154" customWidth="1"/>
    <col min="9239" max="9239" width="10" style="154" bestFit="1" customWidth="1"/>
    <col min="9240" max="9463" width="8.83203125" style="154" customWidth="1"/>
    <col min="9464" max="9464" width="7.83203125" style="154" customWidth="1"/>
    <col min="9465" max="9465" width="7.5" style="154" customWidth="1"/>
    <col min="9466" max="9466" width="9" style="154" customWidth="1"/>
    <col min="9467" max="9467" width="8.33203125" style="154" customWidth="1"/>
    <col min="9468" max="9470" width="8.5" style="154" bestFit="1" customWidth="1"/>
    <col min="9471" max="9471" width="10" style="154" bestFit="1" customWidth="1"/>
    <col min="9472" max="9472" width="8.1640625" style="154" bestFit="1" customWidth="1"/>
    <col min="9473" max="9474" width="8.5" style="154" bestFit="1" customWidth="1"/>
    <col min="9475" max="9475" width="6" style="154" bestFit="1" customWidth="1"/>
    <col min="9476" max="9476" width="8.83203125" style="154" customWidth="1"/>
    <col min="9477" max="9477" width="8.5" style="154" bestFit="1" customWidth="1"/>
    <col min="9478" max="9478" width="7.1640625" style="154" bestFit="1" customWidth="1"/>
    <col min="9479" max="9479" width="4.5" style="154" bestFit="1" customWidth="1"/>
    <col min="9480" max="9480" width="5.5" style="154" bestFit="1" customWidth="1"/>
    <col min="9481" max="9483" width="6.1640625" style="154" bestFit="1" customWidth="1"/>
    <col min="9484" max="9484" width="7.1640625" style="154" bestFit="1" customWidth="1"/>
    <col min="9485" max="9494" width="8.83203125" style="154" customWidth="1"/>
    <col min="9495" max="9495" width="10" style="154" bestFit="1" customWidth="1"/>
    <col min="9496" max="9719" width="8.83203125" style="154" customWidth="1"/>
    <col min="9720" max="9720" width="7.83203125" style="154" customWidth="1"/>
    <col min="9721" max="9721" width="7.5" style="154" customWidth="1"/>
    <col min="9722" max="9722" width="9" style="154" customWidth="1"/>
    <col min="9723" max="9723" width="8.33203125" style="154" customWidth="1"/>
    <col min="9724" max="9726" width="8.5" style="154" bestFit="1" customWidth="1"/>
    <col min="9727" max="9727" width="10" style="154" bestFit="1" customWidth="1"/>
    <col min="9728" max="9728" width="8.1640625" style="154" bestFit="1" customWidth="1"/>
    <col min="9729" max="9730" width="8.5" style="154" bestFit="1" customWidth="1"/>
    <col min="9731" max="9731" width="6" style="154" bestFit="1" customWidth="1"/>
    <col min="9732" max="9732" width="8.83203125" style="154" customWidth="1"/>
    <col min="9733" max="9733" width="8.5" style="154" bestFit="1" customWidth="1"/>
    <col min="9734" max="9734" width="7.1640625" style="154" bestFit="1" customWidth="1"/>
    <col min="9735" max="9735" width="4.5" style="154" bestFit="1" customWidth="1"/>
    <col min="9736" max="9736" width="5.5" style="154" bestFit="1" customWidth="1"/>
    <col min="9737" max="9739" width="6.1640625" style="154" bestFit="1" customWidth="1"/>
    <col min="9740" max="9740" width="7.1640625" style="154" bestFit="1" customWidth="1"/>
    <col min="9741" max="9750" width="8.83203125" style="154" customWidth="1"/>
    <col min="9751" max="9751" width="10" style="154" bestFit="1" customWidth="1"/>
    <col min="9752" max="9975" width="8.83203125" style="154" customWidth="1"/>
    <col min="9976" max="9976" width="7.83203125" style="154" customWidth="1"/>
    <col min="9977" max="9977" width="7.5" style="154" customWidth="1"/>
    <col min="9978" max="9978" width="9" style="154" customWidth="1"/>
    <col min="9979" max="9979" width="8.33203125" style="154" customWidth="1"/>
    <col min="9980" max="9982" width="8.5" style="154" bestFit="1" customWidth="1"/>
    <col min="9983" max="9983" width="10" style="154" bestFit="1" customWidth="1"/>
    <col min="9984" max="9984" width="8.1640625" style="154" bestFit="1" customWidth="1"/>
    <col min="9985" max="9986" width="8.5" style="154" bestFit="1" customWidth="1"/>
    <col min="9987" max="9987" width="6" style="154" bestFit="1" customWidth="1"/>
    <col min="9988" max="9988" width="8.83203125" style="154" customWidth="1"/>
    <col min="9989" max="9989" width="8.5" style="154" bestFit="1" customWidth="1"/>
    <col min="9990" max="9990" width="7.1640625" style="154" bestFit="1" customWidth="1"/>
    <col min="9991" max="9991" width="4.5" style="154" bestFit="1" customWidth="1"/>
    <col min="9992" max="9992" width="5.5" style="154" bestFit="1" customWidth="1"/>
    <col min="9993" max="9995" width="6.1640625" style="154" bestFit="1" customWidth="1"/>
    <col min="9996" max="9996" width="7.1640625" style="154" bestFit="1" customWidth="1"/>
    <col min="9997" max="10006" width="8.83203125" style="154" customWidth="1"/>
    <col min="10007" max="10007" width="10" style="154" bestFit="1" customWidth="1"/>
    <col min="10008" max="10231" width="8.83203125" style="154" customWidth="1"/>
    <col min="10232" max="10232" width="7.83203125" style="154" customWidth="1"/>
    <col min="10233" max="10233" width="7.5" style="154" customWidth="1"/>
    <col min="10234" max="10234" width="9" style="154" customWidth="1"/>
    <col min="10235" max="10235" width="8.33203125" style="154" customWidth="1"/>
    <col min="10236" max="10238" width="8.5" style="154" bestFit="1" customWidth="1"/>
    <col min="10239" max="10239" width="10" style="154" bestFit="1" customWidth="1"/>
    <col min="10240" max="10240" width="8.1640625" style="154" bestFit="1" customWidth="1"/>
    <col min="10241" max="10242" width="8.5" style="154" bestFit="1" customWidth="1"/>
    <col min="10243" max="10243" width="6" style="154" bestFit="1" customWidth="1"/>
    <col min="10244" max="10244" width="8.83203125" style="154" customWidth="1"/>
    <col min="10245" max="10245" width="8.5" style="154" bestFit="1" customWidth="1"/>
    <col min="10246" max="10246" width="7.1640625" style="154" bestFit="1" customWidth="1"/>
    <col min="10247" max="10247" width="4.5" style="154" bestFit="1" customWidth="1"/>
    <col min="10248" max="10248" width="5.5" style="154" bestFit="1" customWidth="1"/>
    <col min="10249" max="10251" width="6.1640625" style="154" bestFit="1" customWidth="1"/>
    <col min="10252" max="10252" width="7.1640625" style="154" bestFit="1" customWidth="1"/>
    <col min="10253" max="10262" width="8.83203125" style="154" customWidth="1"/>
    <col min="10263" max="10263" width="10" style="154" bestFit="1" customWidth="1"/>
    <col min="10264" max="10487" width="8.83203125" style="154" customWidth="1"/>
    <col min="10488" max="10488" width="7.83203125" style="154" customWidth="1"/>
    <col min="10489" max="10489" width="7.5" style="154" customWidth="1"/>
    <col min="10490" max="10490" width="9" style="154" customWidth="1"/>
    <col min="10491" max="10491" width="8.33203125" style="154" customWidth="1"/>
    <col min="10492" max="10494" width="8.5" style="154" bestFit="1" customWidth="1"/>
    <col min="10495" max="10495" width="10" style="154" bestFit="1" customWidth="1"/>
    <col min="10496" max="10496" width="8.1640625" style="154" bestFit="1" customWidth="1"/>
    <col min="10497" max="10498" width="8.5" style="154" bestFit="1" customWidth="1"/>
    <col min="10499" max="10499" width="6" style="154" bestFit="1" customWidth="1"/>
    <col min="10500" max="10500" width="8.83203125" style="154" customWidth="1"/>
    <col min="10501" max="10501" width="8.5" style="154" bestFit="1" customWidth="1"/>
    <col min="10502" max="10502" width="7.1640625" style="154" bestFit="1" customWidth="1"/>
    <col min="10503" max="10503" width="4.5" style="154" bestFit="1" customWidth="1"/>
    <col min="10504" max="10504" width="5.5" style="154" bestFit="1" customWidth="1"/>
    <col min="10505" max="10507" width="6.1640625" style="154" bestFit="1" customWidth="1"/>
    <col min="10508" max="10508" width="7.1640625" style="154" bestFit="1" customWidth="1"/>
    <col min="10509" max="10518" width="8.83203125" style="154" customWidth="1"/>
    <col min="10519" max="10519" width="10" style="154" bestFit="1" customWidth="1"/>
    <col min="10520" max="10743" width="8.83203125" style="154" customWidth="1"/>
    <col min="10744" max="10744" width="7.83203125" style="154" customWidth="1"/>
    <col min="10745" max="10745" width="7.5" style="154" customWidth="1"/>
    <col min="10746" max="10746" width="9" style="154" customWidth="1"/>
    <col min="10747" max="10747" width="8.33203125" style="154" customWidth="1"/>
    <col min="10748" max="10750" width="8.5" style="154" bestFit="1" customWidth="1"/>
    <col min="10751" max="10751" width="10" style="154" bestFit="1" customWidth="1"/>
    <col min="10752" max="10752" width="8.1640625" style="154" bestFit="1" customWidth="1"/>
    <col min="10753" max="10754" width="8.5" style="154" bestFit="1" customWidth="1"/>
    <col min="10755" max="10755" width="6" style="154" bestFit="1" customWidth="1"/>
    <col min="10756" max="10756" width="8.83203125" style="154" customWidth="1"/>
    <col min="10757" max="10757" width="8.5" style="154" bestFit="1" customWidth="1"/>
    <col min="10758" max="10758" width="7.1640625" style="154" bestFit="1" customWidth="1"/>
    <col min="10759" max="10759" width="4.5" style="154" bestFit="1" customWidth="1"/>
    <col min="10760" max="10760" width="5.5" style="154" bestFit="1" customWidth="1"/>
    <col min="10761" max="10763" width="6.1640625" style="154" bestFit="1" customWidth="1"/>
    <col min="10764" max="10764" width="7.1640625" style="154" bestFit="1" customWidth="1"/>
    <col min="10765" max="10774" width="8.83203125" style="154" customWidth="1"/>
    <col min="10775" max="10775" width="10" style="154" bestFit="1" customWidth="1"/>
    <col min="10776" max="10999" width="8.83203125" style="154" customWidth="1"/>
    <col min="11000" max="11000" width="7.83203125" style="154" customWidth="1"/>
    <col min="11001" max="11001" width="7.5" style="154" customWidth="1"/>
    <col min="11002" max="11002" width="9" style="154" customWidth="1"/>
    <col min="11003" max="11003" width="8.33203125" style="154" customWidth="1"/>
    <col min="11004" max="11006" width="8.5" style="154" bestFit="1" customWidth="1"/>
    <col min="11007" max="11007" width="10" style="154" bestFit="1" customWidth="1"/>
    <col min="11008" max="11008" width="8.1640625" style="154" bestFit="1" customWidth="1"/>
    <col min="11009" max="11010" width="8.5" style="154" bestFit="1" customWidth="1"/>
    <col min="11011" max="11011" width="6" style="154" bestFit="1" customWidth="1"/>
    <col min="11012" max="11012" width="8.83203125" style="154" customWidth="1"/>
    <col min="11013" max="11013" width="8.5" style="154" bestFit="1" customWidth="1"/>
    <col min="11014" max="11014" width="7.1640625" style="154" bestFit="1" customWidth="1"/>
    <col min="11015" max="11015" width="4.5" style="154" bestFit="1" customWidth="1"/>
    <col min="11016" max="11016" width="5.5" style="154" bestFit="1" customWidth="1"/>
    <col min="11017" max="11019" width="6.1640625" style="154" bestFit="1" customWidth="1"/>
    <col min="11020" max="11020" width="7.1640625" style="154" bestFit="1" customWidth="1"/>
    <col min="11021" max="11030" width="8.83203125" style="154" customWidth="1"/>
    <col min="11031" max="11031" width="10" style="154" bestFit="1" customWidth="1"/>
    <col min="11032" max="11255" width="8.83203125" style="154" customWidth="1"/>
    <col min="11256" max="11256" width="7.83203125" style="154" customWidth="1"/>
    <col min="11257" max="11257" width="7.5" style="154" customWidth="1"/>
    <col min="11258" max="11258" width="9" style="154" customWidth="1"/>
    <col min="11259" max="11259" width="8.33203125" style="154" customWidth="1"/>
    <col min="11260" max="11262" width="8.5" style="154" bestFit="1" customWidth="1"/>
    <col min="11263" max="11263" width="10" style="154" bestFit="1" customWidth="1"/>
    <col min="11264" max="11264" width="8.1640625" style="154" bestFit="1" customWidth="1"/>
    <col min="11265" max="11266" width="8.5" style="154" bestFit="1" customWidth="1"/>
    <col min="11267" max="11267" width="6" style="154" bestFit="1" customWidth="1"/>
    <col min="11268" max="11268" width="8.83203125" style="154" customWidth="1"/>
    <col min="11269" max="11269" width="8.5" style="154" bestFit="1" customWidth="1"/>
    <col min="11270" max="11270" width="7.1640625" style="154" bestFit="1" customWidth="1"/>
    <col min="11271" max="11271" width="4.5" style="154" bestFit="1" customWidth="1"/>
    <col min="11272" max="11272" width="5.5" style="154" bestFit="1" customWidth="1"/>
    <col min="11273" max="11275" width="6.1640625" style="154" bestFit="1" customWidth="1"/>
    <col min="11276" max="11276" width="7.1640625" style="154" bestFit="1" customWidth="1"/>
    <col min="11277" max="11286" width="8.83203125" style="154" customWidth="1"/>
    <col min="11287" max="11287" width="10" style="154" bestFit="1" customWidth="1"/>
    <col min="11288" max="11511" width="8.83203125" style="154" customWidth="1"/>
    <col min="11512" max="11512" width="7.83203125" style="154" customWidth="1"/>
    <col min="11513" max="11513" width="7.5" style="154" customWidth="1"/>
    <col min="11514" max="11514" width="9" style="154" customWidth="1"/>
    <col min="11515" max="11515" width="8.33203125" style="154" customWidth="1"/>
    <col min="11516" max="11518" width="8.5" style="154" bestFit="1" customWidth="1"/>
    <col min="11519" max="11519" width="10" style="154" bestFit="1" customWidth="1"/>
    <col min="11520" max="11520" width="8.1640625" style="154" bestFit="1" customWidth="1"/>
    <col min="11521" max="11522" width="8.5" style="154" bestFit="1" customWidth="1"/>
    <col min="11523" max="11523" width="6" style="154" bestFit="1" customWidth="1"/>
    <col min="11524" max="11524" width="8.83203125" style="154" customWidth="1"/>
    <col min="11525" max="11525" width="8.5" style="154" bestFit="1" customWidth="1"/>
    <col min="11526" max="11526" width="7.1640625" style="154" bestFit="1" customWidth="1"/>
    <col min="11527" max="11527" width="4.5" style="154" bestFit="1" customWidth="1"/>
    <col min="11528" max="11528" width="5.5" style="154" bestFit="1" customWidth="1"/>
    <col min="11529" max="11531" width="6.1640625" style="154" bestFit="1" customWidth="1"/>
    <col min="11532" max="11532" width="7.1640625" style="154" bestFit="1" customWidth="1"/>
    <col min="11533" max="11542" width="8.83203125" style="154" customWidth="1"/>
    <col min="11543" max="11543" width="10" style="154" bestFit="1" customWidth="1"/>
    <col min="11544" max="11767" width="8.83203125" style="154" customWidth="1"/>
    <col min="11768" max="11768" width="7.83203125" style="154" customWidth="1"/>
    <col min="11769" max="11769" width="7.5" style="154" customWidth="1"/>
    <col min="11770" max="11770" width="9" style="154" customWidth="1"/>
    <col min="11771" max="11771" width="8.33203125" style="154" customWidth="1"/>
    <col min="11772" max="11774" width="8.5" style="154" bestFit="1" customWidth="1"/>
    <col min="11775" max="11775" width="10" style="154" bestFit="1" customWidth="1"/>
    <col min="11776" max="11776" width="8.1640625" style="154" bestFit="1" customWidth="1"/>
    <col min="11777" max="11778" width="8.5" style="154" bestFit="1" customWidth="1"/>
    <col min="11779" max="11779" width="6" style="154" bestFit="1" customWidth="1"/>
    <col min="11780" max="11780" width="8.83203125" style="154" customWidth="1"/>
    <col min="11781" max="11781" width="8.5" style="154" bestFit="1" customWidth="1"/>
    <col min="11782" max="11782" width="7.1640625" style="154" bestFit="1" customWidth="1"/>
    <col min="11783" max="11783" width="4.5" style="154" bestFit="1" customWidth="1"/>
    <col min="11784" max="11784" width="5.5" style="154" bestFit="1" customWidth="1"/>
    <col min="11785" max="11787" width="6.1640625" style="154" bestFit="1" customWidth="1"/>
    <col min="11788" max="11788" width="7.1640625" style="154" bestFit="1" customWidth="1"/>
    <col min="11789" max="11798" width="8.83203125" style="154" customWidth="1"/>
    <col min="11799" max="11799" width="10" style="154" bestFit="1" customWidth="1"/>
    <col min="11800" max="12023" width="8.83203125" style="154" customWidth="1"/>
    <col min="12024" max="12024" width="7.83203125" style="154" customWidth="1"/>
    <col min="12025" max="12025" width="7.5" style="154" customWidth="1"/>
    <col min="12026" max="12026" width="9" style="154" customWidth="1"/>
    <col min="12027" max="12027" width="8.33203125" style="154" customWidth="1"/>
    <col min="12028" max="12030" width="8.5" style="154" bestFit="1" customWidth="1"/>
    <col min="12031" max="12031" width="10" style="154" bestFit="1" customWidth="1"/>
    <col min="12032" max="12032" width="8.1640625" style="154" bestFit="1" customWidth="1"/>
    <col min="12033" max="12034" width="8.5" style="154" bestFit="1" customWidth="1"/>
    <col min="12035" max="12035" width="6" style="154" bestFit="1" customWidth="1"/>
    <col min="12036" max="12036" width="8.83203125" style="154" customWidth="1"/>
    <col min="12037" max="12037" width="8.5" style="154" bestFit="1" customWidth="1"/>
    <col min="12038" max="12038" width="7.1640625" style="154" bestFit="1" customWidth="1"/>
    <col min="12039" max="12039" width="4.5" style="154" bestFit="1" customWidth="1"/>
    <col min="12040" max="12040" width="5.5" style="154" bestFit="1" customWidth="1"/>
    <col min="12041" max="12043" width="6.1640625" style="154" bestFit="1" customWidth="1"/>
    <col min="12044" max="12044" width="7.1640625" style="154" bestFit="1" customWidth="1"/>
    <col min="12045" max="12054" width="8.83203125" style="154" customWidth="1"/>
    <col min="12055" max="12055" width="10" style="154" bestFit="1" customWidth="1"/>
    <col min="12056" max="12279" width="8.83203125" style="154" customWidth="1"/>
    <col min="12280" max="12280" width="7.83203125" style="154" customWidth="1"/>
    <col min="12281" max="12281" width="7.5" style="154" customWidth="1"/>
    <col min="12282" max="12282" width="9" style="154" customWidth="1"/>
    <col min="12283" max="12283" width="8.33203125" style="154" customWidth="1"/>
    <col min="12284" max="12286" width="8.5" style="154" bestFit="1" customWidth="1"/>
    <col min="12287" max="12287" width="10" style="154" bestFit="1" customWidth="1"/>
    <col min="12288" max="12288" width="8.1640625" style="154" bestFit="1" customWidth="1"/>
    <col min="12289" max="12290" width="8.5" style="154" bestFit="1" customWidth="1"/>
    <col min="12291" max="12291" width="6" style="154" bestFit="1" customWidth="1"/>
    <col min="12292" max="12292" width="8.83203125" style="154" customWidth="1"/>
    <col min="12293" max="12293" width="8.5" style="154" bestFit="1" customWidth="1"/>
    <col min="12294" max="12294" width="7.1640625" style="154" bestFit="1" customWidth="1"/>
    <col min="12295" max="12295" width="4.5" style="154" bestFit="1" customWidth="1"/>
    <col min="12296" max="12296" width="5.5" style="154" bestFit="1" customWidth="1"/>
    <col min="12297" max="12299" width="6.1640625" style="154" bestFit="1" customWidth="1"/>
    <col min="12300" max="12300" width="7.1640625" style="154" bestFit="1" customWidth="1"/>
    <col min="12301" max="12310" width="8.83203125" style="154" customWidth="1"/>
    <col min="12311" max="12311" width="10" style="154" bestFit="1" customWidth="1"/>
    <col min="12312" max="12535" width="8.83203125" style="154" customWidth="1"/>
    <col min="12536" max="12536" width="7.83203125" style="154" customWidth="1"/>
    <col min="12537" max="12537" width="7.5" style="154" customWidth="1"/>
    <col min="12538" max="12538" width="9" style="154" customWidth="1"/>
    <col min="12539" max="12539" width="8.33203125" style="154" customWidth="1"/>
    <col min="12540" max="12542" width="8.5" style="154" bestFit="1" customWidth="1"/>
    <col min="12543" max="12543" width="10" style="154" bestFit="1" customWidth="1"/>
    <col min="12544" max="12544" width="8.1640625" style="154" bestFit="1" customWidth="1"/>
    <col min="12545" max="12546" width="8.5" style="154" bestFit="1" customWidth="1"/>
    <col min="12547" max="12547" width="6" style="154" bestFit="1" customWidth="1"/>
    <col min="12548" max="12548" width="8.83203125" style="154" customWidth="1"/>
    <col min="12549" max="12549" width="8.5" style="154" bestFit="1" customWidth="1"/>
    <col min="12550" max="12550" width="7.1640625" style="154" bestFit="1" customWidth="1"/>
    <col min="12551" max="12551" width="4.5" style="154" bestFit="1" customWidth="1"/>
    <col min="12552" max="12552" width="5.5" style="154" bestFit="1" customWidth="1"/>
    <col min="12553" max="12555" width="6.1640625" style="154" bestFit="1" customWidth="1"/>
    <col min="12556" max="12556" width="7.1640625" style="154" bestFit="1" customWidth="1"/>
    <col min="12557" max="12566" width="8.83203125" style="154" customWidth="1"/>
    <col min="12567" max="12567" width="10" style="154" bestFit="1" customWidth="1"/>
    <col min="12568" max="12791" width="8.83203125" style="154" customWidth="1"/>
    <col min="12792" max="12792" width="7.83203125" style="154" customWidth="1"/>
    <col min="12793" max="12793" width="7.5" style="154" customWidth="1"/>
    <col min="12794" max="12794" width="9" style="154" customWidth="1"/>
    <col min="12795" max="12795" width="8.33203125" style="154" customWidth="1"/>
    <col min="12796" max="12798" width="8.5" style="154" bestFit="1" customWidth="1"/>
    <col min="12799" max="12799" width="10" style="154" bestFit="1" customWidth="1"/>
    <col min="12800" max="12800" width="8.1640625" style="154" bestFit="1" customWidth="1"/>
    <col min="12801" max="12802" width="8.5" style="154" bestFit="1" customWidth="1"/>
    <col min="12803" max="12803" width="6" style="154" bestFit="1" customWidth="1"/>
    <col min="12804" max="12804" width="8.83203125" style="154" customWidth="1"/>
    <col min="12805" max="12805" width="8.5" style="154" bestFit="1" customWidth="1"/>
    <col min="12806" max="12806" width="7.1640625" style="154" bestFit="1" customWidth="1"/>
    <col min="12807" max="12807" width="4.5" style="154" bestFit="1" customWidth="1"/>
    <col min="12808" max="12808" width="5.5" style="154" bestFit="1" customWidth="1"/>
    <col min="12809" max="12811" width="6.1640625" style="154" bestFit="1" customWidth="1"/>
    <col min="12812" max="12812" width="7.1640625" style="154" bestFit="1" customWidth="1"/>
    <col min="12813" max="12822" width="8.83203125" style="154" customWidth="1"/>
    <col min="12823" max="12823" width="10" style="154" bestFit="1" customWidth="1"/>
    <col min="12824" max="13047" width="8.83203125" style="154" customWidth="1"/>
    <col min="13048" max="13048" width="7.83203125" style="154" customWidth="1"/>
    <col min="13049" max="13049" width="7.5" style="154" customWidth="1"/>
    <col min="13050" max="13050" width="9" style="154" customWidth="1"/>
    <col min="13051" max="13051" width="8.33203125" style="154" customWidth="1"/>
    <col min="13052" max="13054" width="8.5" style="154" bestFit="1" customWidth="1"/>
    <col min="13055" max="13055" width="10" style="154" bestFit="1" customWidth="1"/>
    <col min="13056" max="13056" width="8.1640625" style="154" bestFit="1" customWidth="1"/>
    <col min="13057" max="13058" width="8.5" style="154" bestFit="1" customWidth="1"/>
    <col min="13059" max="13059" width="6" style="154" bestFit="1" customWidth="1"/>
    <col min="13060" max="13060" width="8.83203125" style="154" customWidth="1"/>
    <col min="13061" max="13061" width="8.5" style="154" bestFit="1" customWidth="1"/>
    <col min="13062" max="13062" width="7.1640625" style="154" bestFit="1" customWidth="1"/>
    <col min="13063" max="13063" width="4.5" style="154" bestFit="1" customWidth="1"/>
    <col min="13064" max="13064" width="5.5" style="154" bestFit="1" customWidth="1"/>
    <col min="13065" max="13067" width="6.1640625" style="154" bestFit="1" customWidth="1"/>
    <col min="13068" max="13068" width="7.1640625" style="154" bestFit="1" customWidth="1"/>
    <col min="13069" max="13078" width="8.83203125" style="154" customWidth="1"/>
    <col min="13079" max="13079" width="10" style="154" bestFit="1" customWidth="1"/>
    <col min="13080" max="13303" width="8.83203125" style="154" customWidth="1"/>
    <col min="13304" max="13304" width="7.83203125" style="154" customWidth="1"/>
    <col min="13305" max="13305" width="7.5" style="154" customWidth="1"/>
    <col min="13306" max="13306" width="9" style="154" customWidth="1"/>
    <col min="13307" max="13307" width="8.33203125" style="154" customWidth="1"/>
    <col min="13308" max="13310" width="8.5" style="154" bestFit="1" customWidth="1"/>
    <col min="13311" max="13311" width="10" style="154" bestFit="1" customWidth="1"/>
    <col min="13312" max="13312" width="8.1640625" style="154" bestFit="1" customWidth="1"/>
    <col min="13313" max="13314" width="8.5" style="154" bestFit="1" customWidth="1"/>
    <col min="13315" max="13315" width="6" style="154" bestFit="1" customWidth="1"/>
    <col min="13316" max="13316" width="8.83203125" style="154" customWidth="1"/>
    <col min="13317" max="13317" width="8.5" style="154" bestFit="1" customWidth="1"/>
    <col min="13318" max="13318" width="7.1640625" style="154" bestFit="1" customWidth="1"/>
    <col min="13319" max="13319" width="4.5" style="154" bestFit="1" customWidth="1"/>
    <col min="13320" max="13320" width="5.5" style="154" bestFit="1" customWidth="1"/>
    <col min="13321" max="13323" width="6.1640625" style="154" bestFit="1" customWidth="1"/>
    <col min="13324" max="13324" width="7.1640625" style="154" bestFit="1" customWidth="1"/>
    <col min="13325" max="13334" width="8.83203125" style="154" customWidth="1"/>
    <col min="13335" max="13335" width="10" style="154" bestFit="1" customWidth="1"/>
    <col min="13336" max="13559" width="8.83203125" style="154" customWidth="1"/>
    <col min="13560" max="13560" width="7.83203125" style="154" customWidth="1"/>
    <col min="13561" max="13561" width="7.5" style="154" customWidth="1"/>
    <col min="13562" max="13562" width="9" style="154" customWidth="1"/>
    <col min="13563" max="13563" width="8.33203125" style="154" customWidth="1"/>
    <col min="13564" max="13566" width="8.5" style="154" bestFit="1" customWidth="1"/>
    <col min="13567" max="13567" width="10" style="154" bestFit="1" customWidth="1"/>
    <col min="13568" max="13568" width="8.1640625" style="154" bestFit="1" customWidth="1"/>
    <col min="13569" max="13570" width="8.5" style="154" bestFit="1" customWidth="1"/>
    <col min="13571" max="13571" width="6" style="154" bestFit="1" customWidth="1"/>
    <col min="13572" max="13572" width="8.83203125" style="154" customWidth="1"/>
    <col min="13573" max="13573" width="8.5" style="154" bestFit="1" customWidth="1"/>
    <col min="13574" max="13574" width="7.1640625" style="154" bestFit="1" customWidth="1"/>
    <col min="13575" max="13575" width="4.5" style="154" bestFit="1" customWidth="1"/>
    <col min="13576" max="13576" width="5.5" style="154" bestFit="1" customWidth="1"/>
    <col min="13577" max="13579" width="6.1640625" style="154" bestFit="1" customWidth="1"/>
    <col min="13580" max="13580" width="7.1640625" style="154" bestFit="1" customWidth="1"/>
    <col min="13581" max="13590" width="8.83203125" style="154" customWidth="1"/>
    <col min="13591" max="13591" width="10" style="154" bestFit="1" customWidth="1"/>
    <col min="13592" max="13815" width="8.83203125" style="154" customWidth="1"/>
    <col min="13816" max="13816" width="7.83203125" style="154" customWidth="1"/>
    <col min="13817" max="13817" width="7.5" style="154" customWidth="1"/>
    <col min="13818" max="13818" width="9" style="154" customWidth="1"/>
    <col min="13819" max="13819" width="8.33203125" style="154" customWidth="1"/>
    <col min="13820" max="13822" width="8.5" style="154" bestFit="1" customWidth="1"/>
    <col min="13823" max="13823" width="10" style="154" bestFit="1" customWidth="1"/>
    <col min="13824" max="13824" width="8.1640625" style="154" bestFit="1" customWidth="1"/>
    <col min="13825" max="13826" width="8.5" style="154" bestFit="1" customWidth="1"/>
    <col min="13827" max="13827" width="6" style="154" bestFit="1" customWidth="1"/>
    <col min="13828" max="13828" width="8.83203125" style="154" customWidth="1"/>
    <col min="13829" max="13829" width="8.5" style="154" bestFit="1" customWidth="1"/>
    <col min="13830" max="13830" width="7.1640625" style="154" bestFit="1" customWidth="1"/>
    <col min="13831" max="13831" width="4.5" style="154" bestFit="1" customWidth="1"/>
    <col min="13832" max="13832" width="5.5" style="154" bestFit="1" customWidth="1"/>
    <col min="13833" max="13835" width="6.1640625" style="154" bestFit="1" customWidth="1"/>
    <col min="13836" max="13836" width="7.1640625" style="154" bestFit="1" customWidth="1"/>
    <col min="13837" max="13846" width="8.83203125" style="154" customWidth="1"/>
    <col min="13847" max="13847" width="10" style="154" bestFit="1" customWidth="1"/>
    <col min="13848" max="14071" width="8.83203125" style="154" customWidth="1"/>
    <col min="14072" max="14072" width="7.83203125" style="154" customWidth="1"/>
    <col min="14073" max="14073" width="7.5" style="154" customWidth="1"/>
    <col min="14074" max="14074" width="9" style="154" customWidth="1"/>
    <col min="14075" max="14075" width="8.33203125" style="154" customWidth="1"/>
    <col min="14076" max="14078" width="8.5" style="154" bestFit="1" customWidth="1"/>
    <col min="14079" max="14079" width="10" style="154" bestFit="1" customWidth="1"/>
    <col min="14080" max="14080" width="8.1640625" style="154" bestFit="1" customWidth="1"/>
    <col min="14081" max="14082" width="8.5" style="154" bestFit="1" customWidth="1"/>
    <col min="14083" max="14083" width="6" style="154" bestFit="1" customWidth="1"/>
    <col min="14084" max="14084" width="8.83203125" style="154" customWidth="1"/>
    <col min="14085" max="14085" width="8.5" style="154" bestFit="1" customWidth="1"/>
    <col min="14086" max="14086" width="7.1640625" style="154" bestFit="1" customWidth="1"/>
    <col min="14087" max="14087" width="4.5" style="154" bestFit="1" customWidth="1"/>
    <col min="14088" max="14088" width="5.5" style="154" bestFit="1" customWidth="1"/>
    <col min="14089" max="14091" width="6.1640625" style="154" bestFit="1" customWidth="1"/>
    <col min="14092" max="14092" width="7.1640625" style="154" bestFit="1" customWidth="1"/>
    <col min="14093" max="14102" width="8.83203125" style="154" customWidth="1"/>
    <col min="14103" max="14103" width="10" style="154" bestFit="1" customWidth="1"/>
    <col min="14104" max="14327" width="8.83203125" style="154" customWidth="1"/>
    <col min="14328" max="14328" width="7.83203125" style="154" customWidth="1"/>
    <col min="14329" max="14329" width="7.5" style="154" customWidth="1"/>
    <col min="14330" max="14330" width="9" style="154" customWidth="1"/>
    <col min="14331" max="14331" width="8.33203125" style="154" customWidth="1"/>
    <col min="14332" max="14334" width="8.5" style="154" bestFit="1" customWidth="1"/>
    <col min="14335" max="14335" width="10" style="154" bestFit="1" customWidth="1"/>
    <col min="14336" max="14336" width="8.1640625" style="154" bestFit="1" customWidth="1"/>
    <col min="14337" max="14338" width="8.5" style="154" bestFit="1" customWidth="1"/>
    <col min="14339" max="14339" width="6" style="154" bestFit="1" customWidth="1"/>
    <col min="14340" max="14340" width="8.83203125" style="154" customWidth="1"/>
    <col min="14341" max="14341" width="8.5" style="154" bestFit="1" customWidth="1"/>
    <col min="14342" max="14342" width="7.1640625" style="154" bestFit="1" customWidth="1"/>
    <col min="14343" max="14343" width="4.5" style="154" bestFit="1" customWidth="1"/>
    <col min="14344" max="14344" width="5.5" style="154" bestFit="1" customWidth="1"/>
    <col min="14345" max="14347" width="6.1640625" style="154" bestFit="1" customWidth="1"/>
    <col min="14348" max="14348" width="7.1640625" style="154" bestFit="1" customWidth="1"/>
    <col min="14349" max="14358" width="8.83203125" style="154" customWidth="1"/>
    <col min="14359" max="14359" width="10" style="154" bestFit="1" customWidth="1"/>
    <col min="14360" max="14583" width="8.83203125" style="154" customWidth="1"/>
    <col min="14584" max="14584" width="7.83203125" style="154" customWidth="1"/>
    <col min="14585" max="14585" width="7.5" style="154" customWidth="1"/>
    <col min="14586" max="14586" width="9" style="154" customWidth="1"/>
    <col min="14587" max="14587" width="8.33203125" style="154" customWidth="1"/>
    <col min="14588" max="14590" width="8.5" style="154" bestFit="1" customWidth="1"/>
    <col min="14591" max="14591" width="10" style="154" bestFit="1" customWidth="1"/>
    <col min="14592" max="14592" width="8.1640625" style="154" bestFit="1" customWidth="1"/>
    <col min="14593" max="14594" width="8.5" style="154" bestFit="1" customWidth="1"/>
    <col min="14595" max="14595" width="6" style="154" bestFit="1" customWidth="1"/>
    <col min="14596" max="14596" width="8.83203125" style="154" customWidth="1"/>
    <col min="14597" max="14597" width="8.5" style="154" bestFit="1" customWidth="1"/>
    <col min="14598" max="14598" width="7.1640625" style="154" bestFit="1" customWidth="1"/>
    <col min="14599" max="14599" width="4.5" style="154" bestFit="1" customWidth="1"/>
    <col min="14600" max="14600" width="5.5" style="154" bestFit="1" customWidth="1"/>
    <col min="14601" max="14603" width="6.1640625" style="154" bestFit="1" customWidth="1"/>
    <col min="14604" max="14604" width="7.1640625" style="154" bestFit="1" customWidth="1"/>
    <col min="14605" max="14614" width="8.83203125" style="154" customWidth="1"/>
    <col min="14615" max="14615" width="10" style="154" bestFit="1" customWidth="1"/>
    <col min="14616" max="14839" width="8.83203125" style="154" customWidth="1"/>
    <col min="14840" max="14840" width="7.83203125" style="154" customWidth="1"/>
    <col min="14841" max="14841" width="7.5" style="154" customWidth="1"/>
    <col min="14842" max="14842" width="9" style="154" customWidth="1"/>
    <col min="14843" max="14843" width="8.33203125" style="154" customWidth="1"/>
    <col min="14844" max="14846" width="8.5" style="154" bestFit="1" customWidth="1"/>
    <col min="14847" max="14847" width="10" style="154" bestFit="1" customWidth="1"/>
    <col min="14848" max="14848" width="8.1640625" style="154" bestFit="1" customWidth="1"/>
    <col min="14849" max="14850" width="8.5" style="154" bestFit="1" customWidth="1"/>
    <col min="14851" max="14851" width="6" style="154" bestFit="1" customWidth="1"/>
    <col min="14852" max="14852" width="8.83203125" style="154" customWidth="1"/>
    <col min="14853" max="14853" width="8.5" style="154" bestFit="1" customWidth="1"/>
    <col min="14854" max="14854" width="7.1640625" style="154" bestFit="1" customWidth="1"/>
    <col min="14855" max="14855" width="4.5" style="154" bestFit="1" customWidth="1"/>
    <col min="14856" max="14856" width="5.5" style="154" bestFit="1" customWidth="1"/>
    <col min="14857" max="14859" width="6.1640625" style="154" bestFit="1" customWidth="1"/>
    <col min="14860" max="14860" width="7.1640625" style="154" bestFit="1" customWidth="1"/>
    <col min="14861" max="14870" width="8.83203125" style="154" customWidth="1"/>
    <col min="14871" max="14871" width="10" style="154" bestFit="1" customWidth="1"/>
    <col min="14872" max="15095" width="8.83203125" style="154" customWidth="1"/>
    <col min="15096" max="15096" width="7.83203125" style="154" customWidth="1"/>
    <col min="15097" max="15097" width="7.5" style="154" customWidth="1"/>
    <col min="15098" max="15098" width="9" style="154" customWidth="1"/>
    <col min="15099" max="15099" width="8.33203125" style="154" customWidth="1"/>
    <col min="15100" max="15102" width="8.5" style="154" bestFit="1" customWidth="1"/>
    <col min="15103" max="15103" width="10" style="154" bestFit="1" customWidth="1"/>
    <col min="15104" max="15104" width="8.1640625" style="154" bestFit="1" customWidth="1"/>
    <col min="15105" max="15106" width="8.5" style="154" bestFit="1" customWidth="1"/>
    <col min="15107" max="15107" width="6" style="154" bestFit="1" customWidth="1"/>
    <col min="15108" max="15108" width="8.83203125" style="154" customWidth="1"/>
    <col min="15109" max="15109" width="8.5" style="154" bestFit="1" customWidth="1"/>
    <col min="15110" max="15110" width="7.1640625" style="154" bestFit="1" customWidth="1"/>
    <col min="15111" max="15111" width="4.5" style="154" bestFit="1" customWidth="1"/>
    <col min="15112" max="15112" width="5.5" style="154" bestFit="1" customWidth="1"/>
    <col min="15113" max="15115" width="6.1640625" style="154" bestFit="1" customWidth="1"/>
    <col min="15116" max="15116" width="7.1640625" style="154" bestFit="1" customWidth="1"/>
    <col min="15117" max="15126" width="8.83203125" style="154" customWidth="1"/>
    <col min="15127" max="15127" width="10" style="154" bestFit="1" customWidth="1"/>
    <col min="15128" max="15351" width="8.83203125" style="154" customWidth="1"/>
    <col min="15352" max="15352" width="7.83203125" style="154" customWidth="1"/>
    <col min="15353" max="15353" width="7.5" style="154" customWidth="1"/>
    <col min="15354" max="15354" width="9" style="154" customWidth="1"/>
    <col min="15355" max="15355" width="8.33203125" style="154" customWidth="1"/>
    <col min="15356" max="15358" width="8.5" style="154" bestFit="1" customWidth="1"/>
    <col min="15359" max="15359" width="10" style="154" bestFit="1" customWidth="1"/>
    <col min="15360" max="15360" width="8.1640625" style="154" bestFit="1" customWidth="1"/>
    <col min="15361" max="15362" width="8.5" style="154" bestFit="1" customWidth="1"/>
    <col min="15363" max="15363" width="6" style="154" bestFit="1" customWidth="1"/>
    <col min="15364" max="15364" width="8.83203125" style="154" customWidth="1"/>
    <col min="15365" max="15365" width="8.5" style="154" bestFit="1" customWidth="1"/>
    <col min="15366" max="15366" width="7.1640625" style="154" bestFit="1" customWidth="1"/>
    <col min="15367" max="15367" width="4.5" style="154" bestFit="1" customWidth="1"/>
    <col min="15368" max="15368" width="5.5" style="154" bestFit="1" customWidth="1"/>
    <col min="15369" max="15371" width="6.1640625" style="154" bestFit="1" customWidth="1"/>
    <col min="15372" max="15372" width="7.1640625" style="154" bestFit="1" customWidth="1"/>
    <col min="15373" max="15382" width="8.83203125" style="154" customWidth="1"/>
    <col min="15383" max="15383" width="10" style="154" bestFit="1" customWidth="1"/>
    <col min="15384" max="15607" width="8.83203125" style="154" customWidth="1"/>
    <col min="15608" max="15608" width="7.83203125" style="154" customWidth="1"/>
    <col min="15609" max="15609" width="7.5" style="154" customWidth="1"/>
    <col min="15610" max="15610" width="9" style="154" customWidth="1"/>
    <col min="15611" max="15611" width="8.33203125" style="154" customWidth="1"/>
    <col min="15612" max="15614" width="8.5" style="154" bestFit="1" customWidth="1"/>
    <col min="15615" max="15615" width="10" style="154" bestFit="1" customWidth="1"/>
    <col min="15616" max="15616" width="8.1640625" style="154" bestFit="1" customWidth="1"/>
    <col min="15617" max="15618" width="8.5" style="154" bestFit="1" customWidth="1"/>
    <col min="15619" max="15619" width="6" style="154" bestFit="1" customWidth="1"/>
    <col min="15620" max="15620" width="8.83203125" style="154" customWidth="1"/>
    <col min="15621" max="15621" width="8.5" style="154" bestFit="1" customWidth="1"/>
    <col min="15622" max="15622" width="7.1640625" style="154" bestFit="1" customWidth="1"/>
    <col min="15623" max="15623" width="4.5" style="154" bestFit="1" customWidth="1"/>
    <col min="15624" max="15624" width="5.5" style="154" bestFit="1" customWidth="1"/>
    <col min="15625" max="15627" width="6.1640625" style="154" bestFit="1" customWidth="1"/>
    <col min="15628" max="15628" width="7.1640625" style="154" bestFit="1" customWidth="1"/>
    <col min="15629" max="15638" width="8.83203125" style="154" customWidth="1"/>
    <col min="15639" max="15639" width="10" style="154" bestFit="1" customWidth="1"/>
    <col min="15640" max="15863" width="8.83203125" style="154" customWidth="1"/>
    <col min="15864" max="15864" width="7.83203125" style="154" customWidth="1"/>
    <col min="15865" max="15865" width="7.5" style="154" customWidth="1"/>
    <col min="15866" max="15866" width="9" style="154" customWidth="1"/>
    <col min="15867" max="15867" width="8.33203125" style="154" customWidth="1"/>
    <col min="15868" max="15870" width="8.5" style="154" bestFit="1" customWidth="1"/>
    <col min="15871" max="15871" width="10" style="154" bestFit="1" customWidth="1"/>
    <col min="15872" max="15872" width="8.1640625" style="154" bestFit="1" customWidth="1"/>
    <col min="15873" max="15874" width="8.5" style="154" bestFit="1" customWidth="1"/>
    <col min="15875" max="15875" width="6" style="154" bestFit="1" customWidth="1"/>
    <col min="15876" max="15876" width="8.83203125" style="154" customWidth="1"/>
    <col min="15877" max="15877" width="8.5" style="154" bestFit="1" customWidth="1"/>
    <col min="15878" max="15878" width="7.1640625" style="154" bestFit="1" customWidth="1"/>
    <col min="15879" max="15879" width="4.5" style="154" bestFit="1" customWidth="1"/>
    <col min="15880" max="15880" width="5.5" style="154" bestFit="1" customWidth="1"/>
    <col min="15881" max="15883" width="6.1640625" style="154" bestFit="1" customWidth="1"/>
    <col min="15884" max="15884" width="7.1640625" style="154" bestFit="1" customWidth="1"/>
    <col min="15885" max="15894" width="8.83203125" style="154" customWidth="1"/>
    <col min="15895" max="15895" width="10" style="154" bestFit="1" customWidth="1"/>
    <col min="15896" max="16119" width="8.83203125" style="154" customWidth="1"/>
    <col min="16120" max="16120" width="7.83203125" style="154" customWidth="1"/>
    <col min="16121" max="16121" width="7.5" style="154" customWidth="1"/>
    <col min="16122" max="16122" width="9" style="154" customWidth="1"/>
    <col min="16123" max="16123" width="8.33203125" style="154" customWidth="1"/>
    <col min="16124" max="16126" width="8.5" style="154" bestFit="1" customWidth="1"/>
    <col min="16127" max="16127" width="10" style="154" bestFit="1" customWidth="1"/>
    <col min="16128" max="16128" width="8.1640625" style="154" bestFit="1" customWidth="1"/>
    <col min="16129" max="16130" width="8.5" style="154" bestFit="1" customWidth="1"/>
    <col min="16131" max="16131" width="6" style="154" bestFit="1" customWidth="1"/>
    <col min="16132" max="16132" width="8.83203125" style="154" customWidth="1"/>
    <col min="16133" max="16133" width="8.5" style="154" bestFit="1" customWidth="1"/>
    <col min="16134" max="16134" width="7.1640625" style="154" bestFit="1" customWidth="1"/>
    <col min="16135" max="16135" width="4.5" style="154" bestFit="1" customWidth="1"/>
    <col min="16136" max="16136" width="5.5" style="154" bestFit="1" customWidth="1"/>
    <col min="16137" max="16139" width="6.1640625" style="154" bestFit="1" customWidth="1"/>
    <col min="16140" max="16140" width="7.1640625" style="154" bestFit="1" customWidth="1"/>
    <col min="16141" max="16150" width="8.83203125" style="154" customWidth="1"/>
    <col min="16151" max="16151" width="10" style="154" bestFit="1" customWidth="1"/>
    <col min="16152" max="16384" width="8.83203125" style="154" customWidth="1"/>
  </cols>
  <sheetData>
    <row r="1" spans="2:10" s="114" customFormat="1" ht="14" customHeight="1"/>
    <row r="2" spans="2:10" s="114" customFormat="1" ht="14" customHeight="1">
      <c r="B2" s="115" t="s">
        <v>314</v>
      </c>
      <c r="C2" s="116">
        <f>PI()/180</f>
        <v>1.7453292519943295E-2</v>
      </c>
      <c r="F2" s="117" t="s">
        <v>315</v>
      </c>
      <c r="G2" s="118">
        <f>Illumination!C21</f>
        <v>100.27097802406084</v>
      </c>
      <c r="H2" s="119"/>
      <c r="I2" s="120"/>
      <c r="J2" s="121"/>
    </row>
    <row r="3" spans="2:10" s="114" customFormat="1" ht="14" customHeight="1">
      <c r="B3" s="122" t="s">
        <v>316</v>
      </c>
      <c r="C3" s="123">
        <f>(Visibility!C10-2451545)/36525</f>
        <v>0.24371206935889086</v>
      </c>
      <c r="F3" s="124" t="s">
        <v>317</v>
      </c>
      <c r="G3" s="125">
        <v>200</v>
      </c>
      <c r="H3" s="125"/>
      <c r="I3" s="125" t="s">
        <v>318</v>
      </c>
      <c r="J3" s="126">
        <f>MOD(360-Illumination!G2+180,360)</f>
        <v>79.72902197593919</v>
      </c>
    </row>
    <row r="4" spans="2:10" s="114" customFormat="1" ht="14" customHeight="1">
      <c r="B4" s="122" t="s">
        <v>319</v>
      </c>
      <c r="C4" s="123">
        <f>MOD(297.8502042+445267.1115168*$C$3-0.00163*POWER($C$3,2)+(POWER($C$3,3)/545868)-(POWER($C$3,4)/113065000),360)</f>
        <v>94.819272627064493</v>
      </c>
      <c r="F4" s="124" t="s">
        <v>320</v>
      </c>
      <c r="G4" s="125">
        <f>2/G3</f>
        <v>0.01</v>
      </c>
      <c r="H4" s="125"/>
      <c r="I4" s="125" t="s">
        <v>321</v>
      </c>
      <c r="J4" s="127">
        <f>COS(RADIANS(J3))</f>
        <v>0.17830382586049062</v>
      </c>
    </row>
    <row r="5" spans="2:10" s="114" customFormat="1" ht="14" customHeight="1">
      <c r="B5" s="122" t="s">
        <v>322</v>
      </c>
      <c r="C5" s="123">
        <f>MOD(357.5291092+35999.0502909*$C$3-0.0001536*POWER($C$3,2)+(POWER($C$3,3)/24490000),360)</f>
        <v>130.93214142745273</v>
      </c>
      <c r="F5" s="124"/>
      <c r="G5" s="125"/>
      <c r="H5" s="125"/>
      <c r="I5" s="125" t="s">
        <v>323</v>
      </c>
      <c r="J5" s="128">
        <f>ABS(J4)</f>
        <v>0.17830382586049062</v>
      </c>
    </row>
    <row r="6" spans="2:10" s="114" customFormat="1" ht="14" customHeight="1">
      <c r="B6" s="122" t="s">
        <v>324</v>
      </c>
      <c r="C6" s="123">
        <f>MOD(134.9634114+477198.8676313*$C$3+0.008997*POWER($C$3,2)+(POWER($C$3,3)/69699)-(POWER($C$3,4)/14712000),360)</f>
        <v>154.08747213297465</v>
      </c>
      <c r="F6" s="129"/>
      <c r="G6" s="130"/>
      <c r="H6" s="130"/>
      <c r="I6" s="130" t="s">
        <v>325</v>
      </c>
      <c r="J6" s="131">
        <v>1</v>
      </c>
    </row>
    <row r="7" spans="2:10" s="114" customFormat="1" ht="14" customHeight="1">
      <c r="B7" s="122" t="s">
        <v>326</v>
      </c>
      <c r="C7" s="123">
        <f>180-C4-6.289*SIN($C$2*C6)+2.1*SIN($C$2*C5)-1.274*SIN($C$2*(2*C4-C6))-0.658*SIN($C$2*2*C4)-0.214*SIN($C$2*2*C6)-0.11*SIN($C$2*C4)</f>
        <v>83.447015310449501</v>
      </c>
      <c r="F7" s="124"/>
      <c r="G7" s="125"/>
      <c r="H7" s="125"/>
      <c r="I7" s="125"/>
      <c r="J7" s="128"/>
    </row>
    <row r="8" spans="2:10" s="114" customFormat="1" ht="14" customHeight="1">
      <c r="B8" s="132" t="s">
        <v>327</v>
      </c>
      <c r="C8" s="133">
        <f>(1+COS($C$2*C7))/2</f>
        <v>0.55706098902256018</v>
      </c>
      <c r="F8" s="134" t="s">
        <v>33</v>
      </c>
      <c r="G8" s="135" t="s">
        <v>328</v>
      </c>
      <c r="H8" s="135" t="s">
        <v>329</v>
      </c>
      <c r="I8" s="135" t="s">
        <v>330</v>
      </c>
      <c r="J8" s="136" t="s">
        <v>331</v>
      </c>
    </row>
    <row r="9" spans="2:10" s="114" customFormat="1" ht="14" customHeight="1">
      <c r="F9" s="137">
        <v>-1</v>
      </c>
      <c r="G9" s="138">
        <f t="shared" ref="G9:G72" si="0">IFERROR(IF(SQRT(1-(F9*F9)/($J$5*$J$5))&lt;0.05,0,SQRT(1-(F9*F9)/($J$5*$J$5))),0)</f>
        <v>0</v>
      </c>
      <c r="H9" s="138">
        <f t="shared" ref="H9:H72" si="1">CHOOSE(MATCH($J$3,degrees),IF(F9&lt;0,IFERROR(1-G9,1),0),0,0,IF(F9&gt;0,IFERROR(1-G9,1),0))</f>
        <v>1</v>
      </c>
      <c r="I9" s="138">
        <f t="shared" ref="I9:I72" si="2">CHOOSE(MATCH($J$3,degrees),IF(F9&lt;0,2*G9,2),IF(F9&lt;0,0,1-G9),IF(F9&gt;0,0,1-G9),IF(F9&gt;0,2*G9,2))</f>
        <v>0</v>
      </c>
      <c r="J9" s="127">
        <f t="shared" ref="J9:J72" si="3">CHOOSE(MATCH($J$3,degrees),IF(F9&lt;0,G9+1,2),IF(F9&lt;0,2,2*G9),IF(F9&gt;0,2,2*G9),IF(F9&gt;0,G9+1,2))</f>
        <v>1</v>
      </c>
    </row>
    <row r="10" spans="2:10" s="114" customFormat="1" ht="14" customHeight="1">
      <c r="F10" s="137">
        <f t="shared" ref="F10:F73" si="4">F9+$G$4</f>
        <v>-0.99</v>
      </c>
      <c r="G10" s="138">
        <f t="shared" si="0"/>
        <v>0</v>
      </c>
      <c r="H10" s="138">
        <f t="shared" si="1"/>
        <v>1</v>
      </c>
      <c r="I10" s="138">
        <f t="shared" si="2"/>
        <v>0</v>
      </c>
      <c r="J10" s="127">
        <f t="shared" si="3"/>
        <v>1</v>
      </c>
    </row>
    <row r="11" spans="2:10" s="114" customFormat="1" ht="16" customHeight="1">
      <c r="F11" s="137">
        <f t="shared" si="4"/>
        <v>-0.98</v>
      </c>
      <c r="G11" s="138">
        <f t="shared" si="0"/>
        <v>0</v>
      </c>
      <c r="H11" s="138">
        <f t="shared" si="1"/>
        <v>1</v>
      </c>
      <c r="I11" s="138">
        <f t="shared" si="2"/>
        <v>0</v>
      </c>
      <c r="J11" s="127">
        <f t="shared" si="3"/>
        <v>1</v>
      </c>
    </row>
    <row r="12" spans="2:10" s="114" customFormat="1" ht="16" customHeight="1">
      <c r="F12" s="137">
        <f t="shared" si="4"/>
        <v>-0.97</v>
      </c>
      <c r="G12" s="138">
        <f t="shared" si="0"/>
        <v>0</v>
      </c>
      <c r="H12" s="138">
        <f t="shared" si="1"/>
        <v>1</v>
      </c>
      <c r="I12" s="138">
        <f t="shared" si="2"/>
        <v>0</v>
      </c>
      <c r="J12" s="127">
        <f t="shared" si="3"/>
        <v>1</v>
      </c>
    </row>
    <row r="13" spans="2:10" s="114" customFormat="1" ht="16" customHeight="1">
      <c r="F13" s="137">
        <f t="shared" si="4"/>
        <v>-0.96</v>
      </c>
      <c r="G13" s="138">
        <f t="shared" si="0"/>
        <v>0</v>
      </c>
      <c r="H13" s="138">
        <f t="shared" si="1"/>
        <v>1</v>
      </c>
      <c r="I13" s="138">
        <f t="shared" si="2"/>
        <v>0</v>
      </c>
      <c r="J13" s="127">
        <f t="shared" si="3"/>
        <v>1</v>
      </c>
    </row>
    <row r="14" spans="2:10" s="114" customFormat="1" ht="16" customHeight="1">
      <c r="E14" s="139"/>
      <c r="F14" s="137">
        <f t="shared" si="4"/>
        <v>-0.95</v>
      </c>
      <c r="G14" s="138">
        <f t="shared" si="0"/>
        <v>0</v>
      </c>
      <c r="H14" s="138">
        <f t="shared" si="1"/>
        <v>1</v>
      </c>
      <c r="I14" s="138">
        <f t="shared" si="2"/>
        <v>0</v>
      </c>
      <c r="J14" s="127">
        <f t="shared" si="3"/>
        <v>1</v>
      </c>
    </row>
    <row r="15" spans="2:10" s="114" customFormat="1" ht="16" customHeight="1">
      <c r="E15" s="139"/>
      <c r="F15" s="137">
        <f t="shared" si="4"/>
        <v>-0.94</v>
      </c>
      <c r="G15" s="138">
        <f t="shared" si="0"/>
        <v>0</v>
      </c>
      <c r="H15" s="138">
        <f t="shared" si="1"/>
        <v>1</v>
      </c>
      <c r="I15" s="138">
        <f t="shared" si="2"/>
        <v>0</v>
      </c>
      <c r="J15" s="127">
        <f t="shared" si="3"/>
        <v>1</v>
      </c>
    </row>
    <row r="16" spans="2:10" s="114" customFormat="1" ht="16" customHeight="1">
      <c r="E16" s="139"/>
      <c r="F16" s="137">
        <f t="shared" si="4"/>
        <v>-0.92999999999999994</v>
      </c>
      <c r="G16" s="138">
        <f t="shared" si="0"/>
        <v>0</v>
      </c>
      <c r="H16" s="138">
        <f t="shared" si="1"/>
        <v>1</v>
      </c>
      <c r="I16" s="138">
        <f t="shared" si="2"/>
        <v>0</v>
      </c>
      <c r="J16" s="127">
        <f t="shared" si="3"/>
        <v>1</v>
      </c>
    </row>
    <row r="17" spans="2:10" s="114" customFormat="1" ht="16" customHeight="1">
      <c r="E17" s="139"/>
      <c r="F17" s="137">
        <f t="shared" si="4"/>
        <v>-0.91999999999999993</v>
      </c>
      <c r="G17" s="138">
        <f t="shared" si="0"/>
        <v>0</v>
      </c>
      <c r="H17" s="138">
        <f t="shared" si="1"/>
        <v>1</v>
      </c>
      <c r="I17" s="138">
        <f t="shared" si="2"/>
        <v>0</v>
      </c>
      <c r="J17" s="127">
        <f t="shared" si="3"/>
        <v>1</v>
      </c>
    </row>
    <row r="18" spans="2:10" s="114" customFormat="1" ht="16" customHeight="1">
      <c r="E18" s="139"/>
      <c r="F18" s="137">
        <f t="shared" si="4"/>
        <v>-0.90999999999999992</v>
      </c>
      <c r="G18" s="138">
        <f t="shared" si="0"/>
        <v>0</v>
      </c>
      <c r="H18" s="138">
        <f t="shared" si="1"/>
        <v>1</v>
      </c>
      <c r="I18" s="138">
        <f t="shared" si="2"/>
        <v>0</v>
      </c>
      <c r="J18" s="127">
        <f t="shared" si="3"/>
        <v>1</v>
      </c>
    </row>
    <row r="19" spans="2:10" s="114" customFormat="1" ht="16" customHeight="1">
      <c r="B19" s="140" t="s">
        <v>332</v>
      </c>
      <c r="C19" s="141">
        <v>2460438.64</v>
      </c>
      <c r="D19" s="114" t="s">
        <v>333</v>
      </c>
      <c r="E19" s="139"/>
      <c r="F19" s="137">
        <f t="shared" si="4"/>
        <v>-0.89999999999999991</v>
      </c>
      <c r="G19" s="138">
        <f t="shared" si="0"/>
        <v>0</v>
      </c>
      <c r="H19" s="138">
        <f t="shared" si="1"/>
        <v>1</v>
      </c>
      <c r="I19" s="138">
        <f t="shared" si="2"/>
        <v>0</v>
      </c>
      <c r="J19" s="127">
        <f t="shared" si="3"/>
        <v>1</v>
      </c>
    </row>
    <row r="20" spans="2:10" s="114" customFormat="1" ht="16" customHeight="1">
      <c r="B20" s="142" t="s">
        <v>334</v>
      </c>
      <c r="C20" s="143">
        <f>((Visibility!C10-C19)/29.530588853)-INT((Visibility!C10-C19)/29.530588853)</f>
        <v>0.26898662173311888</v>
      </c>
      <c r="D20" s="114" t="str">
        <f>IF(C20&lt;0.5,"(before FM)","(after FM)")</f>
        <v>(before FM)</v>
      </c>
      <c r="E20" s="139"/>
      <c r="F20" s="137">
        <f t="shared" si="4"/>
        <v>-0.8899999999999999</v>
      </c>
      <c r="G20" s="138">
        <f t="shared" si="0"/>
        <v>0</v>
      </c>
      <c r="H20" s="138">
        <f t="shared" si="1"/>
        <v>1</v>
      </c>
      <c r="I20" s="138">
        <f t="shared" si="2"/>
        <v>0</v>
      </c>
      <c r="J20" s="127">
        <f t="shared" si="3"/>
        <v>1</v>
      </c>
    </row>
    <row r="21" spans="2:10" s="114" customFormat="1" ht="16" customHeight="1">
      <c r="B21" s="132" t="s">
        <v>335</v>
      </c>
      <c r="C21" s="144">
        <f>IF(C20&lt;0.5,180*C8,360-180*C8)</f>
        <v>100.27097802406084</v>
      </c>
      <c r="E21" s="139"/>
      <c r="F21" s="137">
        <f t="shared" si="4"/>
        <v>-0.87999999999999989</v>
      </c>
      <c r="G21" s="138">
        <f t="shared" si="0"/>
        <v>0</v>
      </c>
      <c r="H21" s="138">
        <f t="shared" si="1"/>
        <v>1</v>
      </c>
      <c r="I21" s="138">
        <f t="shared" si="2"/>
        <v>0</v>
      </c>
      <c r="J21" s="127">
        <f t="shared" si="3"/>
        <v>1</v>
      </c>
    </row>
    <row r="22" spans="2:10" s="114" customFormat="1" ht="16" customHeight="1">
      <c r="E22" s="139"/>
      <c r="F22" s="137">
        <f t="shared" si="4"/>
        <v>-0.86999999999999988</v>
      </c>
      <c r="G22" s="138">
        <f t="shared" si="0"/>
        <v>0</v>
      </c>
      <c r="H22" s="138">
        <f t="shared" si="1"/>
        <v>1</v>
      </c>
      <c r="I22" s="138">
        <f t="shared" si="2"/>
        <v>0</v>
      </c>
      <c r="J22" s="127">
        <f t="shared" si="3"/>
        <v>1</v>
      </c>
    </row>
    <row r="23" spans="2:10" s="114" customFormat="1" ht="16" customHeight="1">
      <c r="B23" s="145">
        <v>0</v>
      </c>
      <c r="C23" s="146">
        <v>0</v>
      </c>
      <c r="D23" s="147" t="s">
        <v>336</v>
      </c>
      <c r="F23" s="137">
        <f t="shared" si="4"/>
        <v>-0.85999999999999988</v>
      </c>
      <c r="G23" s="138">
        <f t="shared" si="0"/>
        <v>0</v>
      </c>
      <c r="H23" s="138">
        <f t="shared" si="1"/>
        <v>1</v>
      </c>
      <c r="I23" s="138">
        <f t="shared" si="2"/>
        <v>0</v>
      </c>
      <c r="J23" s="127">
        <f t="shared" si="3"/>
        <v>1</v>
      </c>
    </row>
    <row r="24" spans="2:10" s="114" customFormat="1" ht="16" customHeight="1">
      <c r="B24" s="148">
        <f t="shared" ref="B24:B31" si="5">B23+45</f>
        <v>45</v>
      </c>
      <c r="C24" s="149">
        <f t="shared" ref="C24:C31" si="6">B24-22.5</f>
        <v>22.5</v>
      </c>
      <c r="D24" s="150" t="s">
        <v>337</v>
      </c>
      <c r="F24" s="137">
        <f t="shared" si="4"/>
        <v>-0.84999999999999987</v>
      </c>
      <c r="G24" s="138">
        <f t="shared" si="0"/>
        <v>0</v>
      </c>
      <c r="H24" s="138">
        <f t="shared" si="1"/>
        <v>1</v>
      </c>
      <c r="I24" s="138">
        <f t="shared" si="2"/>
        <v>0</v>
      </c>
      <c r="J24" s="127">
        <f t="shared" si="3"/>
        <v>1</v>
      </c>
    </row>
    <row r="25" spans="2:10" s="114" customFormat="1" ht="16" customHeight="1">
      <c r="B25" s="148">
        <f t="shared" si="5"/>
        <v>90</v>
      </c>
      <c r="C25" s="149">
        <f t="shared" si="6"/>
        <v>67.5</v>
      </c>
      <c r="D25" s="150" t="s">
        <v>338</v>
      </c>
      <c r="F25" s="137">
        <f t="shared" si="4"/>
        <v>-0.83999999999999986</v>
      </c>
      <c r="G25" s="138">
        <f t="shared" si="0"/>
        <v>0</v>
      </c>
      <c r="H25" s="138">
        <f t="shared" si="1"/>
        <v>1</v>
      </c>
      <c r="I25" s="138">
        <f t="shared" si="2"/>
        <v>0</v>
      </c>
      <c r="J25" s="127">
        <f t="shared" si="3"/>
        <v>1</v>
      </c>
    </row>
    <row r="26" spans="2:10" s="114" customFormat="1" ht="16" customHeight="1">
      <c r="B26" s="148">
        <f t="shared" si="5"/>
        <v>135</v>
      </c>
      <c r="C26" s="149">
        <f t="shared" si="6"/>
        <v>112.5</v>
      </c>
      <c r="D26" s="150" t="s">
        <v>339</v>
      </c>
      <c r="F26" s="137">
        <f t="shared" si="4"/>
        <v>-0.82999999999999985</v>
      </c>
      <c r="G26" s="138">
        <f t="shared" si="0"/>
        <v>0</v>
      </c>
      <c r="H26" s="138">
        <f t="shared" si="1"/>
        <v>1</v>
      </c>
      <c r="I26" s="138">
        <f t="shared" si="2"/>
        <v>0</v>
      </c>
      <c r="J26" s="127">
        <f t="shared" si="3"/>
        <v>1</v>
      </c>
    </row>
    <row r="27" spans="2:10" s="114" customFormat="1" ht="16" customHeight="1">
      <c r="B27" s="148">
        <f t="shared" si="5"/>
        <v>180</v>
      </c>
      <c r="C27" s="149">
        <f t="shared" si="6"/>
        <v>157.5</v>
      </c>
      <c r="D27" s="150" t="s">
        <v>340</v>
      </c>
      <c r="F27" s="137">
        <f t="shared" si="4"/>
        <v>-0.81999999999999984</v>
      </c>
      <c r="G27" s="138">
        <f t="shared" si="0"/>
        <v>0</v>
      </c>
      <c r="H27" s="138">
        <f t="shared" si="1"/>
        <v>1</v>
      </c>
      <c r="I27" s="138">
        <f t="shared" si="2"/>
        <v>0</v>
      </c>
      <c r="J27" s="127">
        <f t="shared" si="3"/>
        <v>1</v>
      </c>
    </row>
    <row r="28" spans="2:10" s="114" customFormat="1" ht="16" customHeight="1">
      <c r="B28" s="148">
        <f t="shared" si="5"/>
        <v>225</v>
      </c>
      <c r="C28" s="149">
        <f t="shared" si="6"/>
        <v>202.5</v>
      </c>
      <c r="D28" s="150" t="s">
        <v>341</v>
      </c>
      <c r="F28" s="137">
        <f t="shared" si="4"/>
        <v>-0.80999999999999983</v>
      </c>
      <c r="G28" s="138">
        <f t="shared" si="0"/>
        <v>0</v>
      </c>
      <c r="H28" s="138">
        <f t="shared" si="1"/>
        <v>1</v>
      </c>
      <c r="I28" s="138">
        <f t="shared" si="2"/>
        <v>0</v>
      </c>
      <c r="J28" s="127">
        <f t="shared" si="3"/>
        <v>1</v>
      </c>
    </row>
    <row r="29" spans="2:10" s="114" customFormat="1" ht="16" customHeight="1">
      <c r="B29" s="148">
        <f t="shared" si="5"/>
        <v>270</v>
      </c>
      <c r="C29" s="149">
        <f t="shared" si="6"/>
        <v>247.5</v>
      </c>
      <c r="D29" s="150" t="s">
        <v>342</v>
      </c>
      <c r="F29" s="137">
        <f t="shared" si="4"/>
        <v>-0.79999999999999982</v>
      </c>
      <c r="G29" s="138">
        <f t="shared" si="0"/>
        <v>0</v>
      </c>
      <c r="H29" s="138">
        <f t="shared" si="1"/>
        <v>1</v>
      </c>
      <c r="I29" s="138">
        <f t="shared" si="2"/>
        <v>0</v>
      </c>
      <c r="J29" s="127">
        <f t="shared" si="3"/>
        <v>1</v>
      </c>
    </row>
    <row r="30" spans="2:10" s="114" customFormat="1" ht="16" customHeight="1">
      <c r="B30" s="148">
        <f t="shared" si="5"/>
        <v>315</v>
      </c>
      <c r="C30" s="149">
        <f t="shared" si="6"/>
        <v>292.5</v>
      </c>
      <c r="D30" s="150" t="s">
        <v>343</v>
      </c>
      <c r="F30" s="137">
        <f t="shared" si="4"/>
        <v>-0.78999999999999981</v>
      </c>
      <c r="G30" s="138">
        <f t="shared" si="0"/>
        <v>0</v>
      </c>
      <c r="H30" s="138">
        <f t="shared" si="1"/>
        <v>1</v>
      </c>
      <c r="I30" s="138">
        <f t="shared" si="2"/>
        <v>0</v>
      </c>
      <c r="J30" s="127">
        <f t="shared" si="3"/>
        <v>1</v>
      </c>
    </row>
    <row r="31" spans="2:10" s="114" customFormat="1" ht="16" customHeight="1">
      <c r="B31" s="151">
        <f t="shared" si="5"/>
        <v>360</v>
      </c>
      <c r="C31" s="152">
        <f t="shared" si="6"/>
        <v>337.5</v>
      </c>
      <c r="D31" s="153" t="s">
        <v>336</v>
      </c>
      <c r="F31" s="137">
        <f t="shared" si="4"/>
        <v>-0.7799999999999998</v>
      </c>
      <c r="G31" s="138">
        <f t="shared" si="0"/>
        <v>0</v>
      </c>
      <c r="H31" s="138">
        <f t="shared" si="1"/>
        <v>1</v>
      </c>
      <c r="I31" s="138">
        <f t="shared" si="2"/>
        <v>0</v>
      </c>
      <c r="J31" s="127">
        <f t="shared" si="3"/>
        <v>1</v>
      </c>
    </row>
    <row r="32" spans="2:10" s="114" customFormat="1" ht="16" customHeight="1">
      <c r="F32" s="137">
        <f t="shared" si="4"/>
        <v>-0.7699999999999998</v>
      </c>
      <c r="G32" s="138">
        <f t="shared" si="0"/>
        <v>0</v>
      </c>
      <c r="H32" s="138">
        <f t="shared" si="1"/>
        <v>1</v>
      </c>
      <c r="I32" s="138">
        <f t="shared" si="2"/>
        <v>0</v>
      </c>
      <c r="J32" s="127">
        <f t="shared" si="3"/>
        <v>1</v>
      </c>
    </row>
    <row r="33" spans="6:10" s="114" customFormat="1" ht="16" customHeight="1">
      <c r="F33" s="137">
        <f t="shared" si="4"/>
        <v>-0.75999999999999979</v>
      </c>
      <c r="G33" s="138">
        <f t="shared" si="0"/>
        <v>0</v>
      </c>
      <c r="H33" s="138">
        <f t="shared" si="1"/>
        <v>1</v>
      </c>
      <c r="I33" s="138">
        <f t="shared" si="2"/>
        <v>0</v>
      </c>
      <c r="J33" s="127">
        <f t="shared" si="3"/>
        <v>1</v>
      </c>
    </row>
    <row r="34" spans="6:10" s="114" customFormat="1" ht="16" customHeight="1">
      <c r="F34" s="137">
        <f t="shared" si="4"/>
        <v>-0.74999999999999978</v>
      </c>
      <c r="G34" s="138">
        <f t="shared" si="0"/>
        <v>0</v>
      </c>
      <c r="H34" s="138">
        <f t="shared" si="1"/>
        <v>1</v>
      </c>
      <c r="I34" s="138">
        <f t="shared" si="2"/>
        <v>0</v>
      </c>
      <c r="J34" s="127">
        <f t="shared" si="3"/>
        <v>1</v>
      </c>
    </row>
    <row r="35" spans="6:10" s="114" customFormat="1" ht="16" customHeight="1">
      <c r="F35" s="137">
        <f t="shared" si="4"/>
        <v>-0.73999999999999977</v>
      </c>
      <c r="G35" s="138">
        <f t="shared" si="0"/>
        <v>0</v>
      </c>
      <c r="H35" s="138">
        <f t="shared" si="1"/>
        <v>1</v>
      </c>
      <c r="I35" s="138">
        <f t="shared" si="2"/>
        <v>0</v>
      </c>
      <c r="J35" s="127">
        <f t="shared" si="3"/>
        <v>1</v>
      </c>
    </row>
    <row r="36" spans="6:10" s="114" customFormat="1" ht="16" customHeight="1">
      <c r="F36" s="137">
        <f t="shared" si="4"/>
        <v>-0.72999999999999976</v>
      </c>
      <c r="G36" s="138">
        <f t="shared" si="0"/>
        <v>0</v>
      </c>
      <c r="H36" s="138">
        <f t="shared" si="1"/>
        <v>1</v>
      </c>
      <c r="I36" s="138">
        <f t="shared" si="2"/>
        <v>0</v>
      </c>
      <c r="J36" s="127">
        <f t="shared" si="3"/>
        <v>1</v>
      </c>
    </row>
    <row r="37" spans="6:10" s="114" customFormat="1" ht="16" customHeight="1">
      <c r="F37" s="137">
        <f t="shared" si="4"/>
        <v>-0.71999999999999975</v>
      </c>
      <c r="G37" s="138">
        <f t="shared" si="0"/>
        <v>0</v>
      </c>
      <c r="H37" s="138">
        <f t="shared" si="1"/>
        <v>1</v>
      </c>
      <c r="I37" s="138">
        <f t="shared" si="2"/>
        <v>0</v>
      </c>
      <c r="J37" s="127">
        <f t="shared" si="3"/>
        <v>1</v>
      </c>
    </row>
    <row r="38" spans="6:10" s="114" customFormat="1" ht="16" customHeight="1">
      <c r="F38" s="137">
        <f t="shared" si="4"/>
        <v>-0.70999999999999974</v>
      </c>
      <c r="G38" s="138">
        <f t="shared" si="0"/>
        <v>0</v>
      </c>
      <c r="H38" s="138">
        <f t="shared" si="1"/>
        <v>1</v>
      </c>
      <c r="I38" s="138">
        <f t="shared" si="2"/>
        <v>0</v>
      </c>
      <c r="J38" s="127">
        <f t="shared" si="3"/>
        <v>1</v>
      </c>
    </row>
    <row r="39" spans="6:10" s="114" customFormat="1" ht="16" customHeight="1">
      <c r="F39" s="137">
        <f t="shared" si="4"/>
        <v>-0.69999999999999973</v>
      </c>
      <c r="G39" s="138">
        <f t="shared" si="0"/>
        <v>0</v>
      </c>
      <c r="H39" s="138">
        <f t="shared" si="1"/>
        <v>1</v>
      </c>
      <c r="I39" s="138">
        <f t="shared" si="2"/>
        <v>0</v>
      </c>
      <c r="J39" s="127">
        <f t="shared" si="3"/>
        <v>1</v>
      </c>
    </row>
    <row r="40" spans="6:10" s="114" customFormat="1" ht="16" customHeight="1">
      <c r="F40" s="137">
        <f t="shared" si="4"/>
        <v>-0.68999999999999972</v>
      </c>
      <c r="G40" s="138">
        <f t="shared" si="0"/>
        <v>0</v>
      </c>
      <c r="H40" s="138">
        <f t="shared" si="1"/>
        <v>1</v>
      </c>
      <c r="I40" s="138">
        <f t="shared" si="2"/>
        <v>0</v>
      </c>
      <c r="J40" s="127">
        <f t="shared" si="3"/>
        <v>1</v>
      </c>
    </row>
    <row r="41" spans="6:10" s="114" customFormat="1" ht="16" customHeight="1">
      <c r="F41" s="137">
        <f t="shared" si="4"/>
        <v>-0.67999999999999972</v>
      </c>
      <c r="G41" s="138">
        <f t="shared" si="0"/>
        <v>0</v>
      </c>
      <c r="H41" s="138">
        <f t="shared" si="1"/>
        <v>1</v>
      </c>
      <c r="I41" s="138">
        <f t="shared" si="2"/>
        <v>0</v>
      </c>
      <c r="J41" s="127">
        <f t="shared" si="3"/>
        <v>1</v>
      </c>
    </row>
    <row r="42" spans="6:10" s="114" customFormat="1" ht="16" customHeight="1">
      <c r="F42" s="137">
        <f t="shared" si="4"/>
        <v>-0.66999999999999971</v>
      </c>
      <c r="G42" s="138">
        <f t="shared" si="0"/>
        <v>0</v>
      </c>
      <c r="H42" s="138">
        <f t="shared" si="1"/>
        <v>1</v>
      </c>
      <c r="I42" s="138">
        <f t="shared" si="2"/>
        <v>0</v>
      </c>
      <c r="J42" s="127">
        <f t="shared" si="3"/>
        <v>1</v>
      </c>
    </row>
    <row r="43" spans="6:10" s="114" customFormat="1" ht="16" customHeight="1">
      <c r="F43" s="137">
        <f t="shared" si="4"/>
        <v>-0.6599999999999997</v>
      </c>
      <c r="G43" s="138">
        <f t="shared" si="0"/>
        <v>0</v>
      </c>
      <c r="H43" s="138">
        <f t="shared" si="1"/>
        <v>1</v>
      </c>
      <c r="I43" s="138">
        <f t="shared" si="2"/>
        <v>0</v>
      </c>
      <c r="J43" s="127">
        <f t="shared" si="3"/>
        <v>1</v>
      </c>
    </row>
    <row r="44" spans="6:10" s="114" customFormat="1" ht="16" customHeight="1">
      <c r="F44" s="137">
        <f t="shared" si="4"/>
        <v>-0.64999999999999969</v>
      </c>
      <c r="G44" s="138">
        <f t="shared" si="0"/>
        <v>0</v>
      </c>
      <c r="H44" s="138">
        <f t="shared" si="1"/>
        <v>1</v>
      </c>
      <c r="I44" s="138">
        <f t="shared" si="2"/>
        <v>0</v>
      </c>
      <c r="J44" s="127">
        <f t="shared" si="3"/>
        <v>1</v>
      </c>
    </row>
    <row r="45" spans="6:10" s="114" customFormat="1" ht="16" customHeight="1">
      <c r="F45" s="137">
        <f t="shared" si="4"/>
        <v>-0.63999999999999968</v>
      </c>
      <c r="G45" s="138">
        <f t="shared" si="0"/>
        <v>0</v>
      </c>
      <c r="H45" s="138">
        <f t="shared" si="1"/>
        <v>1</v>
      </c>
      <c r="I45" s="138">
        <f t="shared" si="2"/>
        <v>0</v>
      </c>
      <c r="J45" s="127">
        <f t="shared" si="3"/>
        <v>1</v>
      </c>
    </row>
    <row r="46" spans="6:10" s="114" customFormat="1" ht="16" customHeight="1">
      <c r="F46" s="137">
        <f t="shared" si="4"/>
        <v>-0.62999999999999967</v>
      </c>
      <c r="G46" s="138">
        <f t="shared" si="0"/>
        <v>0</v>
      </c>
      <c r="H46" s="138">
        <f t="shared" si="1"/>
        <v>1</v>
      </c>
      <c r="I46" s="138">
        <f t="shared" si="2"/>
        <v>0</v>
      </c>
      <c r="J46" s="127">
        <f t="shared" si="3"/>
        <v>1</v>
      </c>
    </row>
    <row r="47" spans="6:10" s="114" customFormat="1" ht="16" customHeight="1">
      <c r="F47" s="137">
        <f t="shared" si="4"/>
        <v>-0.61999999999999966</v>
      </c>
      <c r="G47" s="138">
        <f t="shared" si="0"/>
        <v>0</v>
      </c>
      <c r="H47" s="138">
        <f t="shared" si="1"/>
        <v>1</v>
      </c>
      <c r="I47" s="138">
        <f t="shared" si="2"/>
        <v>0</v>
      </c>
      <c r="J47" s="127">
        <f t="shared" si="3"/>
        <v>1</v>
      </c>
    </row>
    <row r="48" spans="6:10" s="114" customFormat="1" ht="16" customHeight="1">
      <c r="F48" s="137">
        <f t="shared" si="4"/>
        <v>-0.60999999999999965</v>
      </c>
      <c r="G48" s="138">
        <f t="shared" si="0"/>
        <v>0</v>
      </c>
      <c r="H48" s="138">
        <f t="shared" si="1"/>
        <v>1</v>
      </c>
      <c r="I48" s="138">
        <f t="shared" si="2"/>
        <v>0</v>
      </c>
      <c r="J48" s="127">
        <f t="shared" si="3"/>
        <v>1</v>
      </c>
    </row>
    <row r="49" spans="6:10" s="114" customFormat="1" ht="16" customHeight="1">
      <c r="F49" s="137">
        <f t="shared" si="4"/>
        <v>-0.59999999999999964</v>
      </c>
      <c r="G49" s="138">
        <f t="shared" si="0"/>
        <v>0</v>
      </c>
      <c r="H49" s="138">
        <f t="shared" si="1"/>
        <v>1</v>
      </c>
      <c r="I49" s="138">
        <f t="shared" si="2"/>
        <v>0</v>
      </c>
      <c r="J49" s="127">
        <f t="shared" si="3"/>
        <v>1</v>
      </c>
    </row>
    <row r="50" spans="6:10" s="114" customFormat="1" ht="16" customHeight="1">
      <c r="F50" s="137">
        <f t="shared" si="4"/>
        <v>-0.58999999999999964</v>
      </c>
      <c r="G50" s="138">
        <f t="shared" si="0"/>
        <v>0</v>
      </c>
      <c r="H50" s="138">
        <f t="shared" si="1"/>
        <v>1</v>
      </c>
      <c r="I50" s="138">
        <f t="shared" si="2"/>
        <v>0</v>
      </c>
      <c r="J50" s="127">
        <f t="shared" si="3"/>
        <v>1</v>
      </c>
    </row>
    <row r="51" spans="6:10" s="114" customFormat="1" ht="16" customHeight="1">
      <c r="F51" s="137">
        <f t="shared" si="4"/>
        <v>-0.57999999999999963</v>
      </c>
      <c r="G51" s="138">
        <f t="shared" si="0"/>
        <v>0</v>
      </c>
      <c r="H51" s="138">
        <f t="shared" si="1"/>
        <v>1</v>
      </c>
      <c r="I51" s="138">
        <f t="shared" si="2"/>
        <v>0</v>
      </c>
      <c r="J51" s="127">
        <f t="shared" si="3"/>
        <v>1</v>
      </c>
    </row>
    <row r="52" spans="6:10" s="114" customFormat="1" ht="16" customHeight="1">
      <c r="F52" s="137">
        <f t="shared" si="4"/>
        <v>-0.56999999999999962</v>
      </c>
      <c r="G52" s="138">
        <f t="shared" si="0"/>
        <v>0</v>
      </c>
      <c r="H52" s="138">
        <f t="shared" si="1"/>
        <v>1</v>
      </c>
      <c r="I52" s="138">
        <f t="shared" si="2"/>
        <v>0</v>
      </c>
      <c r="J52" s="127">
        <f t="shared" si="3"/>
        <v>1</v>
      </c>
    </row>
    <row r="53" spans="6:10" s="114" customFormat="1" ht="16" customHeight="1">
      <c r="F53" s="137">
        <f t="shared" si="4"/>
        <v>-0.55999999999999961</v>
      </c>
      <c r="G53" s="138">
        <f t="shared" si="0"/>
        <v>0</v>
      </c>
      <c r="H53" s="138">
        <f t="shared" si="1"/>
        <v>1</v>
      </c>
      <c r="I53" s="138">
        <f t="shared" si="2"/>
        <v>0</v>
      </c>
      <c r="J53" s="127">
        <f t="shared" si="3"/>
        <v>1</v>
      </c>
    </row>
    <row r="54" spans="6:10" s="114" customFormat="1" ht="16" customHeight="1">
      <c r="F54" s="137">
        <f t="shared" si="4"/>
        <v>-0.5499999999999996</v>
      </c>
      <c r="G54" s="138">
        <f t="shared" si="0"/>
        <v>0</v>
      </c>
      <c r="H54" s="138">
        <f t="shared" si="1"/>
        <v>1</v>
      </c>
      <c r="I54" s="138">
        <f t="shared" si="2"/>
        <v>0</v>
      </c>
      <c r="J54" s="127">
        <f t="shared" si="3"/>
        <v>1</v>
      </c>
    </row>
    <row r="55" spans="6:10" s="114" customFormat="1" ht="16" customHeight="1">
      <c r="F55" s="137">
        <f t="shared" si="4"/>
        <v>-0.53999999999999959</v>
      </c>
      <c r="G55" s="138">
        <f t="shared" si="0"/>
        <v>0</v>
      </c>
      <c r="H55" s="138">
        <f t="shared" si="1"/>
        <v>1</v>
      </c>
      <c r="I55" s="138">
        <f t="shared" si="2"/>
        <v>0</v>
      </c>
      <c r="J55" s="127">
        <f t="shared" si="3"/>
        <v>1</v>
      </c>
    </row>
    <row r="56" spans="6:10" s="114" customFormat="1" ht="16" customHeight="1">
      <c r="F56" s="137">
        <f t="shared" si="4"/>
        <v>-0.52999999999999958</v>
      </c>
      <c r="G56" s="138">
        <f t="shared" si="0"/>
        <v>0</v>
      </c>
      <c r="H56" s="138">
        <f t="shared" si="1"/>
        <v>1</v>
      </c>
      <c r="I56" s="138">
        <f t="shared" si="2"/>
        <v>0</v>
      </c>
      <c r="J56" s="127">
        <f t="shared" si="3"/>
        <v>1</v>
      </c>
    </row>
    <row r="57" spans="6:10" s="114" customFormat="1" ht="16" customHeight="1">
      <c r="F57" s="137">
        <f t="shared" si="4"/>
        <v>-0.51999999999999957</v>
      </c>
      <c r="G57" s="138">
        <f t="shared" si="0"/>
        <v>0</v>
      </c>
      <c r="H57" s="138">
        <f t="shared" si="1"/>
        <v>1</v>
      </c>
      <c r="I57" s="138">
        <f t="shared" si="2"/>
        <v>0</v>
      </c>
      <c r="J57" s="127">
        <f t="shared" si="3"/>
        <v>1</v>
      </c>
    </row>
    <row r="58" spans="6:10" s="114" customFormat="1" ht="16" customHeight="1">
      <c r="F58" s="137">
        <f t="shared" si="4"/>
        <v>-0.50999999999999956</v>
      </c>
      <c r="G58" s="138">
        <f t="shared" si="0"/>
        <v>0</v>
      </c>
      <c r="H58" s="138">
        <f t="shared" si="1"/>
        <v>1</v>
      </c>
      <c r="I58" s="138">
        <f t="shared" si="2"/>
        <v>0</v>
      </c>
      <c r="J58" s="127">
        <f t="shared" si="3"/>
        <v>1</v>
      </c>
    </row>
    <row r="59" spans="6:10" s="114" customFormat="1" ht="16" customHeight="1">
      <c r="F59" s="137">
        <f t="shared" si="4"/>
        <v>-0.49999999999999956</v>
      </c>
      <c r="G59" s="138">
        <f t="shared" si="0"/>
        <v>0</v>
      </c>
      <c r="H59" s="138">
        <f t="shared" si="1"/>
        <v>1</v>
      </c>
      <c r="I59" s="138">
        <f t="shared" si="2"/>
        <v>0</v>
      </c>
      <c r="J59" s="127">
        <f t="shared" si="3"/>
        <v>1</v>
      </c>
    </row>
    <row r="60" spans="6:10" s="114" customFormat="1" ht="16" customHeight="1">
      <c r="F60" s="137">
        <f t="shared" si="4"/>
        <v>-0.48999999999999955</v>
      </c>
      <c r="G60" s="138">
        <f t="shared" si="0"/>
        <v>0</v>
      </c>
      <c r="H60" s="138">
        <f t="shared" si="1"/>
        <v>1</v>
      </c>
      <c r="I60" s="138">
        <f t="shared" si="2"/>
        <v>0</v>
      </c>
      <c r="J60" s="127">
        <f t="shared" si="3"/>
        <v>1</v>
      </c>
    </row>
    <row r="61" spans="6:10" s="114" customFormat="1" ht="16" customHeight="1">
      <c r="F61" s="137">
        <f t="shared" si="4"/>
        <v>-0.47999999999999954</v>
      </c>
      <c r="G61" s="138">
        <f t="shared" si="0"/>
        <v>0</v>
      </c>
      <c r="H61" s="138">
        <f t="shared" si="1"/>
        <v>1</v>
      </c>
      <c r="I61" s="138">
        <f t="shared" si="2"/>
        <v>0</v>
      </c>
      <c r="J61" s="127">
        <f t="shared" si="3"/>
        <v>1</v>
      </c>
    </row>
    <row r="62" spans="6:10" s="114" customFormat="1" ht="16" customHeight="1">
      <c r="F62" s="137">
        <f t="shared" si="4"/>
        <v>-0.46999999999999953</v>
      </c>
      <c r="G62" s="138">
        <f t="shared" si="0"/>
        <v>0</v>
      </c>
      <c r="H62" s="138">
        <f t="shared" si="1"/>
        <v>1</v>
      </c>
      <c r="I62" s="138">
        <f t="shared" si="2"/>
        <v>0</v>
      </c>
      <c r="J62" s="127">
        <f t="shared" si="3"/>
        <v>1</v>
      </c>
    </row>
    <row r="63" spans="6:10" s="114" customFormat="1" ht="16" customHeight="1">
      <c r="F63" s="137">
        <f t="shared" si="4"/>
        <v>-0.45999999999999952</v>
      </c>
      <c r="G63" s="138">
        <f t="shared" si="0"/>
        <v>0</v>
      </c>
      <c r="H63" s="138">
        <f t="shared" si="1"/>
        <v>1</v>
      </c>
      <c r="I63" s="138">
        <f t="shared" si="2"/>
        <v>0</v>
      </c>
      <c r="J63" s="127">
        <f t="shared" si="3"/>
        <v>1</v>
      </c>
    </row>
    <row r="64" spans="6:10" ht="16">
      <c r="F64" s="137">
        <f t="shared" si="4"/>
        <v>-0.44999999999999951</v>
      </c>
      <c r="G64" s="138">
        <f t="shared" si="0"/>
        <v>0</v>
      </c>
      <c r="H64" s="138">
        <f t="shared" si="1"/>
        <v>1</v>
      </c>
      <c r="I64" s="138">
        <f t="shared" si="2"/>
        <v>0</v>
      </c>
      <c r="J64" s="127">
        <f t="shared" si="3"/>
        <v>1</v>
      </c>
    </row>
    <row r="65" spans="6:10" ht="16">
      <c r="F65" s="137">
        <f t="shared" si="4"/>
        <v>-0.4399999999999995</v>
      </c>
      <c r="G65" s="138">
        <f t="shared" si="0"/>
        <v>0</v>
      </c>
      <c r="H65" s="138">
        <f t="shared" si="1"/>
        <v>1</v>
      </c>
      <c r="I65" s="138">
        <f t="shared" si="2"/>
        <v>0</v>
      </c>
      <c r="J65" s="127">
        <f t="shared" si="3"/>
        <v>1</v>
      </c>
    </row>
    <row r="66" spans="6:10" ht="16">
      <c r="F66" s="137">
        <f t="shared" si="4"/>
        <v>-0.42999999999999949</v>
      </c>
      <c r="G66" s="138">
        <f t="shared" si="0"/>
        <v>0</v>
      </c>
      <c r="H66" s="138">
        <f t="shared" si="1"/>
        <v>1</v>
      </c>
      <c r="I66" s="138">
        <f t="shared" si="2"/>
        <v>0</v>
      </c>
      <c r="J66" s="127">
        <f t="shared" si="3"/>
        <v>1</v>
      </c>
    </row>
    <row r="67" spans="6:10" ht="16">
      <c r="F67" s="137">
        <f t="shared" si="4"/>
        <v>-0.41999999999999948</v>
      </c>
      <c r="G67" s="138">
        <f t="shared" si="0"/>
        <v>0</v>
      </c>
      <c r="H67" s="138">
        <f t="shared" si="1"/>
        <v>1</v>
      </c>
      <c r="I67" s="138">
        <f t="shared" si="2"/>
        <v>0</v>
      </c>
      <c r="J67" s="127">
        <f t="shared" si="3"/>
        <v>1</v>
      </c>
    </row>
    <row r="68" spans="6:10" ht="16">
      <c r="F68" s="137">
        <f t="shared" si="4"/>
        <v>-0.40999999999999948</v>
      </c>
      <c r="G68" s="138">
        <f t="shared" si="0"/>
        <v>0</v>
      </c>
      <c r="H68" s="138">
        <f t="shared" si="1"/>
        <v>1</v>
      </c>
      <c r="I68" s="138">
        <f t="shared" si="2"/>
        <v>0</v>
      </c>
      <c r="J68" s="127">
        <f t="shared" si="3"/>
        <v>1</v>
      </c>
    </row>
    <row r="69" spans="6:10" ht="16">
      <c r="F69" s="137">
        <f t="shared" si="4"/>
        <v>-0.39999999999999947</v>
      </c>
      <c r="G69" s="138">
        <f t="shared" si="0"/>
        <v>0</v>
      </c>
      <c r="H69" s="138">
        <f t="shared" si="1"/>
        <v>1</v>
      </c>
      <c r="I69" s="138">
        <f t="shared" si="2"/>
        <v>0</v>
      </c>
      <c r="J69" s="127">
        <f t="shared" si="3"/>
        <v>1</v>
      </c>
    </row>
    <row r="70" spans="6:10" ht="16">
      <c r="F70" s="137">
        <f t="shared" si="4"/>
        <v>-0.38999999999999946</v>
      </c>
      <c r="G70" s="138">
        <f t="shared" si="0"/>
        <v>0</v>
      </c>
      <c r="H70" s="138">
        <f t="shared" si="1"/>
        <v>1</v>
      </c>
      <c r="I70" s="138">
        <f t="shared" si="2"/>
        <v>0</v>
      </c>
      <c r="J70" s="127">
        <f t="shared" si="3"/>
        <v>1</v>
      </c>
    </row>
    <row r="71" spans="6:10" ht="16">
      <c r="F71" s="137">
        <f t="shared" si="4"/>
        <v>-0.37999999999999945</v>
      </c>
      <c r="G71" s="138">
        <f t="shared" si="0"/>
        <v>0</v>
      </c>
      <c r="H71" s="138">
        <f t="shared" si="1"/>
        <v>1</v>
      </c>
      <c r="I71" s="138">
        <f t="shared" si="2"/>
        <v>0</v>
      </c>
      <c r="J71" s="127">
        <f t="shared" si="3"/>
        <v>1</v>
      </c>
    </row>
    <row r="72" spans="6:10" ht="16">
      <c r="F72" s="137">
        <f t="shared" si="4"/>
        <v>-0.36999999999999944</v>
      </c>
      <c r="G72" s="138">
        <f t="shared" si="0"/>
        <v>0</v>
      </c>
      <c r="H72" s="138">
        <f t="shared" si="1"/>
        <v>1</v>
      </c>
      <c r="I72" s="138">
        <f t="shared" si="2"/>
        <v>0</v>
      </c>
      <c r="J72" s="127">
        <f t="shared" si="3"/>
        <v>1</v>
      </c>
    </row>
    <row r="73" spans="6:10" ht="16">
      <c r="F73" s="137">
        <f t="shared" si="4"/>
        <v>-0.35999999999999943</v>
      </c>
      <c r="G73" s="138">
        <f t="shared" ref="G73:G136" si="7">IFERROR(IF(SQRT(1-(F73*F73)/($J$5*$J$5))&lt;0.05,0,SQRT(1-(F73*F73)/($J$5*$J$5))),0)</f>
        <v>0</v>
      </c>
      <c r="H73" s="138">
        <f t="shared" ref="H73:H136" si="8">CHOOSE(MATCH($J$3,degrees),IF(F73&lt;0,IFERROR(1-G73,1),0),0,0,IF(F73&gt;0,IFERROR(1-G73,1),0))</f>
        <v>1</v>
      </c>
      <c r="I73" s="138">
        <f t="shared" ref="I73:I136" si="9">CHOOSE(MATCH($J$3,degrees),IF(F73&lt;0,2*G73,2),IF(F73&lt;0,0,1-G73),IF(F73&gt;0,0,1-G73),IF(F73&gt;0,2*G73,2))</f>
        <v>0</v>
      </c>
      <c r="J73" s="127">
        <f t="shared" ref="J73:J136" si="10">CHOOSE(MATCH($J$3,degrees),IF(F73&lt;0,G73+1,2),IF(F73&lt;0,2,2*G73),IF(F73&gt;0,2,2*G73),IF(F73&gt;0,G73+1,2))</f>
        <v>1</v>
      </c>
    </row>
    <row r="74" spans="6:10" ht="16">
      <c r="F74" s="137">
        <f t="shared" ref="F74:F137" si="11">F73+$G$4</f>
        <v>-0.34999999999999942</v>
      </c>
      <c r="G74" s="138">
        <f t="shared" si="7"/>
        <v>0</v>
      </c>
      <c r="H74" s="138">
        <f t="shared" si="8"/>
        <v>1</v>
      </c>
      <c r="I74" s="138">
        <f t="shared" si="9"/>
        <v>0</v>
      </c>
      <c r="J74" s="127">
        <f t="shared" si="10"/>
        <v>1</v>
      </c>
    </row>
    <row r="75" spans="6:10" ht="16">
      <c r="F75" s="137">
        <f t="shared" si="11"/>
        <v>-0.33999999999999941</v>
      </c>
      <c r="G75" s="138">
        <f t="shared" si="7"/>
        <v>0</v>
      </c>
      <c r="H75" s="138">
        <f t="shared" si="8"/>
        <v>1</v>
      </c>
      <c r="I75" s="138">
        <f t="shared" si="9"/>
        <v>0</v>
      </c>
      <c r="J75" s="127">
        <f t="shared" si="10"/>
        <v>1</v>
      </c>
    </row>
    <row r="76" spans="6:10" ht="16">
      <c r="F76" s="137">
        <f t="shared" si="11"/>
        <v>-0.3299999999999994</v>
      </c>
      <c r="G76" s="138">
        <f t="shared" si="7"/>
        <v>0</v>
      </c>
      <c r="H76" s="138">
        <f t="shared" si="8"/>
        <v>1</v>
      </c>
      <c r="I76" s="138">
        <f t="shared" si="9"/>
        <v>0</v>
      </c>
      <c r="J76" s="127">
        <f t="shared" si="10"/>
        <v>1</v>
      </c>
    </row>
    <row r="77" spans="6:10" ht="16">
      <c r="F77" s="137">
        <f t="shared" si="11"/>
        <v>-0.3199999999999994</v>
      </c>
      <c r="G77" s="138">
        <f t="shared" si="7"/>
        <v>0</v>
      </c>
      <c r="H77" s="138">
        <f t="shared" si="8"/>
        <v>1</v>
      </c>
      <c r="I77" s="138">
        <f t="shared" si="9"/>
        <v>0</v>
      </c>
      <c r="J77" s="127">
        <f t="shared" si="10"/>
        <v>1</v>
      </c>
    </row>
    <row r="78" spans="6:10" ht="16">
      <c r="F78" s="137">
        <f t="shared" si="11"/>
        <v>-0.30999999999999939</v>
      </c>
      <c r="G78" s="138">
        <f t="shared" si="7"/>
        <v>0</v>
      </c>
      <c r="H78" s="138">
        <f t="shared" si="8"/>
        <v>1</v>
      </c>
      <c r="I78" s="138">
        <f t="shared" si="9"/>
        <v>0</v>
      </c>
      <c r="J78" s="127">
        <f t="shared" si="10"/>
        <v>1</v>
      </c>
    </row>
    <row r="79" spans="6:10" ht="16">
      <c r="F79" s="137">
        <f t="shared" si="11"/>
        <v>-0.29999999999999938</v>
      </c>
      <c r="G79" s="138">
        <f t="shared" si="7"/>
        <v>0</v>
      </c>
      <c r="H79" s="138">
        <f t="shared" si="8"/>
        <v>1</v>
      </c>
      <c r="I79" s="138">
        <f t="shared" si="9"/>
        <v>0</v>
      </c>
      <c r="J79" s="127">
        <f t="shared" si="10"/>
        <v>1</v>
      </c>
    </row>
    <row r="80" spans="6:10" ht="16">
      <c r="F80" s="137">
        <f t="shared" si="11"/>
        <v>-0.28999999999999937</v>
      </c>
      <c r="G80" s="138">
        <f t="shared" si="7"/>
        <v>0</v>
      </c>
      <c r="H80" s="138">
        <f t="shared" si="8"/>
        <v>1</v>
      </c>
      <c r="I80" s="138">
        <f t="shared" si="9"/>
        <v>0</v>
      </c>
      <c r="J80" s="127">
        <f t="shared" si="10"/>
        <v>1</v>
      </c>
    </row>
    <row r="81" spans="6:10" ht="16">
      <c r="F81" s="137">
        <f t="shared" si="11"/>
        <v>-0.27999999999999936</v>
      </c>
      <c r="G81" s="138">
        <f t="shared" si="7"/>
        <v>0</v>
      </c>
      <c r="H81" s="138">
        <f t="shared" si="8"/>
        <v>1</v>
      </c>
      <c r="I81" s="138">
        <f t="shared" si="9"/>
        <v>0</v>
      </c>
      <c r="J81" s="127">
        <f t="shared" si="10"/>
        <v>1</v>
      </c>
    </row>
    <row r="82" spans="6:10" ht="16">
      <c r="F82" s="137">
        <f t="shared" si="11"/>
        <v>-0.26999999999999935</v>
      </c>
      <c r="G82" s="138">
        <f t="shared" si="7"/>
        <v>0</v>
      </c>
      <c r="H82" s="138">
        <f t="shared" si="8"/>
        <v>1</v>
      </c>
      <c r="I82" s="138">
        <f t="shared" si="9"/>
        <v>0</v>
      </c>
      <c r="J82" s="127">
        <f t="shared" si="10"/>
        <v>1</v>
      </c>
    </row>
    <row r="83" spans="6:10" ht="16">
      <c r="F83" s="137">
        <f t="shared" si="11"/>
        <v>-0.25999999999999934</v>
      </c>
      <c r="G83" s="138">
        <f t="shared" si="7"/>
        <v>0</v>
      </c>
      <c r="H83" s="138">
        <f t="shared" si="8"/>
        <v>1</v>
      </c>
      <c r="I83" s="138">
        <f t="shared" si="9"/>
        <v>0</v>
      </c>
      <c r="J83" s="127">
        <f t="shared" si="10"/>
        <v>1</v>
      </c>
    </row>
    <row r="84" spans="6:10" ht="16">
      <c r="F84" s="137">
        <f t="shared" si="11"/>
        <v>-0.24999999999999933</v>
      </c>
      <c r="G84" s="138">
        <f t="shared" si="7"/>
        <v>0</v>
      </c>
      <c r="H84" s="138">
        <f t="shared" si="8"/>
        <v>1</v>
      </c>
      <c r="I84" s="138">
        <f t="shared" si="9"/>
        <v>0</v>
      </c>
      <c r="J84" s="127">
        <f t="shared" si="10"/>
        <v>1</v>
      </c>
    </row>
    <row r="85" spans="6:10" ht="16">
      <c r="F85" s="137">
        <f t="shared" si="11"/>
        <v>-0.23999999999999932</v>
      </c>
      <c r="G85" s="138">
        <f t="shared" si="7"/>
        <v>0</v>
      </c>
      <c r="H85" s="138">
        <f t="shared" si="8"/>
        <v>1</v>
      </c>
      <c r="I85" s="138">
        <f t="shared" si="9"/>
        <v>0</v>
      </c>
      <c r="J85" s="127">
        <f t="shared" si="10"/>
        <v>1</v>
      </c>
    </row>
    <row r="86" spans="6:10" ht="16">
      <c r="F86" s="137">
        <f t="shared" si="11"/>
        <v>-0.22999999999999932</v>
      </c>
      <c r="G86" s="138">
        <f t="shared" si="7"/>
        <v>0</v>
      </c>
      <c r="H86" s="138">
        <f t="shared" si="8"/>
        <v>1</v>
      </c>
      <c r="I86" s="138">
        <f t="shared" si="9"/>
        <v>0</v>
      </c>
      <c r="J86" s="127">
        <f t="shared" si="10"/>
        <v>1</v>
      </c>
    </row>
    <row r="87" spans="6:10" ht="16">
      <c r="F87" s="137">
        <f t="shared" si="11"/>
        <v>-0.21999999999999931</v>
      </c>
      <c r="G87" s="138">
        <f t="shared" si="7"/>
        <v>0</v>
      </c>
      <c r="H87" s="138">
        <f t="shared" si="8"/>
        <v>1</v>
      </c>
      <c r="I87" s="138">
        <f t="shared" si="9"/>
        <v>0</v>
      </c>
      <c r="J87" s="127">
        <f t="shared" si="10"/>
        <v>1</v>
      </c>
    </row>
    <row r="88" spans="6:10" ht="16">
      <c r="F88" s="137">
        <f t="shared" si="11"/>
        <v>-0.2099999999999993</v>
      </c>
      <c r="G88" s="138">
        <f t="shared" si="7"/>
        <v>0</v>
      </c>
      <c r="H88" s="138">
        <f t="shared" si="8"/>
        <v>1</v>
      </c>
      <c r="I88" s="138">
        <f t="shared" si="9"/>
        <v>0</v>
      </c>
      <c r="J88" s="127">
        <f t="shared" si="10"/>
        <v>1</v>
      </c>
    </row>
    <row r="89" spans="6:10" ht="16">
      <c r="F89" s="137">
        <f t="shared" si="11"/>
        <v>-0.19999999999999929</v>
      </c>
      <c r="G89" s="138">
        <f t="shared" si="7"/>
        <v>0</v>
      </c>
      <c r="H89" s="138">
        <f t="shared" si="8"/>
        <v>1</v>
      </c>
      <c r="I89" s="138">
        <f t="shared" si="9"/>
        <v>0</v>
      </c>
      <c r="J89" s="127">
        <f t="shared" si="10"/>
        <v>1</v>
      </c>
    </row>
    <row r="90" spans="6:10" ht="16">
      <c r="F90" s="137">
        <f t="shared" si="11"/>
        <v>-0.18999999999999928</v>
      </c>
      <c r="G90" s="138">
        <f t="shared" si="7"/>
        <v>0</v>
      </c>
      <c r="H90" s="138">
        <f t="shared" si="8"/>
        <v>1</v>
      </c>
      <c r="I90" s="138">
        <f t="shared" si="9"/>
        <v>0</v>
      </c>
      <c r="J90" s="127">
        <f t="shared" si="10"/>
        <v>1</v>
      </c>
    </row>
    <row r="91" spans="6:10" ht="16">
      <c r="F91" s="137">
        <f t="shared" si="11"/>
        <v>-0.17999999999999927</v>
      </c>
      <c r="G91" s="138">
        <f t="shared" si="7"/>
        <v>0</v>
      </c>
      <c r="H91" s="138">
        <f t="shared" si="8"/>
        <v>1</v>
      </c>
      <c r="I91" s="138">
        <f t="shared" si="9"/>
        <v>0</v>
      </c>
      <c r="J91" s="127">
        <f t="shared" si="10"/>
        <v>1</v>
      </c>
    </row>
    <row r="92" spans="6:10" ht="16">
      <c r="F92" s="137">
        <f t="shared" si="11"/>
        <v>-0.16999999999999926</v>
      </c>
      <c r="G92" s="138">
        <f t="shared" si="7"/>
        <v>0.30161822305532576</v>
      </c>
      <c r="H92" s="138">
        <f t="shared" si="8"/>
        <v>0.69838177694467429</v>
      </c>
      <c r="I92" s="138">
        <f t="shared" si="9"/>
        <v>0.60323644611065153</v>
      </c>
      <c r="J92" s="127">
        <f t="shared" si="10"/>
        <v>1.3016182230553257</v>
      </c>
    </row>
    <row r="93" spans="6:10" ht="16">
      <c r="F93" s="137">
        <f t="shared" si="11"/>
        <v>-0.15999999999999925</v>
      </c>
      <c r="G93" s="138">
        <f t="shared" si="7"/>
        <v>0.44133028469509905</v>
      </c>
      <c r="H93" s="138">
        <f t="shared" si="8"/>
        <v>0.55866971530490095</v>
      </c>
      <c r="I93" s="138">
        <f t="shared" si="9"/>
        <v>0.8826605693901981</v>
      </c>
      <c r="J93" s="127">
        <f t="shared" si="10"/>
        <v>1.4413302846950991</v>
      </c>
    </row>
    <row r="94" spans="6:10" ht="16">
      <c r="F94" s="137">
        <f t="shared" si="11"/>
        <v>-0.14999999999999925</v>
      </c>
      <c r="G94" s="138">
        <f t="shared" si="7"/>
        <v>0.54062967679529861</v>
      </c>
      <c r="H94" s="138">
        <f t="shared" si="8"/>
        <v>0.45937032320470139</v>
      </c>
      <c r="I94" s="138">
        <f t="shared" si="9"/>
        <v>1.0812593535905972</v>
      </c>
      <c r="J94" s="127">
        <f t="shared" si="10"/>
        <v>1.5406296767952985</v>
      </c>
    </row>
    <row r="95" spans="6:10" ht="16">
      <c r="F95" s="137">
        <f t="shared" si="11"/>
        <v>-0.13999999999999924</v>
      </c>
      <c r="G95" s="138">
        <f t="shared" si="7"/>
        <v>0.61927185807789442</v>
      </c>
      <c r="H95" s="138">
        <f t="shared" si="8"/>
        <v>0.38072814192210558</v>
      </c>
      <c r="I95" s="138">
        <f t="shared" si="9"/>
        <v>1.2385437161557888</v>
      </c>
      <c r="J95" s="127">
        <f t="shared" si="10"/>
        <v>1.6192718580778944</v>
      </c>
    </row>
    <row r="96" spans="6:10" ht="16">
      <c r="F96" s="137">
        <f t="shared" si="11"/>
        <v>-0.12999999999999923</v>
      </c>
      <c r="G96" s="138">
        <f t="shared" si="7"/>
        <v>0.68441506450065348</v>
      </c>
      <c r="H96" s="138">
        <f t="shared" si="8"/>
        <v>0.31558493549934652</v>
      </c>
      <c r="I96" s="138">
        <f t="shared" si="9"/>
        <v>1.368830129001307</v>
      </c>
      <c r="J96" s="127">
        <f t="shared" si="10"/>
        <v>1.6844150645006535</v>
      </c>
    </row>
    <row r="97" spans="6:10" ht="16">
      <c r="F97" s="137">
        <f t="shared" si="11"/>
        <v>-0.11999999999999923</v>
      </c>
      <c r="G97" s="138">
        <f t="shared" si="7"/>
        <v>0.73963469791265624</v>
      </c>
      <c r="H97" s="138">
        <f t="shared" si="8"/>
        <v>0.26036530208734376</v>
      </c>
      <c r="I97" s="138">
        <f t="shared" si="9"/>
        <v>1.4792693958253125</v>
      </c>
      <c r="J97" s="127">
        <f t="shared" si="10"/>
        <v>1.7396346979126562</v>
      </c>
    </row>
    <row r="98" spans="6:10" ht="16">
      <c r="F98" s="137">
        <f t="shared" si="11"/>
        <v>-0.10999999999999924</v>
      </c>
      <c r="G98" s="138">
        <f t="shared" si="7"/>
        <v>0.78702233242137787</v>
      </c>
      <c r="H98" s="138">
        <f t="shared" si="8"/>
        <v>0.21297766757862213</v>
      </c>
      <c r="I98" s="138">
        <f t="shared" si="9"/>
        <v>1.5740446648427557</v>
      </c>
      <c r="J98" s="127">
        <f t="shared" si="10"/>
        <v>1.7870223324213779</v>
      </c>
    </row>
    <row r="99" spans="6:10" ht="16">
      <c r="F99" s="137">
        <f t="shared" si="11"/>
        <v>-9.9999999999999242E-2</v>
      </c>
      <c r="G99" s="138">
        <f t="shared" si="7"/>
        <v>0.82792389543746847</v>
      </c>
      <c r="H99" s="138">
        <f t="shared" si="8"/>
        <v>0.17207610456253153</v>
      </c>
      <c r="I99" s="138">
        <f t="shared" si="9"/>
        <v>1.6558477908749369</v>
      </c>
      <c r="J99" s="127">
        <f t="shared" si="10"/>
        <v>1.8279238954374684</v>
      </c>
    </row>
    <row r="100" spans="6:10" ht="16">
      <c r="F100" s="137">
        <f t="shared" si="11"/>
        <v>-8.9999999999999247E-2</v>
      </c>
      <c r="G100" s="138">
        <f t="shared" si="7"/>
        <v>0.86326181490637344</v>
      </c>
      <c r="H100" s="138">
        <f t="shared" si="8"/>
        <v>0.13673818509362656</v>
      </c>
      <c r="I100" s="138">
        <f t="shared" si="9"/>
        <v>1.7265236298127469</v>
      </c>
      <c r="J100" s="127">
        <f t="shared" si="10"/>
        <v>1.8632618149063735</v>
      </c>
    </row>
    <row r="101" spans="6:10" ht="16">
      <c r="F101" s="137">
        <f t="shared" si="11"/>
        <v>-7.9999999999999252E-2</v>
      </c>
      <c r="G101" s="138">
        <f t="shared" si="7"/>
        <v>0.89369631589666199</v>
      </c>
      <c r="H101" s="138">
        <f t="shared" si="8"/>
        <v>0.10630368410333801</v>
      </c>
      <c r="I101" s="138">
        <f t="shared" si="9"/>
        <v>1.787392631793324</v>
      </c>
      <c r="J101" s="127">
        <f t="shared" si="10"/>
        <v>1.893696315896662</v>
      </c>
    </row>
    <row r="102" spans="6:10" ht="16">
      <c r="F102" s="137">
        <f t="shared" si="11"/>
        <v>-6.9999999999999257E-2</v>
      </c>
      <c r="G102" s="138">
        <f t="shared" si="7"/>
        <v>0.91971430811519594</v>
      </c>
      <c r="H102" s="138">
        <f t="shared" si="8"/>
        <v>8.0285691884804056E-2</v>
      </c>
      <c r="I102" s="138">
        <f t="shared" si="9"/>
        <v>1.8394286162303919</v>
      </c>
      <c r="J102" s="127">
        <f t="shared" si="10"/>
        <v>1.9197143081151959</v>
      </c>
    </row>
    <row r="103" spans="6:10" ht="16">
      <c r="F103" s="137">
        <f t="shared" si="11"/>
        <v>-5.9999999999999255E-2</v>
      </c>
      <c r="G103" s="138">
        <f t="shared" si="7"/>
        <v>0.94168193759309615</v>
      </c>
      <c r="H103" s="138">
        <f t="shared" si="8"/>
        <v>5.8318062406903848E-2</v>
      </c>
      <c r="I103" s="138">
        <f t="shared" si="9"/>
        <v>1.8833638751861923</v>
      </c>
      <c r="J103" s="127">
        <f t="shared" si="10"/>
        <v>1.941681937593096</v>
      </c>
    </row>
    <row r="104" spans="6:10" ht="16">
      <c r="F104" s="137">
        <f t="shared" si="11"/>
        <v>-4.9999999999999253E-2</v>
      </c>
      <c r="G104" s="138">
        <f t="shared" si="7"/>
        <v>0.95987733287076282</v>
      </c>
      <c r="H104" s="138">
        <f t="shared" si="8"/>
        <v>4.0122667129237177E-2</v>
      </c>
      <c r="I104" s="138">
        <f t="shared" si="9"/>
        <v>1.9197546657415256</v>
      </c>
      <c r="J104" s="127">
        <f t="shared" si="10"/>
        <v>1.9598773328707628</v>
      </c>
    </row>
    <row r="105" spans="6:10" ht="16">
      <c r="F105" s="137">
        <f t="shared" si="11"/>
        <v>-3.9999999999999251E-2</v>
      </c>
      <c r="G105" s="138">
        <f t="shared" si="7"/>
        <v>0.97451181432644396</v>
      </c>
      <c r="H105" s="138">
        <f t="shared" si="8"/>
        <v>2.5488185673556041E-2</v>
      </c>
      <c r="I105" s="138">
        <f t="shared" si="9"/>
        <v>1.9490236286528879</v>
      </c>
      <c r="J105" s="127">
        <f t="shared" si="10"/>
        <v>1.974511814326444</v>
      </c>
    </row>
    <row r="106" spans="6:10" ht="16">
      <c r="F106" s="137">
        <f t="shared" si="11"/>
        <v>-2.9999999999999249E-2</v>
      </c>
      <c r="G106" s="138">
        <f t="shared" si="7"/>
        <v>0.98574399206755126</v>
      </c>
      <c r="H106" s="138">
        <f t="shared" si="8"/>
        <v>1.4256007932448744E-2</v>
      </c>
      <c r="I106" s="138">
        <f t="shared" si="9"/>
        <v>1.9714879841351025</v>
      </c>
      <c r="J106" s="127">
        <f t="shared" si="10"/>
        <v>1.9857439920675513</v>
      </c>
    </row>
    <row r="107" spans="6:10" ht="16">
      <c r="F107" s="137">
        <f t="shared" si="11"/>
        <v>-1.9999999999999248E-2</v>
      </c>
      <c r="G107" s="138">
        <f t="shared" si="7"/>
        <v>0.99368924672930559</v>
      </c>
      <c r="H107" s="138">
        <f t="shared" si="8"/>
        <v>6.3107532706944136E-3</v>
      </c>
      <c r="I107" s="138">
        <f t="shared" si="9"/>
        <v>1.9873784934586112</v>
      </c>
      <c r="J107" s="127">
        <f t="shared" si="10"/>
        <v>1.9936892467293057</v>
      </c>
    </row>
    <row r="108" spans="6:10" ht="16">
      <c r="F108" s="137">
        <f t="shared" si="11"/>
        <v>-9.9999999999992473E-3</v>
      </c>
      <c r="G108" s="138">
        <f t="shared" si="7"/>
        <v>0.99842605122581007</v>
      </c>
      <c r="H108" s="138">
        <f t="shared" si="8"/>
        <v>1.5739487741899261E-3</v>
      </c>
      <c r="I108" s="138">
        <f t="shared" si="9"/>
        <v>1.9968521024516201</v>
      </c>
      <c r="J108" s="127">
        <f t="shared" si="10"/>
        <v>1.9984260512258101</v>
      </c>
    </row>
    <row r="109" spans="6:10" ht="16">
      <c r="F109" s="137">
        <f t="shared" si="11"/>
        <v>7.5286998857393428E-16</v>
      </c>
      <c r="G109" s="138">
        <f t="shared" si="7"/>
        <v>1</v>
      </c>
      <c r="H109" s="138">
        <f t="shared" si="8"/>
        <v>0</v>
      </c>
      <c r="I109" s="138">
        <f t="shared" si="9"/>
        <v>2</v>
      </c>
      <c r="J109" s="127">
        <f t="shared" si="10"/>
        <v>2</v>
      </c>
    </row>
    <row r="110" spans="6:10" ht="16">
      <c r="F110" s="137">
        <f t="shared" si="11"/>
        <v>1.0000000000000753E-2</v>
      </c>
      <c r="G110" s="138">
        <f t="shared" si="7"/>
        <v>0.99842605122580963</v>
      </c>
      <c r="H110" s="138">
        <f t="shared" si="8"/>
        <v>0</v>
      </c>
      <c r="I110" s="138">
        <f t="shared" si="9"/>
        <v>2</v>
      </c>
      <c r="J110" s="127">
        <f t="shared" si="10"/>
        <v>2</v>
      </c>
    </row>
    <row r="111" spans="6:10" ht="16">
      <c r="F111" s="137">
        <f t="shared" si="11"/>
        <v>2.0000000000000753E-2</v>
      </c>
      <c r="G111" s="138">
        <f t="shared" si="7"/>
        <v>0.9936892467293047</v>
      </c>
      <c r="H111" s="138">
        <f t="shared" si="8"/>
        <v>0</v>
      </c>
      <c r="I111" s="138">
        <f t="shared" si="9"/>
        <v>2</v>
      </c>
      <c r="J111" s="127">
        <f t="shared" si="10"/>
        <v>2</v>
      </c>
    </row>
    <row r="112" spans="6:10" ht="16">
      <c r="F112" s="137">
        <f t="shared" si="11"/>
        <v>3.0000000000000755E-2</v>
      </c>
      <c r="G112" s="138">
        <f t="shared" si="7"/>
        <v>0.98574399206754992</v>
      </c>
      <c r="H112" s="138">
        <f t="shared" si="8"/>
        <v>0</v>
      </c>
      <c r="I112" s="138">
        <f t="shared" si="9"/>
        <v>2</v>
      </c>
      <c r="J112" s="127">
        <f t="shared" si="10"/>
        <v>2</v>
      </c>
    </row>
    <row r="113" spans="6:10" ht="16">
      <c r="F113" s="137">
        <f t="shared" si="11"/>
        <v>4.0000000000000757E-2</v>
      </c>
      <c r="G113" s="138">
        <f t="shared" si="7"/>
        <v>0.97451181432644196</v>
      </c>
      <c r="H113" s="138">
        <f t="shared" si="8"/>
        <v>0</v>
      </c>
      <c r="I113" s="138">
        <f t="shared" si="9"/>
        <v>2</v>
      </c>
      <c r="J113" s="127">
        <f t="shared" si="10"/>
        <v>2</v>
      </c>
    </row>
    <row r="114" spans="6:10" ht="16">
      <c r="F114" s="137">
        <f t="shared" si="11"/>
        <v>5.0000000000000759E-2</v>
      </c>
      <c r="G114" s="138">
        <f t="shared" si="7"/>
        <v>0.95987733287076038</v>
      </c>
      <c r="H114" s="138">
        <f t="shared" si="8"/>
        <v>0</v>
      </c>
      <c r="I114" s="138">
        <f t="shared" si="9"/>
        <v>2</v>
      </c>
      <c r="J114" s="127">
        <f t="shared" si="10"/>
        <v>2</v>
      </c>
    </row>
    <row r="115" spans="6:10" ht="16">
      <c r="F115" s="137">
        <f t="shared" si="11"/>
        <v>6.0000000000000761E-2</v>
      </c>
      <c r="G115" s="138">
        <f t="shared" si="7"/>
        <v>0.94168193759309315</v>
      </c>
      <c r="H115" s="138">
        <f t="shared" si="8"/>
        <v>0</v>
      </c>
      <c r="I115" s="138">
        <f t="shared" si="9"/>
        <v>2</v>
      </c>
      <c r="J115" s="127">
        <f t="shared" si="10"/>
        <v>2</v>
      </c>
    </row>
    <row r="116" spans="6:10" ht="16">
      <c r="F116" s="137">
        <f t="shared" si="11"/>
        <v>7.0000000000000756E-2</v>
      </c>
      <c r="G116" s="138">
        <f t="shared" si="7"/>
        <v>0.91971430811519239</v>
      </c>
      <c r="H116" s="138">
        <f t="shared" si="8"/>
        <v>0</v>
      </c>
      <c r="I116" s="138">
        <f t="shared" si="9"/>
        <v>2</v>
      </c>
      <c r="J116" s="127">
        <f t="shared" si="10"/>
        <v>2</v>
      </c>
    </row>
    <row r="117" spans="6:10" ht="16">
      <c r="F117" s="137">
        <f t="shared" si="11"/>
        <v>8.0000000000000751E-2</v>
      </c>
      <c r="G117" s="138">
        <f t="shared" si="7"/>
        <v>0.89369631589665777</v>
      </c>
      <c r="H117" s="138">
        <f t="shared" si="8"/>
        <v>0</v>
      </c>
      <c r="I117" s="138">
        <f t="shared" si="9"/>
        <v>2</v>
      </c>
      <c r="J117" s="127">
        <f t="shared" si="10"/>
        <v>2</v>
      </c>
    </row>
    <row r="118" spans="6:10" ht="16">
      <c r="F118" s="137">
        <f t="shared" si="11"/>
        <v>9.0000000000000746E-2</v>
      </c>
      <c r="G118" s="138">
        <f t="shared" si="7"/>
        <v>0.86326181490636855</v>
      </c>
      <c r="H118" s="138">
        <f t="shared" si="8"/>
        <v>0</v>
      </c>
      <c r="I118" s="138">
        <f t="shared" si="9"/>
        <v>2</v>
      </c>
      <c r="J118" s="127">
        <f t="shared" si="10"/>
        <v>2</v>
      </c>
    </row>
    <row r="119" spans="6:10" ht="16">
      <c r="F119" s="137">
        <f t="shared" si="11"/>
        <v>0.10000000000000074</v>
      </c>
      <c r="G119" s="138">
        <f t="shared" si="7"/>
        <v>0.82792389543746281</v>
      </c>
      <c r="H119" s="138">
        <f t="shared" si="8"/>
        <v>0</v>
      </c>
      <c r="I119" s="138">
        <f t="shared" si="9"/>
        <v>2</v>
      </c>
      <c r="J119" s="127">
        <f t="shared" si="10"/>
        <v>2</v>
      </c>
    </row>
    <row r="120" spans="6:10" ht="16">
      <c r="F120" s="137">
        <f t="shared" si="11"/>
        <v>0.11000000000000074</v>
      </c>
      <c r="G120" s="138">
        <f t="shared" si="7"/>
        <v>0.78702233242137132</v>
      </c>
      <c r="H120" s="138">
        <f t="shared" si="8"/>
        <v>0</v>
      </c>
      <c r="I120" s="138">
        <f t="shared" si="9"/>
        <v>2</v>
      </c>
      <c r="J120" s="127">
        <f t="shared" si="10"/>
        <v>2</v>
      </c>
    </row>
    <row r="121" spans="6:10" ht="16">
      <c r="F121" s="137">
        <f t="shared" si="11"/>
        <v>0.12000000000000073</v>
      </c>
      <c r="G121" s="138">
        <f t="shared" si="7"/>
        <v>0.73963469791264858</v>
      </c>
      <c r="H121" s="138">
        <f t="shared" si="8"/>
        <v>0</v>
      </c>
      <c r="I121" s="138">
        <f t="shared" si="9"/>
        <v>2</v>
      </c>
      <c r="J121" s="127">
        <f t="shared" si="10"/>
        <v>2</v>
      </c>
    </row>
    <row r="122" spans="6:10" ht="16">
      <c r="F122" s="137">
        <f t="shared" si="11"/>
        <v>0.13000000000000073</v>
      </c>
      <c r="G122" s="138">
        <f t="shared" si="7"/>
        <v>0.68441506450064449</v>
      </c>
      <c r="H122" s="138">
        <f t="shared" si="8"/>
        <v>0</v>
      </c>
      <c r="I122" s="138">
        <f t="shared" si="9"/>
        <v>2</v>
      </c>
      <c r="J122" s="127">
        <f t="shared" si="10"/>
        <v>2</v>
      </c>
    </row>
    <row r="123" spans="6:10" ht="16">
      <c r="F123" s="137">
        <f t="shared" si="11"/>
        <v>0.14000000000000073</v>
      </c>
      <c r="G123" s="138">
        <f t="shared" si="7"/>
        <v>0.61927185807788387</v>
      </c>
      <c r="H123" s="138">
        <f t="shared" si="8"/>
        <v>0</v>
      </c>
      <c r="I123" s="138">
        <f t="shared" si="9"/>
        <v>2</v>
      </c>
      <c r="J123" s="127">
        <f t="shared" si="10"/>
        <v>2</v>
      </c>
    </row>
    <row r="124" spans="6:10" ht="16">
      <c r="F124" s="137">
        <f t="shared" si="11"/>
        <v>0.15000000000000074</v>
      </c>
      <c r="G124" s="138">
        <f t="shared" si="7"/>
        <v>0.54062967679528551</v>
      </c>
      <c r="H124" s="138">
        <f t="shared" si="8"/>
        <v>0</v>
      </c>
      <c r="I124" s="138">
        <f t="shared" si="9"/>
        <v>2</v>
      </c>
      <c r="J124" s="127">
        <f t="shared" si="10"/>
        <v>2</v>
      </c>
    </row>
    <row r="125" spans="6:10" ht="16">
      <c r="F125" s="137">
        <f t="shared" si="11"/>
        <v>0.16000000000000075</v>
      </c>
      <c r="G125" s="138">
        <f t="shared" si="7"/>
        <v>0.44133028469508206</v>
      </c>
      <c r="H125" s="138">
        <f t="shared" si="8"/>
        <v>0</v>
      </c>
      <c r="I125" s="138">
        <f t="shared" si="9"/>
        <v>2</v>
      </c>
      <c r="J125" s="127">
        <f t="shared" si="10"/>
        <v>2</v>
      </c>
    </row>
    <row r="126" spans="6:10" ht="16">
      <c r="F126" s="137">
        <f t="shared" si="11"/>
        <v>0.17000000000000076</v>
      </c>
      <c r="G126" s="138">
        <f t="shared" si="7"/>
        <v>0.30161822305529928</v>
      </c>
      <c r="H126" s="138">
        <f t="shared" si="8"/>
        <v>0</v>
      </c>
      <c r="I126" s="138">
        <f t="shared" si="9"/>
        <v>2</v>
      </c>
      <c r="J126" s="127">
        <f t="shared" si="10"/>
        <v>2</v>
      </c>
    </row>
    <row r="127" spans="6:10" ht="16">
      <c r="F127" s="137">
        <f t="shared" si="11"/>
        <v>0.18000000000000077</v>
      </c>
      <c r="G127" s="138">
        <f t="shared" si="7"/>
        <v>0</v>
      </c>
      <c r="H127" s="138">
        <f t="shared" si="8"/>
        <v>0</v>
      </c>
      <c r="I127" s="138">
        <f t="shared" si="9"/>
        <v>2</v>
      </c>
      <c r="J127" s="127">
        <f t="shared" si="10"/>
        <v>2</v>
      </c>
    </row>
    <row r="128" spans="6:10" ht="16">
      <c r="F128" s="137">
        <f t="shared" si="11"/>
        <v>0.19000000000000078</v>
      </c>
      <c r="G128" s="138">
        <f t="shared" si="7"/>
        <v>0</v>
      </c>
      <c r="H128" s="138">
        <f t="shared" si="8"/>
        <v>0</v>
      </c>
      <c r="I128" s="138">
        <f t="shared" si="9"/>
        <v>2</v>
      </c>
      <c r="J128" s="127">
        <f t="shared" si="10"/>
        <v>2</v>
      </c>
    </row>
    <row r="129" spans="6:10" ht="16">
      <c r="F129" s="137">
        <f t="shared" si="11"/>
        <v>0.20000000000000079</v>
      </c>
      <c r="G129" s="138">
        <f t="shared" si="7"/>
        <v>0</v>
      </c>
      <c r="H129" s="138">
        <f t="shared" si="8"/>
        <v>0</v>
      </c>
      <c r="I129" s="138">
        <f t="shared" si="9"/>
        <v>2</v>
      </c>
      <c r="J129" s="127">
        <f t="shared" si="10"/>
        <v>2</v>
      </c>
    </row>
    <row r="130" spans="6:10" ht="16">
      <c r="F130" s="137">
        <f t="shared" si="11"/>
        <v>0.2100000000000008</v>
      </c>
      <c r="G130" s="138">
        <f t="shared" si="7"/>
        <v>0</v>
      </c>
      <c r="H130" s="138">
        <f t="shared" si="8"/>
        <v>0</v>
      </c>
      <c r="I130" s="138">
        <f t="shared" si="9"/>
        <v>2</v>
      </c>
      <c r="J130" s="127">
        <f t="shared" si="10"/>
        <v>2</v>
      </c>
    </row>
    <row r="131" spans="6:10" ht="16">
      <c r="F131" s="137">
        <f t="shared" si="11"/>
        <v>0.22000000000000081</v>
      </c>
      <c r="G131" s="138">
        <f t="shared" si="7"/>
        <v>0</v>
      </c>
      <c r="H131" s="138">
        <f t="shared" si="8"/>
        <v>0</v>
      </c>
      <c r="I131" s="138">
        <f t="shared" si="9"/>
        <v>2</v>
      </c>
      <c r="J131" s="127">
        <f t="shared" si="10"/>
        <v>2</v>
      </c>
    </row>
    <row r="132" spans="6:10" ht="16">
      <c r="F132" s="137">
        <f t="shared" si="11"/>
        <v>0.23000000000000081</v>
      </c>
      <c r="G132" s="138">
        <f t="shared" si="7"/>
        <v>0</v>
      </c>
      <c r="H132" s="138">
        <f t="shared" si="8"/>
        <v>0</v>
      </c>
      <c r="I132" s="138">
        <f t="shared" si="9"/>
        <v>2</v>
      </c>
      <c r="J132" s="127">
        <f t="shared" si="10"/>
        <v>2</v>
      </c>
    </row>
    <row r="133" spans="6:10" ht="16">
      <c r="F133" s="137">
        <f t="shared" si="11"/>
        <v>0.24000000000000082</v>
      </c>
      <c r="G133" s="138">
        <f t="shared" si="7"/>
        <v>0</v>
      </c>
      <c r="H133" s="138">
        <f t="shared" si="8"/>
        <v>0</v>
      </c>
      <c r="I133" s="138">
        <f t="shared" si="9"/>
        <v>2</v>
      </c>
      <c r="J133" s="127">
        <f t="shared" si="10"/>
        <v>2</v>
      </c>
    </row>
    <row r="134" spans="6:10" ht="16">
      <c r="F134" s="137">
        <f t="shared" si="11"/>
        <v>0.25000000000000083</v>
      </c>
      <c r="G134" s="138">
        <f t="shared" si="7"/>
        <v>0</v>
      </c>
      <c r="H134" s="138">
        <f t="shared" si="8"/>
        <v>0</v>
      </c>
      <c r="I134" s="138">
        <f t="shared" si="9"/>
        <v>2</v>
      </c>
      <c r="J134" s="127">
        <f t="shared" si="10"/>
        <v>2</v>
      </c>
    </row>
    <row r="135" spans="6:10" ht="16">
      <c r="F135" s="137">
        <f t="shared" si="11"/>
        <v>0.26000000000000084</v>
      </c>
      <c r="G135" s="138">
        <f t="shared" si="7"/>
        <v>0</v>
      </c>
      <c r="H135" s="138">
        <f t="shared" si="8"/>
        <v>0</v>
      </c>
      <c r="I135" s="138">
        <f t="shared" si="9"/>
        <v>2</v>
      </c>
      <c r="J135" s="127">
        <f t="shared" si="10"/>
        <v>2</v>
      </c>
    </row>
    <row r="136" spans="6:10" ht="16">
      <c r="F136" s="137">
        <f t="shared" si="11"/>
        <v>0.27000000000000085</v>
      </c>
      <c r="G136" s="138">
        <f t="shared" si="7"/>
        <v>0</v>
      </c>
      <c r="H136" s="138">
        <f t="shared" si="8"/>
        <v>0</v>
      </c>
      <c r="I136" s="138">
        <f t="shared" si="9"/>
        <v>2</v>
      </c>
      <c r="J136" s="127">
        <f t="shared" si="10"/>
        <v>2</v>
      </c>
    </row>
    <row r="137" spans="6:10" ht="16">
      <c r="F137" s="137">
        <f t="shared" si="11"/>
        <v>0.28000000000000086</v>
      </c>
      <c r="G137" s="138">
        <f t="shared" ref="G137:G200" si="12">IFERROR(IF(SQRT(1-(F137*F137)/($J$5*$J$5))&lt;0.05,0,SQRT(1-(F137*F137)/($J$5*$J$5))),0)</f>
        <v>0</v>
      </c>
      <c r="H137" s="138">
        <f t="shared" ref="H137:H200" si="13">CHOOSE(MATCH($J$3,degrees),IF(F137&lt;0,IFERROR(1-G137,1),0),0,0,IF(F137&gt;0,IFERROR(1-G137,1),0))</f>
        <v>0</v>
      </c>
      <c r="I137" s="138">
        <f t="shared" ref="I137:I200" si="14">CHOOSE(MATCH($J$3,degrees),IF(F137&lt;0,2*G137,2),IF(F137&lt;0,0,1-G137),IF(F137&gt;0,0,1-G137),IF(F137&gt;0,2*G137,2))</f>
        <v>2</v>
      </c>
      <c r="J137" s="127">
        <f t="shared" ref="J137:J200" si="15">CHOOSE(MATCH($J$3,degrees),IF(F137&lt;0,G137+1,2),IF(F137&lt;0,2,2*G137),IF(F137&gt;0,2,2*G137),IF(F137&gt;0,G137+1,2))</f>
        <v>2</v>
      </c>
    </row>
    <row r="138" spans="6:10" ht="16">
      <c r="F138" s="137">
        <f t="shared" ref="F138:F201" si="16">F137+$G$4</f>
        <v>0.29000000000000087</v>
      </c>
      <c r="G138" s="138">
        <f t="shared" si="12"/>
        <v>0</v>
      </c>
      <c r="H138" s="138">
        <f t="shared" si="13"/>
        <v>0</v>
      </c>
      <c r="I138" s="138">
        <f t="shared" si="14"/>
        <v>2</v>
      </c>
      <c r="J138" s="127">
        <f t="shared" si="15"/>
        <v>2</v>
      </c>
    </row>
    <row r="139" spans="6:10" ht="16">
      <c r="F139" s="137">
        <f t="shared" si="16"/>
        <v>0.30000000000000088</v>
      </c>
      <c r="G139" s="138">
        <f t="shared" si="12"/>
        <v>0</v>
      </c>
      <c r="H139" s="138">
        <f t="shared" si="13"/>
        <v>0</v>
      </c>
      <c r="I139" s="138">
        <f t="shared" si="14"/>
        <v>2</v>
      </c>
      <c r="J139" s="127">
        <f t="shared" si="15"/>
        <v>2</v>
      </c>
    </row>
    <row r="140" spans="6:10" ht="16">
      <c r="F140" s="137">
        <f t="shared" si="16"/>
        <v>0.31000000000000089</v>
      </c>
      <c r="G140" s="138">
        <f t="shared" si="12"/>
        <v>0</v>
      </c>
      <c r="H140" s="138">
        <f t="shared" si="13"/>
        <v>0</v>
      </c>
      <c r="I140" s="138">
        <f t="shared" si="14"/>
        <v>2</v>
      </c>
      <c r="J140" s="127">
        <f t="shared" si="15"/>
        <v>2</v>
      </c>
    </row>
    <row r="141" spans="6:10" ht="16">
      <c r="F141" s="137">
        <f t="shared" si="16"/>
        <v>0.32000000000000089</v>
      </c>
      <c r="G141" s="138">
        <f t="shared" si="12"/>
        <v>0</v>
      </c>
      <c r="H141" s="138">
        <f t="shared" si="13"/>
        <v>0</v>
      </c>
      <c r="I141" s="138">
        <f t="shared" si="14"/>
        <v>2</v>
      </c>
      <c r="J141" s="127">
        <f t="shared" si="15"/>
        <v>2</v>
      </c>
    </row>
    <row r="142" spans="6:10" ht="16">
      <c r="F142" s="137">
        <f t="shared" si="16"/>
        <v>0.3300000000000009</v>
      </c>
      <c r="G142" s="138">
        <f t="shared" si="12"/>
        <v>0</v>
      </c>
      <c r="H142" s="138">
        <f t="shared" si="13"/>
        <v>0</v>
      </c>
      <c r="I142" s="138">
        <f t="shared" si="14"/>
        <v>2</v>
      </c>
      <c r="J142" s="127">
        <f t="shared" si="15"/>
        <v>2</v>
      </c>
    </row>
    <row r="143" spans="6:10" ht="16">
      <c r="F143" s="137">
        <f t="shared" si="16"/>
        <v>0.34000000000000091</v>
      </c>
      <c r="G143" s="138">
        <f t="shared" si="12"/>
        <v>0</v>
      </c>
      <c r="H143" s="138">
        <f t="shared" si="13"/>
        <v>0</v>
      </c>
      <c r="I143" s="138">
        <f t="shared" si="14"/>
        <v>2</v>
      </c>
      <c r="J143" s="127">
        <f t="shared" si="15"/>
        <v>2</v>
      </c>
    </row>
    <row r="144" spans="6:10" ht="16">
      <c r="F144" s="137">
        <f t="shared" si="16"/>
        <v>0.35000000000000092</v>
      </c>
      <c r="G144" s="138">
        <f t="shared" si="12"/>
        <v>0</v>
      </c>
      <c r="H144" s="138">
        <f t="shared" si="13"/>
        <v>0</v>
      </c>
      <c r="I144" s="138">
        <f t="shared" si="14"/>
        <v>2</v>
      </c>
      <c r="J144" s="127">
        <f t="shared" si="15"/>
        <v>2</v>
      </c>
    </row>
    <row r="145" spans="6:10" ht="16">
      <c r="F145" s="137">
        <f t="shared" si="16"/>
        <v>0.36000000000000093</v>
      </c>
      <c r="G145" s="138">
        <f t="shared" si="12"/>
        <v>0</v>
      </c>
      <c r="H145" s="138">
        <f t="shared" si="13"/>
        <v>0</v>
      </c>
      <c r="I145" s="138">
        <f t="shared" si="14"/>
        <v>2</v>
      </c>
      <c r="J145" s="127">
        <f t="shared" si="15"/>
        <v>2</v>
      </c>
    </row>
    <row r="146" spans="6:10" ht="16">
      <c r="F146" s="137">
        <f t="shared" si="16"/>
        <v>0.37000000000000094</v>
      </c>
      <c r="G146" s="138">
        <f t="shared" si="12"/>
        <v>0</v>
      </c>
      <c r="H146" s="138">
        <f t="shared" si="13"/>
        <v>0</v>
      </c>
      <c r="I146" s="138">
        <f t="shared" si="14"/>
        <v>2</v>
      </c>
      <c r="J146" s="127">
        <f t="shared" si="15"/>
        <v>2</v>
      </c>
    </row>
    <row r="147" spans="6:10" ht="16">
      <c r="F147" s="137">
        <f t="shared" si="16"/>
        <v>0.38000000000000095</v>
      </c>
      <c r="G147" s="138">
        <f t="shared" si="12"/>
        <v>0</v>
      </c>
      <c r="H147" s="138">
        <f t="shared" si="13"/>
        <v>0</v>
      </c>
      <c r="I147" s="138">
        <f t="shared" si="14"/>
        <v>2</v>
      </c>
      <c r="J147" s="127">
        <f t="shared" si="15"/>
        <v>2</v>
      </c>
    </row>
    <row r="148" spans="6:10" ht="16">
      <c r="F148" s="137">
        <f t="shared" si="16"/>
        <v>0.39000000000000096</v>
      </c>
      <c r="G148" s="138">
        <f t="shared" si="12"/>
        <v>0</v>
      </c>
      <c r="H148" s="138">
        <f t="shared" si="13"/>
        <v>0</v>
      </c>
      <c r="I148" s="138">
        <f t="shared" si="14"/>
        <v>2</v>
      </c>
      <c r="J148" s="127">
        <f t="shared" si="15"/>
        <v>2</v>
      </c>
    </row>
    <row r="149" spans="6:10" ht="16">
      <c r="F149" s="137">
        <f t="shared" si="16"/>
        <v>0.40000000000000097</v>
      </c>
      <c r="G149" s="138">
        <f t="shared" si="12"/>
        <v>0</v>
      </c>
      <c r="H149" s="138">
        <f t="shared" si="13"/>
        <v>0</v>
      </c>
      <c r="I149" s="138">
        <f t="shared" si="14"/>
        <v>2</v>
      </c>
      <c r="J149" s="127">
        <f t="shared" si="15"/>
        <v>2</v>
      </c>
    </row>
    <row r="150" spans="6:10" ht="16">
      <c r="F150" s="137">
        <f t="shared" si="16"/>
        <v>0.41000000000000097</v>
      </c>
      <c r="G150" s="138">
        <f t="shared" si="12"/>
        <v>0</v>
      </c>
      <c r="H150" s="138">
        <f t="shared" si="13"/>
        <v>0</v>
      </c>
      <c r="I150" s="138">
        <f t="shared" si="14"/>
        <v>2</v>
      </c>
      <c r="J150" s="127">
        <f t="shared" si="15"/>
        <v>2</v>
      </c>
    </row>
    <row r="151" spans="6:10" ht="16">
      <c r="F151" s="137">
        <f t="shared" si="16"/>
        <v>0.42000000000000098</v>
      </c>
      <c r="G151" s="138">
        <f t="shared" si="12"/>
        <v>0</v>
      </c>
      <c r="H151" s="138">
        <f t="shared" si="13"/>
        <v>0</v>
      </c>
      <c r="I151" s="138">
        <f t="shared" si="14"/>
        <v>2</v>
      </c>
      <c r="J151" s="127">
        <f t="shared" si="15"/>
        <v>2</v>
      </c>
    </row>
    <row r="152" spans="6:10" ht="16">
      <c r="F152" s="137">
        <f t="shared" si="16"/>
        <v>0.43000000000000099</v>
      </c>
      <c r="G152" s="138">
        <f t="shared" si="12"/>
        <v>0</v>
      </c>
      <c r="H152" s="138">
        <f t="shared" si="13"/>
        <v>0</v>
      </c>
      <c r="I152" s="138">
        <f t="shared" si="14"/>
        <v>2</v>
      </c>
      <c r="J152" s="127">
        <f t="shared" si="15"/>
        <v>2</v>
      </c>
    </row>
    <row r="153" spans="6:10" ht="16">
      <c r="F153" s="137">
        <f t="shared" si="16"/>
        <v>0.440000000000001</v>
      </c>
      <c r="G153" s="138">
        <f t="shared" si="12"/>
        <v>0</v>
      </c>
      <c r="H153" s="138">
        <f t="shared" si="13"/>
        <v>0</v>
      </c>
      <c r="I153" s="138">
        <f t="shared" si="14"/>
        <v>2</v>
      </c>
      <c r="J153" s="127">
        <f t="shared" si="15"/>
        <v>2</v>
      </c>
    </row>
    <row r="154" spans="6:10" ht="16">
      <c r="F154" s="137">
        <f t="shared" si="16"/>
        <v>0.45000000000000101</v>
      </c>
      <c r="G154" s="138">
        <f t="shared" si="12"/>
        <v>0</v>
      </c>
      <c r="H154" s="138">
        <f t="shared" si="13"/>
        <v>0</v>
      </c>
      <c r="I154" s="138">
        <f t="shared" si="14"/>
        <v>2</v>
      </c>
      <c r="J154" s="127">
        <f t="shared" si="15"/>
        <v>2</v>
      </c>
    </row>
    <row r="155" spans="6:10" ht="16">
      <c r="F155" s="137">
        <f t="shared" si="16"/>
        <v>0.46000000000000102</v>
      </c>
      <c r="G155" s="138">
        <f t="shared" si="12"/>
        <v>0</v>
      </c>
      <c r="H155" s="138">
        <f t="shared" si="13"/>
        <v>0</v>
      </c>
      <c r="I155" s="138">
        <f t="shared" si="14"/>
        <v>2</v>
      </c>
      <c r="J155" s="127">
        <f t="shared" si="15"/>
        <v>2</v>
      </c>
    </row>
    <row r="156" spans="6:10" ht="16">
      <c r="F156" s="137">
        <f t="shared" si="16"/>
        <v>0.47000000000000103</v>
      </c>
      <c r="G156" s="138">
        <f t="shared" si="12"/>
        <v>0</v>
      </c>
      <c r="H156" s="138">
        <f t="shared" si="13"/>
        <v>0</v>
      </c>
      <c r="I156" s="138">
        <f t="shared" si="14"/>
        <v>2</v>
      </c>
      <c r="J156" s="127">
        <f t="shared" si="15"/>
        <v>2</v>
      </c>
    </row>
    <row r="157" spans="6:10" ht="16">
      <c r="F157" s="137">
        <f t="shared" si="16"/>
        <v>0.48000000000000104</v>
      </c>
      <c r="G157" s="138">
        <f t="shared" si="12"/>
        <v>0</v>
      </c>
      <c r="H157" s="138">
        <f t="shared" si="13"/>
        <v>0</v>
      </c>
      <c r="I157" s="138">
        <f t="shared" si="14"/>
        <v>2</v>
      </c>
      <c r="J157" s="127">
        <f t="shared" si="15"/>
        <v>2</v>
      </c>
    </row>
    <row r="158" spans="6:10" ht="16">
      <c r="F158" s="137">
        <f t="shared" si="16"/>
        <v>0.49000000000000105</v>
      </c>
      <c r="G158" s="138">
        <f t="shared" si="12"/>
        <v>0</v>
      </c>
      <c r="H158" s="138">
        <f t="shared" si="13"/>
        <v>0</v>
      </c>
      <c r="I158" s="138">
        <f t="shared" si="14"/>
        <v>2</v>
      </c>
      <c r="J158" s="127">
        <f t="shared" si="15"/>
        <v>2</v>
      </c>
    </row>
    <row r="159" spans="6:10" ht="16">
      <c r="F159" s="137">
        <f t="shared" si="16"/>
        <v>0.500000000000001</v>
      </c>
      <c r="G159" s="138">
        <f t="shared" si="12"/>
        <v>0</v>
      </c>
      <c r="H159" s="138">
        <f t="shared" si="13"/>
        <v>0</v>
      </c>
      <c r="I159" s="138">
        <f t="shared" si="14"/>
        <v>2</v>
      </c>
      <c r="J159" s="127">
        <f t="shared" si="15"/>
        <v>2</v>
      </c>
    </row>
    <row r="160" spans="6:10" ht="16">
      <c r="F160" s="137">
        <f t="shared" si="16"/>
        <v>0.51000000000000101</v>
      </c>
      <c r="G160" s="138">
        <f t="shared" si="12"/>
        <v>0</v>
      </c>
      <c r="H160" s="138">
        <f t="shared" si="13"/>
        <v>0</v>
      </c>
      <c r="I160" s="138">
        <f t="shared" si="14"/>
        <v>2</v>
      </c>
      <c r="J160" s="127">
        <f t="shared" si="15"/>
        <v>2</v>
      </c>
    </row>
    <row r="161" spans="6:10" ht="16">
      <c r="F161" s="137">
        <f t="shared" si="16"/>
        <v>0.52000000000000102</v>
      </c>
      <c r="G161" s="138">
        <f t="shared" si="12"/>
        <v>0</v>
      </c>
      <c r="H161" s="138">
        <f t="shared" si="13"/>
        <v>0</v>
      </c>
      <c r="I161" s="138">
        <f t="shared" si="14"/>
        <v>2</v>
      </c>
      <c r="J161" s="127">
        <f t="shared" si="15"/>
        <v>2</v>
      </c>
    </row>
    <row r="162" spans="6:10" ht="16">
      <c r="F162" s="137">
        <f t="shared" si="16"/>
        <v>0.53000000000000103</v>
      </c>
      <c r="G162" s="138">
        <f t="shared" si="12"/>
        <v>0</v>
      </c>
      <c r="H162" s="138">
        <f t="shared" si="13"/>
        <v>0</v>
      </c>
      <c r="I162" s="138">
        <f t="shared" si="14"/>
        <v>2</v>
      </c>
      <c r="J162" s="127">
        <f t="shared" si="15"/>
        <v>2</v>
      </c>
    </row>
    <row r="163" spans="6:10" ht="16">
      <c r="F163" s="137">
        <f t="shared" si="16"/>
        <v>0.54000000000000103</v>
      </c>
      <c r="G163" s="138">
        <f t="shared" si="12"/>
        <v>0</v>
      </c>
      <c r="H163" s="138">
        <f t="shared" si="13"/>
        <v>0</v>
      </c>
      <c r="I163" s="138">
        <f t="shared" si="14"/>
        <v>2</v>
      </c>
      <c r="J163" s="127">
        <f t="shared" si="15"/>
        <v>2</v>
      </c>
    </row>
    <row r="164" spans="6:10" ht="16">
      <c r="F164" s="137">
        <f t="shared" si="16"/>
        <v>0.55000000000000104</v>
      </c>
      <c r="G164" s="138">
        <f t="shared" si="12"/>
        <v>0</v>
      </c>
      <c r="H164" s="138">
        <f t="shared" si="13"/>
        <v>0</v>
      </c>
      <c r="I164" s="138">
        <f t="shared" si="14"/>
        <v>2</v>
      </c>
      <c r="J164" s="127">
        <f t="shared" si="15"/>
        <v>2</v>
      </c>
    </row>
    <row r="165" spans="6:10" ht="16">
      <c r="F165" s="137">
        <f t="shared" si="16"/>
        <v>0.56000000000000105</v>
      </c>
      <c r="G165" s="138">
        <f t="shared" si="12"/>
        <v>0</v>
      </c>
      <c r="H165" s="138">
        <f t="shared" si="13"/>
        <v>0</v>
      </c>
      <c r="I165" s="138">
        <f t="shared" si="14"/>
        <v>2</v>
      </c>
      <c r="J165" s="127">
        <f t="shared" si="15"/>
        <v>2</v>
      </c>
    </row>
    <row r="166" spans="6:10" ht="16">
      <c r="F166" s="137">
        <f t="shared" si="16"/>
        <v>0.57000000000000106</v>
      </c>
      <c r="G166" s="138">
        <f t="shared" si="12"/>
        <v>0</v>
      </c>
      <c r="H166" s="138">
        <f t="shared" si="13"/>
        <v>0</v>
      </c>
      <c r="I166" s="138">
        <f t="shared" si="14"/>
        <v>2</v>
      </c>
      <c r="J166" s="127">
        <f t="shared" si="15"/>
        <v>2</v>
      </c>
    </row>
    <row r="167" spans="6:10" ht="16">
      <c r="F167" s="137">
        <f t="shared" si="16"/>
        <v>0.58000000000000107</v>
      </c>
      <c r="G167" s="138">
        <f t="shared" si="12"/>
        <v>0</v>
      </c>
      <c r="H167" s="138">
        <f t="shared" si="13"/>
        <v>0</v>
      </c>
      <c r="I167" s="138">
        <f t="shared" si="14"/>
        <v>2</v>
      </c>
      <c r="J167" s="127">
        <f t="shared" si="15"/>
        <v>2</v>
      </c>
    </row>
    <row r="168" spans="6:10" ht="16">
      <c r="F168" s="137">
        <f t="shared" si="16"/>
        <v>0.59000000000000108</v>
      </c>
      <c r="G168" s="138">
        <f t="shared" si="12"/>
        <v>0</v>
      </c>
      <c r="H168" s="138">
        <f t="shared" si="13"/>
        <v>0</v>
      </c>
      <c r="I168" s="138">
        <f t="shared" si="14"/>
        <v>2</v>
      </c>
      <c r="J168" s="127">
        <f t="shared" si="15"/>
        <v>2</v>
      </c>
    </row>
    <row r="169" spans="6:10" ht="16">
      <c r="F169" s="137">
        <f t="shared" si="16"/>
        <v>0.60000000000000109</v>
      </c>
      <c r="G169" s="138">
        <f t="shared" si="12"/>
        <v>0</v>
      </c>
      <c r="H169" s="138">
        <f t="shared" si="13"/>
        <v>0</v>
      </c>
      <c r="I169" s="138">
        <f t="shared" si="14"/>
        <v>2</v>
      </c>
      <c r="J169" s="127">
        <f t="shared" si="15"/>
        <v>2</v>
      </c>
    </row>
    <row r="170" spans="6:10" ht="16">
      <c r="F170" s="137">
        <f t="shared" si="16"/>
        <v>0.6100000000000011</v>
      </c>
      <c r="G170" s="138">
        <f t="shared" si="12"/>
        <v>0</v>
      </c>
      <c r="H170" s="138">
        <f t="shared" si="13"/>
        <v>0</v>
      </c>
      <c r="I170" s="138">
        <f t="shared" si="14"/>
        <v>2</v>
      </c>
      <c r="J170" s="127">
        <f t="shared" si="15"/>
        <v>2</v>
      </c>
    </row>
    <row r="171" spans="6:10" ht="16">
      <c r="F171" s="137">
        <f t="shared" si="16"/>
        <v>0.62000000000000111</v>
      </c>
      <c r="G171" s="138">
        <f t="shared" si="12"/>
        <v>0</v>
      </c>
      <c r="H171" s="138">
        <f t="shared" si="13"/>
        <v>0</v>
      </c>
      <c r="I171" s="138">
        <f t="shared" si="14"/>
        <v>2</v>
      </c>
      <c r="J171" s="127">
        <f t="shared" si="15"/>
        <v>2</v>
      </c>
    </row>
    <row r="172" spans="6:10" ht="16">
      <c r="F172" s="137">
        <f t="shared" si="16"/>
        <v>0.63000000000000111</v>
      </c>
      <c r="G172" s="138">
        <f t="shared" si="12"/>
        <v>0</v>
      </c>
      <c r="H172" s="138">
        <f t="shared" si="13"/>
        <v>0</v>
      </c>
      <c r="I172" s="138">
        <f t="shared" si="14"/>
        <v>2</v>
      </c>
      <c r="J172" s="127">
        <f t="shared" si="15"/>
        <v>2</v>
      </c>
    </row>
    <row r="173" spans="6:10" ht="16">
      <c r="F173" s="137">
        <f t="shared" si="16"/>
        <v>0.64000000000000112</v>
      </c>
      <c r="G173" s="138">
        <f t="shared" si="12"/>
        <v>0</v>
      </c>
      <c r="H173" s="138">
        <f t="shared" si="13"/>
        <v>0</v>
      </c>
      <c r="I173" s="138">
        <f t="shared" si="14"/>
        <v>2</v>
      </c>
      <c r="J173" s="127">
        <f t="shared" si="15"/>
        <v>2</v>
      </c>
    </row>
    <row r="174" spans="6:10" ht="16">
      <c r="F174" s="137">
        <f t="shared" si="16"/>
        <v>0.65000000000000113</v>
      </c>
      <c r="G174" s="138">
        <f t="shared" si="12"/>
        <v>0</v>
      </c>
      <c r="H174" s="138">
        <f t="shared" si="13"/>
        <v>0</v>
      </c>
      <c r="I174" s="138">
        <f t="shared" si="14"/>
        <v>2</v>
      </c>
      <c r="J174" s="127">
        <f t="shared" si="15"/>
        <v>2</v>
      </c>
    </row>
    <row r="175" spans="6:10" ht="16">
      <c r="F175" s="137">
        <f t="shared" si="16"/>
        <v>0.66000000000000114</v>
      </c>
      <c r="G175" s="138">
        <f t="shared" si="12"/>
        <v>0</v>
      </c>
      <c r="H175" s="138">
        <f t="shared" si="13"/>
        <v>0</v>
      </c>
      <c r="I175" s="138">
        <f t="shared" si="14"/>
        <v>2</v>
      </c>
      <c r="J175" s="127">
        <f t="shared" si="15"/>
        <v>2</v>
      </c>
    </row>
    <row r="176" spans="6:10" ht="16">
      <c r="F176" s="137">
        <f t="shared" si="16"/>
        <v>0.67000000000000115</v>
      </c>
      <c r="G176" s="138">
        <f t="shared" si="12"/>
        <v>0</v>
      </c>
      <c r="H176" s="138">
        <f t="shared" si="13"/>
        <v>0</v>
      </c>
      <c r="I176" s="138">
        <f t="shared" si="14"/>
        <v>2</v>
      </c>
      <c r="J176" s="127">
        <f t="shared" si="15"/>
        <v>2</v>
      </c>
    </row>
    <row r="177" spans="6:10" ht="16">
      <c r="F177" s="137">
        <f t="shared" si="16"/>
        <v>0.68000000000000116</v>
      </c>
      <c r="G177" s="138">
        <f t="shared" si="12"/>
        <v>0</v>
      </c>
      <c r="H177" s="138">
        <f t="shared" si="13"/>
        <v>0</v>
      </c>
      <c r="I177" s="138">
        <f t="shared" si="14"/>
        <v>2</v>
      </c>
      <c r="J177" s="127">
        <f t="shared" si="15"/>
        <v>2</v>
      </c>
    </row>
    <row r="178" spans="6:10" ht="16">
      <c r="F178" s="137">
        <f t="shared" si="16"/>
        <v>0.69000000000000117</v>
      </c>
      <c r="G178" s="138">
        <f t="shared" si="12"/>
        <v>0</v>
      </c>
      <c r="H178" s="138">
        <f t="shared" si="13"/>
        <v>0</v>
      </c>
      <c r="I178" s="138">
        <f t="shared" si="14"/>
        <v>2</v>
      </c>
      <c r="J178" s="127">
        <f t="shared" si="15"/>
        <v>2</v>
      </c>
    </row>
    <row r="179" spans="6:10" ht="16">
      <c r="F179" s="137">
        <f t="shared" si="16"/>
        <v>0.70000000000000118</v>
      </c>
      <c r="G179" s="138">
        <f t="shared" si="12"/>
        <v>0</v>
      </c>
      <c r="H179" s="138">
        <f t="shared" si="13"/>
        <v>0</v>
      </c>
      <c r="I179" s="138">
        <f t="shared" si="14"/>
        <v>2</v>
      </c>
      <c r="J179" s="127">
        <f t="shared" si="15"/>
        <v>2</v>
      </c>
    </row>
    <row r="180" spans="6:10" ht="16">
      <c r="F180" s="137">
        <f t="shared" si="16"/>
        <v>0.71000000000000119</v>
      </c>
      <c r="G180" s="138">
        <f t="shared" si="12"/>
        <v>0</v>
      </c>
      <c r="H180" s="138">
        <f t="shared" si="13"/>
        <v>0</v>
      </c>
      <c r="I180" s="138">
        <f t="shared" si="14"/>
        <v>2</v>
      </c>
      <c r="J180" s="127">
        <f t="shared" si="15"/>
        <v>2</v>
      </c>
    </row>
    <row r="181" spans="6:10" ht="16">
      <c r="F181" s="137">
        <f t="shared" si="16"/>
        <v>0.72000000000000119</v>
      </c>
      <c r="G181" s="138">
        <f t="shared" si="12"/>
        <v>0</v>
      </c>
      <c r="H181" s="138">
        <f t="shared" si="13"/>
        <v>0</v>
      </c>
      <c r="I181" s="138">
        <f t="shared" si="14"/>
        <v>2</v>
      </c>
      <c r="J181" s="127">
        <f t="shared" si="15"/>
        <v>2</v>
      </c>
    </row>
    <row r="182" spans="6:10" ht="16">
      <c r="F182" s="137">
        <f t="shared" si="16"/>
        <v>0.7300000000000012</v>
      </c>
      <c r="G182" s="138">
        <f t="shared" si="12"/>
        <v>0</v>
      </c>
      <c r="H182" s="138">
        <f t="shared" si="13"/>
        <v>0</v>
      </c>
      <c r="I182" s="138">
        <f t="shared" si="14"/>
        <v>2</v>
      </c>
      <c r="J182" s="127">
        <f t="shared" si="15"/>
        <v>2</v>
      </c>
    </row>
    <row r="183" spans="6:10" ht="16">
      <c r="F183" s="137">
        <f t="shared" si="16"/>
        <v>0.74000000000000121</v>
      </c>
      <c r="G183" s="138">
        <f t="shared" si="12"/>
        <v>0</v>
      </c>
      <c r="H183" s="138">
        <f t="shared" si="13"/>
        <v>0</v>
      </c>
      <c r="I183" s="138">
        <f t="shared" si="14"/>
        <v>2</v>
      </c>
      <c r="J183" s="127">
        <f t="shared" si="15"/>
        <v>2</v>
      </c>
    </row>
    <row r="184" spans="6:10" ht="16">
      <c r="F184" s="137">
        <f t="shared" si="16"/>
        <v>0.75000000000000122</v>
      </c>
      <c r="G184" s="138">
        <f t="shared" si="12"/>
        <v>0</v>
      </c>
      <c r="H184" s="138">
        <f t="shared" si="13"/>
        <v>0</v>
      </c>
      <c r="I184" s="138">
        <f t="shared" si="14"/>
        <v>2</v>
      </c>
      <c r="J184" s="127">
        <f t="shared" si="15"/>
        <v>2</v>
      </c>
    </row>
    <row r="185" spans="6:10" ht="16">
      <c r="F185" s="137">
        <f t="shared" si="16"/>
        <v>0.76000000000000123</v>
      </c>
      <c r="G185" s="138">
        <f t="shared" si="12"/>
        <v>0</v>
      </c>
      <c r="H185" s="138">
        <f t="shared" si="13"/>
        <v>0</v>
      </c>
      <c r="I185" s="138">
        <f t="shared" si="14"/>
        <v>2</v>
      </c>
      <c r="J185" s="127">
        <f t="shared" si="15"/>
        <v>2</v>
      </c>
    </row>
    <row r="186" spans="6:10" ht="16">
      <c r="F186" s="137">
        <f t="shared" si="16"/>
        <v>0.77000000000000124</v>
      </c>
      <c r="G186" s="138">
        <f t="shared" si="12"/>
        <v>0</v>
      </c>
      <c r="H186" s="138">
        <f t="shared" si="13"/>
        <v>0</v>
      </c>
      <c r="I186" s="138">
        <f t="shared" si="14"/>
        <v>2</v>
      </c>
      <c r="J186" s="127">
        <f t="shared" si="15"/>
        <v>2</v>
      </c>
    </row>
    <row r="187" spans="6:10" ht="16">
      <c r="F187" s="137">
        <f t="shared" si="16"/>
        <v>0.78000000000000125</v>
      </c>
      <c r="G187" s="138">
        <f t="shared" si="12"/>
        <v>0</v>
      </c>
      <c r="H187" s="138">
        <f t="shared" si="13"/>
        <v>0</v>
      </c>
      <c r="I187" s="138">
        <f t="shared" si="14"/>
        <v>2</v>
      </c>
      <c r="J187" s="127">
        <f t="shared" si="15"/>
        <v>2</v>
      </c>
    </row>
    <row r="188" spans="6:10" ht="16">
      <c r="F188" s="137">
        <f t="shared" si="16"/>
        <v>0.79000000000000126</v>
      </c>
      <c r="G188" s="138">
        <f t="shared" si="12"/>
        <v>0</v>
      </c>
      <c r="H188" s="138">
        <f t="shared" si="13"/>
        <v>0</v>
      </c>
      <c r="I188" s="138">
        <f t="shared" si="14"/>
        <v>2</v>
      </c>
      <c r="J188" s="127">
        <f t="shared" si="15"/>
        <v>2</v>
      </c>
    </row>
    <row r="189" spans="6:10" ht="16">
      <c r="F189" s="137">
        <f t="shared" si="16"/>
        <v>0.80000000000000127</v>
      </c>
      <c r="G189" s="138">
        <f t="shared" si="12"/>
        <v>0</v>
      </c>
      <c r="H189" s="138">
        <f t="shared" si="13"/>
        <v>0</v>
      </c>
      <c r="I189" s="138">
        <f t="shared" si="14"/>
        <v>2</v>
      </c>
      <c r="J189" s="127">
        <f t="shared" si="15"/>
        <v>2</v>
      </c>
    </row>
    <row r="190" spans="6:10" ht="16">
      <c r="F190" s="137">
        <f t="shared" si="16"/>
        <v>0.81000000000000127</v>
      </c>
      <c r="G190" s="138">
        <f t="shared" si="12"/>
        <v>0</v>
      </c>
      <c r="H190" s="138">
        <f t="shared" si="13"/>
        <v>0</v>
      </c>
      <c r="I190" s="138">
        <f t="shared" si="14"/>
        <v>2</v>
      </c>
      <c r="J190" s="127">
        <f t="shared" si="15"/>
        <v>2</v>
      </c>
    </row>
    <row r="191" spans="6:10" ht="16">
      <c r="F191" s="137">
        <f t="shared" si="16"/>
        <v>0.82000000000000128</v>
      </c>
      <c r="G191" s="138">
        <f t="shared" si="12"/>
        <v>0</v>
      </c>
      <c r="H191" s="138">
        <f t="shared" si="13"/>
        <v>0</v>
      </c>
      <c r="I191" s="138">
        <f t="shared" si="14"/>
        <v>2</v>
      </c>
      <c r="J191" s="127">
        <f t="shared" si="15"/>
        <v>2</v>
      </c>
    </row>
    <row r="192" spans="6:10" ht="16">
      <c r="F192" s="137">
        <f t="shared" si="16"/>
        <v>0.83000000000000129</v>
      </c>
      <c r="G192" s="138">
        <f t="shared" si="12"/>
        <v>0</v>
      </c>
      <c r="H192" s="138">
        <f t="shared" si="13"/>
        <v>0</v>
      </c>
      <c r="I192" s="138">
        <f t="shared" si="14"/>
        <v>2</v>
      </c>
      <c r="J192" s="127">
        <f t="shared" si="15"/>
        <v>2</v>
      </c>
    </row>
    <row r="193" spans="6:10" ht="16">
      <c r="F193" s="137">
        <f t="shared" si="16"/>
        <v>0.8400000000000013</v>
      </c>
      <c r="G193" s="138">
        <f t="shared" si="12"/>
        <v>0</v>
      </c>
      <c r="H193" s="138">
        <f t="shared" si="13"/>
        <v>0</v>
      </c>
      <c r="I193" s="138">
        <f t="shared" si="14"/>
        <v>2</v>
      </c>
      <c r="J193" s="127">
        <f t="shared" si="15"/>
        <v>2</v>
      </c>
    </row>
    <row r="194" spans="6:10" ht="16">
      <c r="F194" s="137">
        <f t="shared" si="16"/>
        <v>0.85000000000000131</v>
      </c>
      <c r="G194" s="138">
        <f t="shared" si="12"/>
        <v>0</v>
      </c>
      <c r="H194" s="138">
        <f t="shared" si="13"/>
        <v>0</v>
      </c>
      <c r="I194" s="138">
        <f t="shared" si="14"/>
        <v>2</v>
      </c>
      <c r="J194" s="127">
        <f t="shared" si="15"/>
        <v>2</v>
      </c>
    </row>
    <row r="195" spans="6:10" ht="16">
      <c r="F195" s="137">
        <f t="shared" si="16"/>
        <v>0.86000000000000132</v>
      </c>
      <c r="G195" s="138">
        <f t="shared" si="12"/>
        <v>0</v>
      </c>
      <c r="H195" s="138">
        <f t="shared" si="13"/>
        <v>0</v>
      </c>
      <c r="I195" s="138">
        <f t="shared" si="14"/>
        <v>2</v>
      </c>
      <c r="J195" s="127">
        <f t="shared" si="15"/>
        <v>2</v>
      </c>
    </row>
    <row r="196" spans="6:10" ht="16">
      <c r="F196" s="137">
        <f t="shared" si="16"/>
        <v>0.87000000000000133</v>
      </c>
      <c r="G196" s="138">
        <f t="shared" si="12"/>
        <v>0</v>
      </c>
      <c r="H196" s="138">
        <f t="shared" si="13"/>
        <v>0</v>
      </c>
      <c r="I196" s="138">
        <f t="shared" si="14"/>
        <v>2</v>
      </c>
      <c r="J196" s="127">
        <f t="shared" si="15"/>
        <v>2</v>
      </c>
    </row>
    <row r="197" spans="6:10" ht="16">
      <c r="F197" s="137">
        <f t="shared" si="16"/>
        <v>0.88000000000000134</v>
      </c>
      <c r="G197" s="138">
        <f t="shared" si="12"/>
        <v>0</v>
      </c>
      <c r="H197" s="138">
        <f t="shared" si="13"/>
        <v>0</v>
      </c>
      <c r="I197" s="138">
        <f t="shared" si="14"/>
        <v>2</v>
      </c>
      <c r="J197" s="127">
        <f t="shared" si="15"/>
        <v>2</v>
      </c>
    </row>
    <row r="198" spans="6:10" ht="16">
      <c r="F198" s="137">
        <f t="shared" si="16"/>
        <v>0.89000000000000135</v>
      </c>
      <c r="G198" s="138">
        <f t="shared" si="12"/>
        <v>0</v>
      </c>
      <c r="H198" s="138">
        <f t="shared" si="13"/>
        <v>0</v>
      </c>
      <c r="I198" s="138">
        <f t="shared" si="14"/>
        <v>2</v>
      </c>
      <c r="J198" s="127">
        <f t="shared" si="15"/>
        <v>2</v>
      </c>
    </row>
    <row r="199" spans="6:10" ht="16">
      <c r="F199" s="137">
        <f t="shared" si="16"/>
        <v>0.90000000000000135</v>
      </c>
      <c r="G199" s="138">
        <f t="shared" si="12"/>
        <v>0</v>
      </c>
      <c r="H199" s="138">
        <f t="shared" si="13"/>
        <v>0</v>
      </c>
      <c r="I199" s="138">
        <f t="shared" si="14"/>
        <v>2</v>
      </c>
      <c r="J199" s="127">
        <f t="shared" si="15"/>
        <v>2</v>
      </c>
    </row>
    <row r="200" spans="6:10" ht="16">
      <c r="F200" s="137">
        <f t="shared" si="16"/>
        <v>0.91000000000000136</v>
      </c>
      <c r="G200" s="138">
        <f t="shared" si="12"/>
        <v>0</v>
      </c>
      <c r="H200" s="138">
        <f t="shared" si="13"/>
        <v>0</v>
      </c>
      <c r="I200" s="138">
        <f t="shared" si="14"/>
        <v>2</v>
      </c>
      <c r="J200" s="127">
        <f t="shared" si="15"/>
        <v>2</v>
      </c>
    </row>
    <row r="201" spans="6:10" ht="16">
      <c r="F201" s="137">
        <f t="shared" si="16"/>
        <v>0.92000000000000137</v>
      </c>
      <c r="G201" s="138">
        <f t="shared" ref="G201:G209" si="17">IFERROR(IF(SQRT(1-(F201*F201)/($J$5*$J$5))&lt;0.05,0,SQRT(1-(F201*F201)/($J$5*$J$5))),0)</f>
        <v>0</v>
      </c>
      <c r="H201" s="138">
        <f t="shared" ref="H201:H209" si="18">CHOOSE(MATCH($J$3,degrees),IF(F201&lt;0,IFERROR(1-G201,1),0),0,0,IF(F201&gt;0,IFERROR(1-G201,1),0))</f>
        <v>0</v>
      </c>
      <c r="I201" s="138">
        <f t="shared" ref="I201:I209" si="19">CHOOSE(MATCH($J$3,degrees),IF(F201&lt;0,2*G201,2),IF(F201&lt;0,0,1-G201),IF(F201&gt;0,0,1-G201),IF(F201&gt;0,2*G201,2))</f>
        <v>2</v>
      </c>
      <c r="J201" s="127">
        <f t="shared" ref="J201:J209" si="20">CHOOSE(MATCH($J$3,degrees),IF(F201&lt;0,G201+1,2),IF(F201&lt;0,2,2*G201),IF(F201&gt;0,2,2*G201),IF(F201&gt;0,G201+1,2))</f>
        <v>2</v>
      </c>
    </row>
    <row r="202" spans="6:10" ht="16">
      <c r="F202" s="137">
        <f t="shared" ref="F202:F209" si="21">F201+$G$4</f>
        <v>0.93000000000000138</v>
      </c>
      <c r="G202" s="138">
        <f t="shared" si="17"/>
        <v>0</v>
      </c>
      <c r="H202" s="138">
        <f t="shared" si="18"/>
        <v>0</v>
      </c>
      <c r="I202" s="138">
        <f t="shared" si="19"/>
        <v>2</v>
      </c>
      <c r="J202" s="127">
        <f t="shared" si="20"/>
        <v>2</v>
      </c>
    </row>
    <row r="203" spans="6:10" ht="16">
      <c r="F203" s="137">
        <f t="shared" si="21"/>
        <v>0.94000000000000139</v>
      </c>
      <c r="G203" s="138">
        <f t="shared" si="17"/>
        <v>0</v>
      </c>
      <c r="H203" s="138">
        <f t="shared" si="18"/>
        <v>0</v>
      </c>
      <c r="I203" s="138">
        <f t="shared" si="19"/>
        <v>2</v>
      </c>
      <c r="J203" s="127">
        <f t="shared" si="20"/>
        <v>2</v>
      </c>
    </row>
    <row r="204" spans="6:10" ht="16">
      <c r="F204" s="137">
        <f t="shared" si="21"/>
        <v>0.9500000000000014</v>
      </c>
      <c r="G204" s="138">
        <f t="shared" si="17"/>
        <v>0</v>
      </c>
      <c r="H204" s="138">
        <f t="shared" si="18"/>
        <v>0</v>
      </c>
      <c r="I204" s="138">
        <f t="shared" si="19"/>
        <v>2</v>
      </c>
      <c r="J204" s="127">
        <f t="shared" si="20"/>
        <v>2</v>
      </c>
    </row>
    <row r="205" spans="6:10" ht="16">
      <c r="F205" s="137">
        <f t="shared" si="21"/>
        <v>0.96000000000000141</v>
      </c>
      <c r="G205" s="138">
        <f t="shared" si="17"/>
        <v>0</v>
      </c>
      <c r="H205" s="138">
        <f t="shared" si="18"/>
        <v>0</v>
      </c>
      <c r="I205" s="138">
        <f t="shared" si="19"/>
        <v>2</v>
      </c>
      <c r="J205" s="127">
        <f t="shared" si="20"/>
        <v>2</v>
      </c>
    </row>
    <row r="206" spans="6:10" ht="16">
      <c r="F206" s="137">
        <f t="shared" si="21"/>
        <v>0.97000000000000142</v>
      </c>
      <c r="G206" s="138">
        <f t="shared" si="17"/>
        <v>0</v>
      </c>
      <c r="H206" s="138">
        <f t="shared" si="18"/>
        <v>0</v>
      </c>
      <c r="I206" s="138">
        <f t="shared" si="19"/>
        <v>2</v>
      </c>
      <c r="J206" s="127">
        <f t="shared" si="20"/>
        <v>2</v>
      </c>
    </row>
    <row r="207" spans="6:10" ht="16">
      <c r="F207" s="137">
        <f t="shared" si="21"/>
        <v>0.98000000000000143</v>
      </c>
      <c r="G207" s="138">
        <f t="shared" si="17"/>
        <v>0</v>
      </c>
      <c r="H207" s="138">
        <f t="shared" si="18"/>
        <v>0</v>
      </c>
      <c r="I207" s="138">
        <f t="shared" si="19"/>
        <v>2</v>
      </c>
      <c r="J207" s="127">
        <f t="shared" si="20"/>
        <v>2</v>
      </c>
    </row>
    <row r="208" spans="6:10" ht="16">
      <c r="F208" s="137">
        <f t="shared" si="21"/>
        <v>0.99000000000000143</v>
      </c>
      <c r="G208" s="138">
        <f t="shared" si="17"/>
        <v>0</v>
      </c>
      <c r="H208" s="138">
        <f t="shared" si="18"/>
        <v>0</v>
      </c>
      <c r="I208" s="138">
        <f t="shared" si="19"/>
        <v>2</v>
      </c>
      <c r="J208" s="127">
        <f t="shared" si="20"/>
        <v>2</v>
      </c>
    </row>
    <row r="209" spans="6:10" ht="16">
      <c r="F209" s="155">
        <f t="shared" si="21"/>
        <v>1.0000000000000013</v>
      </c>
      <c r="G209" s="156">
        <f t="shared" si="17"/>
        <v>0</v>
      </c>
      <c r="H209" s="156">
        <f t="shared" si="18"/>
        <v>0</v>
      </c>
      <c r="I209" s="156">
        <f t="shared" si="19"/>
        <v>2</v>
      </c>
      <c r="J209" s="157">
        <f t="shared" si="20"/>
        <v>2</v>
      </c>
    </row>
  </sheetData>
  <sheetProtection sheet="1" objects="1" scenarios="1"/>
  <pageMargins left="0.75" right="0.75" top="1" bottom="1" header="0.5" footer="0.5"/>
  <pageSetup paperSize="8" scale="150" orientation="landscape" horizontalDpi="300" verticalDpi="0" copies="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EB507-59E3-7246-BAF6-1BCAA097155A}">
  <dimension ref="A1"/>
  <sheetViews>
    <sheetView showGridLines="0" workbookViewId="0">
      <selection activeCell="L79" sqref="L79"/>
    </sheetView>
  </sheetViews>
  <sheetFormatPr baseColWidth="10" defaultRowHeight="15"/>
  <sheetData/>
  <sheetProtection sheet="1" objects="1" scenario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Introduction</vt:lpstr>
      <vt:lpstr>Visibility</vt:lpstr>
      <vt:lpstr>Illumination</vt:lpstr>
      <vt:lpstr>Background</vt:lpstr>
      <vt:lpstr>Visibility!Print_Area</vt:lpstr>
    </vt:vector>
  </TitlesOfParts>
  <Manager/>
  <Company>Astronomy Morsels</Company>
  <LinksUpToDate>false</LinksUpToDate>
  <SharedDoc>false</SharedDoc>
  <HyperlinkBase>www.astronomy-morsels.ch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Multiple Star Systems</dc:title>
  <dc:subject/>
  <dc:creator>Anton Viola</dc:creator>
  <cp:keywords/>
  <dc:description/>
  <cp:lastModifiedBy>Anton Viola</cp:lastModifiedBy>
  <dcterms:created xsi:type="dcterms:W3CDTF">2009-01-01T15:24:05Z</dcterms:created>
  <dcterms:modified xsi:type="dcterms:W3CDTF">2024-08-09T07:43:10Z</dcterms:modified>
  <cp:category/>
</cp:coreProperties>
</file>