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codeName="ThisWorkbook"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66B40A73-4233-5543-AEC3-41E2A347F048}" xr6:coauthVersionLast="47" xr6:coauthVersionMax="47" xr10:uidLastSave="{00000000-0000-0000-0000-000000000000}"/>
  <bookViews>
    <workbookView xWindow="8460" yWindow="5320" windowWidth="31200" windowHeight="20880" xr2:uid="{00000000-000D-0000-FFFF-FFFF00000000}"/>
  </bookViews>
  <sheets>
    <sheet name="Introduction" sheetId="9" r:id="rId1"/>
    <sheet name="Sun Position" sheetId="17" r:id="rId2"/>
    <sheet name="Background" sheetId="1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0" i="17" l="1"/>
  <c r="C9" i="17"/>
  <c r="C35" i="17" l="1"/>
  <c r="C16" i="17" l="1"/>
  <c r="C39" i="17" s="1"/>
  <c r="C14" i="17" l="1"/>
  <c r="C13" i="17"/>
  <c r="C11" i="17"/>
  <c r="C12" i="17" l="1"/>
  <c r="C15" i="17" s="1"/>
  <c r="C17" i="17" l="1"/>
  <c r="C43" i="17" l="1"/>
  <c r="C44" i="17" s="1"/>
  <c r="C62" i="17" s="1"/>
  <c r="C36" i="17"/>
  <c r="C37" i="17" s="1"/>
  <c r="C38" i="17" s="1"/>
  <c r="C40" i="17" s="1"/>
  <c r="C41" i="17" s="1"/>
  <c r="C59" i="17" l="1"/>
  <c r="C58" i="17"/>
  <c r="C57" i="17"/>
  <c r="C56" i="17"/>
  <c r="C52" i="17"/>
  <c r="C60" i="17"/>
  <c r="C61" i="17"/>
  <c r="C54" i="17"/>
  <c r="C47" i="17"/>
  <c r="C46" i="17"/>
  <c r="C45" i="17"/>
  <c r="C64" i="17" l="1"/>
  <c r="C63" i="17"/>
  <c r="C65" i="17" s="1"/>
  <c r="C48" i="17"/>
  <c r="C49" i="17" s="1"/>
  <c r="C67" i="17" l="1"/>
  <c r="C68" i="17"/>
  <c r="C69" i="17"/>
  <c r="C53" i="17"/>
  <c r="C50" i="17"/>
  <c r="C51" i="17" s="1"/>
  <c r="C76" i="17" l="1"/>
  <c r="C78" i="17" s="1"/>
  <c r="C75" i="17"/>
  <c r="C74" i="17"/>
  <c r="C70" i="17"/>
  <c r="C71" i="17"/>
  <c r="C77" i="17" l="1"/>
  <c r="C80" i="17" s="1"/>
  <c r="C83" i="17" s="1"/>
  <c r="C85" i="17" s="1"/>
  <c r="C30" i="17" s="1"/>
  <c r="C81" i="17"/>
  <c r="C82" i="17"/>
  <c r="C84" i="17" l="1"/>
  <c r="C29" i="17" s="1"/>
</calcChain>
</file>

<file path=xl/sharedStrings.xml><?xml version="1.0" encoding="utf-8"?>
<sst xmlns="http://schemas.openxmlformats.org/spreadsheetml/2006/main" count="98" uniqueCount="89">
  <si>
    <t>Email</t>
  </si>
  <si>
    <t>All Rights Reserved:  © Astronomy Morsels.</t>
  </si>
  <si>
    <t>I'm solely responsible for the input and express no warranty.  Use at your own risk.</t>
  </si>
  <si>
    <t>Nonetheless, this spreadsheet has been carefully reviewed, and calculation results have been compared with other applications.</t>
  </si>
  <si>
    <r>
      <rPr>
        <b/>
        <sz val="14"/>
        <color theme="0"/>
        <rFont val="Calibri (Body)"/>
      </rPr>
      <t>Compiled by</t>
    </r>
    <r>
      <rPr>
        <sz val="14"/>
        <color theme="0"/>
        <rFont val="Calibri (Body)"/>
      </rPr>
      <t>: Anton Viola (Astronomy Morsels).</t>
    </r>
  </si>
  <si>
    <t>Latitude</t>
    <phoneticPr fontId="3"/>
  </si>
  <si>
    <t>Year</t>
    <phoneticPr fontId="3"/>
  </si>
  <si>
    <t>Month</t>
    <phoneticPr fontId="3"/>
  </si>
  <si>
    <t>Day</t>
    <phoneticPr fontId="3"/>
  </si>
  <si>
    <t>Inputs</t>
  </si>
  <si>
    <t>Reference: Meeus, Astronomical Algorithms, First Edition, pp. 151-157.</t>
  </si>
  <si>
    <t xml:space="preserve">Longitude </t>
  </si>
  <si>
    <t>Date</t>
  </si>
  <si>
    <t>Time</t>
  </si>
  <si>
    <t>Leap year?</t>
  </si>
  <si>
    <t>Day nr.</t>
  </si>
  <si>
    <t xml:space="preserve">JDE </t>
  </si>
  <si>
    <t>θ</t>
  </si>
  <si>
    <t>Ω</t>
  </si>
  <si>
    <t>M</t>
  </si>
  <si>
    <t>e</t>
  </si>
  <si>
    <t>C</t>
  </si>
  <si>
    <t>v</t>
  </si>
  <si>
    <t>R</t>
  </si>
  <si>
    <t>λ</t>
  </si>
  <si>
    <r>
      <t>ε</t>
    </r>
    <r>
      <rPr>
        <vertAlign val="subscript"/>
        <sz val="14"/>
        <color rgb="FF000000"/>
        <rFont val="-webkit-standard"/>
      </rPr>
      <t>0</t>
    </r>
  </si>
  <si>
    <t>α</t>
  </si>
  <si>
    <t>δ</t>
  </si>
  <si>
    <t>β</t>
  </si>
  <si>
    <t>Fraction</t>
  </si>
  <si>
    <r>
      <t>θ</t>
    </r>
    <r>
      <rPr>
        <vertAlign val="subscript"/>
        <sz val="12"/>
        <rFont val="Calibri (Body)"/>
      </rPr>
      <t>0</t>
    </r>
  </si>
  <si>
    <t>Sideral Time (G)</t>
  </si>
  <si>
    <t>LST</t>
  </si>
  <si>
    <t>RA</t>
  </si>
  <si>
    <t>Dec</t>
  </si>
  <si>
    <t>Local Hour Angle</t>
  </si>
  <si>
    <t>Altitude</t>
  </si>
  <si>
    <t>Azimuth</t>
  </si>
  <si>
    <t>JDE (UT 00:0:0）</t>
  </si>
  <si>
    <t>T     (UT 00:00)</t>
  </si>
  <si>
    <t>mean anomaly</t>
  </si>
  <si>
    <t>eccentricity Earth's orbit</t>
  </si>
  <si>
    <t>Sun's equation of center</t>
  </si>
  <si>
    <t>Sun's true longitude</t>
  </si>
  <si>
    <t>Sun's true anomaly</t>
  </si>
  <si>
    <t>Sun's radius vector</t>
  </si>
  <si>
    <t>mean longitude</t>
  </si>
  <si>
    <t>Time (degrees)</t>
  </si>
  <si>
    <t>JDE (time)</t>
  </si>
  <si>
    <t>T     (time)</t>
  </si>
  <si>
    <t>Δε</t>
  </si>
  <si>
    <t>Δψ</t>
  </si>
  <si>
    <t>L'</t>
  </si>
  <si>
    <t>L</t>
  </si>
  <si>
    <t>mean longitude Sun</t>
  </si>
  <si>
    <t>nutation in longitude</t>
  </si>
  <si>
    <t>nutation in obliquity</t>
  </si>
  <si>
    <t>ε</t>
  </si>
  <si>
    <t>longitude ascending node</t>
  </si>
  <si>
    <t>mean longitude Moon</t>
  </si>
  <si>
    <t>X</t>
  </si>
  <si>
    <t>Y</t>
  </si>
  <si>
    <t>Z</t>
  </si>
  <si>
    <r>
      <rPr>
        <u/>
        <sz val="12"/>
        <rFont val="Calibri (Body)"/>
      </rPr>
      <t>mean</t>
    </r>
    <r>
      <rPr>
        <sz val="12"/>
        <rFont val="Calibri"/>
        <family val="2"/>
        <scheme val="minor"/>
      </rPr>
      <t xml:space="preserve"> obliquity of ecliptic</t>
    </r>
  </si>
  <si>
    <r>
      <rPr>
        <u/>
        <sz val="12"/>
        <rFont val="Calibri (Body)"/>
      </rPr>
      <t>true</t>
    </r>
    <r>
      <rPr>
        <sz val="12"/>
        <rFont val="Calibri"/>
        <family val="2"/>
        <scheme val="minor"/>
      </rPr>
      <t xml:space="preserve"> obliquity</t>
    </r>
  </si>
  <si>
    <t>Sun's right ascension</t>
  </si>
  <si>
    <t>Sun's declination</t>
  </si>
  <si>
    <r>
      <t>L</t>
    </r>
    <r>
      <rPr>
        <vertAlign val="subscript"/>
        <sz val="12"/>
        <rFont val="Calibri (Body)"/>
      </rPr>
      <t>0</t>
    </r>
  </si>
  <si>
    <t>D</t>
  </si>
  <si>
    <t>M'</t>
  </si>
  <si>
    <t>F</t>
  </si>
  <si>
    <r>
      <t>ε</t>
    </r>
    <r>
      <rPr>
        <vertAlign val="subscript"/>
        <sz val="12"/>
        <color rgb="FF202122"/>
        <rFont val="Calibri (Body)"/>
      </rPr>
      <t>corrected</t>
    </r>
  </si>
  <si>
    <r>
      <t>α</t>
    </r>
    <r>
      <rPr>
        <vertAlign val="subscript"/>
        <sz val="12"/>
        <rFont val="Calibri (Body)"/>
      </rPr>
      <t>app</t>
    </r>
  </si>
  <si>
    <r>
      <t>δ</t>
    </r>
    <r>
      <rPr>
        <vertAlign val="subscript"/>
        <sz val="12"/>
        <rFont val="Calibri (Body)"/>
      </rPr>
      <t>app</t>
    </r>
  </si>
  <si>
    <t>Sun's right ascension (apparent)</t>
  </si>
  <si>
    <t>Sun's declination (apparent)</t>
  </si>
  <si>
    <t>for apparent position</t>
  </si>
  <si>
    <t>rectangular coordinates</t>
  </si>
  <si>
    <t>Locations</t>
  </si>
  <si>
    <t>Name</t>
  </si>
  <si>
    <t>φ (latitude)</t>
  </si>
  <si>
    <t>L (longitude)</t>
  </si>
  <si>
    <t>Home</t>
  </si>
  <si>
    <t>Location</t>
  </si>
  <si>
    <t>DtoR</t>
  </si>
  <si>
    <t>(w:-, e: +)</t>
  </si>
  <si>
    <t>V1.1</t>
  </si>
  <si>
    <r>
      <rPr>
        <b/>
        <sz val="14"/>
        <color theme="0"/>
        <rFont val="Calibri (Body)"/>
      </rPr>
      <t>Latest update</t>
    </r>
    <r>
      <rPr>
        <sz val="14"/>
        <color theme="0"/>
        <rFont val="Calibri (Body)"/>
      </rPr>
      <t>: 24th May, 2024.</t>
    </r>
  </si>
  <si>
    <t xml:space="preserve">We can express the Sun's location in the sky using two values, imaging it travels on a sphere's surface. Unlike a flat Cartesian plane, it is more convenient to use angles instead of x- and y-coordinates. The most common way to tell someone the Sun's position is to give its azimuth and altitude angles, which closely relate to spherical coordinates. This spreadsheet calculates the sun's position for a given date, time and 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</si>
</sst>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x16r2:formatCode16="[$-en-CH,1]dd/mm/yyyy;@"/>
    <numFmt numFmtId="165" formatCode="#,##0.00000"/>
    <numFmt numFmtId="166" formatCode="0.000000"/>
    <numFmt numFmtId="167" formatCode="0.0000"/>
  </numFmts>
  <fonts count="3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u/>
      <sz val="12"/>
      <color theme="1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1"/>
      <color theme="1"/>
      <name val="Calibri"/>
      <family val="2"/>
      <scheme val="minor"/>
    </font>
    <font>
      <sz val="12"/>
      <color theme="0"/>
      <name val="Calibri"/>
      <family val="2"/>
      <scheme val="minor"/>
    </font>
    <font>
      <sz val="11"/>
      <name val="ＭＳ Ｐゴシック"/>
      <family val="2"/>
      <charset val="128"/>
    </font>
    <font>
      <sz val="12"/>
      <name val="Calibri"/>
      <family val="2"/>
      <scheme val="minor"/>
    </font>
    <font>
      <b/>
      <sz val="12"/>
      <name val="Calibri"/>
      <family val="2"/>
      <scheme val="minor"/>
    </font>
    <font>
      <sz val="9"/>
      <color theme="1"/>
      <name val="Calibri"/>
      <family val="2"/>
      <scheme val="minor"/>
    </font>
    <font>
      <b/>
      <sz val="16"/>
      <color theme="1"/>
      <name val="Calibri"/>
      <family val="2"/>
      <scheme val="minor"/>
    </font>
    <font>
      <vertAlign val="subscript"/>
      <sz val="14"/>
      <color rgb="FF000000"/>
      <name val="-webkit-standard"/>
    </font>
    <font>
      <vertAlign val="subscript"/>
      <sz val="12"/>
      <name val="Calibri (Body)"/>
    </font>
    <font>
      <sz val="12"/>
      <color rgb="FF202122"/>
      <name val="Calibri"/>
      <family val="2"/>
      <scheme val="minor"/>
    </font>
    <font>
      <u/>
      <sz val="12"/>
      <name val="Calibri (Body)"/>
    </font>
    <font>
      <vertAlign val="subscript"/>
      <sz val="12"/>
      <color rgb="FF202122"/>
      <name val="Calibri (Body)"/>
    </font>
    <font>
      <b/>
      <sz val="12"/>
      <color theme="1"/>
      <name val="Calibri"/>
      <family val="2"/>
      <scheme val="minor"/>
    </font>
    <font>
      <sz val="12"/>
      <color rgb="FF202122"/>
      <name val="Calibri"/>
      <family val="2"/>
    </font>
    <font>
      <sz val="12"/>
      <color theme="1"/>
      <name val="Calibri"/>
      <family val="2"/>
    </font>
    <font>
      <sz val="12"/>
      <color rgb="FF000000"/>
      <name val="Calibri"/>
      <family val="2"/>
      <scheme val="minor"/>
    </font>
    <font>
      <b/>
      <sz val="12"/>
      <color rgb="FF000000"/>
      <name val="Calibri"/>
      <family val="2"/>
      <scheme val="minor"/>
    </font>
    <font>
      <sz val="10"/>
      <name val="Arial"/>
      <family val="2"/>
    </font>
  </fonts>
  <fills count="11">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C000"/>
        <bgColor rgb="FF000000"/>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xf numFmtId="0" fontId="6" fillId="0" borderId="0" applyNumberFormat="0" applyFill="0" applyBorder="0" applyAlignment="0" applyProtection="0"/>
    <xf numFmtId="0" fontId="14" fillId="0" borderId="0"/>
    <xf numFmtId="0" fontId="16" fillId="0" borderId="0"/>
    <xf numFmtId="0" fontId="19" fillId="0" borderId="0"/>
    <xf numFmtId="0" fontId="31" fillId="0" borderId="0"/>
  </cellStyleXfs>
  <cellXfs count="72">
    <xf numFmtId="0" fontId="0" fillId="0" borderId="0" xfId="0"/>
    <xf numFmtId="0" fontId="8" fillId="3" borderId="1" xfId="41" applyFont="1" applyFill="1" applyBorder="1" applyAlignment="1">
      <alignment horizontal="left"/>
    </xf>
    <xf numFmtId="0" fontId="8" fillId="3" borderId="2" xfId="41" applyFont="1" applyFill="1" applyBorder="1" applyAlignment="1">
      <alignment horizontal="center"/>
    </xf>
    <xf numFmtId="0" fontId="8" fillId="3" borderId="2" xfId="41" applyFont="1" applyFill="1" applyBorder="1"/>
    <xf numFmtId="0" fontId="10" fillId="3" borderId="3" xfId="42" applyFont="1" applyFill="1" applyBorder="1" applyAlignment="1">
      <alignment horizontal="center"/>
    </xf>
    <xf numFmtId="0" fontId="11" fillId="3" borderId="4" xfId="42" applyFont="1" applyFill="1" applyBorder="1" applyAlignment="1">
      <alignment horizontal="left"/>
    </xf>
    <xf numFmtId="0" fontId="8" fillId="3" borderId="0" xfId="41" applyFont="1" applyFill="1" applyAlignment="1">
      <alignment horizontal="center"/>
    </xf>
    <xf numFmtId="0" fontId="8" fillId="3" borderId="0" xfId="41" applyFont="1" applyFill="1"/>
    <xf numFmtId="0" fontId="8" fillId="3" borderId="5" xfId="41" applyFont="1" applyFill="1" applyBorder="1" applyAlignment="1">
      <alignment horizontal="center"/>
    </xf>
    <xf numFmtId="0" fontId="8" fillId="3" borderId="6" xfId="42" applyFont="1" applyFill="1" applyBorder="1" applyAlignment="1">
      <alignment horizontal="left"/>
    </xf>
    <xf numFmtId="0" fontId="8" fillId="3" borderId="8" xfId="42" applyFont="1" applyFill="1" applyBorder="1" applyAlignment="1">
      <alignment horizontal="left"/>
    </xf>
    <xf numFmtId="0" fontId="8" fillId="3" borderId="8" xfId="41" applyFont="1" applyFill="1" applyBorder="1"/>
    <xf numFmtId="0" fontId="9" fillId="3" borderId="7" xfId="41" applyFont="1" applyFill="1" applyBorder="1" applyAlignment="1">
      <alignment horizontal="center"/>
    </xf>
    <xf numFmtId="0" fontId="17" fillId="0" borderId="0" xfId="44" applyFont="1" applyAlignment="1">
      <alignment vertical="center"/>
    </xf>
    <xf numFmtId="0" fontId="20" fillId="6" borderId="0" xfId="45" applyFont="1" applyFill="1"/>
    <xf numFmtId="0" fontId="17" fillId="0" borderId="0" xfId="44" applyFont="1" applyAlignment="1">
      <alignment horizontal="center" vertical="center"/>
    </xf>
    <xf numFmtId="0" fontId="20" fillId="7" borderId="0" xfId="45" applyFont="1" applyFill="1"/>
    <xf numFmtId="0" fontId="17" fillId="6" borderId="0" xfId="44" applyFont="1" applyFill="1" applyAlignment="1">
      <alignment vertical="center"/>
    </xf>
    <xf numFmtId="0" fontId="17" fillId="0" borderId="12" xfId="44" applyFont="1" applyBorder="1" applyAlignment="1">
      <alignment vertical="center"/>
    </xf>
    <xf numFmtId="165" fontId="17" fillId="0" borderId="0" xfId="44" applyNumberFormat="1" applyFont="1" applyAlignment="1">
      <alignment vertical="center"/>
    </xf>
    <xf numFmtId="0" fontId="20" fillId="0" borderId="0" xfId="45" applyFont="1"/>
    <xf numFmtId="0" fontId="15" fillId="0" borderId="0" xfId="44" applyFont="1" applyAlignment="1">
      <alignment vertical="center"/>
    </xf>
    <xf numFmtId="0" fontId="17" fillId="4" borderId="1" xfId="44" applyFont="1" applyFill="1" applyBorder="1" applyAlignment="1">
      <alignment vertical="center"/>
    </xf>
    <xf numFmtId="165" fontId="17" fillId="4" borderId="3" xfId="44" applyNumberFormat="1" applyFont="1" applyFill="1" applyBorder="1" applyAlignment="1">
      <alignment vertical="center"/>
    </xf>
    <xf numFmtId="0" fontId="17" fillId="4" borderId="4" xfId="44" applyFont="1" applyFill="1" applyBorder="1" applyAlignment="1">
      <alignment vertical="center"/>
    </xf>
    <xf numFmtId="165" fontId="17" fillId="4" borderId="5" xfId="44" applyNumberFormat="1" applyFont="1" applyFill="1" applyBorder="1" applyAlignment="1">
      <alignment vertical="center"/>
    </xf>
    <xf numFmtId="0" fontId="17" fillId="4" borderId="6" xfId="44" applyFont="1" applyFill="1" applyBorder="1" applyAlignment="1">
      <alignment vertical="center"/>
    </xf>
    <xf numFmtId="165" fontId="17" fillId="4" borderId="7" xfId="44" applyNumberFormat="1" applyFont="1" applyFill="1" applyBorder="1" applyAlignment="1">
      <alignment vertical="center"/>
    </xf>
    <xf numFmtId="0" fontId="17" fillId="8" borderId="4" xfId="44" applyFont="1" applyFill="1" applyBorder="1" applyAlignment="1">
      <alignment vertical="center"/>
    </xf>
    <xf numFmtId="165" fontId="17" fillId="8" borderId="5" xfId="44" applyNumberFormat="1" applyFont="1" applyFill="1" applyBorder="1" applyAlignment="1">
      <alignment vertical="center"/>
    </xf>
    <xf numFmtId="165" fontId="2" fillId="2" borderId="12" xfId="44" applyNumberFormat="1" applyFont="1" applyFill="1" applyBorder="1" applyAlignment="1">
      <alignment vertical="center"/>
    </xf>
    <xf numFmtId="0" fontId="23" fillId="0" borderId="0" xfId="0" applyFont="1" applyAlignment="1">
      <alignment vertical="center"/>
    </xf>
    <xf numFmtId="0" fontId="17" fillId="4" borderId="4" xfId="44" applyFont="1" applyFill="1" applyBorder="1"/>
    <xf numFmtId="0" fontId="17" fillId="9" borderId="4" xfId="44" applyFont="1" applyFill="1" applyBorder="1" applyAlignment="1">
      <alignment vertical="center"/>
    </xf>
    <xf numFmtId="0" fontId="17" fillId="9" borderId="5" xfId="44" applyFont="1" applyFill="1" applyBorder="1" applyAlignment="1">
      <alignment vertical="center"/>
    </xf>
    <xf numFmtId="0" fontId="23" fillId="9" borderId="4" xfId="0" applyFont="1" applyFill="1" applyBorder="1"/>
    <xf numFmtId="0" fontId="23" fillId="9" borderId="4" xfId="0" applyFont="1" applyFill="1" applyBorder="1" applyAlignment="1">
      <alignment vertical="center"/>
    </xf>
    <xf numFmtId="165" fontId="17" fillId="9" borderId="5" xfId="44" applyNumberFormat="1" applyFont="1" applyFill="1" applyBorder="1" applyAlignment="1">
      <alignment vertical="center"/>
    </xf>
    <xf numFmtId="0" fontId="17" fillId="8" borderId="6" xfId="44" applyFont="1" applyFill="1" applyBorder="1" applyAlignment="1">
      <alignment vertical="center"/>
    </xf>
    <xf numFmtId="165" fontId="17" fillId="8" borderId="7" xfId="44" applyNumberFormat="1" applyFont="1" applyFill="1" applyBorder="1" applyAlignment="1">
      <alignment vertical="center"/>
    </xf>
    <xf numFmtId="0" fontId="3" fillId="3" borderId="0" xfId="41" applyFill="1"/>
    <xf numFmtId="0" fontId="0" fillId="3" borderId="0" xfId="0" applyFill="1"/>
    <xf numFmtId="0" fontId="1" fillId="0" borderId="12" xfId="44" applyFont="1" applyBorder="1" applyAlignment="1">
      <alignment vertical="center"/>
    </xf>
    <xf numFmtId="0" fontId="27" fillId="0" borderId="12" xfId="44" applyFont="1" applyBorder="1" applyAlignment="1">
      <alignment horizontal="right" vertical="center"/>
    </xf>
    <xf numFmtId="0" fontId="28" fillId="0" borderId="12" xfId="44" applyFont="1" applyBorder="1" applyAlignment="1">
      <alignment horizontal="right" vertical="center"/>
    </xf>
    <xf numFmtId="0" fontId="26" fillId="5" borderId="12" xfId="44" applyFont="1" applyFill="1" applyBorder="1" applyAlignment="1" applyProtection="1">
      <alignment vertical="center"/>
      <protection locked="0"/>
    </xf>
    <xf numFmtId="2" fontId="26" fillId="5" borderId="12" xfId="44" applyNumberFormat="1" applyFont="1" applyFill="1" applyBorder="1" applyAlignment="1" applyProtection="1">
      <alignment vertical="center"/>
      <protection locked="0"/>
    </xf>
    <xf numFmtId="0" fontId="29" fillId="0" borderId="12" xfId="0" applyFont="1" applyBorder="1"/>
    <xf numFmtId="0" fontId="30" fillId="10" borderId="13" xfId="0" applyFont="1" applyFill="1" applyBorder="1" applyAlignment="1" applyProtection="1">
      <alignment horizontal="right"/>
      <protection locked="0"/>
    </xf>
    <xf numFmtId="0" fontId="18" fillId="5" borderId="0" xfId="44" applyFont="1" applyFill="1" applyAlignment="1">
      <alignment horizontal="right" vertical="center"/>
    </xf>
    <xf numFmtId="164" fontId="18" fillId="5" borderId="12" xfId="44" applyNumberFormat="1" applyFont="1" applyFill="1" applyBorder="1" applyAlignment="1" applyProtection="1">
      <alignment horizontal="right" vertical="center"/>
      <protection locked="0"/>
    </xf>
    <xf numFmtId="21" fontId="18" fillId="5" borderId="12" xfId="44" applyNumberFormat="1" applyFont="1" applyFill="1" applyBorder="1" applyAlignment="1" applyProtection="1">
      <alignment horizontal="right" vertical="center"/>
      <protection locked="0"/>
    </xf>
    <xf numFmtId="0" fontId="17" fillId="0" borderId="12" xfId="44" applyFont="1" applyBorder="1" applyAlignment="1" applyProtection="1">
      <alignment horizontal="right" vertical="center"/>
      <protection locked="0"/>
    </xf>
    <xf numFmtId="0" fontId="17" fillId="0" borderId="12" xfId="44" applyFont="1" applyBorder="1" applyAlignment="1">
      <alignment horizontal="right" vertical="center"/>
    </xf>
    <xf numFmtId="166" fontId="17" fillId="0" borderId="12" xfId="44" applyNumberFormat="1" applyFont="1" applyBorder="1" applyAlignment="1">
      <alignment horizontal="right" vertical="center"/>
    </xf>
    <xf numFmtId="165" fontId="17" fillId="0" borderId="12" xfId="44" applyNumberFormat="1" applyFont="1" applyBorder="1" applyAlignment="1">
      <alignment horizontal="right" vertical="center"/>
    </xf>
    <xf numFmtId="167" fontId="17" fillId="0" borderId="12" xfId="44" applyNumberFormat="1" applyFont="1" applyBorder="1" applyAlignment="1">
      <alignment horizontal="right" vertical="center"/>
    </xf>
    <xf numFmtId="0" fontId="17" fillId="3" borderId="0" xfId="44" applyFont="1" applyFill="1" applyAlignment="1">
      <alignment vertical="center"/>
    </xf>
    <xf numFmtId="0" fontId="17" fillId="3" borderId="0" xfId="44" applyFont="1" applyFill="1" applyAlignment="1">
      <alignment horizontal="center" vertical="center"/>
    </xf>
    <xf numFmtId="0" fontId="7" fillId="3" borderId="0" xfId="41" applyFont="1" applyFill="1" applyAlignment="1">
      <alignment horizontal="center" vertical="center" wrapText="1"/>
    </xf>
    <xf numFmtId="0" fontId="12" fillId="3" borderId="1" xfId="42" applyFont="1" applyFill="1" applyBorder="1" applyAlignment="1">
      <alignment horizontal="center"/>
    </xf>
    <xf numFmtId="0" fontId="12" fillId="3" borderId="2" xfId="42" applyFont="1" applyFill="1" applyBorder="1" applyAlignment="1">
      <alignment horizontal="center"/>
    </xf>
    <xf numFmtId="0" fontId="12" fillId="3" borderId="9" xfId="42" applyFont="1" applyFill="1" applyBorder="1" applyAlignment="1">
      <alignment horizontal="center"/>
    </xf>
    <xf numFmtId="0" fontId="13" fillId="3" borderId="4" xfId="0" applyFont="1" applyFill="1" applyBorder="1" applyAlignment="1">
      <alignment horizontal="center"/>
    </xf>
    <xf numFmtId="0" fontId="13" fillId="3" borderId="0" xfId="0" applyFont="1" applyFill="1" applyAlignment="1">
      <alignment horizontal="center"/>
    </xf>
    <xf numFmtId="0" fontId="13" fillId="3" borderId="10" xfId="0" applyFont="1" applyFill="1" applyBorder="1" applyAlignment="1">
      <alignment horizontal="center"/>
    </xf>
    <xf numFmtId="0" fontId="13" fillId="3" borderId="6" xfId="0" applyFont="1" applyFill="1" applyBorder="1" applyAlignment="1">
      <alignment horizontal="center"/>
    </xf>
    <xf numFmtId="0" fontId="13" fillId="3" borderId="8" xfId="0" applyFont="1" applyFill="1" applyBorder="1" applyAlignment="1">
      <alignment horizontal="center"/>
    </xf>
    <xf numFmtId="0" fontId="13" fillId="3" borderId="11" xfId="0" applyFont="1" applyFill="1" applyBorder="1" applyAlignment="1">
      <alignment horizontal="center"/>
    </xf>
    <xf numFmtId="0" fontId="17" fillId="0" borderId="4" xfId="44" applyFont="1" applyBorder="1" applyAlignment="1">
      <alignment horizontal="left" vertical="center"/>
    </xf>
    <xf numFmtId="0" fontId="17" fillId="0" borderId="0" xfId="44" applyFont="1" applyAlignment="1">
      <alignment horizontal="left" vertical="center"/>
    </xf>
    <xf numFmtId="0" fontId="1" fillId="0" borderId="8" xfId="44" applyFont="1" applyBorder="1" applyAlignment="1">
      <alignment horizontal="center" vertical="center"/>
    </xf>
  </cellXfs>
  <cellStyles count="4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2" xfId="42" xr:uid="{C380AA0A-E10B-1C43-9286-02819B081BC7}"/>
    <cellStyle name="Normal" xfId="0" builtinId="0"/>
    <cellStyle name="Normal 2" xfId="41" xr:uid="{0D0AB34C-A1A9-7D42-A14C-E95ACB658DC4}"/>
    <cellStyle name="Normal 3" xfId="44" xr:uid="{48F4CE55-52E5-B741-8787-0CB02C6E3909}"/>
    <cellStyle name="Normal 4" xfId="43" xr:uid="{58AA1869-D9A5-F042-A460-3D15104DE221}"/>
    <cellStyle name="Normal 5" xfId="45" xr:uid="{A67E6128-EE07-AF49-B538-666D4336E675}"/>
    <cellStyle name="Normal 6" xfId="46" xr:uid="{6B312211-FD31-0545-B9FF-F36B13AE29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Sun position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lineMarker"/>
        <c:varyColors val="0"/>
        <c:ser>
          <c:idx val="0"/>
          <c:order val="0"/>
          <c:tx>
            <c:v>Sun</c:v>
          </c:tx>
          <c:spPr>
            <a:ln w="28575" cap="rnd">
              <a:noFill/>
              <a:round/>
            </a:ln>
            <a:effectLst/>
          </c:spPr>
          <c:marker>
            <c:symbol val="circle"/>
            <c:size val="10"/>
            <c:spPr>
              <a:solidFill>
                <a:srgbClr val="FFFF00"/>
              </a:solidFill>
              <a:ln w="9525">
                <a:solidFill>
                  <a:schemeClr val="accent1"/>
                </a:solidFill>
              </a:ln>
              <a:effectLst/>
            </c:spPr>
          </c:marker>
          <c:dLbls>
            <c:dLbl>
              <c:idx val="0"/>
              <c:layout>
                <c:manualLayout>
                  <c:x val="-3.4782608695652265E-2"/>
                  <c:y val="-4.878048780487805E-2"/>
                </c:manualLayout>
              </c:layout>
              <c:tx>
                <c:rich>
                  <a:bodyPr/>
                  <a:lstStyle/>
                  <a:p>
                    <a:r>
                      <a:rPr lang="en-US"/>
                      <a:t>Sun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095-C047-9303-C6CD6BFF16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'Sun Position'!$C$29</c:f>
              <c:numCache>
                <c:formatCode>#,##0.00000</c:formatCode>
                <c:ptCount val="1"/>
                <c:pt idx="0">
                  <c:v>224.63068983866242</c:v>
                </c:pt>
              </c:numCache>
            </c:numRef>
          </c:xVal>
          <c:yVal>
            <c:numRef>
              <c:f>'Sun Position'!$C$30</c:f>
              <c:numCache>
                <c:formatCode>#,##0.00000</c:formatCode>
                <c:ptCount val="1"/>
                <c:pt idx="0">
                  <c:v>58.487241919497578</c:v>
                </c:pt>
              </c:numCache>
            </c:numRef>
          </c:yVal>
          <c:smooth val="0"/>
          <c:extLst>
            <c:ext xmlns:c16="http://schemas.microsoft.com/office/drawing/2014/chart" uri="{C3380CC4-5D6E-409C-BE32-E72D297353CC}">
              <c16:uniqueId val="{00000000-6095-C047-9303-C6CD6BFF16AC}"/>
            </c:ext>
          </c:extLst>
        </c:ser>
        <c:dLbls>
          <c:showLegendKey val="0"/>
          <c:showVal val="0"/>
          <c:showCatName val="0"/>
          <c:showSerName val="0"/>
          <c:showPercent val="0"/>
          <c:showBubbleSize val="0"/>
        </c:dLbls>
        <c:axId val="1187459471"/>
        <c:axId val="1187287327"/>
      </c:scatterChart>
      <c:valAx>
        <c:axId val="1187459471"/>
        <c:scaling>
          <c:orientation val="minMax"/>
          <c:max val="36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Azimuth (degrees)</a:t>
                </a:r>
              </a:p>
            </c:rich>
          </c:tx>
          <c:layout>
            <c:manualLayout>
              <c:xMode val="edge"/>
              <c:yMode val="edge"/>
              <c:x val="0.40544725387587421"/>
              <c:y val="0.930060815568785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187287327"/>
        <c:crosses val="autoZero"/>
        <c:crossBetween val="midCat"/>
        <c:majorUnit val="30"/>
      </c:valAx>
      <c:valAx>
        <c:axId val="1187287327"/>
        <c:scaling>
          <c:orientation val="minMax"/>
          <c:max val="90"/>
          <c:min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Altitude</a:t>
                </a:r>
                <a:r>
                  <a:rPr lang="en-GB" baseline="0"/>
                  <a:t> (degrees)</a:t>
                </a:r>
                <a:endParaRPr lang="en-GB"/>
              </a:p>
            </c:rich>
          </c:tx>
          <c:layout>
            <c:manualLayout>
              <c:xMode val="edge"/>
              <c:yMode val="edge"/>
              <c:x val="9.9378881987577643E-3"/>
              <c:y val="0.361229434735292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187459471"/>
        <c:crosses val="autoZero"/>
        <c:crossBetween val="midCat"/>
        <c:majorUnit val="1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38</xdr:row>
      <xdr:rowOff>114300</xdr:rowOff>
    </xdr:from>
    <xdr:to>
      <xdr:col>9</xdr:col>
      <xdr:colOff>215900</xdr:colOff>
      <xdr:row>48</xdr:row>
      <xdr:rowOff>25400</xdr:rowOff>
    </xdr:to>
    <xdr:pic>
      <xdr:nvPicPr>
        <xdr:cNvPr id="3" name="Picture 2">
          <a:hlinkClick xmlns:r="http://schemas.openxmlformats.org/officeDocument/2006/relationships" r:id="rId1"/>
          <a:extLst>
            <a:ext uri="{FF2B5EF4-FFF2-40B4-BE49-F238E27FC236}">
              <a16:creationId xmlns:a16="http://schemas.microsoft.com/office/drawing/2014/main" id="{986149BC-8520-4C4B-E9DC-263481011423}"/>
            </a:ext>
          </a:extLst>
        </xdr:cNvPr>
        <xdr:cNvPicPr>
          <a:picLocks noChangeAspect="1"/>
        </xdr:cNvPicPr>
      </xdr:nvPicPr>
      <xdr:blipFill>
        <a:blip xmlns:r="http://schemas.openxmlformats.org/officeDocument/2006/relationships" r:embed="rId2"/>
        <a:stretch>
          <a:fillRect/>
        </a:stretch>
      </xdr:blipFill>
      <xdr:spPr>
        <a:xfrm>
          <a:off x="2247900" y="9969500"/>
          <a:ext cx="5397500" cy="1943100"/>
        </a:xfrm>
        <a:prstGeom prst="rect">
          <a:avLst/>
        </a:prstGeom>
      </xdr:spPr>
    </xdr:pic>
    <xdr:clientData/>
  </xdr:twoCellAnchor>
  <xdr:twoCellAnchor editAs="oneCell">
    <xdr:from>
      <xdr:col>3</xdr:col>
      <xdr:colOff>316694</xdr:colOff>
      <xdr:row>16</xdr:row>
      <xdr:rowOff>12700</xdr:rowOff>
    </xdr:from>
    <xdr:to>
      <xdr:col>8</xdr:col>
      <xdr:colOff>381000</xdr:colOff>
      <xdr:row>32</xdr:row>
      <xdr:rowOff>177581</xdr:rowOff>
    </xdr:to>
    <xdr:pic>
      <xdr:nvPicPr>
        <xdr:cNvPr id="4" name="Picture 3" descr="Solar Position — Solar Resource Assessment in Python">
          <a:extLst>
            <a:ext uri="{FF2B5EF4-FFF2-40B4-BE49-F238E27FC236}">
              <a16:creationId xmlns:a16="http://schemas.microsoft.com/office/drawing/2014/main" id="{EFD04E06-E1C8-5B18-0D9A-A8C2C102EC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93194" y="3365500"/>
          <a:ext cx="4191806" cy="3416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450850</xdr:colOff>
      <xdr:row>3</xdr:row>
      <xdr:rowOff>12700</xdr:rowOff>
    </xdr:from>
    <xdr:to>
      <xdr:col>11</xdr:col>
      <xdr:colOff>127000</xdr:colOff>
      <xdr:row>23</xdr:row>
      <xdr:rowOff>0</xdr:rowOff>
    </xdr:to>
    <xdr:graphicFrame macro="">
      <xdr:nvGraphicFramePr>
        <xdr:cNvPr id="2" name="Chart 1">
          <a:extLst>
            <a:ext uri="{FF2B5EF4-FFF2-40B4-BE49-F238E27FC236}">
              <a16:creationId xmlns:a16="http://schemas.microsoft.com/office/drawing/2014/main" id="{7999BB9E-C2F4-DD00-862F-BF9DE82188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736600</xdr:colOff>
      <xdr:row>5</xdr:row>
      <xdr:rowOff>50800</xdr:rowOff>
    </xdr:from>
    <xdr:to>
      <xdr:col>16</xdr:col>
      <xdr:colOff>228600</xdr:colOff>
      <xdr:row>27</xdr:row>
      <xdr:rowOff>139700</xdr:rowOff>
    </xdr:to>
    <xdr:pic>
      <xdr:nvPicPr>
        <xdr:cNvPr id="2" name="Picture 1">
          <a:extLst>
            <a:ext uri="{FF2B5EF4-FFF2-40B4-BE49-F238E27FC236}">
              <a16:creationId xmlns:a16="http://schemas.microsoft.com/office/drawing/2014/main" id="{010C1720-6239-2B69-2A87-DEF362E0B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1003300"/>
          <a:ext cx="4445000" cy="427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812800</xdr:colOff>
      <xdr:row>1</xdr:row>
      <xdr:rowOff>165100</xdr:rowOff>
    </xdr:from>
    <xdr:to>
      <xdr:col>10</xdr:col>
      <xdr:colOff>63500</xdr:colOff>
      <xdr:row>31</xdr:row>
      <xdr:rowOff>101600</xdr:rowOff>
    </xdr:to>
    <xdr:pic>
      <xdr:nvPicPr>
        <xdr:cNvPr id="3" name="Picture 2">
          <a:extLst>
            <a:ext uri="{FF2B5EF4-FFF2-40B4-BE49-F238E27FC236}">
              <a16:creationId xmlns:a16="http://schemas.microsoft.com/office/drawing/2014/main" id="{3DD230BE-13A9-1023-05CA-3781D32C7972}"/>
            </a:ext>
          </a:extLst>
        </xdr:cNvPr>
        <xdr:cNvPicPr>
          <a:picLocks noChangeAspect="1"/>
        </xdr:cNvPicPr>
      </xdr:nvPicPr>
      <xdr:blipFill>
        <a:blip xmlns:r="http://schemas.openxmlformats.org/officeDocument/2006/relationships" r:embed="rId2"/>
        <a:stretch>
          <a:fillRect/>
        </a:stretch>
      </xdr:blipFill>
      <xdr:spPr>
        <a:xfrm>
          <a:off x="812800" y="355600"/>
          <a:ext cx="7505700" cy="5651500"/>
        </a:xfrm>
        <a:prstGeom prst="rect">
          <a:avLst/>
        </a:prstGeom>
        <a:ln>
          <a:solidFill>
            <a:schemeClr val="tx1"/>
          </a:solidFill>
        </a:ln>
      </xdr:spPr>
    </xdr:pic>
    <xdr:clientData/>
  </xdr:twoCellAnchor>
  <xdr:twoCellAnchor editAs="oneCell">
    <xdr:from>
      <xdr:col>0</xdr:col>
      <xdr:colOff>812800</xdr:colOff>
      <xdr:row>31</xdr:row>
      <xdr:rowOff>101600</xdr:rowOff>
    </xdr:from>
    <xdr:to>
      <xdr:col>10</xdr:col>
      <xdr:colOff>76200</xdr:colOff>
      <xdr:row>65</xdr:row>
      <xdr:rowOff>101600</xdr:rowOff>
    </xdr:to>
    <xdr:pic>
      <xdr:nvPicPr>
        <xdr:cNvPr id="4" name="Picture 3">
          <a:extLst>
            <a:ext uri="{FF2B5EF4-FFF2-40B4-BE49-F238E27FC236}">
              <a16:creationId xmlns:a16="http://schemas.microsoft.com/office/drawing/2014/main" id="{FD5DF925-8D9A-C499-8F10-FC295F937E75}"/>
            </a:ext>
          </a:extLst>
        </xdr:cNvPr>
        <xdr:cNvPicPr>
          <a:picLocks noChangeAspect="1"/>
        </xdr:cNvPicPr>
      </xdr:nvPicPr>
      <xdr:blipFill>
        <a:blip xmlns:r="http://schemas.openxmlformats.org/officeDocument/2006/relationships" r:embed="rId3"/>
        <a:stretch>
          <a:fillRect/>
        </a:stretch>
      </xdr:blipFill>
      <xdr:spPr>
        <a:xfrm>
          <a:off x="812800" y="6007100"/>
          <a:ext cx="7518400" cy="6477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940F-4CFD-5843-94DF-BBFEAA1B2116}">
  <sheetPr codeName="Sheet4"/>
  <dimension ref="A2:Q39"/>
  <sheetViews>
    <sheetView showGridLines="0" tabSelected="1" workbookViewId="0">
      <selection activeCell="B10" sqref="B10"/>
    </sheetView>
  </sheetViews>
  <sheetFormatPr baseColWidth="10" defaultRowHeight="16"/>
  <cols>
    <col min="1" max="16384" width="10.83203125" style="40"/>
  </cols>
  <sheetData>
    <row r="2" spans="2:11" ht="15" customHeight="1"/>
    <row r="3" spans="2:11" ht="16" customHeight="1">
      <c r="B3" s="59" t="s">
        <v>88</v>
      </c>
      <c r="C3" s="59"/>
      <c r="D3" s="59"/>
      <c r="E3" s="59"/>
      <c r="F3" s="59"/>
      <c r="G3" s="59"/>
      <c r="H3" s="59"/>
      <c r="I3" s="59"/>
      <c r="J3" s="59"/>
      <c r="K3" s="59"/>
    </row>
    <row r="4" spans="2:11" ht="16" customHeight="1">
      <c r="B4" s="59"/>
      <c r="C4" s="59"/>
      <c r="D4" s="59"/>
      <c r="E4" s="59"/>
      <c r="F4" s="59"/>
      <c r="G4" s="59"/>
      <c r="H4" s="59"/>
      <c r="I4" s="59"/>
      <c r="J4" s="59"/>
      <c r="K4" s="59"/>
    </row>
    <row r="5" spans="2:11" ht="16" customHeight="1">
      <c r="B5" s="59"/>
      <c r="C5" s="59"/>
      <c r="D5" s="59"/>
      <c r="E5" s="59"/>
      <c r="F5" s="59"/>
      <c r="G5" s="59"/>
      <c r="H5" s="59"/>
      <c r="I5" s="59"/>
      <c r="J5" s="59"/>
      <c r="K5" s="59"/>
    </row>
    <row r="6" spans="2:11" ht="16" customHeight="1">
      <c r="B6" s="59"/>
      <c r="C6" s="59"/>
      <c r="D6" s="59"/>
      <c r="E6" s="59"/>
      <c r="F6" s="59"/>
      <c r="G6" s="59"/>
      <c r="H6" s="59"/>
      <c r="I6" s="59"/>
      <c r="J6" s="59"/>
      <c r="K6" s="59"/>
    </row>
    <row r="7" spans="2:11" ht="16" customHeight="1">
      <c r="B7" s="59"/>
      <c r="C7" s="59"/>
      <c r="D7" s="59"/>
      <c r="E7" s="59"/>
      <c r="F7" s="59"/>
      <c r="G7" s="59"/>
      <c r="H7" s="59"/>
      <c r="I7" s="59"/>
      <c r="J7" s="59"/>
      <c r="K7" s="59"/>
    </row>
    <row r="8" spans="2:11" ht="16" customHeight="1">
      <c r="B8" s="59"/>
      <c r="C8" s="59"/>
      <c r="D8" s="59"/>
      <c r="E8" s="59"/>
      <c r="F8" s="59"/>
      <c r="G8" s="59"/>
      <c r="H8" s="59"/>
      <c r="I8" s="59"/>
      <c r="J8" s="59"/>
      <c r="K8" s="59"/>
    </row>
    <row r="9" spans="2:11" ht="16" customHeight="1">
      <c r="B9" s="59"/>
      <c r="C9" s="59"/>
      <c r="D9" s="59"/>
      <c r="E9" s="59"/>
      <c r="F9" s="59"/>
      <c r="G9" s="59"/>
      <c r="H9" s="59"/>
      <c r="I9" s="59"/>
      <c r="J9" s="59"/>
      <c r="K9" s="59"/>
    </row>
    <row r="13" spans="2:11" ht="19">
      <c r="D13" s="1" t="s">
        <v>4</v>
      </c>
      <c r="E13" s="2"/>
      <c r="F13" s="3"/>
      <c r="G13" s="3"/>
      <c r="H13" s="3"/>
      <c r="I13" s="4" t="s">
        <v>0</v>
      </c>
    </row>
    <row r="14" spans="2:11" ht="19">
      <c r="D14" s="5"/>
      <c r="E14" s="6"/>
      <c r="F14" s="7"/>
      <c r="G14" s="7"/>
      <c r="H14" s="7"/>
      <c r="I14" s="8"/>
    </row>
    <row r="15" spans="2:11" ht="19">
      <c r="D15" s="9" t="s">
        <v>87</v>
      </c>
      <c r="E15" s="10"/>
      <c r="F15" s="11"/>
      <c r="G15" s="11"/>
      <c r="H15" s="11"/>
      <c r="I15" s="12" t="s">
        <v>86</v>
      </c>
    </row>
    <row r="25" spans="3:16">
      <c r="C25" s="41"/>
    </row>
    <row r="27" spans="3:16">
      <c r="P27" s="41"/>
    </row>
    <row r="28" spans="3:16">
      <c r="D28" s="41"/>
    </row>
    <row r="33" spans="1:17">
      <c r="Q33" s="41"/>
    </row>
    <row r="34" spans="1:17">
      <c r="A34" s="41"/>
    </row>
    <row r="35" spans="1:17">
      <c r="B35" s="60" t="s">
        <v>1</v>
      </c>
      <c r="C35" s="61"/>
      <c r="D35" s="61"/>
      <c r="E35" s="61"/>
      <c r="F35" s="61"/>
      <c r="G35" s="61"/>
      <c r="H35" s="61"/>
      <c r="I35" s="61"/>
      <c r="J35" s="61"/>
      <c r="K35" s="62"/>
    </row>
    <row r="36" spans="1:17">
      <c r="B36" s="63" t="s">
        <v>2</v>
      </c>
      <c r="C36" s="64"/>
      <c r="D36" s="64"/>
      <c r="E36" s="64"/>
      <c r="F36" s="64"/>
      <c r="G36" s="64"/>
      <c r="H36" s="64"/>
      <c r="I36" s="64"/>
      <c r="J36" s="64"/>
      <c r="K36" s="65"/>
    </row>
    <row r="37" spans="1:17">
      <c r="B37" s="66" t="s">
        <v>3</v>
      </c>
      <c r="C37" s="67"/>
      <c r="D37" s="67"/>
      <c r="E37" s="67"/>
      <c r="F37" s="67"/>
      <c r="G37" s="67"/>
      <c r="H37" s="67"/>
      <c r="I37" s="67"/>
      <c r="J37" s="67"/>
      <c r="K37" s="68"/>
    </row>
    <row r="39" spans="1:17">
      <c r="Q39" s="41"/>
    </row>
  </sheetData>
  <sheetProtection sheet="1" objects="1" scenarios="1"/>
  <mergeCells count="4">
    <mergeCell ref="B3:K9"/>
    <mergeCell ref="B35:K35"/>
    <mergeCell ref="B36:K36"/>
    <mergeCell ref="B37:K37"/>
  </mergeCells>
  <hyperlinks>
    <hyperlink ref="I13" r:id="rId1" xr:uid="{60E68FAD-CE54-204D-BE8F-AA8992F34899}"/>
    <hyperlink ref="B35" r:id="rId2" display="http://www.astronomy-morsels.ch/" xr:uid="{658673F1-EC19-9849-A093-CD89D563BE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3F69C-B988-6C40-B056-B8439BE51A08}">
  <dimension ref="B2:J85"/>
  <sheetViews>
    <sheetView showGridLines="0" zoomScaleNormal="100" workbookViewId="0">
      <selection activeCell="J43" sqref="J43"/>
    </sheetView>
  </sheetViews>
  <sheetFormatPr baseColWidth="10" defaultColWidth="9" defaultRowHeight="16"/>
  <cols>
    <col min="1" max="1" width="9" style="13"/>
    <col min="2" max="3" width="15.83203125" style="13" customWidth="1"/>
    <col min="4" max="4" width="18.33203125" style="13" customWidth="1"/>
    <col min="5" max="5" width="9.6640625" style="13" bestFit="1" customWidth="1"/>
    <col min="6" max="201" width="9" style="13"/>
    <col min="202" max="202" width="29.33203125" style="13" customWidth="1"/>
    <col min="203" max="203" width="13.6640625" style="13" customWidth="1"/>
    <col min="204" max="227" width="15.83203125" style="13" customWidth="1"/>
    <col min="228" max="457" width="9" style="13"/>
    <col min="458" max="458" width="29.33203125" style="13" customWidth="1"/>
    <col min="459" max="459" width="13.6640625" style="13" customWidth="1"/>
    <col min="460" max="483" width="15.83203125" style="13" customWidth="1"/>
    <col min="484" max="713" width="9" style="13"/>
    <col min="714" max="714" width="29.33203125" style="13" customWidth="1"/>
    <col min="715" max="715" width="13.6640625" style="13" customWidth="1"/>
    <col min="716" max="739" width="15.83203125" style="13" customWidth="1"/>
    <col min="740" max="969" width="9" style="13"/>
    <col min="970" max="970" width="29.33203125" style="13" customWidth="1"/>
    <col min="971" max="971" width="13.6640625" style="13" customWidth="1"/>
    <col min="972" max="995" width="15.83203125" style="13" customWidth="1"/>
    <col min="996" max="1225" width="9" style="13"/>
    <col min="1226" max="1226" width="29.33203125" style="13" customWidth="1"/>
    <col min="1227" max="1227" width="13.6640625" style="13" customWidth="1"/>
    <col min="1228" max="1251" width="15.83203125" style="13" customWidth="1"/>
    <col min="1252" max="1481" width="9" style="13"/>
    <col min="1482" max="1482" width="29.33203125" style="13" customWidth="1"/>
    <col min="1483" max="1483" width="13.6640625" style="13" customWidth="1"/>
    <col min="1484" max="1507" width="15.83203125" style="13" customWidth="1"/>
    <col min="1508" max="1737" width="9" style="13"/>
    <col min="1738" max="1738" width="29.33203125" style="13" customWidth="1"/>
    <col min="1739" max="1739" width="13.6640625" style="13" customWidth="1"/>
    <col min="1740" max="1763" width="15.83203125" style="13" customWidth="1"/>
    <col min="1764" max="1993" width="9" style="13"/>
    <col min="1994" max="1994" width="29.33203125" style="13" customWidth="1"/>
    <col min="1995" max="1995" width="13.6640625" style="13" customWidth="1"/>
    <col min="1996" max="2019" width="15.83203125" style="13" customWidth="1"/>
    <col min="2020" max="2249" width="9" style="13"/>
    <col min="2250" max="2250" width="29.33203125" style="13" customWidth="1"/>
    <col min="2251" max="2251" width="13.6640625" style="13" customWidth="1"/>
    <col min="2252" max="2275" width="15.83203125" style="13" customWidth="1"/>
    <col min="2276" max="2505" width="9" style="13"/>
    <col min="2506" max="2506" width="29.33203125" style="13" customWidth="1"/>
    <col min="2507" max="2507" width="13.6640625" style="13" customWidth="1"/>
    <col min="2508" max="2531" width="15.83203125" style="13" customWidth="1"/>
    <col min="2532" max="2761" width="9" style="13"/>
    <col min="2762" max="2762" width="29.33203125" style="13" customWidth="1"/>
    <col min="2763" max="2763" width="13.6640625" style="13" customWidth="1"/>
    <col min="2764" max="2787" width="15.83203125" style="13" customWidth="1"/>
    <col min="2788" max="3017" width="9" style="13"/>
    <col min="3018" max="3018" width="29.33203125" style="13" customWidth="1"/>
    <col min="3019" max="3019" width="13.6640625" style="13" customWidth="1"/>
    <col min="3020" max="3043" width="15.83203125" style="13" customWidth="1"/>
    <col min="3044" max="3273" width="9" style="13"/>
    <col min="3274" max="3274" width="29.33203125" style="13" customWidth="1"/>
    <col min="3275" max="3275" width="13.6640625" style="13" customWidth="1"/>
    <col min="3276" max="3299" width="15.83203125" style="13" customWidth="1"/>
    <col min="3300" max="3529" width="9" style="13"/>
    <col min="3530" max="3530" width="29.33203125" style="13" customWidth="1"/>
    <col min="3531" max="3531" width="13.6640625" style="13" customWidth="1"/>
    <col min="3532" max="3555" width="15.83203125" style="13" customWidth="1"/>
    <col min="3556" max="3785" width="9" style="13"/>
    <col min="3786" max="3786" width="29.33203125" style="13" customWidth="1"/>
    <col min="3787" max="3787" width="13.6640625" style="13" customWidth="1"/>
    <col min="3788" max="3811" width="15.83203125" style="13" customWidth="1"/>
    <col min="3812" max="4041" width="9" style="13"/>
    <col min="4042" max="4042" width="29.33203125" style="13" customWidth="1"/>
    <col min="4043" max="4043" width="13.6640625" style="13" customWidth="1"/>
    <col min="4044" max="4067" width="15.83203125" style="13" customWidth="1"/>
    <col min="4068" max="4297" width="9" style="13"/>
    <col min="4298" max="4298" width="29.33203125" style="13" customWidth="1"/>
    <col min="4299" max="4299" width="13.6640625" style="13" customWidth="1"/>
    <col min="4300" max="4323" width="15.83203125" style="13" customWidth="1"/>
    <col min="4324" max="4553" width="9" style="13"/>
    <col min="4554" max="4554" width="29.33203125" style="13" customWidth="1"/>
    <col min="4555" max="4555" width="13.6640625" style="13" customWidth="1"/>
    <col min="4556" max="4579" width="15.83203125" style="13" customWidth="1"/>
    <col min="4580" max="4809" width="9" style="13"/>
    <col min="4810" max="4810" width="29.33203125" style="13" customWidth="1"/>
    <col min="4811" max="4811" width="13.6640625" style="13" customWidth="1"/>
    <col min="4812" max="4835" width="15.83203125" style="13" customWidth="1"/>
    <col min="4836" max="5065" width="9" style="13"/>
    <col min="5066" max="5066" width="29.33203125" style="13" customWidth="1"/>
    <col min="5067" max="5067" width="13.6640625" style="13" customWidth="1"/>
    <col min="5068" max="5091" width="15.83203125" style="13" customWidth="1"/>
    <col min="5092" max="5321" width="9" style="13"/>
    <col min="5322" max="5322" width="29.33203125" style="13" customWidth="1"/>
    <col min="5323" max="5323" width="13.6640625" style="13" customWidth="1"/>
    <col min="5324" max="5347" width="15.83203125" style="13" customWidth="1"/>
    <col min="5348" max="5577" width="9" style="13"/>
    <col min="5578" max="5578" width="29.33203125" style="13" customWidth="1"/>
    <col min="5579" max="5579" width="13.6640625" style="13" customWidth="1"/>
    <col min="5580" max="5603" width="15.83203125" style="13" customWidth="1"/>
    <col min="5604" max="5833" width="9" style="13"/>
    <col min="5834" max="5834" width="29.33203125" style="13" customWidth="1"/>
    <col min="5835" max="5835" width="13.6640625" style="13" customWidth="1"/>
    <col min="5836" max="5859" width="15.83203125" style="13" customWidth="1"/>
    <col min="5860" max="6089" width="9" style="13"/>
    <col min="6090" max="6090" width="29.33203125" style="13" customWidth="1"/>
    <col min="6091" max="6091" width="13.6640625" style="13" customWidth="1"/>
    <col min="6092" max="6115" width="15.83203125" style="13" customWidth="1"/>
    <col min="6116" max="6345" width="9" style="13"/>
    <col min="6346" max="6346" width="29.33203125" style="13" customWidth="1"/>
    <col min="6347" max="6347" width="13.6640625" style="13" customWidth="1"/>
    <col min="6348" max="6371" width="15.83203125" style="13" customWidth="1"/>
    <col min="6372" max="6601" width="9" style="13"/>
    <col min="6602" max="6602" width="29.33203125" style="13" customWidth="1"/>
    <col min="6603" max="6603" width="13.6640625" style="13" customWidth="1"/>
    <col min="6604" max="6627" width="15.83203125" style="13" customWidth="1"/>
    <col min="6628" max="6857" width="9" style="13"/>
    <col min="6858" max="6858" width="29.33203125" style="13" customWidth="1"/>
    <col min="6859" max="6859" width="13.6640625" style="13" customWidth="1"/>
    <col min="6860" max="6883" width="15.83203125" style="13" customWidth="1"/>
    <col min="6884" max="7113" width="9" style="13"/>
    <col min="7114" max="7114" width="29.33203125" style="13" customWidth="1"/>
    <col min="7115" max="7115" width="13.6640625" style="13" customWidth="1"/>
    <col min="7116" max="7139" width="15.83203125" style="13" customWidth="1"/>
    <col min="7140" max="7369" width="9" style="13"/>
    <col min="7370" max="7370" width="29.33203125" style="13" customWidth="1"/>
    <col min="7371" max="7371" width="13.6640625" style="13" customWidth="1"/>
    <col min="7372" max="7395" width="15.83203125" style="13" customWidth="1"/>
    <col min="7396" max="7625" width="9" style="13"/>
    <col min="7626" max="7626" width="29.33203125" style="13" customWidth="1"/>
    <col min="7627" max="7627" width="13.6640625" style="13" customWidth="1"/>
    <col min="7628" max="7651" width="15.83203125" style="13" customWidth="1"/>
    <col min="7652" max="7881" width="9" style="13"/>
    <col min="7882" max="7882" width="29.33203125" style="13" customWidth="1"/>
    <col min="7883" max="7883" width="13.6640625" style="13" customWidth="1"/>
    <col min="7884" max="7907" width="15.83203125" style="13" customWidth="1"/>
    <col min="7908" max="8137" width="9" style="13"/>
    <col min="8138" max="8138" width="29.33203125" style="13" customWidth="1"/>
    <col min="8139" max="8139" width="13.6640625" style="13" customWidth="1"/>
    <col min="8140" max="8163" width="15.83203125" style="13" customWidth="1"/>
    <col min="8164" max="8393" width="9" style="13"/>
    <col min="8394" max="8394" width="29.33203125" style="13" customWidth="1"/>
    <col min="8395" max="8395" width="13.6640625" style="13" customWidth="1"/>
    <col min="8396" max="8419" width="15.83203125" style="13" customWidth="1"/>
    <col min="8420" max="8649" width="9" style="13"/>
    <col min="8650" max="8650" width="29.33203125" style="13" customWidth="1"/>
    <col min="8651" max="8651" width="13.6640625" style="13" customWidth="1"/>
    <col min="8652" max="8675" width="15.83203125" style="13" customWidth="1"/>
    <col min="8676" max="8905" width="9" style="13"/>
    <col min="8906" max="8906" width="29.33203125" style="13" customWidth="1"/>
    <col min="8907" max="8907" width="13.6640625" style="13" customWidth="1"/>
    <col min="8908" max="8931" width="15.83203125" style="13" customWidth="1"/>
    <col min="8932" max="9161" width="9" style="13"/>
    <col min="9162" max="9162" width="29.33203125" style="13" customWidth="1"/>
    <col min="9163" max="9163" width="13.6640625" style="13" customWidth="1"/>
    <col min="9164" max="9187" width="15.83203125" style="13" customWidth="1"/>
    <col min="9188" max="9417" width="9" style="13"/>
    <col min="9418" max="9418" width="29.33203125" style="13" customWidth="1"/>
    <col min="9419" max="9419" width="13.6640625" style="13" customWidth="1"/>
    <col min="9420" max="9443" width="15.83203125" style="13" customWidth="1"/>
    <col min="9444" max="9673" width="9" style="13"/>
    <col min="9674" max="9674" width="29.33203125" style="13" customWidth="1"/>
    <col min="9675" max="9675" width="13.6640625" style="13" customWidth="1"/>
    <col min="9676" max="9699" width="15.83203125" style="13" customWidth="1"/>
    <col min="9700" max="9929" width="9" style="13"/>
    <col min="9930" max="9930" width="29.33203125" style="13" customWidth="1"/>
    <col min="9931" max="9931" width="13.6640625" style="13" customWidth="1"/>
    <col min="9932" max="9955" width="15.83203125" style="13" customWidth="1"/>
    <col min="9956" max="10185" width="9" style="13"/>
    <col min="10186" max="10186" width="29.33203125" style="13" customWidth="1"/>
    <col min="10187" max="10187" width="13.6640625" style="13" customWidth="1"/>
    <col min="10188" max="10211" width="15.83203125" style="13" customWidth="1"/>
    <col min="10212" max="10441" width="9" style="13"/>
    <col min="10442" max="10442" width="29.33203125" style="13" customWidth="1"/>
    <col min="10443" max="10443" width="13.6640625" style="13" customWidth="1"/>
    <col min="10444" max="10467" width="15.83203125" style="13" customWidth="1"/>
    <col min="10468" max="10697" width="9" style="13"/>
    <col min="10698" max="10698" width="29.33203125" style="13" customWidth="1"/>
    <col min="10699" max="10699" width="13.6640625" style="13" customWidth="1"/>
    <col min="10700" max="10723" width="15.83203125" style="13" customWidth="1"/>
    <col min="10724" max="10953" width="9" style="13"/>
    <col min="10954" max="10954" width="29.33203125" style="13" customWidth="1"/>
    <col min="10955" max="10955" width="13.6640625" style="13" customWidth="1"/>
    <col min="10956" max="10979" width="15.83203125" style="13" customWidth="1"/>
    <col min="10980" max="11209" width="9" style="13"/>
    <col min="11210" max="11210" width="29.33203125" style="13" customWidth="1"/>
    <col min="11211" max="11211" width="13.6640625" style="13" customWidth="1"/>
    <col min="11212" max="11235" width="15.83203125" style="13" customWidth="1"/>
    <col min="11236" max="11465" width="9" style="13"/>
    <col min="11466" max="11466" width="29.33203125" style="13" customWidth="1"/>
    <col min="11467" max="11467" width="13.6640625" style="13" customWidth="1"/>
    <col min="11468" max="11491" width="15.83203125" style="13" customWidth="1"/>
    <col min="11492" max="11721" width="9" style="13"/>
    <col min="11722" max="11722" width="29.33203125" style="13" customWidth="1"/>
    <col min="11723" max="11723" width="13.6640625" style="13" customWidth="1"/>
    <col min="11724" max="11747" width="15.83203125" style="13" customWidth="1"/>
    <col min="11748" max="11977" width="9" style="13"/>
    <col min="11978" max="11978" width="29.33203125" style="13" customWidth="1"/>
    <col min="11979" max="11979" width="13.6640625" style="13" customWidth="1"/>
    <col min="11980" max="12003" width="15.83203125" style="13" customWidth="1"/>
    <col min="12004" max="12233" width="9" style="13"/>
    <col min="12234" max="12234" width="29.33203125" style="13" customWidth="1"/>
    <col min="12235" max="12235" width="13.6640625" style="13" customWidth="1"/>
    <col min="12236" max="12259" width="15.83203125" style="13" customWidth="1"/>
    <col min="12260" max="12489" width="9" style="13"/>
    <col min="12490" max="12490" width="29.33203125" style="13" customWidth="1"/>
    <col min="12491" max="12491" width="13.6640625" style="13" customWidth="1"/>
    <col min="12492" max="12515" width="15.83203125" style="13" customWidth="1"/>
    <col min="12516" max="12745" width="9" style="13"/>
    <col min="12746" max="12746" width="29.33203125" style="13" customWidth="1"/>
    <col min="12747" max="12747" width="13.6640625" style="13" customWidth="1"/>
    <col min="12748" max="12771" width="15.83203125" style="13" customWidth="1"/>
    <col min="12772" max="13001" width="9" style="13"/>
    <col min="13002" max="13002" width="29.33203125" style="13" customWidth="1"/>
    <col min="13003" max="13003" width="13.6640625" style="13" customWidth="1"/>
    <col min="13004" max="13027" width="15.83203125" style="13" customWidth="1"/>
    <col min="13028" max="13257" width="9" style="13"/>
    <col min="13258" max="13258" width="29.33203125" style="13" customWidth="1"/>
    <col min="13259" max="13259" width="13.6640625" style="13" customWidth="1"/>
    <col min="13260" max="13283" width="15.83203125" style="13" customWidth="1"/>
    <col min="13284" max="13513" width="9" style="13"/>
    <col min="13514" max="13514" width="29.33203125" style="13" customWidth="1"/>
    <col min="13515" max="13515" width="13.6640625" style="13" customWidth="1"/>
    <col min="13516" max="13539" width="15.83203125" style="13" customWidth="1"/>
    <col min="13540" max="13769" width="9" style="13"/>
    <col min="13770" max="13770" width="29.33203125" style="13" customWidth="1"/>
    <col min="13771" max="13771" width="13.6640625" style="13" customWidth="1"/>
    <col min="13772" max="13795" width="15.83203125" style="13" customWidth="1"/>
    <col min="13796" max="14025" width="9" style="13"/>
    <col min="14026" max="14026" width="29.33203125" style="13" customWidth="1"/>
    <col min="14027" max="14027" width="13.6640625" style="13" customWidth="1"/>
    <col min="14028" max="14051" width="15.83203125" style="13" customWidth="1"/>
    <col min="14052" max="14281" width="9" style="13"/>
    <col min="14282" max="14282" width="29.33203125" style="13" customWidth="1"/>
    <col min="14283" max="14283" width="13.6640625" style="13" customWidth="1"/>
    <col min="14284" max="14307" width="15.83203125" style="13" customWidth="1"/>
    <col min="14308" max="14537" width="9" style="13"/>
    <col min="14538" max="14538" width="29.33203125" style="13" customWidth="1"/>
    <col min="14539" max="14539" width="13.6640625" style="13" customWidth="1"/>
    <col min="14540" max="14563" width="15.83203125" style="13" customWidth="1"/>
    <col min="14564" max="14793" width="9" style="13"/>
    <col min="14794" max="14794" width="29.33203125" style="13" customWidth="1"/>
    <col min="14795" max="14795" width="13.6640625" style="13" customWidth="1"/>
    <col min="14796" max="14819" width="15.83203125" style="13" customWidth="1"/>
    <col min="14820" max="15049" width="9" style="13"/>
    <col min="15050" max="15050" width="29.33203125" style="13" customWidth="1"/>
    <col min="15051" max="15051" width="13.6640625" style="13" customWidth="1"/>
    <col min="15052" max="15075" width="15.83203125" style="13" customWidth="1"/>
    <col min="15076" max="15305" width="9" style="13"/>
    <col min="15306" max="15306" width="29.33203125" style="13" customWidth="1"/>
    <col min="15307" max="15307" width="13.6640625" style="13" customWidth="1"/>
    <col min="15308" max="15331" width="15.83203125" style="13" customWidth="1"/>
    <col min="15332" max="15561" width="9" style="13"/>
    <col min="15562" max="15562" width="29.33203125" style="13" customWidth="1"/>
    <col min="15563" max="15563" width="13.6640625" style="13" customWidth="1"/>
    <col min="15564" max="15587" width="15.83203125" style="13" customWidth="1"/>
    <col min="15588" max="15817" width="9" style="13"/>
    <col min="15818" max="15818" width="29.33203125" style="13" customWidth="1"/>
    <col min="15819" max="15819" width="13.6640625" style="13" customWidth="1"/>
    <col min="15820" max="15843" width="15.83203125" style="13" customWidth="1"/>
    <col min="15844" max="16073" width="9" style="13"/>
    <col min="16074" max="16074" width="29.33203125" style="13" customWidth="1"/>
    <col min="16075" max="16075" width="13.6640625" style="13" customWidth="1"/>
    <col min="16076" max="16099" width="15.83203125" style="13" customWidth="1"/>
    <col min="16100" max="16384" width="9" style="13"/>
  </cols>
  <sheetData>
    <row r="2" spans="2:8" ht="21">
      <c r="B2" s="14" t="s">
        <v>10</v>
      </c>
      <c r="C2" s="17"/>
      <c r="D2" s="17"/>
      <c r="E2" s="17"/>
      <c r="F2" s="17"/>
      <c r="G2" s="17"/>
      <c r="H2" s="17"/>
    </row>
    <row r="3" spans="2:8" ht="16" customHeight="1">
      <c r="B3" s="20"/>
    </row>
    <row r="4" spans="2:8" ht="16" customHeight="1">
      <c r="B4" s="16"/>
    </row>
    <row r="5" spans="2:8">
      <c r="C5" s="49" t="s">
        <v>9</v>
      </c>
    </row>
    <row r="6" spans="2:8">
      <c r="B6" s="18" t="s">
        <v>12</v>
      </c>
      <c r="C6" s="50">
        <v>45436</v>
      </c>
    </row>
    <row r="7" spans="2:8">
      <c r="B7" s="18" t="s">
        <v>13</v>
      </c>
      <c r="C7" s="51">
        <v>0.54166666666666663</v>
      </c>
    </row>
    <row r="8" spans="2:8">
      <c r="B8" s="47" t="s">
        <v>83</v>
      </c>
      <c r="C8" s="48" t="s">
        <v>82</v>
      </c>
    </row>
    <row r="9" spans="2:8">
      <c r="B9" s="18" t="s">
        <v>5</v>
      </c>
      <c r="C9" s="56">
        <f>VLOOKUP(C8,$B$22:$D$26,2,FALSE)</f>
        <v>46.45</v>
      </c>
    </row>
    <row r="10" spans="2:8">
      <c r="B10" s="18" t="s">
        <v>11</v>
      </c>
      <c r="C10" s="56">
        <f>VLOOKUP(C8,$B$22:$D$26,3,FALSE)</f>
        <v>7.42</v>
      </c>
    </row>
    <row r="11" spans="2:8">
      <c r="B11" s="18" t="s">
        <v>6</v>
      </c>
      <c r="C11" s="52">
        <f>YEAR(C6)</f>
        <v>2024</v>
      </c>
    </row>
    <row r="12" spans="2:8">
      <c r="B12" s="18" t="s">
        <v>14</v>
      </c>
      <c r="C12" s="52" t="str">
        <f>IF(OR(MOD(C11,400)=0,AND(MOD(C11,4)=0,MOD(C11,100)&lt;&gt;0)),"Y", "N")</f>
        <v>Y</v>
      </c>
    </row>
    <row r="13" spans="2:8">
      <c r="B13" s="18" t="s">
        <v>7</v>
      </c>
      <c r="C13" s="53">
        <f>MONTH(C6)</f>
        <v>5</v>
      </c>
    </row>
    <row r="14" spans="2:8">
      <c r="B14" s="18" t="s">
        <v>8</v>
      </c>
      <c r="C14" s="53">
        <f>DAY(C6)</f>
        <v>24</v>
      </c>
    </row>
    <row r="15" spans="2:8">
      <c r="B15" s="18" t="s">
        <v>15</v>
      </c>
      <c r="C15" s="53">
        <f>INT(275*C13/9)-IF(C12="Y",1,2)*INT((C13+9)/12)+C14-30</f>
        <v>145</v>
      </c>
    </row>
    <row r="16" spans="2:8">
      <c r="B16" s="18" t="s">
        <v>29</v>
      </c>
      <c r="C16" s="54">
        <f>(3600*HOUR(C7)+60*MINUTE(C7)+SECOND(C7))/(24*3600)</f>
        <v>0.54166666666666663</v>
      </c>
    </row>
    <row r="17" spans="2:5">
      <c r="B17" s="18" t="s">
        <v>16</v>
      </c>
      <c r="C17" s="55">
        <f>367*C11-INT(7/4*C11)-INT(3*(INT((C11-8/7)/100)+1)/4)+1721059.5-1+C15+(3600*HOUR(C7)+60*MINUTE(C7)+SECOND(C7))/(24*3600)</f>
        <v>2460455.0416666665</v>
      </c>
    </row>
    <row r="19" spans="2:5">
      <c r="D19" s="21">
        <v>0</v>
      </c>
    </row>
    <row r="20" spans="2:5">
      <c r="B20" s="71" t="s">
        <v>78</v>
      </c>
      <c r="C20" s="71"/>
      <c r="D20" s="71"/>
    </row>
    <row r="21" spans="2:5">
      <c r="B21" s="42" t="s">
        <v>79</v>
      </c>
      <c r="C21" s="43" t="s">
        <v>80</v>
      </c>
      <c r="D21" s="44" t="s">
        <v>81</v>
      </c>
      <c r="E21" s="13" t="s">
        <v>85</v>
      </c>
    </row>
    <row r="22" spans="2:5">
      <c r="B22" s="45" t="s">
        <v>82</v>
      </c>
      <c r="C22" s="46">
        <v>46.45</v>
      </c>
      <c r="D22" s="46">
        <v>7.42</v>
      </c>
    </row>
    <row r="23" spans="2:5">
      <c r="B23" s="45"/>
      <c r="C23" s="46"/>
      <c r="D23" s="46"/>
    </row>
    <row r="24" spans="2:5">
      <c r="B24" s="45"/>
      <c r="C24" s="46"/>
      <c r="D24" s="46"/>
    </row>
    <row r="25" spans="2:5">
      <c r="B25" s="45"/>
      <c r="C25" s="46"/>
      <c r="D25" s="46"/>
    </row>
    <row r="26" spans="2:5">
      <c r="B26" s="45"/>
      <c r="C26" s="46"/>
      <c r="D26" s="46"/>
    </row>
    <row r="29" spans="2:5">
      <c r="B29" s="18" t="s">
        <v>37</v>
      </c>
      <c r="C29" s="30">
        <f>C84+180</f>
        <v>224.63068983866242</v>
      </c>
    </row>
    <row r="30" spans="2:5">
      <c r="B30" s="18" t="s">
        <v>36</v>
      </c>
      <c r="C30" s="30">
        <f>C85</f>
        <v>58.487241919497578</v>
      </c>
    </row>
    <row r="31" spans="2:5">
      <c r="C31" s="15"/>
    </row>
    <row r="32" spans="2:5">
      <c r="C32" s="15"/>
    </row>
    <row r="33" spans="2:4" s="57" customFormat="1">
      <c r="C33" s="58"/>
    </row>
    <row r="34" spans="2:4">
      <c r="C34" s="15"/>
    </row>
    <row r="35" spans="2:4">
      <c r="B35" s="22" t="s">
        <v>84</v>
      </c>
      <c r="C35" s="23">
        <f>PI()/180</f>
        <v>1.7453292519943295E-2</v>
      </c>
    </row>
    <row r="36" spans="2:4">
      <c r="B36" s="24" t="s">
        <v>38</v>
      </c>
      <c r="C36" s="25">
        <f>C17-C16</f>
        <v>2460454.5</v>
      </c>
    </row>
    <row r="37" spans="2:4">
      <c r="B37" s="24" t="s">
        <v>39</v>
      </c>
      <c r="C37" s="25">
        <f>(C36-2451545)/36525</f>
        <v>0.24392881587953458</v>
      </c>
    </row>
    <row r="38" spans="2:4" ht="18">
      <c r="B38" s="24" t="s">
        <v>30</v>
      </c>
      <c r="C38" s="25">
        <f>MOD(100.46061837+36000.770053608*C37+0.000387933*POWER(C37,2)-POWER(C37,3)/38710000,360)</f>
        <v>242.08585138013768</v>
      </c>
    </row>
    <row r="39" spans="2:4">
      <c r="B39" s="24" t="s">
        <v>47</v>
      </c>
      <c r="C39" s="25">
        <f>C16*360</f>
        <v>195</v>
      </c>
    </row>
    <row r="40" spans="2:4">
      <c r="B40" s="24" t="s">
        <v>31</v>
      </c>
      <c r="C40" s="25">
        <f>C38+C39*1.00273790935</f>
        <v>437.61974370338771</v>
      </c>
    </row>
    <row r="41" spans="2:4">
      <c r="B41" s="26" t="s">
        <v>32</v>
      </c>
      <c r="C41" s="27">
        <f>C40+C10</f>
        <v>445.03974370338773</v>
      </c>
    </row>
    <row r="42" spans="2:4">
      <c r="C42" s="19"/>
    </row>
    <row r="43" spans="2:4">
      <c r="B43" s="22" t="s">
        <v>48</v>
      </c>
      <c r="C43" s="23">
        <f>C17</f>
        <v>2460455.0416666665</v>
      </c>
    </row>
    <row r="44" spans="2:4">
      <c r="B44" s="24" t="s">
        <v>49</v>
      </c>
      <c r="C44" s="25">
        <f>(C43-2451545)/36525</f>
        <v>0.24394364590462728</v>
      </c>
    </row>
    <row r="45" spans="2:4" ht="18">
      <c r="B45" s="24" t="s">
        <v>67</v>
      </c>
      <c r="C45" s="25">
        <f>MOD(280.46645+36000.76983*C44+0.0003032*POWER(C44,2),360)</f>
        <v>62.625515746485689</v>
      </c>
      <c r="D45" s="13" t="s">
        <v>46</v>
      </c>
    </row>
    <row r="46" spans="2:4">
      <c r="B46" s="24" t="s">
        <v>19</v>
      </c>
      <c r="C46" s="25">
        <f>MOD(357.5291+35999.0503*C44-0.0001559*POWER(C44,2)-0.00000048*POWER(C44,3),360)</f>
        <v>139.26867000172206</v>
      </c>
      <c r="D46" s="13" t="s">
        <v>40</v>
      </c>
    </row>
    <row r="47" spans="2:4">
      <c r="B47" s="24" t="s">
        <v>20</v>
      </c>
      <c r="C47" s="25">
        <f>MOD(0.016708617-0.000042037*C44-0.0000001236*POWER(C44,2),360)</f>
        <v>1.669835498570621E-2</v>
      </c>
      <c r="D47" s="13" t="s">
        <v>41</v>
      </c>
    </row>
    <row r="48" spans="2:4">
      <c r="B48" s="24" t="s">
        <v>21</v>
      </c>
      <c r="C48" s="25">
        <f>(1.9146-0.004817*C44-0.000014*POWER(C44,2))*SIN(C35*C46)+(0.019993-0.000101*C44)*SIN(C35*2*C46)+0.00029*SIN(C35*3*C46)</f>
        <v>1.229032144757072</v>
      </c>
      <c r="D48" s="13" t="s">
        <v>42</v>
      </c>
    </row>
    <row r="49" spans="2:10">
      <c r="B49" s="24" t="s">
        <v>17</v>
      </c>
      <c r="C49" s="25">
        <f>C45+C48</f>
        <v>63.85454789124276</v>
      </c>
      <c r="D49" s="13" t="s">
        <v>43</v>
      </c>
    </row>
    <row r="50" spans="2:10">
      <c r="B50" s="24" t="s">
        <v>22</v>
      </c>
      <c r="C50" s="25">
        <f>C46+C48</f>
        <v>140.49770214647913</v>
      </c>
      <c r="D50" s="13" t="s">
        <v>44</v>
      </c>
    </row>
    <row r="51" spans="2:10">
      <c r="B51" s="24" t="s">
        <v>23</v>
      </c>
      <c r="C51" s="25">
        <f>(1.000001018*(1-POWER(C47,2))/(1+C47*COS(C35*C50)))</f>
        <v>1.012771167156812</v>
      </c>
      <c r="D51" s="13" t="s">
        <v>45</v>
      </c>
    </row>
    <row r="52" spans="2:10">
      <c r="B52" s="24" t="s">
        <v>18</v>
      </c>
      <c r="C52" s="25">
        <f>MOD(125.04-1934.136*C44,360)</f>
        <v>13.219812484607871</v>
      </c>
    </row>
    <row r="53" spans="2:10">
      <c r="B53" s="24" t="s">
        <v>24</v>
      </c>
      <c r="C53" s="25">
        <f>C49-0.00569-0.00478*SIN(C35*C52)</f>
        <v>63.847764764929146</v>
      </c>
    </row>
    <row r="54" spans="2:10" ht="20">
      <c r="B54" s="32" t="s">
        <v>25</v>
      </c>
      <c r="C54" s="25">
        <f>23+(26/60)+(21.448/3600)-(46.815/3600)*C37-(0.00059/3600)*POWER(C37,2)+(0.001813/3600)*POWER(C37,3)</f>
        <v>23.436119017692466</v>
      </c>
      <c r="D54" s="13" t="s">
        <v>63</v>
      </c>
    </row>
    <row r="55" spans="2:10">
      <c r="B55" s="32"/>
      <c r="C55" s="25"/>
      <c r="I55" s="31"/>
      <c r="J55" s="19"/>
    </row>
    <row r="56" spans="2:10">
      <c r="B56" s="32" t="s">
        <v>68</v>
      </c>
      <c r="C56" s="25">
        <f>MOD(297.85036+445267.11148*C44-0.0019142*POWER(C44,2)+(POWER(C44,3)/189474),360)</f>
        <v>197.93282201875991</v>
      </c>
      <c r="I56" s="31"/>
      <c r="J56" s="19"/>
    </row>
    <row r="57" spans="2:10">
      <c r="B57" s="32" t="s">
        <v>19</v>
      </c>
      <c r="C57" s="25">
        <f>MOD(357.52722+35999.05*C44-0.0001603*POWER(C44,2)-(POWER(C44,3)/300000),360)</f>
        <v>139.26671651537072</v>
      </c>
      <c r="I57" s="31"/>
      <c r="J57" s="19"/>
    </row>
    <row r="58" spans="2:10">
      <c r="B58" s="32" t="s">
        <v>69</v>
      </c>
      <c r="C58" s="25">
        <f>MOD(134.96298+477198.867398*C44+0.0086972*POWER(C44,2)+(POWER(C44,3)/56250),360)</f>
        <v>264.59503244231746</v>
      </c>
      <c r="I58" s="31"/>
      <c r="J58" s="19"/>
    </row>
    <row r="59" spans="2:10">
      <c r="B59" s="32" t="s">
        <v>70</v>
      </c>
      <c r="C59" s="25">
        <f>MOD(93.27191+483202.017538*C44-0.0036825*POWER(C44,2)+(POWER(C44,3)/327270),360)</f>
        <v>247.33355759567348</v>
      </c>
      <c r="I59" s="31"/>
      <c r="J59" s="19"/>
    </row>
    <row r="60" spans="2:10">
      <c r="B60" s="33" t="s">
        <v>53</v>
      </c>
      <c r="C60" s="34">
        <f>MOD(280.4665+36000.7698*C44,360)</f>
        <v>62.62554038520102</v>
      </c>
      <c r="D60" s="13" t="s">
        <v>54</v>
      </c>
      <c r="I60" s="31"/>
      <c r="J60" s="19"/>
    </row>
    <row r="61" spans="2:10">
      <c r="B61" s="33" t="s">
        <v>52</v>
      </c>
      <c r="C61" s="34">
        <f>MOD(218.3165+481267.8813*C44,360)</f>
        <v>260.55812111739942</v>
      </c>
      <c r="D61" s="13" t="s">
        <v>59</v>
      </c>
      <c r="I61" s="31"/>
      <c r="J61" s="19"/>
    </row>
    <row r="62" spans="2:10">
      <c r="B62" s="33" t="s">
        <v>18</v>
      </c>
      <c r="C62" s="34">
        <f>MOD(125.04452-1934.136261*C44+0.0020708*POWER(C44,2)+POWER(C44,3)/327270,360)</f>
        <v>13.224392089879984</v>
      </c>
      <c r="D62" s="13" t="s">
        <v>58</v>
      </c>
      <c r="I62" s="31"/>
      <c r="J62" s="19"/>
    </row>
    <row r="63" spans="2:10">
      <c r="B63" s="35" t="s">
        <v>50</v>
      </c>
      <c r="C63" s="34">
        <f>(9.2*COS(C35*C62)+0.57*COS(C35*2*C60)+0.1*COS(C35*2*C61)-0.09*COS(C35*2*C62))/3600</f>
        <v>2.3477365320733255E-3</v>
      </c>
      <c r="D63" s="13" t="s">
        <v>56</v>
      </c>
      <c r="I63" s="31"/>
      <c r="J63" s="19"/>
    </row>
    <row r="64" spans="2:10">
      <c r="B64" s="35" t="s">
        <v>51</v>
      </c>
      <c r="C64" s="34">
        <f>(-17.2*SIN(C35*C62)-1.32*SIN(C35*2*C60)-0.23*SIN(C35*2*C61)+0.21*SIN(C35*2*C62))/3600</f>
        <v>-1.3871171823963517E-3</v>
      </c>
      <c r="D64" s="13" t="s">
        <v>55</v>
      </c>
      <c r="I64" s="31"/>
      <c r="J64" s="19"/>
    </row>
    <row r="65" spans="2:10">
      <c r="B65" s="36" t="s">
        <v>57</v>
      </c>
      <c r="C65" s="37">
        <f>C54+C63</f>
        <v>23.438466754224539</v>
      </c>
      <c r="D65" s="13" t="s">
        <v>64</v>
      </c>
      <c r="I65" s="31"/>
      <c r="J65" s="19"/>
    </row>
    <row r="66" spans="2:10">
      <c r="B66" s="32"/>
      <c r="C66" s="25"/>
      <c r="I66" s="31"/>
      <c r="J66" s="19"/>
    </row>
    <row r="67" spans="2:10">
      <c r="B67" s="28" t="s">
        <v>26</v>
      </c>
      <c r="C67" s="29">
        <f>MOD(ATAN2(COS(C35*C49),COS(C35*C65)*SIN(C35*C49))/C35,360)</f>
        <v>61.852100231795674</v>
      </c>
      <c r="D67" s="13" t="s">
        <v>65</v>
      </c>
    </row>
    <row r="68" spans="2:10">
      <c r="B68" s="28" t="s">
        <v>27</v>
      </c>
      <c r="C68" s="29">
        <f>ASIN(SIN(C35*C65)*SIN(C35*C49))/C35</f>
        <v>20.919999544490832</v>
      </c>
      <c r="D68" s="13" t="s">
        <v>66</v>
      </c>
    </row>
    <row r="69" spans="2:10" ht="18">
      <c r="B69" s="28" t="s">
        <v>71</v>
      </c>
      <c r="C69" s="29">
        <f>C65+0.00256*COS(C35*C62)</f>
        <v>23.44095886712207</v>
      </c>
      <c r="D69" s="13" t="s">
        <v>76</v>
      </c>
    </row>
    <row r="70" spans="2:10" ht="18">
      <c r="B70" s="28" t="s">
        <v>72</v>
      </c>
      <c r="C70" s="29">
        <f>MOD(ATAN2(COS(C35*C53),COS(C35*C69)*SIN(C35*C53))/C35,360)</f>
        <v>61.844517945927208</v>
      </c>
      <c r="D70" s="13" t="s">
        <v>74</v>
      </c>
    </row>
    <row r="71" spans="2:10" ht="18">
      <c r="B71" s="28" t="s">
        <v>73</v>
      </c>
      <c r="C71" s="29">
        <f>ASIN(SIN(C35*C69)*SIN(C35*C53))/C35</f>
        <v>20.920923804557749</v>
      </c>
      <c r="D71" s="13" t="s">
        <v>75</v>
      </c>
    </row>
    <row r="72" spans="2:10">
      <c r="B72" s="24"/>
      <c r="C72" s="25"/>
    </row>
    <row r="73" spans="2:10">
      <c r="B73" s="24" t="s">
        <v>28</v>
      </c>
      <c r="C73" s="25">
        <v>0</v>
      </c>
    </row>
    <row r="74" spans="2:10">
      <c r="B74" s="24" t="s">
        <v>60</v>
      </c>
      <c r="C74" s="25">
        <f>C51*COS(C35*C73)*COS(C35*C53)</f>
        <v>0.44638668808900922</v>
      </c>
      <c r="D74" s="69" t="s">
        <v>77</v>
      </c>
      <c r="E74" s="70"/>
    </row>
    <row r="75" spans="2:10">
      <c r="B75" s="24" t="s">
        <v>61</v>
      </c>
      <c r="C75" s="25">
        <f>C51*COS(C35*C73)*SIN(C35*C53)*COS(C35*C65)-SIN(C35*C73)*SIN(C35*C65)</f>
        <v>0.83407883612699052</v>
      </c>
      <c r="D75" s="69"/>
      <c r="E75" s="70"/>
    </row>
    <row r="76" spans="2:10">
      <c r="B76" s="24" t="s">
        <v>62</v>
      </c>
      <c r="C76" s="25">
        <f>C51*COS(C35*C73)*SIN(C35*C53)*SIN(C35*C65)+SIN(C35*C73)*COS(C35*C65)</f>
        <v>0.36160317593481112</v>
      </c>
      <c r="D76" s="69"/>
      <c r="E76" s="70"/>
    </row>
    <row r="77" spans="2:10">
      <c r="B77" s="28" t="s">
        <v>33</v>
      </c>
      <c r="C77" s="29">
        <f>ATAN2(C74,C75)/C35</f>
        <v>61.844967457887925</v>
      </c>
    </row>
    <row r="78" spans="2:10">
      <c r="B78" s="28" t="s">
        <v>34</v>
      </c>
      <c r="C78" s="29">
        <f>ASIN(C76)/C35</f>
        <v>21.198685232653187</v>
      </c>
    </row>
    <row r="79" spans="2:10">
      <c r="B79" s="24"/>
      <c r="C79" s="25"/>
    </row>
    <row r="80" spans="2:10">
      <c r="B80" s="24" t="s">
        <v>35</v>
      </c>
      <c r="C80" s="25">
        <f>C41-C77</f>
        <v>383.19477624549978</v>
      </c>
    </row>
    <row r="81" spans="2:5">
      <c r="B81" s="24" t="s">
        <v>60</v>
      </c>
      <c r="C81" s="25">
        <f>COS(C35*(C9-90))*COS(C35*C78)*COS(-C80*C35)+SIN(C35*(C9-90))*SIN(C35*C78)</f>
        <v>0.37197112487581796</v>
      </c>
      <c r="D81" s="69" t="s">
        <v>77</v>
      </c>
      <c r="E81" s="70"/>
    </row>
    <row r="82" spans="2:5">
      <c r="B82" s="24" t="s">
        <v>61</v>
      </c>
      <c r="C82" s="25">
        <f>COS(C35*C78)*SIN(-C80*C35)</f>
        <v>-0.36720655736269397</v>
      </c>
      <c r="D82" s="69"/>
      <c r="E82" s="70"/>
    </row>
    <row r="83" spans="2:5">
      <c r="B83" s="24" t="s">
        <v>62</v>
      </c>
      <c r="C83" s="25">
        <f>-SIN(C35*(C9-90))*COS(C35*C78)*COS(-C80*C35)+COS(C35*(C9-90))*SIN(C35*C78)</f>
        <v>0.85252379819478175</v>
      </c>
      <c r="D83" s="69"/>
      <c r="E83" s="70"/>
    </row>
    <row r="84" spans="2:5">
      <c r="B84" s="28" t="s">
        <v>37</v>
      </c>
      <c r="C84" s="29">
        <f>-ATAN2(C81,C82)/C35</f>
        <v>44.63068983866242</v>
      </c>
    </row>
    <row r="85" spans="2:5">
      <c r="B85" s="38" t="s">
        <v>36</v>
      </c>
      <c r="C85" s="39">
        <f>ASIN(C83)/C35</f>
        <v>58.487241919497578</v>
      </c>
    </row>
  </sheetData>
  <sheetProtection sheet="1" objects="1" scenarios="1"/>
  <mergeCells count="3">
    <mergeCell ref="D74:E76"/>
    <mergeCell ref="D81:E83"/>
    <mergeCell ref="B20:D20"/>
  </mergeCells>
  <dataValidations count="1">
    <dataValidation type="list" allowBlank="1" showInputMessage="1" showErrorMessage="1" sqref="C8" xr:uid="{2819BD40-1D4D-4641-905E-983553517DB8}">
      <formula1>$B$22:$B$26</formula1>
    </dataValidation>
  </dataValidations>
  <pageMargins left="0.75" right="0.75" top="1" bottom="1" header="0.51200000000000001" footer="0.51200000000000001"/>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031A-8C19-A948-843A-B4313A7D53D9}">
  <dimension ref="A1"/>
  <sheetViews>
    <sheetView showGridLines="0" workbookViewId="0">
      <selection activeCell="O35" sqref="O35"/>
    </sheetView>
  </sheetViews>
  <sheetFormatPr baseColWidth="10" defaultRowHeight="15"/>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Sun Position</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Sun Position</dc:title>
  <dc:subject/>
  <dc:creator>Anton Viola</dc:creator>
  <cp:keywords/>
  <dc:description/>
  <cp:lastModifiedBy>Anton Viola</cp:lastModifiedBy>
  <dcterms:created xsi:type="dcterms:W3CDTF">2009-01-01T15:24:05Z</dcterms:created>
  <dcterms:modified xsi:type="dcterms:W3CDTF">2024-05-24T14:21:45Z</dcterms:modified>
  <cp:category/>
</cp:coreProperties>
</file>