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4"/>
  <workbookPr codeName="ThisWorkbook" autoCompressPictures="0"/>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3E2CF760-602A-3C4E-B971-78C7CFC7A0D8}" xr6:coauthVersionLast="47" xr6:coauthVersionMax="47" xr10:uidLastSave="{00000000-0000-0000-0000-000000000000}"/>
  <bookViews>
    <workbookView xWindow="13660" yWindow="2560" windowWidth="31200" windowHeight="20880" xr2:uid="{00000000-000D-0000-FFFF-FFFF00000000}"/>
  </bookViews>
  <sheets>
    <sheet name="Introduction" sheetId="9" r:id="rId1"/>
    <sheet name="Sun, Moon Position" sheetId="19" r:id="rId2"/>
    <sheet name="Illumination" sheetId="20" r:id="rId3"/>
    <sheet name="Background" sheetId="18" r:id="rId4"/>
  </sheets>
  <definedNames>
    <definedName name="degrees">{0;90;180;270}</definedName>
    <definedName name="_xlnm.Print_Area" localSheetId="1">'Sun, Moon Position'!#REF!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0" i="20" l="1"/>
  <c r="B25" i="19"/>
  <c r="B24" i="20"/>
  <c r="B25" i="20" s="1"/>
  <c r="G4" i="20"/>
  <c r="F10" i="20" s="1"/>
  <c r="C2" i="20"/>
  <c r="C29" i="19"/>
  <c r="C7" i="19"/>
  <c r="C6" i="19"/>
  <c r="C11" i="19"/>
  <c r="C10" i="19"/>
  <c r="C8" i="19"/>
  <c r="C9" i="19" s="1"/>
  <c r="C34" i="19"/>
  <c r="F11" i="20" l="1"/>
  <c r="C25" i="20"/>
  <c r="B26" i="20"/>
  <c r="C24" i="20"/>
  <c r="C12" i="19"/>
  <c r="C30" i="19"/>
  <c r="C58" i="19" s="1"/>
  <c r="E58" i="19" s="1"/>
  <c r="C13" i="19"/>
  <c r="D20" i="20" l="1"/>
  <c r="C3" i="20"/>
  <c r="F12" i="20"/>
  <c r="B27" i="20"/>
  <c r="C26" i="20"/>
  <c r="C31" i="19"/>
  <c r="C57" i="19"/>
  <c r="E57" i="19" s="1"/>
  <c r="C62" i="19"/>
  <c r="K62" i="19" s="1"/>
  <c r="D58" i="19"/>
  <c r="F58" i="19" s="1"/>
  <c r="C64" i="19"/>
  <c r="D64" i="19" s="1"/>
  <c r="C43" i="19"/>
  <c r="E43" i="19" s="1"/>
  <c r="C41" i="19"/>
  <c r="C61" i="19"/>
  <c r="E61" i="19" s="1"/>
  <c r="C47" i="19"/>
  <c r="D47" i="19" s="1"/>
  <c r="C46" i="19"/>
  <c r="K46" i="19" s="1"/>
  <c r="C44" i="19"/>
  <c r="E44" i="19" s="1"/>
  <c r="C59" i="19"/>
  <c r="D59" i="19" s="1"/>
  <c r="C60" i="19"/>
  <c r="K60" i="19" s="1"/>
  <c r="C63" i="19"/>
  <c r="K63" i="19" s="1"/>
  <c r="M63" i="19" s="1"/>
  <c r="C52" i="19"/>
  <c r="K52" i="19" s="1"/>
  <c r="C48" i="19"/>
  <c r="D48" i="19" s="1"/>
  <c r="C53" i="19"/>
  <c r="D53" i="19" s="1"/>
  <c r="C56" i="19"/>
  <c r="E56" i="19" s="1"/>
  <c r="C50" i="19"/>
  <c r="K50" i="19" s="1"/>
  <c r="C42" i="19"/>
  <c r="K42" i="19" s="1"/>
  <c r="K58" i="19"/>
  <c r="M58" i="19" s="1"/>
  <c r="C51" i="19"/>
  <c r="E51" i="19" s="1"/>
  <c r="C49" i="19"/>
  <c r="D49" i="19" s="1"/>
  <c r="C40" i="19"/>
  <c r="E40" i="19" s="1"/>
  <c r="C32" i="19"/>
  <c r="C45" i="19"/>
  <c r="E45" i="19" s="1"/>
  <c r="C55" i="19"/>
  <c r="E55" i="19" s="1"/>
  <c r="C33" i="19"/>
  <c r="C35" i="19" s="1"/>
  <c r="C54" i="19"/>
  <c r="K54" i="19" s="1"/>
  <c r="C6" i="20" l="1"/>
  <c r="C4" i="20"/>
  <c r="C5" i="20"/>
  <c r="C27" i="20"/>
  <c r="B28" i="20"/>
  <c r="F13" i="20"/>
  <c r="K53" i="19"/>
  <c r="N53" i="19" s="1"/>
  <c r="O53" i="19" s="1"/>
  <c r="E53" i="19"/>
  <c r="F53" i="19" s="1"/>
  <c r="D50" i="19"/>
  <c r="D62" i="19"/>
  <c r="E62" i="19"/>
  <c r="F62" i="19" s="1"/>
  <c r="G62" i="19" s="1"/>
  <c r="I62" i="19" s="1"/>
  <c r="L58" i="19"/>
  <c r="Q58" i="19" s="1"/>
  <c r="E60" i="19"/>
  <c r="E50" i="19"/>
  <c r="K47" i="19"/>
  <c r="M47" i="19" s="1"/>
  <c r="K43" i="19"/>
  <c r="N43" i="19" s="1"/>
  <c r="O43" i="19" s="1"/>
  <c r="D43" i="19"/>
  <c r="F43" i="19" s="1"/>
  <c r="H43" i="19" s="1"/>
  <c r="K57" i="19"/>
  <c r="M57" i="19" s="1"/>
  <c r="D57" i="19"/>
  <c r="F57" i="19" s="1"/>
  <c r="H57" i="19" s="1"/>
  <c r="D46" i="19"/>
  <c r="K61" i="19"/>
  <c r="M61" i="19" s="1"/>
  <c r="D60" i="19"/>
  <c r="N58" i="19"/>
  <c r="O58" i="19" s="1"/>
  <c r="E46" i="19"/>
  <c r="D42" i="19"/>
  <c r="K64" i="19"/>
  <c r="M64" i="19" s="1"/>
  <c r="E64" i="19"/>
  <c r="F64" i="19" s="1"/>
  <c r="H64" i="19" s="1"/>
  <c r="E48" i="19"/>
  <c r="F48" i="19" s="1"/>
  <c r="G48" i="19" s="1"/>
  <c r="I48" i="19" s="1"/>
  <c r="D41" i="19"/>
  <c r="K41" i="19"/>
  <c r="E41" i="19"/>
  <c r="D40" i="19"/>
  <c r="F40" i="19" s="1"/>
  <c r="H40" i="19" s="1"/>
  <c r="D63" i="19"/>
  <c r="K44" i="19"/>
  <c r="L44" i="19" s="1"/>
  <c r="N63" i="19"/>
  <c r="O63" i="19" s="1"/>
  <c r="K49" i="19"/>
  <c r="M49" i="19" s="1"/>
  <c r="K40" i="19"/>
  <c r="M40" i="19" s="1"/>
  <c r="E52" i="19"/>
  <c r="E59" i="19"/>
  <c r="F59" i="19" s="1"/>
  <c r="D44" i="19"/>
  <c r="F44" i="19" s="1"/>
  <c r="G44" i="19" s="1"/>
  <c r="I44" i="19" s="1"/>
  <c r="L63" i="19"/>
  <c r="R63" i="19" s="1"/>
  <c r="U63" i="19" s="1"/>
  <c r="D45" i="19"/>
  <c r="F45" i="19" s="1"/>
  <c r="H45" i="19" s="1"/>
  <c r="K51" i="19"/>
  <c r="M51" i="19" s="1"/>
  <c r="E49" i="19"/>
  <c r="F49" i="19" s="1"/>
  <c r="H49" i="19" s="1"/>
  <c r="K48" i="19"/>
  <c r="D52" i="19"/>
  <c r="K59" i="19"/>
  <c r="L59" i="19" s="1"/>
  <c r="K45" i="19"/>
  <c r="M45" i="19" s="1"/>
  <c r="E42" i="19"/>
  <c r="D61" i="19"/>
  <c r="F61" i="19" s="1"/>
  <c r="D51" i="19"/>
  <c r="F51" i="19" s="1"/>
  <c r="H51" i="19" s="1"/>
  <c r="K56" i="19"/>
  <c r="D56" i="19"/>
  <c r="F56" i="19" s="1"/>
  <c r="H56" i="19" s="1"/>
  <c r="E47" i="19"/>
  <c r="F47" i="19" s="1"/>
  <c r="H47" i="19" s="1"/>
  <c r="E63" i="19"/>
  <c r="D55" i="19"/>
  <c r="F55" i="19" s="1"/>
  <c r="K55" i="19"/>
  <c r="D54" i="19"/>
  <c r="E54" i="19"/>
  <c r="G58" i="19"/>
  <c r="I58" i="19" s="1"/>
  <c r="N42" i="19"/>
  <c r="O42" i="19" s="1"/>
  <c r="M42" i="19"/>
  <c r="L42" i="19"/>
  <c r="N62" i="19"/>
  <c r="O62" i="19" s="1"/>
  <c r="M62" i="19"/>
  <c r="L62" i="19"/>
  <c r="M50" i="19"/>
  <c r="N50" i="19"/>
  <c r="O50" i="19" s="1"/>
  <c r="L50" i="19"/>
  <c r="N54" i="19"/>
  <c r="O54" i="19" s="1"/>
  <c r="M54" i="19"/>
  <c r="L54" i="19"/>
  <c r="L60" i="19"/>
  <c r="N60" i="19"/>
  <c r="O60" i="19" s="1"/>
  <c r="M60" i="19"/>
  <c r="L52" i="19"/>
  <c r="N52" i="19"/>
  <c r="O52" i="19" s="1"/>
  <c r="M52" i="19"/>
  <c r="H58" i="19"/>
  <c r="N46" i="19"/>
  <c r="O46" i="19" s="1"/>
  <c r="M46" i="19"/>
  <c r="L46" i="19"/>
  <c r="P58" i="19" l="1"/>
  <c r="R58" i="19"/>
  <c r="U58" i="19" s="1"/>
  <c r="N47" i="19"/>
  <c r="O47" i="19" s="1"/>
  <c r="M53" i="19"/>
  <c r="L53" i="19"/>
  <c r="F50" i="19"/>
  <c r="C7" i="20"/>
  <c r="C8" i="20" s="1"/>
  <c r="F14" i="20"/>
  <c r="B29" i="20"/>
  <c r="C28" i="20"/>
  <c r="L47" i="19"/>
  <c r="P47" i="19" s="1"/>
  <c r="F60" i="19"/>
  <c r="G60" i="19" s="1"/>
  <c r="I60" i="19" s="1"/>
  <c r="F42" i="19"/>
  <c r="G42" i="19" s="1"/>
  <c r="I42" i="19" s="1"/>
  <c r="L43" i="19"/>
  <c r="M43" i="19"/>
  <c r="P43" i="19" s="1"/>
  <c r="X63" i="19"/>
  <c r="J58" i="19"/>
  <c r="G40" i="19"/>
  <c r="I40" i="19" s="1"/>
  <c r="J40" i="19" s="1"/>
  <c r="M44" i="19"/>
  <c r="Q44" i="19" s="1"/>
  <c r="L61" i="19"/>
  <c r="R61" i="19" s="1"/>
  <c r="U61" i="19" s="1"/>
  <c r="N61" i="19"/>
  <c r="O61" i="19" s="1"/>
  <c r="N57" i="19"/>
  <c r="O57" i="19" s="1"/>
  <c r="L57" i="19"/>
  <c r="P57" i="19" s="1"/>
  <c r="F46" i="19"/>
  <c r="H46" i="19" s="1"/>
  <c r="L64" i="19"/>
  <c r="Q64" i="19" s="1"/>
  <c r="N45" i="19"/>
  <c r="O45" i="19" s="1"/>
  <c r="M59" i="19"/>
  <c r="Q59" i="19" s="1"/>
  <c r="H62" i="19"/>
  <c r="J62" i="19" s="1"/>
  <c r="N59" i="19"/>
  <c r="O59" i="19" s="1"/>
  <c r="L49" i="19"/>
  <c r="Q49" i="19" s="1"/>
  <c r="X58" i="19"/>
  <c r="G57" i="19"/>
  <c r="I57" i="19" s="1"/>
  <c r="J57" i="19" s="1"/>
  <c r="N64" i="19"/>
  <c r="O64" i="19" s="1"/>
  <c r="H48" i="19"/>
  <c r="J48" i="19" s="1"/>
  <c r="F63" i="19"/>
  <c r="H63" i="19" s="1"/>
  <c r="N49" i="19"/>
  <c r="O49" i="19" s="1"/>
  <c r="F52" i="19"/>
  <c r="N51" i="19"/>
  <c r="O51" i="19" s="1"/>
  <c r="G49" i="19"/>
  <c r="I49" i="19" s="1"/>
  <c r="J49" i="19" s="1"/>
  <c r="L45" i="19"/>
  <c r="R45" i="19" s="1"/>
  <c r="U45" i="19" s="1"/>
  <c r="L51" i="19"/>
  <c r="R51" i="19" s="1"/>
  <c r="U51" i="19" s="1"/>
  <c r="H61" i="19"/>
  <c r="G61" i="19"/>
  <c r="I61" i="19" s="1"/>
  <c r="P63" i="19"/>
  <c r="G47" i="19"/>
  <c r="I47" i="19" s="1"/>
  <c r="J47" i="19" s="1"/>
  <c r="N40" i="19"/>
  <c r="O40" i="19" s="1"/>
  <c r="M56" i="19"/>
  <c r="L56" i="19"/>
  <c r="N56" i="19"/>
  <c r="O56" i="19" s="1"/>
  <c r="Q63" i="19"/>
  <c r="L40" i="19"/>
  <c r="P40" i="19" s="1"/>
  <c r="G56" i="19"/>
  <c r="I56" i="19" s="1"/>
  <c r="J56" i="19" s="1"/>
  <c r="N44" i="19"/>
  <c r="O44" i="19" s="1"/>
  <c r="G64" i="19"/>
  <c r="I64" i="19" s="1"/>
  <c r="J64" i="19" s="1"/>
  <c r="N48" i="19"/>
  <c r="O48" i="19" s="1"/>
  <c r="L48" i="19"/>
  <c r="M48" i="19"/>
  <c r="N41" i="19"/>
  <c r="O41" i="19" s="1"/>
  <c r="M41" i="19"/>
  <c r="L41" i="19"/>
  <c r="F41" i="19"/>
  <c r="G55" i="19"/>
  <c r="I55" i="19" s="1"/>
  <c r="H55" i="19"/>
  <c r="L55" i="19"/>
  <c r="N55" i="19"/>
  <c r="O55" i="19" s="1"/>
  <c r="M55" i="19"/>
  <c r="F54" i="19"/>
  <c r="G43" i="19"/>
  <c r="I43" i="19" s="1"/>
  <c r="J43" i="19" s="1"/>
  <c r="G51" i="19"/>
  <c r="I51" i="19" s="1"/>
  <c r="J51" i="19" s="1"/>
  <c r="H44" i="19"/>
  <c r="J44" i="19" s="1"/>
  <c r="G45" i="19"/>
  <c r="I45" i="19" s="1"/>
  <c r="J45" i="19" s="1"/>
  <c r="R53" i="19"/>
  <c r="U53" i="19" s="1"/>
  <c r="X53" i="19" s="1"/>
  <c r="Q53" i="19"/>
  <c r="P53" i="19"/>
  <c r="P46" i="19"/>
  <c r="R46" i="19"/>
  <c r="U46" i="19" s="1"/>
  <c r="X46" i="19" s="1"/>
  <c r="Q46" i="19"/>
  <c r="R60" i="19"/>
  <c r="U60" i="19" s="1"/>
  <c r="X60" i="19" s="1"/>
  <c r="Q60" i="19"/>
  <c r="P60" i="19"/>
  <c r="P54" i="19"/>
  <c r="R54" i="19"/>
  <c r="U54" i="19" s="1"/>
  <c r="X54" i="19" s="1"/>
  <c r="Q54" i="19"/>
  <c r="G59" i="19"/>
  <c r="I59" i="19" s="1"/>
  <c r="H59" i="19"/>
  <c r="S58" i="19"/>
  <c r="T58" i="19" s="1"/>
  <c r="R50" i="19"/>
  <c r="U50" i="19" s="1"/>
  <c r="X50" i="19" s="1"/>
  <c r="Q50" i="19"/>
  <c r="P50" i="19"/>
  <c r="G50" i="19"/>
  <c r="I50" i="19" s="1"/>
  <c r="H50" i="19"/>
  <c r="P62" i="19"/>
  <c r="R62" i="19"/>
  <c r="U62" i="19" s="1"/>
  <c r="X62" i="19" s="1"/>
  <c r="Q62" i="19"/>
  <c r="P42" i="19"/>
  <c r="R42" i="19"/>
  <c r="U42" i="19" s="1"/>
  <c r="X42" i="19" s="1"/>
  <c r="Q42" i="19"/>
  <c r="Q52" i="19"/>
  <c r="R52" i="19"/>
  <c r="U52" i="19" s="1"/>
  <c r="X52" i="19" s="1"/>
  <c r="P52" i="19"/>
  <c r="G53" i="19"/>
  <c r="I53" i="19" s="1"/>
  <c r="H53" i="19"/>
  <c r="J53" i="19" s="1"/>
  <c r="X45" i="19" l="1"/>
  <c r="R47" i="19"/>
  <c r="U47" i="19" s="1"/>
  <c r="X47" i="19" s="1"/>
  <c r="Q47" i="19"/>
  <c r="S47" i="19" s="1"/>
  <c r="T47" i="19" s="1"/>
  <c r="C21" i="20"/>
  <c r="G2" i="20" s="1"/>
  <c r="J3" i="20" s="1"/>
  <c r="R43" i="19"/>
  <c r="U43" i="19" s="1"/>
  <c r="X43" i="19" s="1"/>
  <c r="H60" i="19"/>
  <c r="J60" i="19" s="1"/>
  <c r="H42" i="19"/>
  <c r="J42" i="19" s="1"/>
  <c r="C29" i="20"/>
  <c r="B30" i="20"/>
  <c r="F15" i="20"/>
  <c r="Q43" i="19"/>
  <c r="S43" i="19" s="1"/>
  <c r="T43" i="19" s="1"/>
  <c r="G63" i="19"/>
  <c r="I63" i="19" s="1"/>
  <c r="J63" i="19" s="1"/>
  <c r="P61" i="19"/>
  <c r="S61" i="19" s="1"/>
  <c r="T61" i="19" s="1"/>
  <c r="W61" i="19" s="1"/>
  <c r="Q61" i="19"/>
  <c r="R44" i="19"/>
  <c r="U44" i="19" s="1"/>
  <c r="X44" i="19" s="1"/>
  <c r="P44" i="19"/>
  <c r="S44" i="19" s="1"/>
  <c r="T44" i="19" s="1"/>
  <c r="P64" i="19"/>
  <c r="R64" i="19"/>
  <c r="U64" i="19" s="1"/>
  <c r="X64" i="19" s="1"/>
  <c r="G46" i="19"/>
  <c r="I46" i="19" s="1"/>
  <c r="J46" i="19" s="1"/>
  <c r="R57" i="19"/>
  <c r="U57" i="19" s="1"/>
  <c r="X57" i="19" s="1"/>
  <c r="S64" i="19"/>
  <c r="T64" i="19" s="1"/>
  <c r="J59" i="19"/>
  <c r="G52" i="19"/>
  <c r="I52" i="19" s="1"/>
  <c r="Q57" i="19"/>
  <c r="S57" i="19" s="1"/>
  <c r="T57" i="19" s="1"/>
  <c r="W57" i="19" s="1"/>
  <c r="P59" i="19"/>
  <c r="S59" i="19" s="1"/>
  <c r="T59" i="19" s="1"/>
  <c r="H52" i="19"/>
  <c r="J61" i="19"/>
  <c r="R59" i="19"/>
  <c r="U59" i="19" s="1"/>
  <c r="X59" i="19" s="1"/>
  <c r="J50" i="19"/>
  <c r="W47" i="19"/>
  <c r="J55" i="19"/>
  <c r="R49" i="19"/>
  <c r="U49" i="19" s="1"/>
  <c r="X49" i="19" s="1"/>
  <c r="P49" i="19"/>
  <c r="S49" i="19" s="1"/>
  <c r="T49" i="19" s="1"/>
  <c r="P45" i="19"/>
  <c r="Q51" i="19"/>
  <c r="Q45" i="19"/>
  <c r="S63" i="19"/>
  <c r="T63" i="19" s="1"/>
  <c r="W63" i="19" s="1"/>
  <c r="P51" i="19"/>
  <c r="Q40" i="19"/>
  <c r="S40" i="19" s="1"/>
  <c r="T40" i="19" s="1"/>
  <c r="G41" i="19"/>
  <c r="I41" i="19" s="1"/>
  <c r="H41" i="19"/>
  <c r="P41" i="19"/>
  <c r="R41" i="19"/>
  <c r="U41" i="19" s="1"/>
  <c r="X41" i="19" s="1"/>
  <c r="Q41" i="19"/>
  <c r="R56" i="19"/>
  <c r="U56" i="19" s="1"/>
  <c r="X56" i="19" s="1"/>
  <c r="Q56" i="19"/>
  <c r="P56" i="19"/>
  <c r="R48" i="19"/>
  <c r="U48" i="19" s="1"/>
  <c r="X48" i="19" s="1"/>
  <c r="Q48" i="19"/>
  <c r="P48" i="19"/>
  <c r="R40" i="19"/>
  <c r="U40" i="19" s="1"/>
  <c r="X40" i="19" s="1"/>
  <c r="Q55" i="19"/>
  <c r="R55" i="19"/>
  <c r="U55" i="19" s="1"/>
  <c r="X55" i="19" s="1"/>
  <c r="P55" i="19"/>
  <c r="H54" i="19"/>
  <c r="G54" i="19"/>
  <c r="I54" i="19" s="1"/>
  <c r="S54" i="19"/>
  <c r="T54" i="19" s="1"/>
  <c r="S62" i="19"/>
  <c r="T62" i="19" s="1"/>
  <c r="W62" i="19" s="1"/>
  <c r="S46" i="19"/>
  <c r="T46" i="19" s="1"/>
  <c r="V46" i="19" s="1"/>
  <c r="W58" i="19"/>
  <c r="V58" i="19"/>
  <c r="S50" i="19"/>
  <c r="T50" i="19" s="1"/>
  <c r="W50" i="19" s="1"/>
  <c r="X51" i="19"/>
  <c r="S60" i="19"/>
  <c r="T60" i="19" s="1"/>
  <c r="X61" i="19"/>
  <c r="V47" i="19"/>
  <c r="S52" i="19"/>
  <c r="T52" i="19" s="1"/>
  <c r="S53" i="19"/>
  <c r="T53" i="19" s="1"/>
  <c r="S42" i="19"/>
  <c r="T42" i="19" s="1"/>
  <c r="J4" i="20" l="1"/>
  <c r="J5" i="20" s="1"/>
  <c r="G15" i="20" s="1"/>
  <c r="J15" i="20" s="1"/>
  <c r="F16" i="20"/>
  <c r="I15" i="20"/>
  <c r="B31" i="20"/>
  <c r="C31" i="20" s="1"/>
  <c r="C30" i="20"/>
  <c r="V64" i="19"/>
  <c r="J52" i="19"/>
  <c r="W64" i="19"/>
  <c r="S41" i="19"/>
  <c r="T41" i="19" s="1"/>
  <c r="W41" i="19" s="1"/>
  <c r="J41" i="19"/>
  <c r="Z47" i="19"/>
  <c r="AA47" i="19" s="1"/>
  <c r="AC47" i="19" s="1"/>
  <c r="S45" i="19"/>
  <c r="T45" i="19" s="1"/>
  <c r="V45" i="19" s="1"/>
  <c r="W49" i="19"/>
  <c r="J54" i="19"/>
  <c r="V49" i="19"/>
  <c r="S51" i="19"/>
  <c r="T51" i="19" s="1"/>
  <c r="W51" i="19" s="1"/>
  <c r="V63" i="19"/>
  <c r="Y63" i="19" s="1"/>
  <c r="AB63" i="19" s="1"/>
  <c r="S48" i="19"/>
  <c r="T48" i="19" s="1"/>
  <c r="W48" i="19" s="1"/>
  <c r="S55" i="19"/>
  <c r="T55" i="19" s="1"/>
  <c r="W55" i="19" s="1"/>
  <c r="V40" i="19"/>
  <c r="S56" i="19"/>
  <c r="T56" i="19" s="1"/>
  <c r="W40" i="19"/>
  <c r="V62" i="19"/>
  <c r="Z62" i="19" s="1"/>
  <c r="V57" i="19"/>
  <c r="Y57" i="19" s="1"/>
  <c r="AB57" i="19" s="1"/>
  <c r="Y58" i="19"/>
  <c r="AB58" i="19" s="1"/>
  <c r="V43" i="19"/>
  <c r="W43" i="19"/>
  <c r="W59" i="19"/>
  <c r="V59" i="19"/>
  <c r="Z58" i="19"/>
  <c r="AA58" i="19" s="1"/>
  <c r="AC58" i="19" s="1"/>
  <c r="W53" i="19"/>
  <c r="V53" i="19"/>
  <c r="V42" i="19"/>
  <c r="W42" i="19"/>
  <c r="V60" i="19"/>
  <c r="W60" i="19"/>
  <c r="W52" i="19"/>
  <c r="V52" i="19"/>
  <c r="W44" i="19"/>
  <c r="V44" i="19"/>
  <c r="Z64" i="19"/>
  <c r="AA64" i="19" s="1"/>
  <c r="AC64" i="19" s="1"/>
  <c r="W46" i="19"/>
  <c r="Z46" i="19" s="1"/>
  <c r="Y64" i="19"/>
  <c r="AB64" i="19" s="1"/>
  <c r="V50" i="19"/>
  <c r="W54" i="19"/>
  <c r="V54" i="19"/>
  <c r="Y47" i="19"/>
  <c r="AB47" i="19" s="1"/>
  <c r="V61" i="19"/>
  <c r="Z49" i="19" l="1"/>
  <c r="AA49" i="19" s="1"/>
  <c r="AC49" i="19" s="1"/>
  <c r="W45" i="19"/>
  <c r="V41" i="19"/>
  <c r="Z41" i="19" s="1"/>
  <c r="AA41" i="19" s="1"/>
  <c r="AC41" i="19" s="1"/>
  <c r="H15" i="20"/>
  <c r="G9" i="20"/>
  <c r="G10" i="20"/>
  <c r="G12" i="20"/>
  <c r="G11" i="20"/>
  <c r="G13" i="20"/>
  <c r="G14" i="20"/>
  <c r="G16" i="20"/>
  <c r="I16" i="20" s="1"/>
  <c r="F17" i="20"/>
  <c r="AD47" i="19"/>
  <c r="AD64" i="19"/>
  <c r="Y40" i="19"/>
  <c r="AB40" i="19" s="1"/>
  <c r="AD58" i="19"/>
  <c r="Z63" i="19"/>
  <c r="AA63" i="19" s="1"/>
  <c r="AC63" i="19" s="1"/>
  <c r="AD63" i="19" s="1"/>
  <c r="V48" i="19"/>
  <c r="Z48" i="19" s="1"/>
  <c r="AA48" i="19" s="1"/>
  <c r="AC48" i="19" s="1"/>
  <c r="V51" i="19"/>
  <c r="Z51" i="19" s="1"/>
  <c r="AA51" i="19" s="1"/>
  <c r="AC51" i="19" s="1"/>
  <c r="V55" i="19"/>
  <c r="Y49" i="19"/>
  <c r="AB49" i="19" s="1"/>
  <c r="AD49" i="19" s="1"/>
  <c r="Y41" i="19"/>
  <c r="AB41" i="19" s="1"/>
  <c r="AD41" i="19" s="1"/>
  <c r="Z55" i="19"/>
  <c r="AA55" i="19" s="1"/>
  <c r="AC55" i="19" s="1"/>
  <c r="Z40" i="19"/>
  <c r="AA40" i="19" s="1"/>
  <c r="AC40" i="19" s="1"/>
  <c r="Z57" i="19"/>
  <c r="AA57" i="19" s="1"/>
  <c r="AC57" i="19" s="1"/>
  <c r="AD57" i="19" s="1"/>
  <c r="Y55" i="19"/>
  <c r="AB55" i="19" s="1"/>
  <c r="AD55" i="19" s="1"/>
  <c r="Z43" i="19"/>
  <c r="AA43" i="19" s="1"/>
  <c r="AC43" i="19" s="1"/>
  <c r="W56" i="19"/>
  <c r="V56" i="19"/>
  <c r="Y59" i="19"/>
  <c r="AB59" i="19" s="1"/>
  <c r="AA62" i="19"/>
  <c r="AC62" i="19" s="1"/>
  <c r="Y62" i="19"/>
  <c r="AB62" i="19" s="1"/>
  <c r="Y43" i="19"/>
  <c r="AB43" i="19" s="1"/>
  <c r="Z60" i="19"/>
  <c r="AA60" i="19" s="1"/>
  <c r="AC60" i="19" s="1"/>
  <c r="Z59" i="19"/>
  <c r="AA59" i="19" s="1"/>
  <c r="AC59" i="19" s="1"/>
  <c r="Y46" i="19"/>
  <c r="AB46" i="19" s="1"/>
  <c r="Z52" i="19"/>
  <c r="AA52" i="19" s="1"/>
  <c r="AC52" i="19" s="1"/>
  <c r="Y61" i="19"/>
  <c r="AB61" i="19" s="1"/>
  <c r="Y42" i="19"/>
  <c r="AB42" i="19" s="1"/>
  <c r="Y52" i="19"/>
  <c r="AB52" i="19" s="1"/>
  <c r="AD52" i="19" s="1"/>
  <c r="Y51" i="19"/>
  <c r="AB51" i="19" s="1"/>
  <c r="Z61" i="19"/>
  <c r="AA61" i="19" s="1"/>
  <c r="AC61" i="19" s="1"/>
  <c r="Y44" i="19"/>
  <c r="AB44" i="19" s="1"/>
  <c r="Y53" i="19"/>
  <c r="AB53" i="19" s="1"/>
  <c r="Z42" i="19"/>
  <c r="AA42" i="19" s="1"/>
  <c r="AC42" i="19" s="1"/>
  <c r="Z53" i="19"/>
  <c r="AA53" i="19" s="1"/>
  <c r="AC53" i="19" s="1"/>
  <c r="Y50" i="19"/>
  <c r="AB50" i="19" s="1"/>
  <c r="AA46" i="19"/>
  <c r="AC46" i="19" s="1"/>
  <c r="Y54" i="19"/>
  <c r="AB54" i="19" s="1"/>
  <c r="Z44" i="19"/>
  <c r="AA44" i="19" s="1"/>
  <c r="AC44" i="19" s="1"/>
  <c r="Y60" i="19"/>
  <c r="AB60" i="19" s="1"/>
  <c r="Y45" i="19"/>
  <c r="AB45" i="19" s="1"/>
  <c r="Z54" i="19"/>
  <c r="AA54" i="19" s="1"/>
  <c r="AC54" i="19" s="1"/>
  <c r="Z50" i="19"/>
  <c r="AA50" i="19" s="1"/>
  <c r="AC50" i="19" s="1"/>
  <c r="Z45" i="19"/>
  <c r="AA45" i="19" s="1"/>
  <c r="AC45" i="19" s="1"/>
  <c r="AD60" i="19" l="1"/>
  <c r="H14" i="20"/>
  <c r="J14" i="20"/>
  <c r="I14" i="20"/>
  <c r="I13" i="20"/>
  <c r="J13" i="20"/>
  <c r="H13" i="20"/>
  <c r="Y48" i="19"/>
  <c r="AB48" i="19" s="1"/>
  <c r="I11" i="20"/>
  <c r="J11" i="20"/>
  <c r="H11" i="20"/>
  <c r="I12" i="20"/>
  <c r="H12" i="20"/>
  <c r="J12" i="20"/>
  <c r="J10" i="20"/>
  <c r="I10" i="20"/>
  <c r="H10" i="20"/>
  <c r="J9" i="20"/>
  <c r="H9" i="20"/>
  <c r="I9" i="20"/>
  <c r="AD46" i="19"/>
  <c r="AD40" i="19"/>
  <c r="J16" i="20"/>
  <c r="H16" i="20"/>
  <c r="G17" i="20"/>
  <c r="H17" i="20" s="1"/>
  <c r="F18" i="20"/>
  <c r="AD51" i="19"/>
  <c r="AD48" i="19"/>
  <c r="AD62" i="19"/>
  <c r="AD42" i="19"/>
  <c r="AD43" i="19"/>
  <c r="AD54" i="19"/>
  <c r="AD45" i="19"/>
  <c r="AD50" i="19"/>
  <c r="AD61" i="19"/>
  <c r="AD53" i="19"/>
  <c r="AD59" i="19"/>
  <c r="AD44" i="19"/>
  <c r="Y56" i="19"/>
  <c r="AB56" i="19" s="1"/>
  <c r="Z56" i="19"/>
  <c r="AA56" i="19" s="1"/>
  <c r="AC56" i="19" s="1"/>
  <c r="I17" i="20" l="1"/>
  <c r="J17" i="20"/>
  <c r="F19" i="20"/>
  <c r="G18" i="20"/>
  <c r="H18" i="20"/>
  <c r="J18" i="20"/>
  <c r="I18" i="20"/>
  <c r="AD56" i="19"/>
  <c r="F20" i="20" l="1"/>
  <c r="G19" i="20"/>
  <c r="I19" i="20" s="1"/>
  <c r="J19" i="20"/>
  <c r="H19" i="20"/>
  <c r="G20" i="20" l="1"/>
  <c r="F21" i="20"/>
  <c r="I20" i="20"/>
  <c r="H20" i="20"/>
  <c r="J20" i="20"/>
  <c r="G21" i="20" l="1"/>
  <c r="I21" i="20" s="1"/>
  <c r="F22" i="20"/>
  <c r="H21" i="20" l="1"/>
  <c r="F23" i="20"/>
  <c r="G22" i="20"/>
  <c r="I22" i="20" s="1"/>
  <c r="J21" i="20"/>
  <c r="H22" i="20" l="1"/>
  <c r="J22" i="20"/>
  <c r="F24" i="20"/>
  <c r="G23" i="20"/>
  <c r="J23" i="20"/>
  <c r="H23" i="20"/>
  <c r="I23" i="20"/>
  <c r="G24" i="20" l="1"/>
  <c r="F25" i="20"/>
  <c r="J24" i="20"/>
  <c r="I24" i="20"/>
  <c r="H24" i="20"/>
  <c r="F26" i="20" l="1"/>
  <c r="G25" i="20"/>
  <c r="H25" i="20" s="1"/>
  <c r="I25" i="20"/>
  <c r="J25" i="20"/>
  <c r="G26" i="20" l="1"/>
  <c r="I26" i="20" s="1"/>
  <c r="F27" i="20"/>
  <c r="J26" i="20"/>
  <c r="H26" i="20" l="1"/>
  <c r="G27" i="20"/>
  <c r="H27" i="20" s="1"/>
  <c r="F28" i="20"/>
  <c r="I27" i="20"/>
  <c r="J27" i="20" l="1"/>
  <c r="G28" i="20"/>
  <c r="I28" i="20" s="1"/>
  <c r="F29" i="20"/>
  <c r="J28" i="20"/>
  <c r="H28" i="20" l="1"/>
  <c r="F30" i="20"/>
  <c r="G29" i="20"/>
  <c r="J29" i="20" s="1"/>
  <c r="I29" i="20"/>
  <c r="H29" i="20" l="1"/>
  <c r="G30" i="20"/>
  <c r="J30" i="20" s="1"/>
  <c r="F31" i="20"/>
  <c r="H30" i="20" l="1"/>
  <c r="I30" i="20"/>
  <c r="G31" i="20"/>
  <c r="F32" i="20"/>
  <c r="H31" i="20"/>
  <c r="I31" i="20"/>
  <c r="J31" i="20"/>
  <c r="F33" i="20" l="1"/>
  <c r="G32" i="20"/>
  <c r="J32" i="20"/>
  <c r="I32" i="20"/>
  <c r="H32" i="20"/>
  <c r="G33" i="20" l="1"/>
  <c r="F34" i="20"/>
  <c r="H33" i="20"/>
  <c r="I33" i="20"/>
  <c r="J33" i="20"/>
  <c r="F35" i="20" l="1"/>
  <c r="G34" i="20"/>
  <c r="I34" i="20"/>
  <c r="H34" i="20"/>
  <c r="J34" i="20"/>
  <c r="G35" i="20" l="1"/>
  <c r="F36" i="20"/>
  <c r="I35" i="20"/>
  <c r="H35" i="20"/>
  <c r="J35" i="20"/>
  <c r="F37" i="20" l="1"/>
  <c r="G36" i="20"/>
  <c r="I36" i="20" s="1"/>
  <c r="J36" i="20"/>
  <c r="H36" i="20"/>
  <c r="G37" i="20" l="1"/>
  <c r="F38" i="20"/>
  <c r="J37" i="20"/>
  <c r="I37" i="20"/>
  <c r="H37" i="20"/>
  <c r="G38" i="20" l="1"/>
  <c r="F39" i="20"/>
  <c r="H38" i="20"/>
  <c r="I38" i="20"/>
  <c r="J38" i="20"/>
  <c r="F40" i="20" l="1"/>
  <c r="G39" i="20"/>
  <c r="I39" i="20"/>
  <c r="H39" i="20"/>
  <c r="J39" i="20"/>
  <c r="F41" i="20" l="1"/>
  <c r="G40" i="20"/>
  <c r="I40" i="20"/>
  <c r="J40" i="20"/>
  <c r="H40" i="20"/>
  <c r="F42" i="20" l="1"/>
  <c r="G41" i="20"/>
  <c r="I41" i="20"/>
  <c r="J41" i="20"/>
  <c r="H41" i="20"/>
  <c r="G42" i="20" l="1"/>
  <c r="J42" i="20" s="1"/>
  <c r="F43" i="20"/>
  <c r="I42" i="20" l="1"/>
  <c r="H42" i="20"/>
  <c r="G43" i="20"/>
  <c r="H43" i="20" s="1"/>
  <c r="F44" i="20"/>
  <c r="I43" i="20"/>
  <c r="J43" i="20"/>
  <c r="F45" i="20" l="1"/>
  <c r="G44" i="20"/>
  <c r="I44" i="20"/>
  <c r="H44" i="20"/>
  <c r="J44" i="20"/>
  <c r="G45" i="20" l="1"/>
  <c r="F46" i="20"/>
  <c r="J45" i="20"/>
  <c r="I45" i="20"/>
  <c r="H45" i="20"/>
  <c r="G46" i="20" l="1"/>
  <c r="F47" i="20"/>
  <c r="J46" i="20"/>
  <c r="I46" i="20"/>
  <c r="H46" i="20"/>
  <c r="F48" i="20" l="1"/>
  <c r="G47" i="20"/>
  <c r="J47" i="20"/>
  <c r="H47" i="20"/>
  <c r="I47" i="20"/>
  <c r="G48" i="20" l="1"/>
  <c r="F49" i="20"/>
  <c r="J48" i="20"/>
  <c r="H48" i="20"/>
  <c r="I48" i="20"/>
  <c r="F50" i="20" l="1"/>
  <c r="G49" i="20"/>
  <c r="J49" i="20"/>
  <c r="H49" i="20"/>
  <c r="I49" i="20"/>
  <c r="G50" i="20" l="1"/>
  <c r="F51" i="20"/>
  <c r="H50" i="20"/>
  <c r="J50" i="20"/>
  <c r="I50" i="20"/>
  <c r="F52" i="20" l="1"/>
  <c r="G51" i="20"/>
  <c r="J51" i="20"/>
  <c r="H51" i="20"/>
  <c r="I51" i="20"/>
  <c r="F53" i="20" l="1"/>
  <c r="G52" i="20"/>
  <c r="J52" i="20"/>
  <c r="H52" i="20"/>
  <c r="I52" i="20"/>
  <c r="G53" i="20" l="1"/>
  <c r="F54" i="20"/>
  <c r="J53" i="20"/>
  <c r="I53" i="20"/>
  <c r="H53" i="20"/>
  <c r="G54" i="20" l="1"/>
  <c r="F55" i="20"/>
  <c r="J54" i="20"/>
  <c r="H54" i="20"/>
  <c r="I54" i="20"/>
  <c r="F56" i="20" l="1"/>
  <c r="G55" i="20"/>
  <c r="I55" i="20"/>
  <c r="H55" i="20"/>
  <c r="J55" i="20"/>
  <c r="G56" i="20" l="1"/>
  <c r="F57" i="20"/>
  <c r="J56" i="20"/>
  <c r="H56" i="20"/>
  <c r="I56" i="20"/>
  <c r="F58" i="20" l="1"/>
  <c r="G57" i="20"/>
  <c r="I57" i="20"/>
  <c r="H57" i="20"/>
  <c r="J57" i="20"/>
  <c r="F59" i="20" l="1"/>
  <c r="G58" i="20"/>
  <c r="H58" i="20"/>
  <c r="J58" i="20"/>
  <c r="I58" i="20"/>
  <c r="F60" i="20" l="1"/>
  <c r="G59" i="20"/>
  <c r="H59" i="20"/>
  <c r="I59" i="20"/>
  <c r="J59" i="20"/>
  <c r="F61" i="20" l="1"/>
  <c r="G60" i="20"/>
  <c r="J60" i="20"/>
  <c r="I60" i="20"/>
  <c r="H60" i="20"/>
  <c r="G61" i="20" l="1"/>
  <c r="J61" i="20" s="1"/>
  <c r="F62" i="20"/>
  <c r="I61" i="20"/>
  <c r="H61" i="20" l="1"/>
  <c r="F63" i="20"/>
  <c r="G62" i="20"/>
  <c r="H62" i="20" s="1"/>
  <c r="I62" i="20"/>
  <c r="J62" i="20" l="1"/>
  <c r="F64" i="20"/>
  <c r="G63" i="20"/>
  <c r="I63" i="20" s="1"/>
  <c r="J63" i="20"/>
  <c r="H63" i="20" l="1"/>
  <c r="G64" i="20"/>
  <c r="J64" i="20" s="1"/>
  <c r="F65" i="20"/>
  <c r="H64" i="20"/>
  <c r="I64" i="20" l="1"/>
  <c r="G65" i="20"/>
  <c r="H65" i="20" s="1"/>
  <c r="F66" i="20"/>
  <c r="J65" i="20" l="1"/>
  <c r="I65" i="20"/>
  <c r="G66" i="20"/>
  <c r="F67" i="20"/>
  <c r="J66" i="20"/>
  <c r="I66" i="20"/>
  <c r="H66" i="20"/>
  <c r="F68" i="20" l="1"/>
  <c r="G67" i="20"/>
  <c r="J67" i="20" s="1"/>
  <c r="I67" i="20"/>
  <c r="H67" i="20"/>
  <c r="G68" i="20" l="1"/>
  <c r="F69" i="20"/>
  <c r="I68" i="20"/>
  <c r="J68" i="20"/>
  <c r="H68" i="20"/>
  <c r="G69" i="20" l="1"/>
  <c r="F70" i="20"/>
  <c r="J69" i="20"/>
  <c r="I69" i="20"/>
  <c r="H69" i="20"/>
  <c r="F71" i="20" l="1"/>
  <c r="G70" i="20"/>
  <c r="J70" i="20"/>
  <c r="I70" i="20"/>
  <c r="H70" i="20"/>
  <c r="F72" i="20" l="1"/>
  <c r="G71" i="20"/>
  <c r="H71" i="20"/>
  <c r="I71" i="20"/>
  <c r="J71" i="20"/>
  <c r="F73" i="20" l="1"/>
  <c r="G72" i="20"/>
  <c r="I72" i="20"/>
  <c r="H72" i="20"/>
  <c r="J72" i="20"/>
  <c r="G73" i="20" l="1"/>
  <c r="F74" i="20"/>
  <c r="J73" i="20"/>
  <c r="H73" i="20"/>
  <c r="I73" i="20"/>
  <c r="F75" i="20" l="1"/>
  <c r="G74" i="20"/>
  <c r="I74" i="20"/>
  <c r="H74" i="20"/>
  <c r="J74" i="20"/>
  <c r="G75" i="20" l="1"/>
  <c r="F76" i="20"/>
  <c r="J75" i="20"/>
  <c r="H75" i="20"/>
  <c r="I75" i="20"/>
  <c r="F77" i="20" l="1"/>
  <c r="G76" i="20"/>
  <c r="J76" i="20"/>
  <c r="I76" i="20"/>
  <c r="H76" i="20"/>
  <c r="F78" i="20" l="1"/>
  <c r="G77" i="20"/>
  <c r="I77" i="20"/>
  <c r="H77" i="20"/>
  <c r="J77" i="20"/>
  <c r="G78" i="20" l="1"/>
  <c r="F79" i="20"/>
  <c r="I78" i="20"/>
  <c r="J78" i="20"/>
  <c r="H78" i="20"/>
  <c r="F80" i="20" l="1"/>
  <c r="G79" i="20"/>
  <c r="J79" i="20"/>
  <c r="H79" i="20"/>
  <c r="I79" i="20"/>
  <c r="G80" i="20" l="1"/>
  <c r="F81" i="20"/>
  <c r="H80" i="20"/>
  <c r="J80" i="20"/>
  <c r="I80" i="20"/>
  <c r="F82" i="20" l="1"/>
  <c r="G81" i="20"/>
  <c r="I81" i="20"/>
  <c r="H81" i="20"/>
  <c r="J81" i="20"/>
  <c r="G82" i="20" l="1"/>
  <c r="F83" i="20"/>
  <c r="J82" i="20"/>
  <c r="I82" i="20"/>
  <c r="H82" i="20"/>
  <c r="F84" i="20" l="1"/>
  <c r="G83" i="20"/>
  <c r="H83" i="20"/>
  <c r="J83" i="20"/>
  <c r="I83" i="20"/>
  <c r="F85" i="20" l="1"/>
  <c r="G84" i="20"/>
  <c r="J84" i="20"/>
  <c r="H84" i="20"/>
  <c r="I84" i="20"/>
  <c r="F86" i="20" l="1"/>
  <c r="G85" i="20"/>
  <c r="I85" i="20"/>
  <c r="J85" i="20"/>
  <c r="H85" i="20"/>
  <c r="F87" i="20" l="1"/>
  <c r="G86" i="20"/>
  <c r="I86" i="20"/>
  <c r="J86" i="20"/>
  <c r="H86" i="20"/>
  <c r="F88" i="20" l="1"/>
  <c r="G87" i="20"/>
  <c r="J87" i="20"/>
  <c r="I87" i="20"/>
  <c r="H87" i="20"/>
  <c r="F89" i="20" l="1"/>
  <c r="G88" i="20"/>
  <c r="I88" i="20"/>
  <c r="J88" i="20"/>
  <c r="H88" i="20"/>
  <c r="G89" i="20" l="1"/>
  <c r="F90" i="20"/>
  <c r="H89" i="20"/>
  <c r="I89" i="20"/>
  <c r="J89" i="20"/>
  <c r="F91" i="20" l="1"/>
  <c r="G90" i="20"/>
  <c r="H90" i="20"/>
  <c r="J90" i="20"/>
  <c r="I90" i="20"/>
  <c r="G91" i="20" l="1"/>
  <c r="F92" i="20"/>
  <c r="H91" i="20"/>
  <c r="I91" i="20"/>
  <c r="J91" i="20"/>
  <c r="F93" i="20" l="1"/>
  <c r="G92" i="20"/>
  <c r="H92" i="20"/>
  <c r="J92" i="20"/>
  <c r="I92" i="20"/>
  <c r="G93" i="20" l="1"/>
  <c r="F94" i="20"/>
  <c r="J93" i="20"/>
  <c r="I93" i="20"/>
  <c r="H93" i="20"/>
  <c r="F95" i="20" l="1"/>
  <c r="G94" i="20"/>
  <c r="J94" i="20"/>
  <c r="H94" i="20"/>
  <c r="I94" i="20"/>
  <c r="G95" i="20" l="1"/>
  <c r="F96" i="20"/>
  <c r="J95" i="20"/>
  <c r="H95" i="20"/>
  <c r="I95" i="20"/>
  <c r="F97" i="20" l="1"/>
  <c r="G96" i="20"/>
  <c r="H96" i="20"/>
  <c r="J96" i="20"/>
  <c r="I96" i="20"/>
  <c r="G97" i="20" l="1"/>
  <c r="F98" i="20"/>
  <c r="I97" i="20"/>
  <c r="J97" i="20"/>
  <c r="H97" i="20"/>
  <c r="F99" i="20" l="1"/>
  <c r="G98" i="20"/>
  <c r="J98" i="20"/>
  <c r="I98" i="20"/>
  <c r="H98" i="20"/>
  <c r="F100" i="20" l="1"/>
  <c r="G99" i="20"/>
  <c r="I99" i="20"/>
  <c r="J99" i="20"/>
  <c r="H99" i="20"/>
  <c r="F101" i="20" l="1"/>
  <c r="G100" i="20"/>
  <c r="I100" i="20"/>
  <c r="H100" i="20"/>
  <c r="J100" i="20"/>
  <c r="G101" i="20" l="1"/>
  <c r="F102" i="20"/>
  <c r="J101" i="20"/>
  <c r="I101" i="20"/>
  <c r="H101" i="20"/>
  <c r="F103" i="20" l="1"/>
  <c r="G102" i="20"/>
  <c r="H102" i="20"/>
  <c r="I102" i="20"/>
  <c r="J102" i="20"/>
  <c r="F104" i="20" l="1"/>
  <c r="G103" i="20"/>
  <c r="H103" i="20"/>
  <c r="J103" i="20"/>
  <c r="I103" i="20"/>
  <c r="G104" i="20" l="1"/>
  <c r="J104" i="20" s="1"/>
  <c r="F105" i="20"/>
  <c r="H104" i="20"/>
  <c r="I104" i="20" l="1"/>
  <c r="F106" i="20"/>
  <c r="G105" i="20"/>
  <c r="H105" i="20"/>
  <c r="J105" i="20"/>
  <c r="I105" i="20"/>
  <c r="G106" i="20" l="1"/>
  <c r="F107" i="20"/>
  <c r="J106" i="20"/>
  <c r="I106" i="20"/>
  <c r="H106" i="20"/>
  <c r="F108" i="20" l="1"/>
  <c r="G107" i="20"/>
  <c r="H107" i="20"/>
  <c r="J107" i="20"/>
  <c r="I107" i="20"/>
  <c r="F109" i="20" l="1"/>
  <c r="G108" i="20"/>
  <c r="H108" i="20"/>
  <c r="J108" i="20"/>
  <c r="I108" i="20"/>
  <c r="G109" i="20" l="1"/>
  <c r="F110" i="20"/>
  <c r="I109" i="20"/>
  <c r="J109" i="20"/>
  <c r="H109" i="20"/>
  <c r="G110" i="20" l="1"/>
  <c r="F111" i="20"/>
  <c r="I110" i="20"/>
  <c r="J110" i="20"/>
  <c r="H110" i="20"/>
  <c r="F112" i="20" l="1"/>
  <c r="G111" i="20"/>
  <c r="I111" i="20"/>
  <c r="H111" i="20"/>
  <c r="J111" i="20"/>
  <c r="G112" i="20" l="1"/>
  <c r="F113" i="20"/>
  <c r="I112" i="20"/>
  <c r="J112" i="20"/>
  <c r="H112" i="20"/>
  <c r="F114" i="20" l="1"/>
  <c r="G113" i="20"/>
  <c r="I113" i="20"/>
  <c r="H113" i="20"/>
  <c r="J113" i="20"/>
  <c r="F115" i="20" l="1"/>
  <c r="G114" i="20"/>
  <c r="I114" i="20"/>
  <c r="J114" i="20"/>
  <c r="H114" i="20"/>
  <c r="F116" i="20" l="1"/>
  <c r="G115" i="20"/>
  <c r="I115" i="20"/>
  <c r="J115" i="20"/>
  <c r="H115" i="20"/>
  <c r="F117" i="20" l="1"/>
  <c r="G116" i="20"/>
  <c r="I116" i="20"/>
  <c r="J116" i="20"/>
  <c r="H116" i="20"/>
  <c r="G117" i="20" l="1"/>
  <c r="F118" i="20"/>
  <c r="I117" i="20"/>
  <c r="H117" i="20"/>
  <c r="J117" i="20"/>
  <c r="G118" i="20" l="1"/>
  <c r="J118" i="20" s="1"/>
  <c r="F119" i="20"/>
  <c r="H118" i="20"/>
  <c r="I118" i="20"/>
  <c r="F120" i="20" l="1"/>
  <c r="G119" i="20"/>
  <c r="H119" i="20"/>
  <c r="I119" i="20"/>
  <c r="J119" i="20"/>
  <c r="G120" i="20" l="1"/>
  <c r="F121" i="20"/>
  <c r="I120" i="20"/>
  <c r="H120" i="20"/>
  <c r="J120" i="20"/>
  <c r="F122" i="20" l="1"/>
  <c r="G121" i="20"/>
  <c r="I121" i="20"/>
  <c r="H121" i="20"/>
  <c r="J121" i="20"/>
  <c r="G122" i="20" l="1"/>
  <c r="F123" i="20"/>
  <c r="H122" i="20"/>
  <c r="I122" i="20"/>
  <c r="J122" i="20"/>
  <c r="F124" i="20" l="1"/>
  <c r="G123" i="20"/>
  <c r="I123" i="20"/>
  <c r="H123" i="20"/>
  <c r="J123" i="20"/>
  <c r="F125" i="20" l="1"/>
  <c r="G124" i="20"/>
  <c r="J124" i="20"/>
  <c r="I124" i="20"/>
  <c r="H124" i="20"/>
  <c r="G125" i="20" l="1"/>
  <c r="F126" i="20"/>
  <c r="I125" i="20"/>
  <c r="J125" i="20"/>
  <c r="H125" i="20"/>
  <c r="G126" i="20" l="1"/>
  <c r="F127" i="20"/>
  <c r="J126" i="20"/>
  <c r="H126" i="20"/>
  <c r="I126" i="20"/>
  <c r="F128" i="20" l="1"/>
  <c r="G127" i="20"/>
  <c r="H127" i="20"/>
  <c r="I127" i="20"/>
  <c r="J127" i="20"/>
  <c r="G128" i="20" l="1"/>
  <c r="F129" i="20"/>
  <c r="H128" i="20"/>
  <c r="J128" i="20"/>
  <c r="I128" i="20"/>
  <c r="F130" i="20" l="1"/>
  <c r="G129" i="20"/>
  <c r="H129" i="20"/>
  <c r="J129" i="20"/>
  <c r="I129" i="20"/>
  <c r="G130" i="20" l="1"/>
  <c r="F131" i="20"/>
  <c r="H130" i="20"/>
  <c r="J130" i="20"/>
  <c r="I130" i="20"/>
  <c r="F132" i="20" l="1"/>
  <c r="G131" i="20"/>
  <c r="J131" i="20"/>
  <c r="I131" i="20"/>
  <c r="H131" i="20"/>
  <c r="F133" i="20" l="1"/>
  <c r="G132" i="20"/>
  <c r="I132" i="20"/>
  <c r="H132" i="20"/>
  <c r="J132" i="20"/>
  <c r="G133" i="20" l="1"/>
  <c r="F134" i="20"/>
  <c r="H133" i="20"/>
  <c r="J133" i="20"/>
  <c r="I133" i="20"/>
  <c r="G134" i="20" l="1"/>
  <c r="F135" i="20"/>
  <c r="H134" i="20"/>
  <c r="J134" i="20"/>
  <c r="I134" i="20"/>
  <c r="F136" i="20" l="1"/>
  <c r="G135" i="20"/>
  <c r="J135" i="20"/>
  <c r="I135" i="20"/>
  <c r="H135" i="20"/>
  <c r="F137" i="20" l="1"/>
  <c r="G136" i="20"/>
  <c r="H136" i="20"/>
  <c r="J136" i="20"/>
  <c r="I136" i="20"/>
  <c r="F138" i="20" l="1"/>
  <c r="G137" i="20"/>
  <c r="I137" i="20"/>
  <c r="H137" i="20"/>
  <c r="J137" i="20"/>
  <c r="G138" i="20" l="1"/>
  <c r="F139" i="20"/>
  <c r="J138" i="20"/>
  <c r="I138" i="20"/>
  <c r="H138" i="20"/>
  <c r="F140" i="20" l="1"/>
  <c r="G139" i="20"/>
  <c r="J139" i="20"/>
  <c r="H139" i="20"/>
  <c r="I139" i="20"/>
  <c r="F141" i="20" l="1"/>
  <c r="G140" i="20"/>
  <c r="I140" i="20"/>
  <c r="H140" i="20"/>
  <c r="J140" i="20"/>
  <c r="G141" i="20" l="1"/>
  <c r="F142" i="20"/>
  <c r="H141" i="20"/>
  <c r="I141" i="20"/>
  <c r="J141" i="20"/>
  <c r="F143" i="20" l="1"/>
  <c r="G142" i="20"/>
  <c r="I142" i="20"/>
  <c r="J142" i="20"/>
  <c r="H142" i="20"/>
  <c r="G143" i="20" l="1"/>
  <c r="F144" i="20"/>
  <c r="J143" i="20"/>
  <c r="I143" i="20"/>
  <c r="H143" i="20"/>
  <c r="F145" i="20" l="1"/>
  <c r="G144" i="20"/>
  <c r="J144" i="20"/>
  <c r="I144" i="20"/>
  <c r="H144" i="20"/>
  <c r="G145" i="20" l="1"/>
  <c r="F146" i="20"/>
  <c r="I145" i="20"/>
  <c r="H145" i="20"/>
  <c r="J145" i="20"/>
  <c r="F147" i="20" l="1"/>
  <c r="G146" i="20"/>
  <c r="I146" i="20"/>
  <c r="H146" i="20"/>
  <c r="J146" i="20"/>
  <c r="F148" i="20" l="1"/>
  <c r="G147" i="20"/>
  <c r="J147" i="20"/>
  <c r="H147" i="20"/>
  <c r="I147" i="20"/>
  <c r="F149" i="20" l="1"/>
  <c r="G148" i="20"/>
  <c r="H148" i="20"/>
  <c r="J148" i="20"/>
  <c r="I148" i="20"/>
  <c r="G149" i="20" l="1"/>
  <c r="F150" i="20"/>
  <c r="I149" i="20"/>
  <c r="H149" i="20"/>
  <c r="J149" i="20"/>
  <c r="F151" i="20" l="1"/>
  <c r="G150" i="20"/>
  <c r="H150" i="20"/>
  <c r="I150" i="20"/>
  <c r="J150" i="20"/>
  <c r="G151" i="20" l="1"/>
  <c r="F152" i="20"/>
  <c r="H151" i="20"/>
  <c r="J151" i="20"/>
  <c r="I151" i="20"/>
  <c r="F153" i="20" l="1"/>
  <c r="G152" i="20"/>
  <c r="H152" i="20"/>
  <c r="I152" i="20"/>
  <c r="J152" i="20"/>
  <c r="G153" i="20" l="1"/>
  <c r="F154" i="20"/>
  <c r="J153" i="20"/>
  <c r="H153" i="20"/>
  <c r="I153" i="20"/>
  <c r="F155" i="20" l="1"/>
  <c r="G154" i="20"/>
  <c r="I154" i="20"/>
  <c r="H154" i="20"/>
  <c r="J154" i="20"/>
  <c r="G155" i="20" l="1"/>
  <c r="F156" i="20"/>
  <c r="J155" i="20"/>
  <c r="H155" i="20"/>
  <c r="I155" i="20"/>
  <c r="F157" i="20" l="1"/>
  <c r="G156" i="20"/>
  <c r="H156" i="20"/>
  <c r="I156" i="20"/>
  <c r="J156" i="20"/>
  <c r="G157" i="20" l="1"/>
  <c r="F158" i="20"/>
  <c r="J157" i="20"/>
  <c r="H157" i="20"/>
  <c r="I157" i="20"/>
  <c r="F159" i="20" l="1"/>
  <c r="G158" i="20"/>
  <c r="I158" i="20"/>
  <c r="J158" i="20"/>
  <c r="H158" i="20"/>
  <c r="G159" i="20" l="1"/>
  <c r="F160" i="20"/>
  <c r="J159" i="20"/>
  <c r="I159" i="20"/>
  <c r="H159" i="20"/>
  <c r="F161" i="20" l="1"/>
  <c r="G160" i="20"/>
  <c r="H160" i="20"/>
  <c r="I160" i="20"/>
  <c r="J160" i="20"/>
  <c r="G161" i="20" l="1"/>
  <c r="F162" i="20"/>
  <c r="J161" i="20"/>
  <c r="I161" i="20"/>
  <c r="H161" i="20"/>
  <c r="F163" i="20" l="1"/>
  <c r="G162" i="20"/>
  <c r="H162" i="20"/>
  <c r="I162" i="20"/>
  <c r="J162" i="20"/>
  <c r="G163" i="20" l="1"/>
  <c r="J163" i="20" s="1"/>
  <c r="F164" i="20"/>
  <c r="H163" i="20"/>
  <c r="I163" i="20"/>
  <c r="F165" i="20" l="1"/>
  <c r="G164" i="20"/>
  <c r="H164" i="20"/>
  <c r="I164" i="20"/>
  <c r="J164" i="20"/>
  <c r="G165" i="20" l="1"/>
  <c r="F166" i="20"/>
  <c r="I165" i="20"/>
  <c r="J165" i="20"/>
  <c r="H165" i="20"/>
  <c r="F167" i="20" l="1"/>
  <c r="G166" i="20"/>
  <c r="J166" i="20"/>
  <c r="H166" i="20"/>
  <c r="I166" i="20"/>
  <c r="F168" i="20" l="1"/>
  <c r="G167" i="20"/>
  <c r="J167" i="20"/>
  <c r="H167" i="20"/>
  <c r="I167" i="20"/>
  <c r="F169" i="20" l="1"/>
  <c r="G168" i="20"/>
  <c r="I168" i="20"/>
  <c r="J168" i="20"/>
  <c r="H168" i="20"/>
  <c r="F170" i="20" l="1"/>
  <c r="G169" i="20"/>
  <c r="I169" i="20"/>
  <c r="J169" i="20"/>
  <c r="H169" i="20"/>
  <c r="F171" i="20" l="1"/>
  <c r="G170" i="20"/>
  <c r="J170" i="20"/>
  <c r="H170" i="20"/>
  <c r="I170" i="20"/>
  <c r="G171" i="20" l="1"/>
  <c r="F172" i="20"/>
  <c r="I171" i="20"/>
  <c r="H171" i="20"/>
  <c r="J171" i="20"/>
  <c r="F173" i="20" l="1"/>
  <c r="G172" i="20"/>
  <c r="J172" i="20"/>
  <c r="I172" i="20"/>
  <c r="H172" i="20"/>
  <c r="G173" i="20" l="1"/>
  <c r="F174" i="20"/>
  <c r="I173" i="20"/>
  <c r="J173" i="20"/>
  <c r="H173" i="20"/>
  <c r="F175" i="20" l="1"/>
  <c r="G174" i="20"/>
  <c r="H174" i="20"/>
  <c r="J174" i="20"/>
  <c r="I174" i="20"/>
  <c r="G175" i="20" l="1"/>
  <c r="F176" i="20"/>
  <c r="H175" i="20"/>
  <c r="I175" i="20"/>
  <c r="J175" i="20"/>
  <c r="F177" i="20" l="1"/>
  <c r="G176" i="20"/>
  <c r="J176" i="20"/>
  <c r="I176" i="20"/>
  <c r="H176" i="20"/>
  <c r="F178" i="20" l="1"/>
  <c r="G177" i="20"/>
  <c r="J177" i="20"/>
  <c r="H177" i="20"/>
  <c r="I177" i="20"/>
  <c r="F179" i="20" l="1"/>
  <c r="G178" i="20"/>
  <c r="H178" i="20"/>
  <c r="J178" i="20"/>
  <c r="I178" i="20"/>
  <c r="F180" i="20" l="1"/>
  <c r="G179" i="20"/>
  <c r="H179" i="20"/>
  <c r="J179" i="20"/>
  <c r="I179" i="20"/>
  <c r="F181" i="20" l="1"/>
  <c r="G180" i="20"/>
  <c r="J180" i="20"/>
  <c r="I180" i="20"/>
  <c r="H180" i="20"/>
  <c r="G181" i="20" l="1"/>
  <c r="F182" i="20"/>
  <c r="H181" i="20"/>
  <c r="J181" i="20"/>
  <c r="I181" i="20"/>
  <c r="F183" i="20" l="1"/>
  <c r="G182" i="20"/>
  <c r="I182" i="20"/>
  <c r="H182" i="20"/>
  <c r="J182" i="20"/>
  <c r="F184" i="20" l="1"/>
  <c r="G183" i="20"/>
  <c r="H183" i="20"/>
  <c r="I183" i="20"/>
  <c r="J183" i="20"/>
  <c r="G184" i="20" l="1"/>
  <c r="F185" i="20"/>
  <c r="J184" i="20"/>
  <c r="I184" i="20"/>
  <c r="H184" i="20"/>
  <c r="F186" i="20" l="1"/>
  <c r="G185" i="20"/>
  <c r="I185" i="20"/>
  <c r="J185" i="20"/>
  <c r="H185" i="20"/>
  <c r="G186" i="20" l="1"/>
  <c r="F187" i="20"/>
  <c r="H186" i="20"/>
  <c r="I186" i="20"/>
  <c r="J186" i="20"/>
  <c r="F188" i="20" l="1"/>
  <c r="G187" i="20"/>
  <c r="I187" i="20"/>
  <c r="H187" i="20"/>
  <c r="J187" i="20"/>
  <c r="F189" i="20" l="1"/>
  <c r="G188" i="20"/>
  <c r="J188" i="20"/>
  <c r="I188" i="20"/>
  <c r="H188" i="20"/>
  <c r="G189" i="20" l="1"/>
  <c r="F190" i="20"/>
  <c r="I189" i="20"/>
  <c r="J189" i="20"/>
  <c r="H189" i="20"/>
  <c r="G190" i="20" l="1"/>
  <c r="F191" i="20"/>
  <c r="I190" i="20"/>
  <c r="H190" i="20"/>
  <c r="J190" i="20"/>
  <c r="F192" i="20" l="1"/>
  <c r="G191" i="20"/>
  <c r="J191" i="20"/>
  <c r="I191" i="20"/>
  <c r="H191" i="20"/>
  <c r="G192" i="20" l="1"/>
  <c r="F193" i="20"/>
  <c r="J192" i="20"/>
  <c r="I192" i="20"/>
  <c r="H192" i="20"/>
  <c r="F194" i="20" l="1"/>
  <c r="G193" i="20"/>
  <c r="H193" i="20"/>
  <c r="J193" i="20"/>
  <c r="I193" i="20"/>
  <c r="G194" i="20" l="1"/>
  <c r="F195" i="20"/>
  <c r="H194" i="20"/>
  <c r="I194" i="20"/>
  <c r="J194" i="20"/>
  <c r="F196" i="20" l="1"/>
  <c r="G195" i="20"/>
  <c r="J195" i="20"/>
  <c r="H195" i="20"/>
  <c r="I195" i="20"/>
  <c r="F197" i="20" l="1"/>
  <c r="G196" i="20"/>
  <c r="J196" i="20"/>
  <c r="I196" i="20"/>
  <c r="H196" i="20"/>
  <c r="G197" i="20" l="1"/>
  <c r="F198" i="20"/>
  <c r="I197" i="20"/>
  <c r="J197" i="20"/>
  <c r="H197" i="20"/>
  <c r="G198" i="20" l="1"/>
  <c r="F199" i="20"/>
  <c r="J198" i="20"/>
  <c r="H198" i="20"/>
  <c r="I198" i="20"/>
  <c r="F200" i="20" l="1"/>
  <c r="G199" i="20"/>
  <c r="I199" i="20"/>
  <c r="H199" i="20"/>
  <c r="J199" i="20"/>
  <c r="G200" i="20" l="1"/>
  <c r="F201" i="20"/>
  <c r="I200" i="20"/>
  <c r="H200" i="20"/>
  <c r="J200" i="20"/>
  <c r="G201" i="20" l="1"/>
  <c r="F202" i="20"/>
  <c r="I201" i="20"/>
  <c r="H201" i="20"/>
  <c r="J201" i="20"/>
  <c r="F203" i="20" l="1"/>
  <c r="G202" i="20"/>
  <c r="I202" i="20"/>
  <c r="J202" i="20"/>
  <c r="H202" i="20"/>
  <c r="F204" i="20" l="1"/>
  <c r="G203" i="20"/>
  <c r="J203" i="20"/>
  <c r="I203" i="20"/>
  <c r="H203" i="20"/>
  <c r="F205" i="20" l="1"/>
  <c r="G204" i="20"/>
  <c r="J204" i="20"/>
  <c r="I204" i="20"/>
  <c r="H204" i="20"/>
  <c r="G205" i="20" l="1"/>
  <c r="F206" i="20"/>
  <c r="J205" i="20"/>
  <c r="H205" i="20"/>
  <c r="I205" i="20"/>
  <c r="G206" i="20" l="1"/>
  <c r="F207" i="20"/>
  <c r="J206" i="20"/>
  <c r="I206" i="20"/>
  <c r="H206" i="20"/>
  <c r="G207" i="20" l="1"/>
  <c r="F208" i="20"/>
  <c r="J207" i="20"/>
  <c r="I207" i="20"/>
  <c r="H207" i="20"/>
  <c r="G208" i="20" l="1"/>
  <c r="F209" i="20"/>
  <c r="I208" i="20"/>
  <c r="H208" i="20"/>
  <c r="J208" i="20"/>
  <c r="G209" i="20" l="1"/>
  <c r="J209" i="20"/>
  <c r="I209" i="20"/>
  <c r="H209"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Burnett</author>
  </authors>
  <commentList>
    <comment ref="B52" authorId="0" shapeId="0" xr:uid="{43DAD8DA-96A8-8749-A73E-A461C9F8E218}">
      <text>
        <r>
          <rPr>
            <sz val="8"/>
            <color rgb="FF000000"/>
            <rFont val="Tahoma"/>
            <family val="2"/>
          </rPr>
          <t>This row used in moon phase calculation.</t>
        </r>
      </text>
    </comment>
  </commentList>
</comments>
</file>

<file path=xl/sharedStrings.xml><?xml version="1.0" encoding="utf-8"?>
<sst xmlns="http://schemas.openxmlformats.org/spreadsheetml/2006/main" count="98" uniqueCount="92">
  <si>
    <t>Email</t>
  </si>
  <si>
    <t>All Rights Reserved:  © Astronomy Morsels.</t>
  </si>
  <si>
    <t>I'm solely responsible for the input and express no warranty.  Use at your own risk.</t>
  </si>
  <si>
    <t>Nonetheless, this spreadsheet has been carefully reviewed, and calculation results have been compared with other applications.</t>
  </si>
  <si>
    <r>
      <rPr>
        <b/>
        <sz val="14"/>
        <color theme="0"/>
        <rFont val="Calibri (Body)"/>
      </rPr>
      <t>Compiled by</t>
    </r>
    <r>
      <rPr>
        <sz val="14"/>
        <color theme="0"/>
        <rFont val="Calibri (Body)"/>
      </rPr>
      <t>: Anton Viola (Astronomy Morsels).</t>
    </r>
  </si>
  <si>
    <t>Latitude</t>
    <phoneticPr fontId="2"/>
  </si>
  <si>
    <t>Year</t>
    <phoneticPr fontId="2"/>
  </si>
  <si>
    <t>Month</t>
    <phoneticPr fontId="2"/>
  </si>
  <si>
    <t>Day</t>
    <phoneticPr fontId="2"/>
  </si>
  <si>
    <t>Inputs</t>
  </si>
  <si>
    <t xml:space="preserve">Longitude </t>
  </si>
  <si>
    <t>Date</t>
  </si>
  <si>
    <t>Leap year?</t>
  </si>
  <si>
    <t>Day nr.</t>
  </si>
  <si>
    <t xml:space="preserve">JDE </t>
  </si>
  <si>
    <t>M</t>
  </si>
  <si>
    <t>D</t>
  </si>
  <si>
    <t>M'</t>
  </si>
  <si>
    <t>Locations</t>
  </si>
  <si>
    <t>Name</t>
  </si>
  <si>
    <t>φ (latitude)</t>
  </si>
  <si>
    <t>L (longitude)</t>
  </si>
  <si>
    <t>Home</t>
  </si>
  <si>
    <t>Location</t>
  </si>
  <si>
    <t>DtoR</t>
  </si>
  <si>
    <t>(w:-, e: +)</t>
  </si>
  <si>
    <t>Days since J2000.0</t>
  </si>
  <si>
    <t>Centuries since J2000.0</t>
  </si>
  <si>
    <t>LST (degs)</t>
  </si>
  <si>
    <t>epsilon</t>
  </si>
  <si>
    <t>f</t>
  </si>
  <si>
    <t>T</t>
  </si>
  <si>
    <t>i</t>
  </si>
  <si>
    <t>Sun (C24 formulae)</t>
  </si>
  <si>
    <t>Moon (D46 low precision formulae)</t>
  </si>
  <si>
    <t>topocentric coords</t>
  </si>
  <si>
    <t>hour</t>
  </si>
  <si>
    <t>days</t>
  </si>
  <si>
    <t>g</t>
  </si>
  <si>
    <t>lambda</t>
  </si>
  <si>
    <t>beta</t>
  </si>
  <si>
    <t>pi</t>
  </si>
  <si>
    <t>r</t>
  </si>
  <si>
    <t>l</t>
  </si>
  <si>
    <t>m</t>
  </si>
  <si>
    <t>n</t>
  </si>
  <si>
    <t>A</t>
  </si>
  <si>
    <t>x'</t>
  </si>
  <si>
    <t>y'</t>
  </si>
  <si>
    <t>z'</t>
  </si>
  <si>
    <t>r'</t>
  </si>
  <si>
    <t>A'</t>
  </si>
  <si>
    <t>Timezone</t>
  </si>
  <si>
    <r>
      <t>RA</t>
    </r>
    <r>
      <rPr>
        <vertAlign val="subscript"/>
        <sz val="12"/>
        <rFont val="Calibri"/>
        <family val="2"/>
      </rPr>
      <t>moon</t>
    </r>
  </si>
  <si>
    <r>
      <t>DEC</t>
    </r>
    <r>
      <rPr>
        <vertAlign val="subscript"/>
        <sz val="12"/>
        <rFont val="Calibri"/>
        <family val="2"/>
      </rPr>
      <t>moon</t>
    </r>
  </si>
  <si>
    <r>
      <t>RA</t>
    </r>
    <r>
      <rPr>
        <vertAlign val="subscript"/>
        <sz val="12"/>
        <rFont val="Calibri"/>
        <family val="2"/>
      </rPr>
      <t>sun</t>
    </r>
  </si>
  <si>
    <r>
      <t>DEC</t>
    </r>
    <r>
      <rPr>
        <vertAlign val="subscript"/>
        <sz val="12"/>
        <rFont val="Calibri"/>
        <family val="2"/>
      </rPr>
      <t>sun</t>
    </r>
  </si>
  <si>
    <r>
      <t>HA</t>
    </r>
    <r>
      <rPr>
        <vertAlign val="subscript"/>
        <sz val="12"/>
        <rFont val="Calibri"/>
        <family val="2"/>
      </rPr>
      <t>sun</t>
    </r>
  </si>
  <si>
    <r>
      <t>Alt</t>
    </r>
    <r>
      <rPr>
        <vertAlign val="subscript"/>
        <sz val="12"/>
        <rFont val="Calibri"/>
        <family val="2"/>
      </rPr>
      <t>sun</t>
    </r>
  </si>
  <si>
    <r>
      <t>RA</t>
    </r>
    <r>
      <rPr>
        <vertAlign val="subscript"/>
        <sz val="12"/>
        <rFont val="Calibri"/>
        <family val="2"/>
      </rPr>
      <t>moon'</t>
    </r>
  </si>
  <si>
    <r>
      <t>DEC</t>
    </r>
    <r>
      <rPr>
        <vertAlign val="subscript"/>
        <sz val="12"/>
        <rFont val="Calibri"/>
        <family val="2"/>
      </rPr>
      <t>moon'</t>
    </r>
  </si>
  <si>
    <r>
      <t>HA</t>
    </r>
    <r>
      <rPr>
        <vertAlign val="subscript"/>
        <sz val="12"/>
        <rFont val="Calibri"/>
        <family val="2"/>
      </rPr>
      <t>moon'</t>
    </r>
  </si>
  <si>
    <r>
      <t>Alt</t>
    </r>
    <r>
      <rPr>
        <vertAlign val="subscript"/>
        <sz val="12"/>
        <rFont val="Calibri"/>
        <family val="2"/>
      </rPr>
      <t>moon'</t>
    </r>
  </si>
  <si>
    <r>
      <t>l</t>
    </r>
    <r>
      <rPr>
        <vertAlign val="subscript"/>
        <sz val="12"/>
        <rFont val="Calibri"/>
        <family val="2"/>
      </rPr>
      <t xml:space="preserve">sun </t>
    </r>
  </si>
  <si>
    <t>V1.1</t>
  </si>
  <si>
    <r>
      <rPr>
        <b/>
        <sz val="14"/>
        <color theme="0"/>
        <rFont val="Calibri (Body)"/>
      </rPr>
      <t>Latest update</t>
    </r>
    <r>
      <rPr>
        <sz val="14"/>
        <color theme="0"/>
        <rFont val="Calibri (Body)"/>
      </rPr>
      <t>: 24th May, 2024.</t>
    </r>
  </si>
  <si>
    <t>k</t>
  </si>
  <si>
    <t>We can express the Sun's location in the sky using two values, imaging it travels on a sphere's surface. Unlike a flat Cartesian plane, it is more convenient to use angles instead of x- and y-coordinates. The most common way to tell someone the Sun's position is to give its azimuth and altitude angles, which closely relate to spherical coordinates. This spreadsheet calculates the sun's and moon's position for a given date (whole day).</t>
  </si>
  <si>
    <t>Angle</t>
  </si>
  <si>
    <t># points</t>
  </si>
  <si>
    <t>dgr</t>
  </si>
  <si>
    <t>stepsize</t>
  </si>
  <si>
    <t>cos</t>
  </si>
  <si>
    <t>minor semi axis</t>
  </si>
  <si>
    <t>major semi axis</t>
  </si>
  <si>
    <t>x</t>
  </si>
  <si>
    <t>ellipse</t>
  </si>
  <si>
    <t>black bottom</t>
  </si>
  <si>
    <t>transparent</t>
  </si>
  <si>
    <t>black top</t>
  </si>
  <si>
    <r>
      <t>JDE</t>
    </r>
    <r>
      <rPr>
        <vertAlign val="subscript"/>
        <sz val="12"/>
        <rFont val="Calibri"/>
        <family val="2"/>
      </rPr>
      <t>new moon</t>
    </r>
  </si>
  <si>
    <t>reference date (08.05.2024)</t>
  </si>
  <si>
    <t>delta</t>
  </si>
  <si>
    <t>angle</t>
  </si>
  <si>
    <t>New moon</t>
  </si>
  <si>
    <t>Waxing crescent</t>
  </si>
  <si>
    <t>First quarter</t>
  </si>
  <si>
    <t>Waxing gibbous</t>
  </si>
  <si>
    <t>Full moon</t>
  </si>
  <si>
    <t>Waning gibbous</t>
  </si>
  <si>
    <t>Last quarter</t>
  </si>
  <si>
    <t>Waning crescent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</si>
</sst>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yy;@" x16r2:formatCode16="[$-en-CH,1]dd/mm/yyyy;@"/>
    <numFmt numFmtId="165" formatCode="0.0000"/>
    <numFmt numFmtId="166" formatCode="0.000"/>
    <numFmt numFmtId="167" formatCode="0.0"/>
    <numFmt numFmtId="168" formatCode="0.00000"/>
    <numFmt numFmtId="169" formatCode="#,##0.000"/>
  </numFmts>
  <fonts count="30">
    <font>
      <sz val="11"/>
      <color theme="1"/>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u/>
      <sz val="12"/>
      <color theme="10"/>
      <name val="Calibri"/>
      <family val="2"/>
      <scheme val="minor"/>
    </font>
    <font>
      <i/>
      <sz val="14"/>
      <color theme="0"/>
      <name val="Calibri"/>
      <family val="2"/>
    </font>
    <font>
      <sz val="14"/>
      <color theme="0"/>
      <name val="Calibri (Body)"/>
    </font>
    <font>
      <b/>
      <sz val="14"/>
      <color theme="0"/>
      <name val="Calibri (Body)"/>
    </font>
    <font>
      <u/>
      <sz val="14"/>
      <color theme="0"/>
      <name val="Calibri"/>
      <family val="2"/>
      <scheme val="minor"/>
    </font>
    <font>
      <u/>
      <sz val="14"/>
      <color theme="0"/>
      <name val="Calibri (Body)"/>
    </font>
    <font>
      <u/>
      <sz val="12"/>
      <color theme="0"/>
      <name val="Calibri"/>
      <family val="2"/>
    </font>
    <font>
      <sz val="9"/>
      <color theme="0"/>
      <name val="Calibri"/>
      <family val="2"/>
    </font>
    <font>
      <sz val="11"/>
      <color theme="1"/>
      <name val="Calibri"/>
      <family val="2"/>
      <scheme val="minor"/>
    </font>
    <font>
      <sz val="11"/>
      <name val="ＭＳ Ｐゴシック"/>
      <family val="2"/>
      <charset val="128"/>
    </font>
    <font>
      <sz val="9"/>
      <color theme="1"/>
      <name val="Calibri"/>
      <family val="2"/>
      <scheme val="minor"/>
    </font>
    <font>
      <sz val="12"/>
      <color rgb="FF202122"/>
      <name val="Calibri"/>
      <family val="2"/>
    </font>
    <font>
      <sz val="12"/>
      <color theme="1"/>
      <name val="Calibri"/>
      <family val="2"/>
    </font>
    <font>
      <sz val="10"/>
      <name val="Arial"/>
      <family val="2"/>
    </font>
    <font>
      <sz val="12"/>
      <name val="Calibri"/>
      <family val="2"/>
    </font>
    <font>
      <b/>
      <sz val="12"/>
      <name val="Calibri"/>
      <family val="2"/>
    </font>
    <font>
      <sz val="12"/>
      <color rgb="FF000000"/>
      <name val="Calibri"/>
      <family val="2"/>
    </font>
    <font>
      <b/>
      <sz val="12"/>
      <color rgb="FF000000"/>
      <name val="Calibri"/>
      <family val="2"/>
    </font>
    <font>
      <sz val="12"/>
      <color theme="0"/>
      <name val="Calibri"/>
      <family val="2"/>
    </font>
    <font>
      <b/>
      <sz val="12"/>
      <color theme="1"/>
      <name val="Calibri"/>
      <family val="2"/>
    </font>
    <font>
      <vertAlign val="subscript"/>
      <sz val="12"/>
      <name val="Calibri"/>
      <family val="2"/>
    </font>
    <font>
      <sz val="8"/>
      <color rgb="FF000000"/>
      <name val="Tahoma"/>
      <family val="2"/>
    </font>
    <font>
      <sz val="11"/>
      <color theme="1"/>
      <name val="Calibri"/>
      <family val="2"/>
      <charset val="238"/>
      <scheme val="minor"/>
    </font>
    <font>
      <sz val="10"/>
      <color theme="1"/>
      <name val="Calibri"/>
      <family val="2"/>
    </font>
    <font>
      <sz val="10"/>
      <name val="Calibri"/>
      <family val="2"/>
    </font>
  </fonts>
  <fills count="7">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C000"/>
        <bgColor rgb="FF000000"/>
      </patternFill>
    </fill>
    <fill>
      <patternFill patternType="solid">
        <fgColor indexed="43"/>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2">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 fillId="0" borderId="0"/>
    <xf numFmtId="0" fontId="5" fillId="0" borderId="0" applyNumberFormat="0" applyFill="0" applyBorder="0" applyAlignment="0" applyProtection="0"/>
    <xf numFmtId="0" fontId="13" fillId="0" borderId="0"/>
    <xf numFmtId="0" fontId="14" fillId="0" borderId="0"/>
    <xf numFmtId="0" fontId="15" fillId="0" borderId="0"/>
    <xf numFmtId="0" fontId="18" fillId="0" borderId="0"/>
    <xf numFmtId="0" fontId="18" fillId="0" borderId="0"/>
    <xf numFmtId="0" fontId="15" fillId="0" borderId="0"/>
    <xf numFmtId="0" fontId="1" fillId="0" borderId="0"/>
    <xf numFmtId="0" fontId="27" fillId="0" borderId="0"/>
    <xf numFmtId="0" fontId="13" fillId="0" borderId="0"/>
  </cellStyleXfs>
  <cellXfs count="134">
    <xf numFmtId="0" fontId="0" fillId="0" borderId="0" xfId="0"/>
    <xf numFmtId="0" fontId="7" fillId="2" borderId="1" xfId="41" applyFont="1" applyFill="1" applyBorder="1" applyAlignment="1">
      <alignment horizontal="left"/>
    </xf>
    <xf numFmtId="0" fontId="7" fillId="2" borderId="2" xfId="41" applyFont="1" applyFill="1" applyBorder="1" applyAlignment="1">
      <alignment horizontal="center"/>
    </xf>
    <xf numFmtId="0" fontId="7" fillId="2" borderId="2" xfId="41" applyFont="1" applyFill="1" applyBorder="1"/>
    <xf numFmtId="0" fontId="9" fillId="2" borderId="3" xfId="42" applyFont="1" applyFill="1" applyBorder="1" applyAlignment="1">
      <alignment horizontal="center"/>
    </xf>
    <xf numFmtId="0" fontId="10" fillId="2" borderId="4" xfId="42" applyFont="1" applyFill="1" applyBorder="1" applyAlignment="1">
      <alignment horizontal="left"/>
    </xf>
    <xf numFmtId="0" fontId="7" fillId="2" borderId="0" xfId="41" applyFont="1" applyFill="1" applyAlignment="1">
      <alignment horizontal="center"/>
    </xf>
    <xf numFmtId="0" fontId="7" fillId="2" borderId="0" xfId="41" applyFont="1" applyFill="1"/>
    <xf numFmtId="0" fontId="7" fillId="2" borderId="5" xfId="41" applyFont="1" applyFill="1" applyBorder="1" applyAlignment="1">
      <alignment horizontal="center"/>
    </xf>
    <xf numFmtId="0" fontId="7" fillId="2" borderId="6" xfId="42" applyFont="1" applyFill="1" applyBorder="1" applyAlignment="1">
      <alignment horizontal="left"/>
    </xf>
    <xf numFmtId="0" fontId="7" fillId="2" borderId="8" xfId="42" applyFont="1" applyFill="1" applyBorder="1" applyAlignment="1">
      <alignment horizontal="left"/>
    </xf>
    <xf numFmtId="0" fontId="7" fillId="2" borderId="8" xfId="41" applyFont="1" applyFill="1" applyBorder="1"/>
    <xf numFmtId="0" fontId="8" fillId="2" borderId="7" xfId="41" applyFont="1" applyFill="1" applyBorder="1" applyAlignment="1">
      <alignment horizontal="center"/>
    </xf>
    <xf numFmtId="0" fontId="2" fillId="2" borderId="0" xfId="41" applyFill="1"/>
    <xf numFmtId="0" fontId="0" fillId="2" borderId="0" xfId="0" applyFill="1"/>
    <xf numFmtId="0" fontId="16" fillId="0" borderId="12" xfId="44" applyFont="1" applyBorder="1" applyAlignment="1">
      <alignment horizontal="right" vertical="center"/>
    </xf>
    <xf numFmtId="0" fontId="17" fillId="0" borderId="12" xfId="44" applyFont="1" applyBorder="1" applyAlignment="1">
      <alignment horizontal="right" vertical="center"/>
    </xf>
    <xf numFmtId="0" fontId="18" fillId="0" borderId="0" xfId="46"/>
    <xf numFmtId="0" fontId="19" fillId="0" borderId="0" xfId="44" applyFont="1" applyAlignment="1">
      <alignment vertical="center"/>
    </xf>
    <xf numFmtId="0" fontId="20" fillId="4" borderId="0" xfId="44" applyFont="1" applyFill="1" applyAlignment="1">
      <alignment horizontal="right" vertical="center"/>
    </xf>
    <xf numFmtId="0" fontId="19" fillId="0" borderId="12" xfId="44" applyFont="1" applyBorder="1" applyAlignment="1">
      <alignment vertical="center"/>
    </xf>
    <xf numFmtId="164" fontId="20" fillId="4" borderId="12" xfId="44" applyNumberFormat="1" applyFont="1" applyFill="1" applyBorder="1" applyAlignment="1" applyProtection="1">
      <alignment horizontal="right" vertical="center"/>
      <protection locked="0"/>
    </xf>
    <xf numFmtId="0" fontId="21" fillId="0" borderId="12" xfId="0" applyFont="1" applyBorder="1"/>
    <xf numFmtId="0" fontId="22" fillId="5" borderId="13" xfId="0" applyFont="1" applyFill="1" applyBorder="1" applyAlignment="1" applyProtection="1">
      <alignment horizontal="right"/>
      <protection locked="0"/>
    </xf>
    <xf numFmtId="0" fontId="19" fillId="0" borderId="12" xfId="44" applyFont="1" applyBorder="1" applyAlignment="1" applyProtection="1">
      <alignment horizontal="right" vertical="center"/>
      <protection locked="0"/>
    </xf>
    <xf numFmtId="0" fontId="19" fillId="0" borderId="12" xfId="44" applyFont="1" applyBorder="1" applyAlignment="1">
      <alignment horizontal="right" vertical="center"/>
    </xf>
    <xf numFmtId="0" fontId="23" fillId="0" borderId="0" xfId="44" applyFont="1" applyAlignment="1">
      <alignment vertical="center"/>
    </xf>
    <xf numFmtId="0" fontId="17" fillId="0" borderId="12" xfId="44" applyFont="1" applyBorder="1" applyAlignment="1">
      <alignment vertical="center"/>
    </xf>
    <xf numFmtId="0" fontId="24" fillId="4" borderId="12" xfId="44" applyFont="1" applyFill="1" applyBorder="1" applyAlignment="1" applyProtection="1">
      <alignment vertical="center"/>
      <protection locked="0"/>
    </xf>
    <xf numFmtId="0" fontId="19" fillId="0" borderId="0" xfId="46" applyFont="1"/>
    <xf numFmtId="0" fontId="19" fillId="0" borderId="12" xfId="46" applyFont="1" applyBorder="1"/>
    <xf numFmtId="0" fontId="19" fillId="0" borderId="0" xfId="46" applyFont="1" applyAlignment="1">
      <alignment horizontal="right"/>
    </xf>
    <xf numFmtId="0" fontId="19" fillId="2" borderId="0" xfId="46" applyFont="1" applyFill="1"/>
    <xf numFmtId="0" fontId="20" fillId="4" borderId="12" xfId="46" applyFont="1" applyFill="1" applyBorder="1" applyProtection="1">
      <protection locked="0"/>
    </xf>
    <xf numFmtId="0" fontId="19" fillId="3" borderId="1" xfId="46" applyFont="1" applyFill="1" applyBorder="1" applyAlignment="1">
      <alignment horizontal="center"/>
    </xf>
    <xf numFmtId="0" fontId="19" fillId="3" borderId="3" xfId="46" applyFont="1" applyFill="1" applyBorder="1" applyAlignment="1">
      <alignment horizontal="center"/>
    </xf>
    <xf numFmtId="0" fontId="19" fillId="3" borderId="4" xfId="46" applyFont="1" applyFill="1" applyBorder="1" applyAlignment="1">
      <alignment horizontal="center"/>
    </xf>
    <xf numFmtId="2" fontId="19" fillId="3" borderId="5" xfId="46" applyNumberFormat="1" applyFont="1" applyFill="1" applyBorder="1" applyAlignment="1">
      <alignment horizontal="center"/>
    </xf>
    <xf numFmtId="0" fontId="19" fillId="6" borderId="4" xfId="46" applyFont="1" applyFill="1" applyBorder="1" applyAlignment="1">
      <alignment horizontal="center"/>
    </xf>
    <xf numFmtId="2" fontId="19" fillId="6" borderId="5" xfId="46" applyNumberFormat="1" applyFont="1" applyFill="1" applyBorder="1" applyAlignment="1">
      <alignment horizontal="center"/>
    </xf>
    <xf numFmtId="0" fontId="19" fillId="3" borderId="6" xfId="46" applyFont="1" applyFill="1" applyBorder="1" applyAlignment="1">
      <alignment horizontal="center"/>
    </xf>
    <xf numFmtId="2" fontId="19" fillId="3" borderId="7" xfId="46" applyNumberFormat="1" applyFont="1" applyFill="1" applyBorder="1" applyAlignment="1">
      <alignment horizontal="center"/>
    </xf>
    <xf numFmtId="2" fontId="19" fillId="3" borderId="4" xfId="46" applyNumberFormat="1" applyFont="1" applyFill="1" applyBorder="1" applyAlignment="1">
      <alignment horizontal="center"/>
    </xf>
    <xf numFmtId="2" fontId="19" fillId="3" borderId="0" xfId="46" applyNumberFormat="1" applyFont="1" applyFill="1" applyAlignment="1">
      <alignment horizontal="center"/>
    </xf>
    <xf numFmtId="167" fontId="19" fillId="3" borderId="5" xfId="46" applyNumberFormat="1" applyFont="1" applyFill="1" applyBorder="1" applyAlignment="1">
      <alignment horizontal="center"/>
    </xf>
    <xf numFmtId="2" fontId="19" fillId="6" borderId="4" xfId="46" applyNumberFormat="1" applyFont="1" applyFill="1" applyBorder="1" applyAlignment="1">
      <alignment horizontal="center"/>
    </xf>
    <xf numFmtId="2" fontId="19" fillId="6" borderId="0" xfId="46" applyNumberFormat="1" applyFont="1" applyFill="1" applyAlignment="1">
      <alignment horizontal="center"/>
    </xf>
    <xf numFmtId="2" fontId="19" fillId="3" borderId="6" xfId="46" applyNumberFormat="1" applyFont="1" applyFill="1" applyBorder="1" applyAlignment="1">
      <alignment horizontal="center"/>
    </xf>
    <xf numFmtId="2" fontId="19" fillId="3" borderId="8" xfId="46" applyNumberFormat="1" applyFont="1" applyFill="1" applyBorder="1" applyAlignment="1">
      <alignment horizontal="center"/>
    </xf>
    <xf numFmtId="167" fontId="19" fillId="3" borderId="7" xfId="46" applyNumberFormat="1" applyFont="1" applyFill="1" applyBorder="1" applyAlignment="1">
      <alignment horizontal="center"/>
    </xf>
    <xf numFmtId="168" fontId="19" fillId="6" borderId="4" xfId="46" applyNumberFormat="1" applyFont="1" applyFill="1" applyBorder="1" applyAlignment="1">
      <alignment horizontal="center"/>
    </xf>
    <xf numFmtId="165" fontId="19" fillId="6" borderId="0" xfId="46" applyNumberFormat="1" applyFont="1" applyFill="1" applyAlignment="1">
      <alignment horizontal="center"/>
    </xf>
    <xf numFmtId="165" fontId="19" fillId="6" borderId="0" xfId="46" applyNumberFormat="1" applyFont="1" applyFill="1" applyAlignment="1">
      <alignment horizontal="center" wrapText="1"/>
    </xf>
    <xf numFmtId="166" fontId="19" fillId="6" borderId="0" xfId="46" applyNumberFormat="1" applyFont="1" applyFill="1" applyAlignment="1">
      <alignment horizontal="center"/>
    </xf>
    <xf numFmtId="166" fontId="19" fillId="6" borderId="5" xfId="46" applyNumberFormat="1" applyFont="1" applyFill="1" applyBorder="1" applyAlignment="1">
      <alignment horizontal="center"/>
    </xf>
    <xf numFmtId="166" fontId="19" fillId="6" borderId="4" xfId="46" applyNumberFormat="1" applyFont="1" applyFill="1" applyBorder="1" applyAlignment="1">
      <alignment horizontal="center"/>
    </xf>
    <xf numFmtId="166" fontId="19" fillId="3" borderId="4" xfId="46" applyNumberFormat="1" applyFont="1" applyFill="1" applyBorder="1" applyAlignment="1">
      <alignment horizontal="center"/>
    </xf>
    <xf numFmtId="166" fontId="19" fillId="3" borderId="0" xfId="46" applyNumberFormat="1" applyFont="1" applyFill="1" applyAlignment="1">
      <alignment horizontal="center"/>
    </xf>
    <xf numFmtId="166" fontId="19" fillId="3" borderId="5" xfId="46" applyNumberFormat="1" applyFont="1" applyFill="1" applyBorder="1" applyAlignment="1">
      <alignment horizontal="center"/>
    </xf>
    <xf numFmtId="168" fontId="19" fillId="3" borderId="4" xfId="46" applyNumberFormat="1" applyFont="1" applyFill="1" applyBorder="1" applyAlignment="1">
      <alignment horizontal="center"/>
    </xf>
    <xf numFmtId="165" fontId="19" fillId="3" borderId="0" xfId="46" applyNumberFormat="1" applyFont="1" applyFill="1" applyAlignment="1">
      <alignment horizontal="center"/>
    </xf>
    <xf numFmtId="165" fontId="19" fillId="3" borderId="0" xfId="46" applyNumberFormat="1" applyFont="1" applyFill="1" applyAlignment="1">
      <alignment horizontal="center" wrapText="1"/>
    </xf>
    <xf numFmtId="168" fontId="19" fillId="3" borderId="6" xfId="46" applyNumberFormat="1" applyFont="1" applyFill="1" applyBorder="1" applyAlignment="1">
      <alignment horizontal="center"/>
    </xf>
    <xf numFmtId="165" fontId="19" fillId="3" borderId="8" xfId="46" applyNumberFormat="1" applyFont="1" applyFill="1" applyBorder="1" applyAlignment="1">
      <alignment horizontal="center"/>
    </xf>
    <xf numFmtId="165" fontId="19" fillId="3" borderId="8" xfId="46" applyNumberFormat="1" applyFont="1" applyFill="1" applyBorder="1" applyAlignment="1">
      <alignment horizontal="center" wrapText="1"/>
    </xf>
    <xf numFmtId="166" fontId="19" fillId="3" borderId="8" xfId="46" applyNumberFormat="1" applyFont="1" applyFill="1" applyBorder="1" applyAlignment="1">
      <alignment horizontal="center"/>
    </xf>
    <xf numFmtId="166" fontId="19" fillId="3" borderId="7" xfId="46" applyNumberFormat="1" applyFont="1" applyFill="1" applyBorder="1" applyAlignment="1">
      <alignment horizontal="center"/>
    </xf>
    <xf numFmtId="166" fontId="19" fillId="3" borderId="6" xfId="46" applyNumberFormat="1" applyFont="1" applyFill="1" applyBorder="1" applyAlignment="1">
      <alignment horizontal="center"/>
    </xf>
    <xf numFmtId="0" fontId="19" fillId="3" borderId="14" xfId="46" applyFont="1" applyFill="1" applyBorder="1" applyAlignment="1">
      <alignment horizontal="center"/>
    </xf>
    <xf numFmtId="0" fontId="19" fillId="3" borderId="15" xfId="46" applyFont="1" applyFill="1" applyBorder="1" applyAlignment="1">
      <alignment horizontal="center"/>
    </xf>
    <xf numFmtId="0" fontId="19" fillId="3" borderId="13" xfId="46" applyFont="1" applyFill="1" applyBorder="1" applyAlignment="1">
      <alignment horizontal="center"/>
    </xf>
    <xf numFmtId="4" fontId="19" fillId="0" borderId="12" xfId="44" applyNumberFormat="1" applyFont="1" applyBorder="1" applyAlignment="1">
      <alignment horizontal="right" vertical="center"/>
    </xf>
    <xf numFmtId="0" fontId="19" fillId="0" borderId="0" xfId="47" applyFont="1"/>
    <xf numFmtId="0" fontId="28" fillId="0" borderId="0" xfId="51" applyFont="1"/>
    <xf numFmtId="0" fontId="29" fillId="0" borderId="0" xfId="47" applyFont="1"/>
    <xf numFmtId="0" fontId="18" fillId="0" borderId="0" xfId="47"/>
    <xf numFmtId="0" fontId="17" fillId="3" borderId="1" xfId="48" applyFont="1" applyFill="1" applyBorder="1"/>
    <xf numFmtId="0" fontId="17" fillId="3" borderId="3" xfId="48" applyFont="1" applyFill="1" applyBorder="1"/>
    <xf numFmtId="0" fontId="17" fillId="3" borderId="4" xfId="48" applyFont="1" applyFill="1" applyBorder="1"/>
    <xf numFmtId="0" fontId="17" fillId="3" borderId="5" xfId="48" applyFont="1" applyFill="1" applyBorder="1"/>
    <xf numFmtId="0" fontId="17" fillId="3" borderId="6" xfId="48" applyFont="1" applyFill="1" applyBorder="1"/>
    <xf numFmtId="0" fontId="17" fillId="3" borderId="7" xfId="48" applyFont="1" applyFill="1" applyBorder="1"/>
    <xf numFmtId="0" fontId="19" fillId="3" borderId="1" xfId="47" applyFont="1" applyFill="1" applyBorder="1"/>
    <xf numFmtId="4" fontId="19" fillId="3" borderId="3" xfId="47" applyNumberFormat="1" applyFont="1" applyFill="1" applyBorder="1"/>
    <xf numFmtId="0" fontId="19" fillId="3" borderId="4" xfId="47" applyFont="1" applyFill="1" applyBorder="1"/>
    <xf numFmtId="0" fontId="19" fillId="3" borderId="5" xfId="47" applyFont="1" applyFill="1" applyBorder="1"/>
    <xf numFmtId="0" fontId="17" fillId="3" borderId="7" xfId="48" applyFont="1" applyFill="1" applyBorder="1" applyAlignment="1">
      <alignment horizontal="right"/>
    </xf>
    <xf numFmtId="0" fontId="17" fillId="3" borderId="1" xfId="51" applyFont="1" applyFill="1" applyBorder="1"/>
    <xf numFmtId="0" fontId="17" fillId="3" borderId="2" xfId="51" applyFont="1" applyFill="1" applyBorder="1"/>
    <xf numFmtId="0" fontId="17" fillId="3" borderId="3" xfId="51" applyFont="1" applyFill="1" applyBorder="1"/>
    <xf numFmtId="0" fontId="17" fillId="3" borderId="4" xfId="51" applyFont="1" applyFill="1" applyBorder="1"/>
    <xf numFmtId="0" fontId="17" fillId="3" borderId="0" xfId="51" applyFont="1" applyFill="1"/>
    <xf numFmtId="0" fontId="17" fillId="3" borderId="5" xfId="51" applyFont="1" applyFill="1" applyBorder="1"/>
    <xf numFmtId="0" fontId="17" fillId="3" borderId="6" xfId="51" applyFont="1" applyFill="1" applyBorder="1"/>
    <xf numFmtId="0" fontId="17" fillId="3" borderId="8" xfId="51" applyFont="1" applyFill="1" applyBorder="1"/>
    <xf numFmtId="0" fontId="17" fillId="3" borderId="7" xfId="51" applyFont="1" applyFill="1" applyBorder="1"/>
    <xf numFmtId="0" fontId="24" fillId="3" borderId="1" xfId="49" applyFont="1" applyFill="1" applyBorder="1" applyAlignment="1">
      <alignment horizontal="left"/>
    </xf>
    <xf numFmtId="169" fontId="17" fillId="3" borderId="2" xfId="49" applyNumberFormat="1" applyFont="1" applyFill="1" applyBorder="1"/>
    <xf numFmtId="0" fontId="17" fillId="3" borderId="2" xfId="50" applyFont="1" applyFill="1" applyBorder="1"/>
    <xf numFmtId="0" fontId="17" fillId="3" borderId="2" xfId="49" applyFont="1" applyFill="1" applyBorder="1"/>
    <xf numFmtId="0" fontId="17" fillId="3" borderId="3" xfId="50" applyFont="1" applyFill="1" applyBorder="1"/>
    <xf numFmtId="0" fontId="17" fillId="3" borderId="4" xfId="50" applyFont="1" applyFill="1" applyBorder="1"/>
    <xf numFmtId="0" fontId="17" fillId="3" borderId="0" xfId="50" applyFont="1" applyFill="1"/>
    <xf numFmtId="169" fontId="17" fillId="3" borderId="5" xfId="50" applyNumberFormat="1" applyFont="1" applyFill="1" applyBorder="1"/>
    <xf numFmtId="2" fontId="17" fillId="3" borderId="5" xfId="50" applyNumberFormat="1" applyFont="1" applyFill="1" applyBorder="1"/>
    <xf numFmtId="0" fontId="17" fillId="3" borderId="5" xfId="50" applyFont="1" applyFill="1" applyBorder="1"/>
    <xf numFmtId="0" fontId="17" fillId="3" borderId="6" xfId="50" applyFont="1" applyFill="1" applyBorder="1"/>
    <xf numFmtId="0" fontId="17" fillId="3" borderId="8" xfId="50" applyFont="1" applyFill="1" applyBorder="1"/>
    <xf numFmtId="0" fontId="17" fillId="3" borderId="7" xfId="50" applyFont="1" applyFill="1" applyBorder="1"/>
    <xf numFmtId="0" fontId="24" fillId="3" borderId="4" xfId="50" applyFont="1" applyFill="1" applyBorder="1" applyAlignment="1">
      <alignment horizontal="right"/>
    </xf>
    <xf numFmtId="0" fontId="24" fillId="3" borderId="0" xfId="50" applyFont="1" applyFill="1" applyAlignment="1">
      <alignment horizontal="right"/>
    </xf>
    <xf numFmtId="0" fontId="24" fillId="3" borderId="5" xfId="50" applyFont="1" applyFill="1" applyBorder="1" applyAlignment="1">
      <alignment horizontal="right"/>
    </xf>
    <xf numFmtId="2" fontId="17" fillId="3" borderId="4" xfId="50" applyNumberFormat="1" applyFont="1" applyFill="1" applyBorder="1"/>
    <xf numFmtId="2" fontId="17" fillId="3" borderId="0" xfId="50" applyNumberFormat="1" applyFont="1" applyFill="1"/>
    <xf numFmtId="2" fontId="17" fillId="3" borderId="6" xfId="50" applyNumberFormat="1" applyFont="1" applyFill="1" applyBorder="1"/>
    <xf numFmtId="2" fontId="17" fillId="3" borderId="8" xfId="50" applyNumberFormat="1" applyFont="1" applyFill="1" applyBorder="1"/>
    <xf numFmtId="2" fontId="17" fillId="3" borderId="7" xfId="50" applyNumberFormat="1" applyFont="1" applyFill="1" applyBorder="1"/>
    <xf numFmtId="165" fontId="24" fillId="4" borderId="12" xfId="44" applyNumberFormat="1" applyFont="1" applyFill="1" applyBorder="1" applyAlignment="1" applyProtection="1">
      <alignment vertical="center"/>
      <protection locked="0"/>
    </xf>
    <xf numFmtId="165" fontId="19" fillId="0" borderId="12" xfId="46" applyNumberFormat="1" applyFont="1" applyBorder="1"/>
    <xf numFmtId="0" fontId="6" fillId="2" borderId="0" xfId="41" applyFont="1" applyFill="1" applyAlignment="1">
      <alignment horizontal="center" vertical="center" wrapText="1"/>
    </xf>
    <xf numFmtId="0" fontId="11" fillId="2" borderId="1" xfId="42" applyFont="1" applyFill="1" applyBorder="1" applyAlignment="1">
      <alignment horizontal="center"/>
    </xf>
    <xf numFmtId="0" fontId="11" fillId="2" borderId="2" xfId="42" applyFont="1" applyFill="1" applyBorder="1" applyAlignment="1">
      <alignment horizontal="center"/>
    </xf>
    <xf numFmtId="0" fontId="11" fillId="2" borderId="9" xfId="42" applyFont="1" applyFill="1" applyBorder="1" applyAlignment="1">
      <alignment horizontal="center"/>
    </xf>
    <xf numFmtId="0" fontId="12" fillId="2" borderId="4" xfId="0" applyFont="1" applyFill="1" applyBorder="1" applyAlignment="1">
      <alignment horizontal="center"/>
    </xf>
    <xf numFmtId="0" fontId="12" fillId="2" borderId="0" xfId="0" applyFont="1" applyFill="1" applyAlignment="1">
      <alignment horizontal="center"/>
    </xf>
    <xf numFmtId="0" fontId="12" fillId="2" borderId="10" xfId="0" applyFont="1" applyFill="1" applyBorder="1" applyAlignment="1">
      <alignment horizontal="center"/>
    </xf>
    <xf numFmtId="0" fontId="12" fillId="2" borderId="6" xfId="0" applyFont="1" applyFill="1" applyBorder="1" applyAlignment="1">
      <alignment horizontal="center"/>
    </xf>
    <xf numFmtId="0" fontId="12" fillId="2" borderId="8" xfId="0" applyFont="1" applyFill="1" applyBorder="1" applyAlignment="1">
      <alignment horizontal="center"/>
    </xf>
    <xf numFmtId="0" fontId="12" fillId="2" borderId="11" xfId="0" applyFont="1" applyFill="1" applyBorder="1" applyAlignment="1">
      <alignment horizontal="center"/>
    </xf>
    <xf numFmtId="0" fontId="19" fillId="0" borderId="14" xfId="46" applyFont="1" applyBorder="1" applyAlignment="1">
      <alignment horizontal="center"/>
    </xf>
    <xf numFmtId="0" fontId="19" fillId="0" borderId="15" xfId="46" applyFont="1" applyBorder="1" applyAlignment="1">
      <alignment horizontal="center"/>
    </xf>
    <xf numFmtId="0" fontId="19" fillId="0" borderId="13" xfId="46" applyFont="1" applyBorder="1" applyAlignment="1">
      <alignment horizontal="center"/>
    </xf>
    <xf numFmtId="0" fontId="17" fillId="0" borderId="8" xfId="44" applyFont="1" applyBorder="1" applyAlignment="1">
      <alignment horizontal="center" vertical="center"/>
    </xf>
    <xf numFmtId="0" fontId="19" fillId="0" borderId="0" xfId="44" applyFont="1" applyAlignment="1">
      <alignment horizontal="left" vertical="center"/>
    </xf>
  </cellXfs>
  <cellStyles count="5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2" xfId="42" xr:uid="{C380AA0A-E10B-1C43-9286-02819B081BC7}"/>
    <cellStyle name="Normal" xfId="0" builtinId="0"/>
    <cellStyle name="Normal 2" xfId="41" xr:uid="{0D0AB34C-A1A9-7D42-A14C-E95ACB658DC4}"/>
    <cellStyle name="Normal 2 2" xfId="51" xr:uid="{43886F8D-15B9-4544-A8AA-E80FBF079286}"/>
    <cellStyle name="Normal 3" xfId="44" xr:uid="{48F4CE55-52E5-B741-8787-0CB02C6E3909}"/>
    <cellStyle name="Normal 3 3" xfId="50" xr:uid="{EB923324-43C7-9B4D-88CC-D44EF1612807}"/>
    <cellStyle name="Normal 4" xfId="43" xr:uid="{58AA1869-D9A5-F042-A460-3D15104DE221}"/>
    <cellStyle name="Normal 5" xfId="45" xr:uid="{A67E6128-EE07-AF49-B538-666D4336E675}"/>
    <cellStyle name="Normal 5 2" xfId="48" xr:uid="{CF4E1FE8-0510-0243-A277-E4DA03A55002}"/>
    <cellStyle name="Normal 6" xfId="46" xr:uid="{6B312211-FD31-0545-B9FF-F36B13AE2947}"/>
    <cellStyle name="Normal 6 2" xfId="47" xr:uid="{451C11E2-61E1-0F4D-A3B0-19E0E1D32E8F}"/>
    <cellStyle name="Normal 7" xfId="49" xr:uid="{B912C94D-7EA4-5446-90DF-CD1AD627DB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3" Type="http://schemas.openxmlformats.org/officeDocument/2006/relationships/image" Target="../media/image3.jpg"/><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alibri" panose="020F0502020204030204" pitchFamily="34" charset="0"/>
                <a:cs typeface="Calibri" panose="020F0502020204030204" pitchFamily="34" charset="0"/>
              </a:defRPr>
            </a:pPr>
            <a:r>
              <a:rPr lang="en-GB" sz="1400">
                <a:latin typeface="Calibri" panose="020F0502020204030204" pitchFamily="34" charset="0"/>
                <a:cs typeface="Calibri" panose="020F0502020204030204" pitchFamily="34" charset="0"/>
              </a:rPr>
              <a:t>Sun and Moon Position</a:t>
            </a:r>
          </a:p>
        </c:rich>
      </c:tx>
      <c:overlay val="0"/>
    </c:title>
    <c:autoTitleDeleted val="0"/>
    <c:plotArea>
      <c:layout>
        <c:manualLayout>
          <c:layoutTarget val="inner"/>
          <c:xMode val="edge"/>
          <c:yMode val="edge"/>
          <c:x val="5.3507184535151575E-2"/>
          <c:y val="0.11987643852210782"/>
          <c:w val="0.83023140421814279"/>
          <c:h val="0.77185079749646679"/>
        </c:manualLayout>
      </c:layout>
      <c:scatterChart>
        <c:scatterStyle val="lineMarker"/>
        <c:varyColors val="0"/>
        <c:ser>
          <c:idx val="0"/>
          <c:order val="0"/>
          <c:tx>
            <c:v>Sun</c:v>
          </c:tx>
          <c:spPr>
            <a:ln w="3175">
              <a:solidFill>
                <a:srgbClr val="FF6600"/>
              </a:solidFill>
              <a:prstDash val="solid"/>
            </a:ln>
          </c:spPr>
          <c:marker>
            <c:symbol val="circle"/>
            <c:size val="8"/>
            <c:spPr>
              <a:solidFill>
                <a:srgbClr val="FFFF00"/>
              </a:solidFill>
              <a:ln>
                <a:solidFill>
                  <a:srgbClr val="333333"/>
                </a:solidFill>
                <a:prstDash val="solid"/>
              </a:ln>
            </c:spPr>
          </c:marker>
          <c:xVal>
            <c:numRef>
              <c:f>'Sun, Moon Position'!$B$40:$B$64</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'Sun, Moon Position'!$J$40:$J$64</c:f>
              <c:numCache>
                <c:formatCode>0.0</c:formatCode>
                <c:ptCount val="25"/>
                <c:pt idx="0">
                  <c:v>-24.185131390399356</c:v>
                </c:pt>
                <c:pt idx="1">
                  <c:v>-21.292628592353829</c:v>
                </c:pt>
                <c:pt idx="2">
                  <c:v>-16.00998911488589</c:v>
                </c:pt>
                <c:pt idx="3">
                  <c:v>-8.8387747937628305</c:v>
                </c:pt>
                <c:pt idx="4">
                  <c:v>-0.2864866555190711</c:v>
                </c:pt>
                <c:pt idx="5">
                  <c:v>9.208843337566428</c:v>
                </c:pt>
                <c:pt idx="6">
                  <c:v>19.281312437859182</c:v>
                </c:pt>
                <c:pt idx="7">
                  <c:v>29.599227485180545</c:v>
                </c:pt>
                <c:pt idx="8">
                  <c:v>39.796027991203182</c:v>
                </c:pt>
                <c:pt idx="9">
                  <c:v>49.344270112916725</c:v>
                </c:pt>
                <c:pt idx="10">
                  <c:v>57.310034347735126</c:v>
                </c:pt>
                <c:pt idx="11">
                  <c:v>62.045136251144214</c:v>
                </c:pt>
                <c:pt idx="12" formatCode="0.00">
                  <c:v>61.756406592991965</c:v>
                </c:pt>
                <c:pt idx="13">
                  <c:v>56.580416623097889</c:v>
                </c:pt>
                <c:pt idx="14">
                  <c:v>48.38567697379392</c:v>
                </c:pt>
                <c:pt idx="15">
                  <c:v>38.741213246208197</c:v>
                </c:pt>
                <c:pt idx="16">
                  <c:v>28.521504345432653</c:v>
                </c:pt>
                <c:pt idx="17">
                  <c:v>18.228276516928062</c:v>
                </c:pt>
                <c:pt idx="18">
                  <c:v>8.2203843800054326</c:v>
                </c:pt>
                <c:pt idx="19">
                  <c:v>-1.1688482151358677</c:v>
                </c:pt>
                <c:pt idx="20">
                  <c:v>-9.5667098310282448</c:v>
                </c:pt>
                <c:pt idx="21">
                  <c:v>-16.527124851810537</c:v>
                </c:pt>
                <c:pt idx="22">
                  <c:v>-21.540268025402248</c:v>
                </c:pt>
                <c:pt idx="23">
                  <c:v>-24.117874834273898</c:v>
                </c:pt>
                <c:pt idx="24">
                  <c:v>-23.955162426849171</c:v>
                </c:pt>
              </c:numCache>
            </c:numRef>
          </c:yVal>
          <c:smooth val="1"/>
          <c:extLst>
            <c:ext xmlns:c16="http://schemas.microsoft.com/office/drawing/2014/chart" uri="{C3380CC4-5D6E-409C-BE32-E72D297353CC}">
              <c16:uniqueId val="{00000000-3BC1-0840-B88A-7D04D9B63276}"/>
            </c:ext>
          </c:extLst>
        </c:ser>
        <c:ser>
          <c:idx val="1"/>
          <c:order val="1"/>
          <c:tx>
            <c:v>Moon</c:v>
          </c:tx>
          <c:spPr>
            <a:ln w="12700">
              <a:solidFill>
                <a:srgbClr val="969696"/>
              </a:solidFill>
              <a:prstDash val="solid"/>
            </a:ln>
          </c:spPr>
          <c:marker>
            <c:symbol val="circle"/>
            <c:size val="5"/>
            <c:spPr>
              <a:solidFill>
                <a:srgbClr val="969696"/>
              </a:solidFill>
              <a:ln>
                <a:solidFill>
                  <a:srgbClr val="333333"/>
                </a:solidFill>
                <a:prstDash val="solid"/>
              </a:ln>
            </c:spPr>
          </c:marker>
          <c:xVal>
            <c:numRef>
              <c:f>'Sun, Moon Position'!$B$40:$B$64</c:f>
              <c:numCache>
                <c:formatCode>General</c:formatCode>
                <c:ptCount val="2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'Sun, Moon Position'!$AD$40:$AD$64</c:f>
              <c:numCache>
                <c:formatCode>0.000</c:formatCode>
                <c:ptCount val="25"/>
                <c:pt idx="0">
                  <c:v>7.8931991283118199</c:v>
                </c:pt>
                <c:pt idx="1">
                  <c:v>-1.4252993697891632</c:v>
                </c:pt>
                <c:pt idx="2">
                  <c:v>-9.8480684301036394</c:v>
                </c:pt>
                <c:pt idx="3">
                  <c:v>-16.987079331113204</c:v>
                </c:pt>
                <c:pt idx="4">
                  <c:v>-22.386833176391125</c:v>
                </c:pt>
                <c:pt idx="5">
                  <c:v>-25.58155927141226</c:v>
                </c:pt>
                <c:pt idx="6">
                  <c:v>-26.227213771272677</c:v>
                </c:pt>
                <c:pt idx="7">
                  <c:v>-24.248720697687062</c:v>
                </c:pt>
                <c:pt idx="8">
                  <c:v>-19.87868115818873</c:v>
                </c:pt>
                <c:pt idx="9">
                  <c:v>-13.548937709907333</c:v>
                </c:pt>
                <c:pt idx="10">
                  <c:v>-5.7386124602635888</c:v>
                </c:pt>
                <c:pt idx="11">
                  <c:v>3.1189065849327764</c:v>
                </c:pt>
                <c:pt idx="12">
                  <c:v>12.655976027701753</c:v>
                </c:pt>
                <c:pt idx="13">
                  <c:v>22.545571895346079</c:v>
                </c:pt>
                <c:pt idx="14">
                  <c:v>32.448852536331451</c:v>
                </c:pt>
                <c:pt idx="15">
                  <c:v>41.928514667436488</c:v>
                </c:pt>
                <c:pt idx="16">
                  <c:v>50.29822914944684</c:v>
                </c:pt>
                <c:pt idx="17">
                  <c:v>56.409089517714584</c:v>
                </c:pt>
                <c:pt idx="18">
                  <c:v>58.705528817898006</c:v>
                </c:pt>
                <c:pt idx="19">
                  <c:v>56.32044438816844</c:v>
                </c:pt>
                <c:pt idx="20">
                  <c:v>50.103942073668364</c:v>
                </c:pt>
                <c:pt idx="21">
                  <c:v>41.594501739409445</c:v>
                </c:pt>
                <c:pt idx="22">
                  <c:v>31.927071151945192</c:v>
                </c:pt>
                <c:pt idx="23">
                  <c:v>21.775948007353353</c:v>
                </c:pt>
                <c:pt idx="24">
                  <c:v>11.565934877882876</c:v>
                </c:pt>
              </c:numCache>
            </c:numRef>
          </c:yVal>
          <c:smooth val="1"/>
          <c:extLst>
            <c:ext xmlns:c16="http://schemas.microsoft.com/office/drawing/2014/chart" uri="{C3380CC4-5D6E-409C-BE32-E72D297353CC}">
              <c16:uniqueId val="{00000001-3BC1-0840-B88A-7D04D9B63276}"/>
            </c:ext>
          </c:extLst>
        </c:ser>
        <c:dLbls>
          <c:showLegendKey val="0"/>
          <c:showVal val="0"/>
          <c:showCatName val="0"/>
          <c:showSerName val="0"/>
          <c:showPercent val="0"/>
          <c:showBubbleSize val="0"/>
        </c:dLbls>
        <c:axId val="354494927"/>
        <c:axId val="1"/>
      </c:scatterChart>
      <c:valAx>
        <c:axId val="354494927"/>
        <c:scaling>
          <c:orientation val="minMax"/>
          <c:max val="24"/>
        </c:scaling>
        <c:delete val="0"/>
        <c:axPos val="b"/>
        <c:majorGridlines>
          <c:spPr>
            <a:ln w="3175">
              <a:solidFill>
                <a:srgbClr val="969696"/>
              </a:solidFill>
              <a:prstDash val="solid"/>
            </a:ln>
          </c:spPr>
        </c:majorGridlines>
        <c:title>
          <c:tx>
            <c:rich>
              <a:bodyPr/>
              <a:lstStyle/>
              <a:p>
                <a:pPr>
                  <a:defRPr sz="1100">
                    <a:latin typeface="+mn-lt"/>
                  </a:defRPr>
                </a:pPr>
                <a:r>
                  <a:rPr lang="en-GB" sz="1100">
                    <a:latin typeface="+mn-lt"/>
                  </a:rPr>
                  <a:t>hour</a:t>
                </a:r>
              </a:p>
            </c:rich>
          </c:tx>
          <c:overlay val="0"/>
        </c:title>
        <c:numFmt formatCode="General" sourceLinked="1"/>
        <c:majorTickMark val="none"/>
        <c:minorTickMark val="in"/>
        <c:tickLblPos val="nextTo"/>
        <c:spPr>
          <a:ln w="12700">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CH"/>
          </a:p>
        </c:txPr>
        <c:crossAx val="1"/>
        <c:crossesAt val="-18"/>
        <c:crossBetween val="midCat"/>
        <c:majorUnit val="1"/>
        <c:minorUnit val="0.25"/>
      </c:valAx>
      <c:valAx>
        <c:axId val="1"/>
        <c:scaling>
          <c:orientation val="minMax"/>
          <c:max val="90"/>
          <c:min val="-30"/>
        </c:scaling>
        <c:delete val="0"/>
        <c:axPos val="l"/>
        <c:majorGridlines>
          <c:spPr>
            <a:ln w="3175">
              <a:solidFill>
                <a:srgbClr val="969696"/>
              </a:solidFill>
              <a:prstDash val="solid"/>
            </a:ln>
          </c:spPr>
        </c:majorGridlines>
        <c:title>
          <c:tx>
            <c:rich>
              <a:bodyPr/>
              <a:lstStyle/>
              <a:p>
                <a:pPr>
                  <a:defRPr sz="1100">
                    <a:latin typeface="Calibri" panose="020F0502020204030204" pitchFamily="34" charset="0"/>
                    <a:cs typeface="Calibri" panose="020F0502020204030204" pitchFamily="34" charset="0"/>
                  </a:defRPr>
                </a:pPr>
                <a:r>
                  <a:rPr lang="en-GB" sz="1100">
                    <a:latin typeface="Calibri" panose="020F0502020204030204" pitchFamily="34" charset="0"/>
                    <a:cs typeface="Calibri" panose="020F0502020204030204" pitchFamily="34" charset="0"/>
                  </a:rPr>
                  <a:t>Altitude</a:t>
                </a:r>
              </a:p>
            </c:rich>
          </c:tx>
          <c:overlay val="0"/>
        </c:title>
        <c:numFmt formatCode="0" sourceLinked="0"/>
        <c:majorTickMark val="none"/>
        <c:minorTickMark val="in"/>
        <c:tickLblPos val="nextTo"/>
        <c:spPr>
          <a:ln w="12700">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CH"/>
          </a:p>
        </c:txPr>
        <c:crossAx val="354494927"/>
        <c:crosses val="autoZero"/>
        <c:crossBetween val="midCat"/>
        <c:majorUnit val="6"/>
        <c:minorUnit val="2"/>
      </c:valAx>
      <c:spPr>
        <a:solidFill>
          <a:srgbClr val="FFFFFF"/>
        </a:solidFill>
        <a:ln w="12700">
          <a:solidFill>
            <a:srgbClr val="000000"/>
          </a:solidFill>
          <a:prstDash val="solid"/>
        </a:ln>
      </c:spPr>
    </c:plotArea>
    <c:legend>
      <c:legendPos val="r"/>
      <c:overlay val="0"/>
      <c:txPr>
        <a:bodyPr/>
        <a:lstStyle/>
        <a:p>
          <a:pPr>
            <a:defRPr sz="1200">
              <a:latin typeface="+mn-lt"/>
            </a:defRPr>
          </a:pPr>
          <a:endParaRPr lang="en-CH"/>
        </a:p>
      </c:txPr>
    </c:legend>
    <c:plotVisOnly val="1"/>
    <c:dispBlanksAs val="gap"/>
    <c:showDLblsOverMax val="0"/>
  </c:chart>
  <c:spPr>
    <a:solidFill>
      <a:srgbClr val="FFFFFF"/>
    </a:solidFill>
    <a:ln w="3175">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CH"/>
    </a:p>
  </c:txPr>
  <c:printSettings>
    <c:headerFooter alignWithMargins="0"/>
    <c:pageMargins b="1" l="0.75" r="0.75" t="1" header="0.5" footer="0.5"/>
    <c:pageSetup paperSize="8" orientation="landscape" horizontalDpi="300" verticalDpi="0" copies="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011282171818074E-2"/>
          <c:y val="5.8632036667058407E-3"/>
          <c:w val="0.97273465049997587"/>
          <c:h val="0.98626932728264161"/>
        </c:manualLayout>
      </c:layout>
      <c:areaChart>
        <c:grouping val="stacked"/>
        <c:varyColors val="0"/>
        <c:ser>
          <c:idx val="2"/>
          <c:order val="0"/>
          <c:tx>
            <c:strRef>
              <c:f>Illumination!$H$8</c:f>
              <c:strCache>
                <c:ptCount val="1"/>
                <c:pt idx="0">
                  <c:v>black bottom</c:v>
                </c:pt>
              </c:strCache>
            </c:strRef>
          </c:tx>
          <c:spPr>
            <a:solidFill>
              <a:schemeClr val="tx1"/>
            </a:solidFill>
            <a:ln w="9525">
              <a:solidFill>
                <a:schemeClr val="tx1"/>
              </a:solidFill>
            </a:ln>
            <a:effectLst/>
          </c:spPr>
          <c:val>
            <c:numRef>
              <c:f>Illumination!$H$9:$H$209</c:f>
              <c:numCache>
                <c:formatCode>0.00</c:formatCode>
                <c:ptCount val="2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numCache>
            </c:numRef>
          </c:val>
          <c:extLst>
            <c:ext xmlns:c16="http://schemas.microsoft.com/office/drawing/2014/chart" uri="{C3380CC4-5D6E-409C-BE32-E72D297353CC}">
              <c16:uniqueId val="{00000000-24E4-694A-8347-B207C0868488}"/>
            </c:ext>
          </c:extLst>
        </c:ser>
        <c:ser>
          <c:idx val="0"/>
          <c:order val="1"/>
          <c:tx>
            <c:strRef>
              <c:f>Illumination!$I$8</c:f>
              <c:strCache>
                <c:ptCount val="1"/>
                <c:pt idx="0">
                  <c:v>transparent</c:v>
                </c:pt>
              </c:strCache>
            </c:strRef>
          </c:tx>
          <c:spPr>
            <a:noFill/>
            <a:ln w="25400">
              <a:noFill/>
            </a:ln>
            <a:effectLst/>
          </c:spPr>
          <c:val>
            <c:numRef>
              <c:f>Illumination!$I$9:$I$209</c:f>
              <c:numCache>
                <c:formatCode>0.00</c:formatCode>
                <c:ptCount val="2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2.3421445279572239E-3</c:v>
                </c:pt>
                <c:pt idx="102">
                  <c:v>9.4018037870737814E-3</c:v>
                </c:pt>
                <c:pt idx="103">
                  <c:v>2.1281057061996456E-2</c:v>
                </c:pt>
                <c:pt idx="104">
                  <c:v>3.8158461407901467E-2</c:v>
                </c:pt>
                <c:pt idx="105">
                  <c:v>6.0303285827336794E-2</c:v>
                </c:pt>
                <c:pt idx="106">
                  <c:v>8.8099195601442304E-2</c:v>
                </c:pt>
                <c:pt idx="107">
                  <c:v>0.12208278712128806</c:v>
                </c:pt>
                <c:pt idx="108">
                  <c:v>0.16300741852459233</c:v>
                </c:pt>
                <c:pt idx="109">
                  <c:v>0.21195373017115249</c:v>
                </c:pt>
                <c:pt idx="110">
                  <c:v>0.27053467628158867</c:v>
                </c:pt>
                <c:pt idx="111">
                  <c:v>0.34131586720628782</c:v>
                </c:pt>
                <c:pt idx="112">
                  <c:v>0.42881499647578702</c:v>
                </c:pt>
                <c:pt idx="113">
                  <c:v>0.5425262599035241</c:v>
                </c:pt>
                <c:pt idx="114">
                  <c:v>0.71198171815852951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numCache>
            </c:numRef>
          </c:val>
          <c:extLst>
            <c:ext xmlns:c16="http://schemas.microsoft.com/office/drawing/2014/chart" uri="{C3380CC4-5D6E-409C-BE32-E72D297353CC}">
              <c16:uniqueId val="{00000001-24E4-694A-8347-B207C0868488}"/>
            </c:ext>
          </c:extLst>
        </c:ser>
        <c:ser>
          <c:idx val="3"/>
          <c:order val="2"/>
          <c:tx>
            <c:strRef>
              <c:f>Illumination!$J$8</c:f>
              <c:strCache>
                <c:ptCount val="1"/>
                <c:pt idx="0">
                  <c:v>black top</c:v>
                </c:pt>
              </c:strCache>
            </c:strRef>
          </c:tx>
          <c:spPr>
            <a:solidFill>
              <a:schemeClr val="tx1"/>
            </a:solidFill>
            <a:ln w="9525">
              <a:noFill/>
            </a:ln>
            <a:effectLst/>
          </c:spPr>
          <c:val>
            <c:numRef>
              <c:f>Illumination!$J$9:$J$209</c:f>
              <c:numCache>
                <c:formatCode>0.00</c:formatCode>
                <c:ptCount val="201"/>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1.9953157109440856</c:v>
                </c:pt>
                <c:pt idx="102">
                  <c:v>1.9811963924258524</c:v>
                </c:pt>
                <c:pt idx="103">
                  <c:v>1.9574378858760071</c:v>
                </c:pt>
                <c:pt idx="104">
                  <c:v>1.9236830771841971</c:v>
                </c:pt>
                <c:pt idx="105">
                  <c:v>1.8793934283453264</c:v>
                </c:pt>
                <c:pt idx="106">
                  <c:v>1.8238016087971154</c:v>
                </c:pt>
                <c:pt idx="107">
                  <c:v>1.7558344257574239</c:v>
                </c:pt>
                <c:pt idx="108">
                  <c:v>1.6739851629508153</c:v>
                </c:pt>
                <c:pt idx="109">
                  <c:v>1.576092539657695</c:v>
                </c:pt>
                <c:pt idx="110">
                  <c:v>1.4589306474368227</c:v>
                </c:pt>
                <c:pt idx="111">
                  <c:v>1.3173682655874244</c:v>
                </c:pt>
                <c:pt idx="112">
                  <c:v>1.142370007048426</c:v>
                </c:pt>
                <c:pt idx="113">
                  <c:v>0.91494748019295169</c:v>
                </c:pt>
                <c:pt idx="114">
                  <c:v>0.57603656368294109</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numCache>
            </c:numRef>
          </c:val>
          <c:extLst>
            <c:ext xmlns:c16="http://schemas.microsoft.com/office/drawing/2014/chart" uri="{C3380CC4-5D6E-409C-BE32-E72D297353CC}">
              <c16:uniqueId val="{00000002-24E4-694A-8347-B207C0868488}"/>
            </c:ext>
          </c:extLst>
        </c:ser>
        <c:dLbls>
          <c:showLegendKey val="0"/>
          <c:showVal val="0"/>
          <c:showCatName val="0"/>
          <c:showSerName val="0"/>
          <c:showPercent val="0"/>
          <c:showBubbleSize val="0"/>
        </c:dLbls>
        <c:axId val="239354064"/>
        <c:axId val="239352496"/>
      </c:areaChart>
      <c:catAx>
        <c:axId val="239354064"/>
        <c:scaling>
          <c:orientation val="minMax"/>
        </c:scaling>
        <c:delete val="1"/>
        <c:axPos val="b"/>
        <c:majorTickMark val="none"/>
        <c:minorTickMark val="none"/>
        <c:tickLblPos val="nextTo"/>
        <c:crossAx val="239352496"/>
        <c:crosses val="autoZero"/>
        <c:auto val="1"/>
        <c:lblAlgn val="ctr"/>
        <c:lblOffset val="100"/>
        <c:noMultiLvlLbl val="0"/>
      </c:catAx>
      <c:valAx>
        <c:axId val="239352496"/>
        <c:scaling>
          <c:orientation val="minMax"/>
          <c:max val="2"/>
          <c:min val="0"/>
        </c:scaling>
        <c:delete val="1"/>
        <c:axPos val="l"/>
        <c:numFmt formatCode="0.00" sourceLinked="1"/>
        <c:majorTickMark val="out"/>
        <c:minorTickMark val="none"/>
        <c:tickLblPos val="nextTo"/>
        <c:crossAx val="239354064"/>
        <c:crosses val="autoZero"/>
        <c:crossBetween val="midCat"/>
      </c:valAx>
      <c:spPr>
        <a:blipFill>
          <a:blip xmlns:r="http://schemas.openxmlformats.org/officeDocument/2006/relationships" r:embed="rId3"/>
          <a:stretch>
            <a:fillRect/>
          </a:stretch>
        </a:blipFill>
        <a:ln>
          <a:noFill/>
        </a:ln>
        <a:effectLst/>
      </c:spPr>
    </c:plotArea>
    <c:plotVisOnly val="0"/>
    <c:dispBlanksAs val="gap"/>
    <c:showDLblsOverMax val="0"/>
  </c:chart>
  <c:spPr>
    <a:solidFill>
      <a:schemeClr val="tx1"/>
    </a:solidFill>
    <a:ln w="9525" cap="flat" cmpd="sng" algn="ctr">
      <a:noFill/>
      <a:round/>
    </a:ln>
    <a:effectLst/>
  </c:spPr>
  <c:txPr>
    <a:bodyPr/>
    <a:lstStyle/>
    <a:p>
      <a:pPr>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s://www.astronomy-morsels.ch/morsels"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5" Type="http://schemas.openxmlformats.org/officeDocument/2006/relationships/image" Target="../media/image8.jpg"/><Relationship Id="rId4" Type="http://schemas.openxmlformats.org/officeDocument/2006/relationships/image" Target="../media/image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g"/><Relationship Id="rId2" Type="http://schemas.openxmlformats.org/officeDocument/2006/relationships/image" Target="../media/image10.jp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596900</xdr:colOff>
      <xdr:row>38</xdr:row>
      <xdr:rowOff>114300</xdr:rowOff>
    </xdr:from>
    <xdr:to>
      <xdr:col>9</xdr:col>
      <xdr:colOff>215900</xdr:colOff>
      <xdr:row>48</xdr:row>
      <xdr:rowOff>25400</xdr:rowOff>
    </xdr:to>
    <xdr:pic>
      <xdr:nvPicPr>
        <xdr:cNvPr id="3" name="Picture 2">
          <a:hlinkClick xmlns:r="http://schemas.openxmlformats.org/officeDocument/2006/relationships" r:id="rId1"/>
          <a:extLst>
            <a:ext uri="{FF2B5EF4-FFF2-40B4-BE49-F238E27FC236}">
              <a16:creationId xmlns:a16="http://schemas.microsoft.com/office/drawing/2014/main" id="{986149BC-8520-4C4B-E9DC-263481011423}"/>
            </a:ext>
          </a:extLst>
        </xdr:cNvPr>
        <xdr:cNvPicPr>
          <a:picLocks noChangeAspect="1"/>
        </xdr:cNvPicPr>
      </xdr:nvPicPr>
      <xdr:blipFill>
        <a:blip xmlns:r="http://schemas.openxmlformats.org/officeDocument/2006/relationships" r:embed="rId2"/>
        <a:stretch>
          <a:fillRect/>
        </a:stretch>
      </xdr:blipFill>
      <xdr:spPr>
        <a:xfrm>
          <a:off x="2247900" y="9969500"/>
          <a:ext cx="5397500" cy="1943100"/>
        </a:xfrm>
        <a:prstGeom prst="rect">
          <a:avLst/>
        </a:prstGeom>
      </xdr:spPr>
    </xdr:pic>
    <xdr:clientData/>
  </xdr:twoCellAnchor>
  <xdr:twoCellAnchor editAs="oneCell">
    <xdr:from>
      <xdr:col>2</xdr:col>
      <xdr:colOff>508772</xdr:colOff>
      <xdr:row>16</xdr:row>
      <xdr:rowOff>152399</xdr:rowOff>
    </xdr:from>
    <xdr:to>
      <xdr:col>9</xdr:col>
      <xdr:colOff>139700</xdr:colOff>
      <xdr:row>32</xdr:row>
      <xdr:rowOff>202852</xdr:rowOff>
    </xdr:to>
    <xdr:pic>
      <xdr:nvPicPr>
        <xdr:cNvPr id="2" name="Picture 1" descr="Moon Phases &amp; Your Monthly Cycle – Happy Healthy You">
          <a:extLst>
            <a:ext uri="{FF2B5EF4-FFF2-40B4-BE49-F238E27FC236}">
              <a16:creationId xmlns:a16="http://schemas.microsoft.com/office/drawing/2014/main" id="{62633372-F9EF-7666-5DFB-4495CE8F0F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59772" y="3505199"/>
          <a:ext cx="5409428" cy="3301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812800</xdr:colOff>
      <xdr:row>1</xdr:row>
      <xdr:rowOff>76200</xdr:rowOff>
    </xdr:from>
    <xdr:to>
      <xdr:col>15</xdr:col>
      <xdr:colOff>660400</xdr:colOff>
      <xdr:row>22</xdr:row>
      <xdr:rowOff>50800</xdr:rowOff>
    </xdr:to>
    <xdr:grpSp>
      <xdr:nvGrpSpPr>
        <xdr:cNvPr id="2" name="Group 2">
          <a:extLst>
            <a:ext uri="{FF2B5EF4-FFF2-40B4-BE49-F238E27FC236}">
              <a16:creationId xmlns:a16="http://schemas.microsoft.com/office/drawing/2014/main" id="{EBB2FFFC-1DB2-E142-A393-F292E32CA6F3}"/>
            </a:ext>
          </a:extLst>
        </xdr:cNvPr>
        <xdr:cNvGrpSpPr>
          <a:grpSpLocks/>
        </xdr:cNvGrpSpPr>
      </xdr:nvGrpSpPr>
      <xdr:grpSpPr bwMode="auto">
        <a:xfrm>
          <a:off x="5207000" y="279400"/>
          <a:ext cx="8102600" cy="4241800"/>
          <a:chOff x="108" y="59"/>
          <a:chExt cx="623" cy="363"/>
        </a:xfrm>
      </xdr:grpSpPr>
      <xdr:graphicFrame macro="">
        <xdr:nvGraphicFramePr>
          <xdr:cNvPr id="3" name="Chart 3">
            <a:extLst>
              <a:ext uri="{FF2B5EF4-FFF2-40B4-BE49-F238E27FC236}">
                <a16:creationId xmlns:a16="http://schemas.microsoft.com/office/drawing/2014/main" id="{1D05E1CF-6AEF-A329-65D4-FE16AE83638E}"/>
              </a:ext>
            </a:extLst>
          </xdr:cNvPr>
          <xdr:cNvGraphicFramePr>
            <a:graphicFrameLocks/>
          </xdr:cNvGraphicFramePr>
        </xdr:nvGraphicFramePr>
        <xdr:xfrm>
          <a:off x="108" y="59"/>
          <a:ext cx="623" cy="36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Line 4">
            <a:extLst>
              <a:ext uri="{FF2B5EF4-FFF2-40B4-BE49-F238E27FC236}">
                <a16:creationId xmlns:a16="http://schemas.microsoft.com/office/drawing/2014/main" id="{F14E6FBB-B542-AFBC-138D-8E46DFA05CF4}"/>
              </a:ext>
            </a:extLst>
          </xdr:cNvPr>
          <xdr:cNvSpPr>
            <a:spLocks noChangeShapeType="1"/>
          </xdr:cNvSpPr>
        </xdr:nvSpPr>
        <xdr:spPr bwMode="auto">
          <a:xfrm flipV="1">
            <a:off x="140" y="312"/>
            <a:ext cx="519" cy="1"/>
          </a:xfrm>
          <a:prstGeom prst="line">
            <a:avLst/>
          </a:prstGeom>
          <a:noFill/>
          <a:ln w="19050">
            <a:solidFill>
              <a:srgbClr xmlns:mc="http://schemas.openxmlformats.org/markup-compatibility/2006" xmlns:a14="http://schemas.microsoft.com/office/drawing/2010/main" val="3366FF" mc:Ignorable="a14" a14:legacySpreadsheetColorIndex="48"/>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800100</xdr:colOff>
      <xdr:row>4</xdr:row>
      <xdr:rowOff>88900</xdr:rowOff>
    </xdr:from>
    <xdr:to>
      <xdr:col>20</xdr:col>
      <xdr:colOff>241300</xdr:colOff>
      <xdr:row>17</xdr:row>
      <xdr:rowOff>190500</xdr:rowOff>
    </xdr:to>
    <xdr:graphicFrame macro="">
      <xdr:nvGraphicFramePr>
        <xdr:cNvPr id="5" name="Chart 4">
          <a:extLst>
            <a:ext uri="{FF2B5EF4-FFF2-40B4-BE49-F238E27FC236}">
              <a16:creationId xmlns:a16="http://schemas.microsoft.com/office/drawing/2014/main" id="{F5D230D5-FD6A-794A-900A-D43BB62B70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101600</xdr:rowOff>
    </xdr:from>
    <xdr:to>
      <xdr:col>0</xdr:col>
      <xdr:colOff>635000</xdr:colOff>
      <xdr:row>10</xdr:row>
      <xdr:rowOff>184896</xdr:rowOff>
    </xdr:to>
    <xdr:pic>
      <xdr:nvPicPr>
        <xdr:cNvPr id="2" name="Picture 1" hidden="1">
          <a:extLst>
            <a:ext uri="{FF2B5EF4-FFF2-40B4-BE49-F238E27FC236}">
              <a16:creationId xmlns:a16="http://schemas.microsoft.com/office/drawing/2014/main" id="{5DB9AD52-6B19-D54C-B2F7-3DDFC2812C2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524000"/>
          <a:ext cx="635000" cy="438896"/>
        </a:xfrm>
        <a:prstGeom prst="rect">
          <a:avLst/>
        </a:prstGeom>
        <a:noFill/>
      </xdr:spPr>
    </xdr:pic>
    <xdr:clientData/>
  </xdr:twoCellAnchor>
  <xdr:twoCellAnchor editAs="oneCell">
    <xdr:from>
      <xdr:col>0</xdr:col>
      <xdr:colOff>0</xdr:colOff>
      <xdr:row>6</xdr:row>
      <xdr:rowOff>38100</xdr:rowOff>
    </xdr:from>
    <xdr:to>
      <xdr:col>0</xdr:col>
      <xdr:colOff>622426</xdr:colOff>
      <xdr:row>9</xdr:row>
      <xdr:rowOff>69850</xdr:rowOff>
    </xdr:to>
    <xdr:pic>
      <xdr:nvPicPr>
        <xdr:cNvPr id="3" name="Picture 2" hidden="1">
          <a:extLst>
            <a:ext uri="{FF2B5EF4-FFF2-40B4-BE49-F238E27FC236}">
              <a16:creationId xmlns:a16="http://schemas.microsoft.com/office/drawing/2014/main" id="{10C5CD9D-E904-1F49-8313-D610D2A243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104900"/>
          <a:ext cx="622426" cy="565150"/>
        </a:xfrm>
        <a:prstGeom prst="rect">
          <a:avLst/>
        </a:prstGeom>
        <a:noFill/>
      </xdr:spPr>
    </xdr:pic>
    <xdr:clientData/>
  </xdr:twoCellAnchor>
  <xdr:twoCellAnchor editAs="oneCell">
    <xdr:from>
      <xdr:col>0</xdr:col>
      <xdr:colOff>0</xdr:colOff>
      <xdr:row>6</xdr:row>
      <xdr:rowOff>38100</xdr:rowOff>
    </xdr:from>
    <xdr:to>
      <xdr:col>0</xdr:col>
      <xdr:colOff>624417</xdr:colOff>
      <xdr:row>9</xdr:row>
      <xdr:rowOff>3175</xdr:rowOff>
    </xdr:to>
    <xdr:pic>
      <xdr:nvPicPr>
        <xdr:cNvPr id="4" name="Picture 3" hidden="1">
          <a:extLst>
            <a:ext uri="{FF2B5EF4-FFF2-40B4-BE49-F238E27FC236}">
              <a16:creationId xmlns:a16="http://schemas.microsoft.com/office/drawing/2014/main" id="{7FB0D93E-2891-BC4D-94A5-6688C3098856}"/>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0" y="1104900"/>
          <a:ext cx="624417" cy="498475"/>
        </a:xfrm>
        <a:prstGeom prst="rect">
          <a:avLst/>
        </a:prstGeom>
        <a:noFill/>
      </xdr:spPr>
    </xdr:pic>
    <xdr:clientData/>
  </xdr:twoCellAnchor>
  <xdr:twoCellAnchor editAs="oneCell">
    <xdr:from>
      <xdr:col>0</xdr:col>
      <xdr:colOff>0</xdr:colOff>
      <xdr:row>5</xdr:row>
      <xdr:rowOff>0</xdr:rowOff>
    </xdr:from>
    <xdr:to>
      <xdr:col>1</xdr:col>
      <xdr:colOff>932329</xdr:colOff>
      <xdr:row>11</xdr:row>
      <xdr:rowOff>23906</xdr:rowOff>
    </xdr:to>
    <xdr:pic>
      <xdr:nvPicPr>
        <xdr:cNvPr id="5" name="Picture 4" hidden="1">
          <a:extLst>
            <a:ext uri="{FF2B5EF4-FFF2-40B4-BE49-F238E27FC236}">
              <a16:creationId xmlns:a16="http://schemas.microsoft.com/office/drawing/2014/main" id="{E2571B0A-BD86-2E46-9B8F-BEC4CCC574DB}"/>
            </a:ext>
          </a:extLst>
        </xdr:cNvPr>
        <xdr:cNvPicPr>
          <a:picLocks noChangeAspect="1"/>
        </xdr:cNvPicPr>
      </xdr:nvPicPr>
      <xdr:blipFill>
        <a:blip xmlns:r="http://schemas.openxmlformats.org/officeDocument/2006/relationships" r:embed="rId4" cstate="print"/>
        <a:stretch>
          <a:fillRect/>
        </a:stretch>
      </xdr:blipFill>
      <xdr:spPr>
        <a:xfrm>
          <a:off x="0" y="889000"/>
          <a:ext cx="1757829" cy="1116106"/>
        </a:xfrm>
        <a:prstGeom prst="rect">
          <a:avLst/>
        </a:prstGeom>
      </xdr:spPr>
    </xdr:pic>
    <xdr:clientData/>
  </xdr:twoCellAnchor>
  <xdr:twoCellAnchor editAs="oneCell">
    <xdr:from>
      <xdr:col>1</xdr:col>
      <xdr:colOff>0</xdr:colOff>
      <xdr:row>9</xdr:row>
      <xdr:rowOff>50800</xdr:rowOff>
    </xdr:from>
    <xdr:to>
      <xdr:col>4</xdr:col>
      <xdr:colOff>317500</xdr:colOff>
      <xdr:row>17</xdr:row>
      <xdr:rowOff>8829</xdr:rowOff>
    </xdr:to>
    <xdr:pic>
      <xdr:nvPicPr>
        <xdr:cNvPr id="6" name="Picture 5">
          <a:extLst>
            <a:ext uri="{FF2B5EF4-FFF2-40B4-BE49-F238E27FC236}">
              <a16:creationId xmlns:a16="http://schemas.microsoft.com/office/drawing/2014/main" id="{B56537FD-093B-0F4F-98E6-A3F765A32A06}"/>
            </a:ext>
          </a:extLst>
        </xdr:cNvPr>
        <xdr:cNvPicPr>
          <a:picLocks noChangeAspect="1"/>
        </xdr:cNvPicPr>
      </xdr:nvPicPr>
      <xdr:blipFill>
        <a:blip xmlns:r="http://schemas.openxmlformats.org/officeDocument/2006/relationships" r:embed="rId5"/>
        <a:stretch>
          <a:fillRect/>
        </a:stretch>
      </xdr:blipFill>
      <xdr:spPr>
        <a:xfrm>
          <a:off x="825500" y="1651000"/>
          <a:ext cx="3746500" cy="1558229"/>
        </a:xfrm>
        <a:prstGeom prst="rect">
          <a:avLst/>
        </a:prstGeom>
        <a:ln>
          <a:solidFill>
            <a:schemeClr val="tx1"/>
          </a:solidFill>
        </a:ln>
      </xdr:spPr>
    </xdr:pic>
    <xdr:clientData/>
  </xdr:twoCellAnchor>
  <xdr:oneCellAnchor>
    <xdr:from>
      <xdr:col>10</xdr:col>
      <xdr:colOff>0</xdr:colOff>
      <xdr:row>5</xdr:row>
      <xdr:rowOff>0</xdr:rowOff>
    </xdr:from>
    <xdr:ext cx="1757829" cy="1116106"/>
    <xdr:pic>
      <xdr:nvPicPr>
        <xdr:cNvPr id="7" name="Picture 6" hidden="1">
          <a:extLst>
            <a:ext uri="{FF2B5EF4-FFF2-40B4-BE49-F238E27FC236}">
              <a16:creationId xmlns:a16="http://schemas.microsoft.com/office/drawing/2014/main" id="{BE89A904-1196-984C-999B-919F9B322916}"/>
            </a:ext>
          </a:extLst>
        </xdr:cNvPr>
        <xdr:cNvPicPr>
          <a:picLocks noChangeAspect="1"/>
        </xdr:cNvPicPr>
      </xdr:nvPicPr>
      <xdr:blipFill>
        <a:blip xmlns:r="http://schemas.openxmlformats.org/officeDocument/2006/relationships" r:embed="rId4" cstate="print"/>
        <a:stretch>
          <a:fillRect/>
        </a:stretch>
      </xdr:blipFill>
      <xdr:spPr>
        <a:xfrm>
          <a:off x="9512300" y="889000"/>
          <a:ext cx="1757829" cy="1116106"/>
        </a:xfrm>
        <a:prstGeom prst="rect">
          <a:avLst/>
        </a:prstGeom>
      </xdr:spPr>
    </xdr:pic>
    <xdr:clientData/>
  </xdr:oneCellAnchor>
  <xdr:oneCellAnchor>
    <xdr:from>
      <xdr:col>10</xdr:col>
      <xdr:colOff>0</xdr:colOff>
      <xdr:row>5</xdr:row>
      <xdr:rowOff>0</xdr:rowOff>
    </xdr:from>
    <xdr:ext cx="1757829" cy="1116106"/>
    <xdr:pic>
      <xdr:nvPicPr>
        <xdr:cNvPr id="9" name="Picture 8" hidden="1">
          <a:extLst>
            <a:ext uri="{FF2B5EF4-FFF2-40B4-BE49-F238E27FC236}">
              <a16:creationId xmlns:a16="http://schemas.microsoft.com/office/drawing/2014/main" id="{17066FB2-6C46-5840-8E19-6D84ED7A720B}"/>
            </a:ext>
          </a:extLst>
        </xdr:cNvPr>
        <xdr:cNvPicPr>
          <a:picLocks noChangeAspect="1"/>
        </xdr:cNvPicPr>
      </xdr:nvPicPr>
      <xdr:blipFill>
        <a:blip xmlns:r="http://schemas.openxmlformats.org/officeDocument/2006/relationships" r:embed="rId4" cstate="print"/>
        <a:stretch>
          <a:fillRect/>
        </a:stretch>
      </xdr:blipFill>
      <xdr:spPr>
        <a:xfrm>
          <a:off x="9512300" y="889000"/>
          <a:ext cx="1757829" cy="111610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10</xdr:col>
      <xdr:colOff>736600</xdr:colOff>
      <xdr:row>5</xdr:row>
      <xdr:rowOff>50800</xdr:rowOff>
    </xdr:from>
    <xdr:to>
      <xdr:col>16</xdr:col>
      <xdr:colOff>228600</xdr:colOff>
      <xdr:row>27</xdr:row>
      <xdr:rowOff>139700</xdr:rowOff>
    </xdr:to>
    <xdr:pic>
      <xdr:nvPicPr>
        <xdr:cNvPr id="2" name="Picture 1">
          <a:extLst>
            <a:ext uri="{FF2B5EF4-FFF2-40B4-BE49-F238E27FC236}">
              <a16:creationId xmlns:a16="http://schemas.microsoft.com/office/drawing/2014/main" id="{010C1720-6239-2B69-2A87-DEF362E0B9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1600" y="1003300"/>
          <a:ext cx="4445000" cy="427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812800</xdr:colOff>
      <xdr:row>1</xdr:row>
      <xdr:rowOff>165100</xdr:rowOff>
    </xdr:from>
    <xdr:to>
      <xdr:col>10</xdr:col>
      <xdr:colOff>63500</xdr:colOff>
      <xdr:row>31</xdr:row>
      <xdr:rowOff>101600</xdr:rowOff>
    </xdr:to>
    <xdr:pic>
      <xdr:nvPicPr>
        <xdr:cNvPr id="3" name="Picture 2">
          <a:extLst>
            <a:ext uri="{FF2B5EF4-FFF2-40B4-BE49-F238E27FC236}">
              <a16:creationId xmlns:a16="http://schemas.microsoft.com/office/drawing/2014/main" id="{3DD230BE-13A9-1023-05CA-3781D32C7972}"/>
            </a:ext>
          </a:extLst>
        </xdr:cNvPr>
        <xdr:cNvPicPr>
          <a:picLocks noChangeAspect="1"/>
        </xdr:cNvPicPr>
      </xdr:nvPicPr>
      <xdr:blipFill>
        <a:blip xmlns:r="http://schemas.openxmlformats.org/officeDocument/2006/relationships" r:embed="rId2"/>
        <a:stretch>
          <a:fillRect/>
        </a:stretch>
      </xdr:blipFill>
      <xdr:spPr>
        <a:xfrm>
          <a:off x="812800" y="355600"/>
          <a:ext cx="7505700" cy="5651500"/>
        </a:xfrm>
        <a:prstGeom prst="rect">
          <a:avLst/>
        </a:prstGeom>
        <a:ln>
          <a:solidFill>
            <a:schemeClr val="tx1"/>
          </a:solidFill>
        </a:ln>
      </xdr:spPr>
    </xdr:pic>
    <xdr:clientData/>
  </xdr:twoCellAnchor>
  <xdr:twoCellAnchor editAs="oneCell">
    <xdr:from>
      <xdr:col>0</xdr:col>
      <xdr:colOff>812800</xdr:colOff>
      <xdr:row>31</xdr:row>
      <xdr:rowOff>101600</xdr:rowOff>
    </xdr:from>
    <xdr:to>
      <xdr:col>10</xdr:col>
      <xdr:colOff>76200</xdr:colOff>
      <xdr:row>65</xdr:row>
      <xdr:rowOff>101600</xdr:rowOff>
    </xdr:to>
    <xdr:pic>
      <xdr:nvPicPr>
        <xdr:cNvPr id="4" name="Picture 3">
          <a:extLst>
            <a:ext uri="{FF2B5EF4-FFF2-40B4-BE49-F238E27FC236}">
              <a16:creationId xmlns:a16="http://schemas.microsoft.com/office/drawing/2014/main" id="{FD5DF925-8D9A-C499-8F10-FC295F937E75}"/>
            </a:ext>
          </a:extLst>
        </xdr:cNvPr>
        <xdr:cNvPicPr>
          <a:picLocks noChangeAspect="1"/>
        </xdr:cNvPicPr>
      </xdr:nvPicPr>
      <xdr:blipFill>
        <a:blip xmlns:r="http://schemas.openxmlformats.org/officeDocument/2006/relationships" r:embed="rId3"/>
        <a:stretch>
          <a:fillRect/>
        </a:stretch>
      </xdr:blipFill>
      <xdr:spPr>
        <a:xfrm>
          <a:off x="812800" y="6007100"/>
          <a:ext cx="7518400" cy="6477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B940F-4CFD-5843-94DF-BBFEAA1B2116}">
  <sheetPr codeName="Sheet4"/>
  <dimension ref="A2:Q39"/>
  <sheetViews>
    <sheetView showGridLines="0" tabSelected="1" workbookViewId="0">
      <selection activeCell="B3" sqref="B3:K9"/>
    </sheetView>
  </sheetViews>
  <sheetFormatPr baseColWidth="10" defaultRowHeight="16"/>
  <cols>
    <col min="1" max="16384" width="10.83203125" style="13"/>
  </cols>
  <sheetData>
    <row r="2" spans="2:11" ht="15" customHeight="1"/>
    <row r="3" spans="2:11" ht="16" customHeight="1">
      <c r="B3" s="119" t="s">
        <v>67</v>
      </c>
      <c r="C3" s="119"/>
      <c r="D3" s="119"/>
      <c r="E3" s="119"/>
      <c r="F3" s="119"/>
      <c r="G3" s="119"/>
      <c r="H3" s="119"/>
      <c r="I3" s="119"/>
      <c r="J3" s="119"/>
      <c r="K3" s="119"/>
    </row>
    <row r="4" spans="2:11" ht="16" customHeight="1">
      <c r="B4" s="119"/>
      <c r="C4" s="119"/>
      <c r="D4" s="119"/>
      <c r="E4" s="119"/>
      <c r="F4" s="119"/>
      <c r="G4" s="119"/>
      <c r="H4" s="119"/>
      <c r="I4" s="119"/>
      <c r="J4" s="119"/>
      <c r="K4" s="119"/>
    </row>
    <row r="5" spans="2:11" ht="16" customHeight="1">
      <c r="B5" s="119"/>
      <c r="C5" s="119"/>
      <c r="D5" s="119"/>
      <c r="E5" s="119"/>
      <c r="F5" s="119"/>
      <c r="G5" s="119"/>
      <c r="H5" s="119"/>
      <c r="I5" s="119"/>
      <c r="J5" s="119"/>
      <c r="K5" s="119"/>
    </row>
    <row r="6" spans="2:11" ht="16" customHeight="1">
      <c r="B6" s="119"/>
      <c r="C6" s="119"/>
      <c r="D6" s="119"/>
      <c r="E6" s="119"/>
      <c r="F6" s="119"/>
      <c r="G6" s="119"/>
      <c r="H6" s="119"/>
      <c r="I6" s="119"/>
      <c r="J6" s="119"/>
      <c r="K6" s="119"/>
    </row>
    <row r="7" spans="2:11" ht="16" customHeight="1">
      <c r="B7" s="119"/>
      <c r="C7" s="119"/>
      <c r="D7" s="119"/>
      <c r="E7" s="119"/>
      <c r="F7" s="119"/>
      <c r="G7" s="119"/>
      <c r="H7" s="119"/>
      <c r="I7" s="119"/>
      <c r="J7" s="119"/>
      <c r="K7" s="119"/>
    </row>
    <row r="8" spans="2:11" ht="16" customHeight="1">
      <c r="B8" s="119"/>
      <c r="C8" s="119"/>
      <c r="D8" s="119"/>
      <c r="E8" s="119"/>
      <c r="F8" s="119"/>
      <c r="G8" s="119"/>
      <c r="H8" s="119"/>
      <c r="I8" s="119"/>
      <c r="J8" s="119"/>
      <c r="K8" s="119"/>
    </row>
    <row r="9" spans="2:11" ht="16" customHeight="1">
      <c r="B9" s="119"/>
      <c r="C9" s="119"/>
      <c r="D9" s="119"/>
      <c r="E9" s="119"/>
      <c r="F9" s="119"/>
      <c r="G9" s="119"/>
      <c r="H9" s="119"/>
      <c r="I9" s="119"/>
      <c r="J9" s="119"/>
      <c r="K9" s="119"/>
    </row>
    <row r="13" spans="2:11" ht="19">
      <c r="D13" s="1" t="s">
        <v>4</v>
      </c>
      <c r="E13" s="2"/>
      <c r="F13" s="3"/>
      <c r="G13" s="3"/>
      <c r="H13" s="3"/>
      <c r="I13" s="4" t="s">
        <v>0</v>
      </c>
    </row>
    <row r="14" spans="2:11" ht="19">
      <c r="D14" s="5"/>
      <c r="E14" s="6"/>
      <c r="F14" s="7"/>
      <c r="G14" s="7"/>
      <c r="H14" s="7"/>
      <c r="I14" s="8"/>
    </row>
    <row r="15" spans="2:11" ht="19">
      <c r="D15" s="9" t="s">
        <v>65</v>
      </c>
      <c r="E15" s="10"/>
      <c r="F15" s="11"/>
      <c r="G15" s="11"/>
      <c r="H15" s="11"/>
      <c r="I15" s="12" t="s">
        <v>64</v>
      </c>
    </row>
    <row r="25" spans="3:16">
      <c r="C25" s="14"/>
    </row>
    <row r="27" spans="3:16">
      <c r="P27" s="14"/>
    </row>
    <row r="28" spans="3:16">
      <c r="D28" s="14"/>
    </row>
    <row r="33" spans="1:17">
      <c r="Q33" s="14"/>
    </row>
    <row r="34" spans="1:17">
      <c r="A34" s="14"/>
    </row>
    <row r="35" spans="1:17">
      <c r="B35" s="120" t="s">
        <v>1</v>
      </c>
      <c r="C35" s="121"/>
      <c r="D35" s="121"/>
      <c r="E35" s="121"/>
      <c r="F35" s="121"/>
      <c r="G35" s="121"/>
      <c r="H35" s="121"/>
      <c r="I35" s="121"/>
      <c r="J35" s="121"/>
      <c r="K35" s="122"/>
    </row>
    <row r="36" spans="1:17">
      <c r="B36" s="123" t="s">
        <v>2</v>
      </c>
      <c r="C36" s="124"/>
      <c r="D36" s="124"/>
      <c r="E36" s="124"/>
      <c r="F36" s="124"/>
      <c r="G36" s="124"/>
      <c r="H36" s="124"/>
      <c r="I36" s="124"/>
      <c r="J36" s="124"/>
      <c r="K36" s="125"/>
    </row>
    <row r="37" spans="1:17">
      <c r="B37" s="126" t="s">
        <v>3</v>
      </c>
      <c r="C37" s="127"/>
      <c r="D37" s="127"/>
      <c r="E37" s="127"/>
      <c r="F37" s="127"/>
      <c r="G37" s="127"/>
      <c r="H37" s="127"/>
      <c r="I37" s="127"/>
      <c r="J37" s="127"/>
      <c r="K37" s="128"/>
    </row>
    <row r="39" spans="1:17">
      <c r="Q39" s="14"/>
    </row>
  </sheetData>
  <sheetProtection sheet="1" objects="1" scenarios="1"/>
  <mergeCells count="4">
    <mergeCell ref="B3:K9"/>
    <mergeCell ref="B35:K35"/>
    <mergeCell ref="B36:K36"/>
    <mergeCell ref="B37:K37"/>
  </mergeCells>
  <hyperlinks>
    <hyperlink ref="I13" r:id="rId1" xr:uid="{60E68FAD-CE54-204D-BE8F-AA8992F34899}"/>
    <hyperlink ref="B35" r:id="rId2" display="http://www.astronomy-morsels.ch/" xr:uid="{658673F1-EC19-9849-A093-CD89D563BEA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03742-293F-EA45-949C-FEC427C91710}">
  <dimension ref="B1:AD116"/>
  <sheetViews>
    <sheetView showGridLines="0" workbookViewId="0">
      <selection activeCell="D14" sqref="D13:D14"/>
    </sheetView>
  </sheetViews>
  <sheetFormatPr baseColWidth="10" defaultRowHeight="13"/>
  <cols>
    <col min="1" max="1" width="10.83203125" style="17"/>
    <col min="2" max="2" width="13.33203125" style="17" customWidth="1"/>
    <col min="3" max="4" width="11.33203125" style="17" customWidth="1"/>
    <col min="5" max="30" width="10.83203125" style="17" customWidth="1"/>
    <col min="31" max="31" width="10.1640625" style="17" bestFit="1" customWidth="1"/>
    <col min="32" max="255" width="8.83203125" style="17" customWidth="1"/>
    <col min="256" max="256" width="7.83203125" style="17" customWidth="1"/>
    <col min="257" max="257" width="7.5" style="17" customWidth="1"/>
    <col min="258" max="258" width="9" style="17" customWidth="1"/>
    <col min="259" max="259" width="8.33203125" style="17" customWidth="1"/>
    <col min="260" max="262" width="8.5" style="17" bestFit="1" customWidth="1"/>
    <col min="263" max="263" width="10" style="17" bestFit="1" customWidth="1"/>
    <col min="264" max="264" width="8.1640625" style="17" bestFit="1" customWidth="1"/>
    <col min="265" max="266" width="8.5" style="17" bestFit="1" customWidth="1"/>
    <col min="267" max="267" width="6" style="17" bestFit="1" customWidth="1"/>
    <col min="268" max="268" width="8.83203125" style="17" customWidth="1"/>
    <col min="269" max="269" width="8.5" style="17" bestFit="1" customWidth="1"/>
    <col min="270" max="270" width="7.1640625" style="17" bestFit="1" customWidth="1"/>
    <col min="271" max="271" width="4.5" style="17" bestFit="1" customWidth="1"/>
    <col min="272" max="272" width="5.5" style="17" bestFit="1" customWidth="1"/>
    <col min="273" max="275" width="6.1640625" style="17" bestFit="1" customWidth="1"/>
    <col min="276" max="276" width="7.1640625" style="17" bestFit="1" customWidth="1"/>
    <col min="277" max="286" width="8.83203125" style="17" customWidth="1"/>
    <col min="287" max="287" width="10" style="17" bestFit="1" customWidth="1"/>
    <col min="288" max="511" width="8.83203125" style="17" customWidth="1"/>
    <col min="512" max="512" width="7.83203125" style="17" customWidth="1"/>
    <col min="513" max="513" width="7.5" style="17" customWidth="1"/>
    <col min="514" max="514" width="9" style="17" customWidth="1"/>
    <col min="515" max="515" width="8.33203125" style="17" customWidth="1"/>
    <col min="516" max="518" width="8.5" style="17" bestFit="1" customWidth="1"/>
    <col min="519" max="519" width="10" style="17" bestFit="1" customWidth="1"/>
    <col min="520" max="520" width="8.1640625" style="17" bestFit="1" customWidth="1"/>
    <col min="521" max="522" width="8.5" style="17" bestFit="1" customWidth="1"/>
    <col min="523" max="523" width="6" style="17" bestFit="1" customWidth="1"/>
    <col min="524" max="524" width="8.83203125" style="17" customWidth="1"/>
    <col min="525" max="525" width="8.5" style="17" bestFit="1" customWidth="1"/>
    <col min="526" max="526" width="7.1640625" style="17" bestFit="1" customWidth="1"/>
    <col min="527" max="527" width="4.5" style="17" bestFit="1" customWidth="1"/>
    <col min="528" max="528" width="5.5" style="17" bestFit="1" customWidth="1"/>
    <col min="529" max="531" width="6.1640625" style="17" bestFit="1" customWidth="1"/>
    <col min="532" max="532" width="7.1640625" style="17" bestFit="1" customWidth="1"/>
    <col min="533" max="542" width="8.83203125" style="17" customWidth="1"/>
    <col min="543" max="543" width="10" style="17" bestFit="1" customWidth="1"/>
    <col min="544" max="767" width="8.83203125" style="17" customWidth="1"/>
    <col min="768" max="768" width="7.83203125" style="17" customWidth="1"/>
    <col min="769" max="769" width="7.5" style="17" customWidth="1"/>
    <col min="770" max="770" width="9" style="17" customWidth="1"/>
    <col min="771" max="771" width="8.33203125" style="17" customWidth="1"/>
    <col min="772" max="774" width="8.5" style="17" bestFit="1" customWidth="1"/>
    <col min="775" max="775" width="10" style="17" bestFit="1" customWidth="1"/>
    <col min="776" max="776" width="8.1640625" style="17" bestFit="1" customWidth="1"/>
    <col min="777" max="778" width="8.5" style="17" bestFit="1" customWidth="1"/>
    <col min="779" max="779" width="6" style="17" bestFit="1" customWidth="1"/>
    <col min="780" max="780" width="8.83203125" style="17" customWidth="1"/>
    <col min="781" max="781" width="8.5" style="17" bestFit="1" customWidth="1"/>
    <col min="782" max="782" width="7.1640625" style="17" bestFit="1" customWidth="1"/>
    <col min="783" max="783" width="4.5" style="17" bestFit="1" customWidth="1"/>
    <col min="784" max="784" width="5.5" style="17" bestFit="1" customWidth="1"/>
    <col min="785" max="787" width="6.1640625" style="17" bestFit="1" customWidth="1"/>
    <col min="788" max="788" width="7.1640625" style="17" bestFit="1" customWidth="1"/>
    <col min="789" max="798" width="8.83203125" style="17" customWidth="1"/>
    <col min="799" max="799" width="10" style="17" bestFit="1" customWidth="1"/>
    <col min="800" max="1023" width="8.83203125" style="17" customWidth="1"/>
    <col min="1024" max="1024" width="7.83203125" style="17" customWidth="1"/>
    <col min="1025" max="1025" width="7.5" style="17" customWidth="1"/>
    <col min="1026" max="1026" width="9" style="17" customWidth="1"/>
    <col min="1027" max="1027" width="8.33203125" style="17" customWidth="1"/>
    <col min="1028" max="1030" width="8.5" style="17" bestFit="1" customWidth="1"/>
    <col min="1031" max="1031" width="10" style="17" bestFit="1" customWidth="1"/>
    <col min="1032" max="1032" width="8.1640625" style="17" bestFit="1" customWidth="1"/>
    <col min="1033" max="1034" width="8.5" style="17" bestFit="1" customWidth="1"/>
    <col min="1035" max="1035" width="6" style="17" bestFit="1" customWidth="1"/>
    <col min="1036" max="1036" width="8.83203125" style="17" customWidth="1"/>
    <col min="1037" max="1037" width="8.5" style="17" bestFit="1" customWidth="1"/>
    <col min="1038" max="1038" width="7.1640625" style="17" bestFit="1" customWidth="1"/>
    <col min="1039" max="1039" width="4.5" style="17" bestFit="1" customWidth="1"/>
    <col min="1040" max="1040" width="5.5" style="17" bestFit="1" customWidth="1"/>
    <col min="1041" max="1043" width="6.1640625" style="17" bestFit="1" customWidth="1"/>
    <col min="1044" max="1044" width="7.1640625" style="17" bestFit="1" customWidth="1"/>
    <col min="1045" max="1054" width="8.83203125" style="17" customWidth="1"/>
    <col min="1055" max="1055" width="10" style="17" bestFit="1" customWidth="1"/>
    <col min="1056" max="1279" width="8.83203125" style="17" customWidth="1"/>
    <col min="1280" max="1280" width="7.83203125" style="17" customWidth="1"/>
    <col min="1281" max="1281" width="7.5" style="17" customWidth="1"/>
    <col min="1282" max="1282" width="9" style="17" customWidth="1"/>
    <col min="1283" max="1283" width="8.33203125" style="17" customWidth="1"/>
    <col min="1284" max="1286" width="8.5" style="17" bestFit="1" customWidth="1"/>
    <col min="1287" max="1287" width="10" style="17" bestFit="1" customWidth="1"/>
    <col min="1288" max="1288" width="8.1640625" style="17" bestFit="1" customWidth="1"/>
    <col min="1289" max="1290" width="8.5" style="17" bestFit="1" customWidth="1"/>
    <col min="1291" max="1291" width="6" style="17" bestFit="1" customWidth="1"/>
    <col min="1292" max="1292" width="8.83203125" style="17" customWidth="1"/>
    <col min="1293" max="1293" width="8.5" style="17" bestFit="1" customWidth="1"/>
    <col min="1294" max="1294" width="7.1640625" style="17" bestFit="1" customWidth="1"/>
    <col min="1295" max="1295" width="4.5" style="17" bestFit="1" customWidth="1"/>
    <col min="1296" max="1296" width="5.5" style="17" bestFit="1" customWidth="1"/>
    <col min="1297" max="1299" width="6.1640625" style="17" bestFit="1" customWidth="1"/>
    <col min="1300" max="1300" width="7.1640625" style="17" bestFit="1" customWidth="1"/>
    <col min="1301" max="1310" width="8.83203125" style="17" customWidth="1"/>
    <col min="1311" max="1311" width="10" style="17" bestFit="1" customWidth="1"/>
    <col min="1312" max="1535" width="8.83203125" style="17" customWidth="1"/>
    <col min="1536" max="1536" width="7.83203125" style="17" customWidth="1"/>
    <col min="1537" max="1537" width="7.5" style="17" customWidth="1"/>
    <col min="1538" max="1538" width="9" style="17" customWidth="1"/>
    <col min="1539" max="1539" width="8.33203125" style="17" customWidth="1"/>
    <col min="1540" max="1542" width="8.5" style="17" bestFit="1" customWidth="1"/>
    <col min="1543" max="1543" width="10" style="17" bestFit="1" customWidth="1"/>
    <col min="1544" max="1544" width="8.1640625" style="17" bestFit="1" customWidth="1"/>
    <col min="1545" max="1546" width="8.5" style="17" bestFit="1" customWidth="1"/>
    <col min="1547" max="1547" width="6" style="17" bestFit="1" customWidth="1"/>
    <col min="1548" max="1548" width="8.83203125" style="17" customWidth="1"/>
    <col min="1549" max="1549" width="8.5" style="17" bestFit="1" customWidth="1"/>
    <col min="1550" max="1550" width="7.1640625" style="17" bestFit="1" customWidth="1"/>
    <col min="1551" max="1551" width="4.5" style="17" bestFit="1" customWidth="1"/>
    <col min="1552" max="1552" width="5.5" style="17" bestFit="1" customWidth="1"/>
    <col min="1553" max="1555" width="6.1640625" style="17" bestFit="1" customWidth="1"/>
    <col min="1556" max="1556" width="7.1640625" style="17" bestFit="1" customWidth="1"/>
    <col min="1557" max="1566" width="8.83203125" style="17" customWidth="1"/>
    <col min="1567" max="1567" width="10" style="17" bestFit="1" customWidth="1"/>
    <col min="1568" max="1791" width="8.83203125" style="17" customWidth="1"/>
    <col min="1792" max="1792" width="7.83203125" style="17" customWidth="1"/>
    <col min="1793" max="1793" width="7.5" style="17" customWidth="1"/>
    <col min="1794" max="1794" width="9" style="17" customWidth="1"/>
    <col min="1795" max="1795" width="8.33203125" style="17" customWidth="1"/>
    <col min="1796" max="1798" width="8.5" style="17" bestFit="1" customWidth="1"/>
    <col min="1799" max="1799" width="10" style="17" bestFit="1" customWidth="1"/>
    <col min="1800" max="1800" width="8.1640625" style="17" bestFit="1" customWidth="1"/>
    <col min="1801" max="1802" width="8.5" style="17" bestFit="1" customWidth="1"/>
    <col min="1803" max="1803" width="6" style="17" bestFit="1" customWidth="1"/>
    <col min="1804" max="1804" width="8.83203125" style="17" customWidth="1"/>
    <col min="1805" max="1805" width="8.5" style="17" bestFit="1" customWidth="1"/>
    <col min="1806" max="1806" width="7.1640625" style="17" bestFit="1" customWidth="1"/>
    <col min="1807" max="1807" width="4.5" style="17" bestFit="1" customWidth="1"/>
    <col min="1808" max="1808" width="5.5" style="17" bestFit="1" customWidth="1"/>
    <col min="1809" max="1811" width="6.1640625" style="17" bestFit="1" customWidth="1"/>
    <col min="1812" max="1812" width="7.1640625" style="17" bestFit="1" customWidth="1"/>
    <col min="1813" max="1822" width="8.83203125" style="17" customWidth="1"/>
    <col min="1823" max="1823" width="10" style="17" bestFit="1" customWidth="1"/>
    <col min="1824" max="2047" width="8.83203125" style="17" customWidth="1"/>
    <col min="2048" max="2048" width="7.83203125" style="17" customWidth="1"/>
    <col min="2049" max="2049" width="7.5" style="17" customWidth="1"/>
    <col min="2050" max="2050" width="9" style="17" customWidth="1"/>
    <col min="2051" max="2051" width="8.33203125" style="17" customWidth="1"/>
    <col min="2052" max="2054" width="8.5" style="17" bestFit="1" customWidth="1"/>
    <col min="2055" max="2055" width="10" style="17" bestFit="1" customWidth="1"/>
    <col min="2056" max="2056" width="8.1640625" style="17" bestFit="1" customWidth="1"/>
    <col min="2057" max="2058" width="8.5" style="17" bestFit="1" customWidth="1"/>
    <col min="2059" max="2059" width="6" style="17" bestFit="1" customWidth="1"/>
    <col min="2060" max="2060" width="8.83203125" style="17" customWidth="1"/>
    <col min="2061" max="2061" width="8.5" style="17" bestFit="1" customWidth="1"/>
    <col min="2062" max="2062" width="7.1640625" style="17" bestFit="1" customWidth="1"/>
    <col min="2063" max="2063" width="4.5" style="17" bestFit="1" customWidth="1"/>
    <col min="2064" max="2064" width="5.5" style="17" bestFit="1" customWidth="1"/>
    <col min="2065" max="2067" width="6.1640625" style="17" bestFit="1" customWidth="1"/>
    <col min="2068" max="2068" width="7.1640625" style="17" bestFit="1" customWidth="1"/>
    <col min="2069" max="2078" width="8.83203125" style="17" customWidth="1"/>
    <col min="2079" max="2079" width="10" style="17" bestFit="1" customWidth="1"/>
    <col min="2080" max="2303" width="8.83203125" style="17" customWidth="1"/>
    <col min="2304" max="2304" width="7.83203125" style="17" customWidth="1"/>
    <col min="2305" max="2305" width="7.5" style="17" customWidth="1"/>
    <col min="2306" max="2306" width="9" style="17" customWidth="1"/>
    <col min="2307" max="2307" width="8.33203125" style="17" customWidth="1"/>
    <col min="2308" max="2310" width="8.5" style="17" bestFit="1" customWidth="1"/>
    <col min="2311" max="2311" width="10" style="17" bestFit="1" customWidth="1"/>
    <col min="2312" max="2312" width="8.1640625" style="17" bestFit="1" customWidth="1"/>
    <col min="2313" max="2314" width="8.5" style="17" bestFit="1" customWidth="1"/>
    <col min="2315" max="2315" width="6" style="17" bestFit="1" customWidth="1"/>
    <col min="2316" max="2316" width="8.83203125" style="17" customWidth="1"/>
    <col min="2317" max="2317" width="8.5" style="17" bestFit="1" customWidth="1"/>
    <col min="2318" max="2318" width="7.1640625" style="17" bestFit="1" customWidth="1"/>
    <col min="2319" max="2319" width="4.5" style="17" bestFit="1" customWidth="1"/>
    <col min="2320" max="2320" width="5.5" style="17" bestFit="1" customWidth="1"/>
    <col min="2321" max="2323" width="6.1640625" style="17" bestFit="1" customWidth="1"/>
    <col min="2324" max="2324" width="7.1640625" style="17" bestFit="1" customWidth="1"/>
    <col min="2325" max="2334" width="8.83203125" style="17" customWidth="1"/>
    <col min="2335" max="2335" width="10" style="17" bestFit="1" customWidth="1"/>
    <col min="2336" max="2559" width="8.83203125" style="17" customWidth="1"/>
    <col min="2560" max="2560" width="7.83203125" style="17" customWidth="1"/>
    <col min="2561" max="2561" width="7.5" style="17" customWidth="1"/>
    <col min="2562" max="2562" width="9" style="17" customWidth="1"/>
    <col min="2563" max="2563" width="8.33203125" style="17" customWidth="1"/>
    <col min="2564" max="2566" width="8.5" style="17" bestFit="1" customWidth="1"/>
    <col min="2567" max="2567" width="10" style="17" bestFit="1" customWidth="1"/>
    <col min="2568" max="2568" width="8.1640625" style="17" bestFit="1" customWidth="1"/>
    <col min="2569" max="2570" width="8.5" style="17" bestFit="1" customWidth="1"/>
    <col min="2571" max="2571" width="6" style="17" bestFit="1" customWidth="1"/>
    <col min="2572" max="2572" width="8.83203125" style="17" customWidth="1"/>
    <col min="2573" max="2573" width="8.5" style="17" bestFit="1" customWidth="1"/>
    <col min="2574" max="2574" width="7.1640625" style="17" bestFit="1" customWidth="1"/>
    <col min="2575" max="2575" width="4.5" style="17" bestFit="1" customWidth="1"/>
    <col min="2576" max="2576" width="5.5" style="17" bestFit="1" customWidth="1"/>
    <col min="2577" max="2579" width="6.1640625" style="17" bestFit="1" customWidth="1"/>
    <col min="2580" max="2580" width="7.1640625" style="17" bestFit="1" customWidth="1"/>
    <col min="2581" max="2590" width="8.83203125" style="17" customWidth="1"/>
    <col min="2591" max="2591" width="10" style="17" bestFit="1" customWidth="1"/>
    <col min="2592" max="2815" width="8.83203125" style="17" customWidth="1"/>
    <col min="2816" max="2816" width="7.83203125" style="17" customWidth="1"/>
    <col min="2817" max="2817" width="7.5" style="17" customWidth="1"/>
    <col min="2818" max="2818" width="9" style="17" customWidth="1"/>
    <col min="2819" max="2819" width="8.33203125" style="17" customWidth="1"/>
    <col min="2820" max="2822" width="8.5" style="17" bestFit="1" customWidth="1"/>
    <col min="2823" max="2823" width="10" style="17" bestFit="1" customWidth="1"/>
    <col min="2824" max="2824" width="8.1640625" style="17" bestFit="1" customWidth="1"/>
    <col min="2825" max="2826" width="8.5" style="17" bestFit="1" customWidth="1"/>
    <col min="2827" max="2827" width="6" style="17" bestFit="1" customWidth="1"/>
    <col min="2828" max="2828" width="8.83203125" style="17" customWidth="1"/>
    <col min="2829" max="2829" width="8.5" style="17" bestFit="1" customWidth="1"/>
    <col min="2830" max="2830" width="7.1640625" style="17" bestFit="1" customWidth="1"/>
    <col min="2831" max="2831" width="4.5" style="17" bestFit="1" customWidth="1"/>
    <col min="2832" max="2832" width="5.5" style="17" bestFit="1" customWidth="1"/>
    <col min="2833" max="2835" width="6.1640625" style="17" bestFit="1" customWidth="1"/>
    <col min="2836" max="2836" width="7.1640625" style="17" bestFit="1" customWidth="1"/>
    <col min="2837" max="2846" width="8.83203125" style="17" customWidth="1"/>
    <col min="2847" max="2847" width="10" style="17" bestFit="1" customWidth="1"/>
    <col min="2848" max="3071" width="8.83203125" style="17" customWidth="1"/>
    <col min="3072" max="3072" width="7.83203125" style="17" customWidth="1"/>
    <col min="3073" max="3073" width="7.5" style="17" customWidth="1"/>
    <col min="3074" max="3074" width="9" style="17" customWidth="1"/>
    <col min="3075" max="3075" width="8.33203125" style="17" customWidth="1"/>
    <col min="3076" max="3078" width="8.5" style="17" bestFit="1" customWidth="1"/>
    <col min="3079" max="3079" width="10" style="17" bestFit="1" customWidth="1"/>
    <col min="3080" max="3080" width="8.1640625" style="17" bestFit="1" customWidth="1"/>
    <col min="3081" max="3082" width="8.5" style="17" bestFit="1" customWidth="1"/>
    <col min="3083" max="3083" width="6" style="17" bestFit="1" customWidth="1"/>
    <col min="3084" max="3084" width="8.83203125" style="17" customWidth="1"/>
    <col min="3085" max="3085" width="8.5" style="17" bestFit="1" customWidth="1"/>
    <col min="3086" max="3086" width="7.1640625" style="17" bestFit="1" customWidth="1"/>
    <col min="3087" max="3087" width="4.5" style="17" bestFit="1" customWidth="1"/>
    <col min="3088" max="3088" width="5.5" style="17" bestFit="1" customWidth="1"/>
    <col min="3089" max="3091" width="6.1640625" style="17" bestFit="1" customWidth="1"/>
    <col min="3092" max="3092" width="7.1640625" style="17" bestFit="1" customWidth="1"/>
    <col min="3093" max="3102" width="8.83203125" style="17" customWidth="1"/>
    <col min="3103" max="3103" width="10" style="17" bestFit="1" customWidth="1"/>
    <col min="3104" max="3327" width="8.83203125" style="17" customWidth="1"/>
    <col min="3328" max="3328" width="7.83203125" style="17" customWidth="1"/>
    <col min="3329" max="3329" width="7.5" style="17" customWidth="1"/>
    <col min="3330" max="3330" width="9" style="17" customWidth="1"/>
    <col min="3331" max="3331" width="8.33203125" style="17" customWidth="1"/>
    <col min="3332" max="3334" width="8.5" style="17" bestFit="1" customWidth="1"/>
    <col min="3335" max="3335" width="10" style="17" bestFit="1" customWidth="1"/>
    <col min="3336" max="3336" width="8.1640625" style="17" bestFit="1" customWidth="1"/>
    <col min="3337" max="3338" width="8.5" style="17" bestFit="1" customWidth="1"/>
    <col min="3339" max="3339" width="6" style="17" bestFit="1" customWidth="1"/>
    <col min="3340" max="3340" width="8.83203125" style="17" customWidth="1"/>
    <col min="3341" max="3341" width="8.5" style="17" bestFit="1" customWidth="1"/>
    <col min="3342" max="3342" width="7.1640625" style="17" bestFit="1" customWidth="1"/>
    <col min="3343" max="3343" width="4.5" style="17" bestFit="1" customWidth="1"/>
    <col min="3344" max="3344" width="5.5" style="17" bestFit="1" customWidth="1"/>
    <col min="3345" max="3347" width="6.1640625" style="17" bestFit="1" customWidth="1"/>
    <col min="3348" max="3348" width="7.1640625" style="17" bestFit="1" customWidth="1"/>
    <col min="3349" max="3358" width="8.83203125" style="17" customWidth="1"/>
    <col min="3359" max="3359" width="10" style="17" bestFit="1" customWidth="1"/>
    <col min="3360" max="3583" width="8.83203125" style="17" customWidth="1"/>
    <col min="3584" max="3584" width="7.83203125" style="17" customWidth="1"/>
    <col min="3585" max="3585" width="7.5" style="17" customWidth="1"/>
    <col min="3586" max="3586" width="9" style="17" customWidth="1"/>
    <col min="3587" max="3587" width="8.33203125" style="17" customWidth="1"/>
    <col min="3588" max="3590" width="8.5" style="17" bestFit="1" customWidth="1"/>
    <col min="3591" max="3591" width="10" style="17" bestFit="1" customWidth="1"/>
    <col min="3592" max="3592" width="8.1640625" style="17" bestFit="1" customWidth="1"/>
    <col min="3593" max="3594" width="8.5" style="17" bestFit="1" customWidth="1"/>
    <col min="3595" max="3595" width="6" style="17" bestFit="1" customWidth="1"/>
    <col min="3596" max="3596" width="8.83203125" style="17" customWidth="1"/>
    <col min="3597" max="3597" width="8.5" style="17" bestFit="1" customWidth="1"/>
    <col min="3598" max="3598" width="7.1640625" style="17" bestFit="1" customWidth="1"/>
    <col min="3599" max="3599" width="4.5" style="17" bestFit="1" customWidth="1"/>
    <col min="3600" max="3600" width="5.5" style="17" bestFit="1" customWidth="1"/>
    <col min="3601" max="3603" width="6.1640625" style="17" bestFit="1" customWidth="1"/>
    <col min="3604" max="3604" width="7.1640625" style="17" bestFit="1" customWidth="1"/>
    <col min="3605" max="3614" width="8.83203125" style="17" customWidth="1"/>
    <col min="3615" max="3615" width="10" style="17" bestFit="1" customWidth="1"/>
    <col min="3616" max="3839" width="8.83203125" style="17" customWidth="1"/>
    <col min="3840" max="3840" width="7.83203125" style="17" customWidth="1"/>
    <col min="3841" max="3841" width="7.5" style="17" customWidth="1"/>
    <col min="3842" max="3842" width="9" style="17" customWidth="1"/>
    <col min="3843" max="3843" width="8.33203125" style="17" customWidth="1"/>
    <col min="3844" max="3846" width="8.5" style="17" bestFit="1" customWidth="1"/>
    <col min="3847" max="3847" width="10" style="17" bestFit="1" customWidth="1"/>
    <col min="3848" max="3848" width="8.1640625" style="17" bestFit="1" customWidth="1"/>
    <col min="3849" max="3850" width="8.5" style="17" bestFit="1" customWidth="1"/>
    <col min="3851" max="3851" width="6" style="17" bestFit="1" customWidth="1"/>
    <col min="3852" max="3852" width="8.83203125" style="17" customWidth="1"/>
    <col min="3853" max="3853" width="8.5" style="17" bestFit="1" customWidth="1"/>
    <col min="3854" max="3854" width="7.1640625" style="17" bestFit="1" customWidth="1"/>
    <col min="3855" max="3855" width="4.5" style="17" bestFit="1" customWidth="1"/>
    <col min="3856" max="3856" width="5.5" style="17" bestFit="1" customWidth="1"/>
    <col min="3857" max="3859" width="6.1640625" style="17" bestFit="1" customWidth="1"/>
    <col min="3860" max="3860" width="7.1640625" style="17" bestFit="1" customWidth="1"/>
    <col min="3861" max="3870" width="8.83203125" style="17" customWidth="1"/>
    <col min="3871" max="3871" width="10" style="17" bestFit="1" customWidth="1"/>
    <col min="3872" max="4095" width="8.83203125" style="17" customWidth="1"/>
    <col min="4096" max="4096" width="7.83203125" style="17" customWidth="1"/>
    <col min="4097" max="4097" width="7.5" style="17" customWidth="1"/>
    <col min="4098" max="4098" width="9" style="17" customWidth="1"/>
    <col min="4099" max="4099" width="8.33203125" style="17" customWidth="1"/>
    <col min="4100" max="4102" width="8.5" style="17" bestFit="1" customWidth="1"/>
    <col min="4103" max="4103" width="10" style="17" bestFit="1" customWidth="1"/>
    <col min="4104" max="4104" width="8.1640625" style="17" bestFit="1" customWidth="1"/>
    <col min="4105" max="4106" width="8.5" style="17" bestFit="1" customWidth="1"/>
    <col min="4107" max="4107" width="6" style="17" bestFit="1" customWidth="1"/>
    <col min="4108" max="4108" width="8.83203125" style="17" customWidth="1"/>
    <col min="4109" max="4109" width="8.5" style="17" bestFit="1" customWidth="1"/>
    <col min="4110" max="4110" width="7.1640625" style="17" bestFit="1" customWidth="1"/>
    <col min="4111" max="4111" width="4.5" style="17" bestFit="1" customWidth="1"/>
    <col min="4112" max="4112" width="5.5" style="17" bestFit="1" customWidth="1"/>
    <col min="4113" max="4115" width="6.1640625" style="17" bestFit="1" customWidth="1"/>
    <col min="4116" max="4116" width="7.1640625" style="17" bestFit="1" customWidth="1"/>
    <col min="4117" max="4126" width="8.83203125" style="17" customWidth="1"/>
    <col min="4127" max="4127" width="10" style="17" bestFit="1" customWidth="1"/>
    <col min="4128" max="4351" width="8.83203125" style="17" customWidth="1"/>
    <col min="4352" max="4352" width="7.83203125" style="17" customWidth="1"/>
    <col min="4353" max="4353" width="7.5" style="17" customWidth="1"/>
    <col min="4354" max="4354" width="9" style="17" customWidth="1"/>
    <col min="4355" max="4355" width="8.33203125" style="17" customWidth="1"/>
    <col min="4356" max="4358" width="8.5" style="17" bestFit="1" customWidth="1"/>
    <col min="4359" max="4359" width="10" style="17" bestFit="1" customWidth="1"/>
    <col min="4360" max="4360" width="8.1640625" style="17" bestFit="1" customWidth="1"/>
    <col min="4361" max="4362" width="8.5" style="17" bestFit="1" customWidth="1"/>
    <col min="4363" max="4363" width="6" style="17" bestFit="1" customWidth="1"/>
    <col min="4364" max="4364" width="8.83203125" style="17" customWidth="1"/>
    <col min="4365" max="4365" width="8.5" style="17" bestFit="1" customWidth="1"/>
    <col min="4366" max="4366" width="7.1640625" style="17" bestFit="1" customWidth="1"/>
    <col min="4367" max="4367" width="4.5" style="17" bestFit="1" customWidth="1"/>
    <col min="4368" max="4368" width="5.5" style="17" bestFit="1" customWidth="1"/>
    <col min="4369" max="4371" width="6.1640625" style="17" bestFit="1" customWidth="1"/>
    <col min="4372" max="4372" width="7.1640625" style="17" bestFit="1" customWidth="1"/>
    <col min="4373" max="4382" width="8.83203125" style="17" customWidth="1"/>
    <col min="4383" max="4383" width="10" style="17" bestFit="1" customWidth="1"/>
    <col min="4384" max="4607" width="8.83203125" style="17" customWidth="1"/>
    <col min="4608" max="4608" width="7.83203125" style="17" customWidth="1"/>
    <col min="4609" max="4609" width="7.5" style="17" customWidth="1"/>
    <col min="4610" max="4610" width="9" style="17" customWidth="1"/>
    <col min="4611" max="4611" width="8.33203125" style="17" customWidth="1"/>
    <col min="4612" max="4614" width="8.5" style="17" bestFit="1" customWidth="1"/>
    <col min="4615" max="4615" width="10" style="17" bestFit="1" customWidth="1"/>
    <col min="4616" max="4616" width="8.1640625" style="17" bestFit="1" customWidth="1"/>
    <col min="4617" max="4618" width="8.5" style="17" bestFit="1" customWidth="1"/>
    <col min="4619" max="4619" width="6" style="17" bestFit="1" customWidth="1"/>
    <col min="4620" max="4620" width="8.83203125" style="17" customWidth="1"/>
    <col min="4621" max="4621" width="8.5" style="17" bestFit="1" customWidth="1"/>
    <col min="4622" max="4622" width="7.1640625" style="17" bestFit="1" customWidth="1"/>
    <col min="4623" max="4623" width="4.5" style="17" bestFit="1" customWidth="1"/>
    <col min="4624" max="4624" width="5.5" style="17" bestFit="1" customWidth="1"/>
    <col min="4625" max="4627" width="6.1640625" style="17" bestFit="1" customWidth="1"/>
    <col min="4628" max="4628" width="7.1640625" style="17" bestFit="1" customWidth="1"/>
    <col min="4629" max="4638" width="8.83203125" style="17" customWidth="1"/>
    <col min="4639" max="4639" width="10" style="17" bestFit="1" customWidth="1"/>
    <col min="4640" max="4863" width="8.83203125" style="17" customWidth="1"/>
    <col min="4864" max="4864" width="7.83203125" style="17" customWidth="1"/>
    <col min="4865" max="4865" width="7.5" style="17" customWidth="1"/>
    <col min="4866" max="4866" width="9" style="17" customWidth="1"/>
    <col min="4867" max="4867" width="8.33203125" style="17" customWidth="1"/>
    <col min="4868" max="4870" width="8.5" style="17" bestFit="1" customWidth="1"/>
    <col min="4871" max="4871" width="10" style="17" bestFit="1" customWidth="1"/>
    <col min="4872" max="4872" width="8.1640625" style="17" bestFit="1" customWidth="1"/>
    <col min="4873" max="4874" width="8.5" style="17" bestFit="1" customWidth="1"/>
    <col min="4875" max="4875" width="6" style="17" bestFit="1" customWidth="1"/>
    <col min="4876" max="4876" width="8.83203125" style="17" customWidth="1"/>
    <col min="4877" max="4877" width="8.5" style="17" bestFit="1" customWidth="1"/>
    <col min="4878" max="4878" width="7.1640625" style="17" bestFit="1" customWidth="1"/>
    <col min="4879" max="4879" width="4.5" style="17" bestFit="1" customWidth="1"/>
    <col min="4880" max="4880" width="5.5" style="17" bestFit="1" customWidth="1"/>
    <col min="4881" max="4883" width="6.1640625" style="17" bestFit="1" customWidth="1"/>
    <col min="4884" max="4884" width="7.1640625" style="17" bestFit="1" customWidth="1"/>
    <col min="4885" max="4894" width="8.83203125" style="17" customWidth="1"/>
    <col min="4895" max="4895" width="10" style="17" bestFit="1" customWidth="1"/>
    <col min="4896" max="5119" width="8.83203125" style="17" customWidth="1"/>
    <col min="5120" max="5120" width="7.83203125" style="17" customWidth="1"/>
    <col min="5121" max="5121" width="7.5" style="17" customWidth="1"/>
    <col min="5122" max="5122" width="9" style="17" customWidth="1"/>
    <col min="5123" max="5123" width="8.33203125" style="17" customWidth="1"/>
    <col min="5124" max="5126" width="8.5" style="17" bestFit="1" customWidth="1"/>
    <col min="5127" max="5127" width="10" style="17" bestFit="1" customWidth="1"/>
    <col min="5128" max="5128" width="8.1640625" style="17" bestFit="1" customWidth="1"/>
    <col min="5129" max="5130" width="8.5" style="17" bestFit="1" customWidth="1"/>
    <col min="5131" max="5131" width="6" style="17" bestFit="1" customWidth="1"/>
    <col min="5132" max="5132" width="8.83203125" style="17" customWidth="1"/>
    <col min="5133" max="5133" width="8.5" style="17" bestFit="1" customWidth="1"/>
    <col min="5134" max="5134" width="7.1640625" style="17" bestFit="1" customWidth="1"/>
    <col min="5135" max="5135" width="4.5" style="17" bestFit="1" customWidth="1"/>
    <col min="5136" max="5136" width="5.5" style="17" bestFit="1" customWidth="1"/>
    <col min="5137" max="5139" width="6.1640625" style="17" bestFit="1" customWidth="1"/>
    <col min="5140" max="5140" width="7.1640625" style="17" bestFit="1" customWidth="1"/>
    <col min="5141" max="5150" width="8.83203125" style="17" customWidth="1"/>
    <col min="5151" max="5151" width="10" style="17" bestFit="1" customWidth="1"/>
    <col min="5152" max="5375" width="8.83203125" style="17" customWidth="1"/>
    <col min="5376" max="5376" width="7.83203125" style="17" customWidth="1"/>
    <col min="5377" max="5377" width="7.5" style="17" customWidth="1"/>
    <col min="5378" max="5378" width="9" style="17" customWidth="1"/>
    <col min="5379" max="5379" width="8.33203125" style="17" customWidth="1"/>
    <col min="5380" max="5382" width="8.5" style="17" bestFit="1" customWidth="1"/>
    <col min="5383" max="5383" width="10" style="17" bestFit="1" customWidth="1"/>
    <col min="5384" max="5384" width="8.1640625" style="17" bestFit="1" customWidth="1"/>
    <col min="5385" max="5386" width="8.5" style="17" bestFit="1" customWidth="1"/>
    <col min="5387" max="5387" width="6" style="17" bestFit="1" customWidth="1"/>
    <col min="5388" max="5388" width="8.83203125" style="17" customWidth="1"/>
    <col min="5389" max="5389" width="8.5" style="17" bestFit="1" customWidth="1"/>
    <col min="5390" max="5390" width="7.1640625" style="17" bestFit="1" customWidth="1"/>
    <col min="5391" max="5391" width="4.5" style="17" bestFit="1" customWidth="1"/>
    <col min="5392" max="5392" width="5.5" style="17" bestFit="1" customWidth="1"/>
    <col min="5393" max="5395" width="6.1640625" style="17" bestFit="1" customWidth="1"/>
    <col min="5396" max="5396" width="7.1640625" style="17" bestFit="1" customWidth="1"/>
    <col min="5397" max="5406" width="8.83203125" style="17" customWidth="1"/>
    <col min="5407" max="5407" width="10" style="17" bestFit="1" customWidth="1"/>
    <col min="5408" max="5631" width="8.83203125" style="17" customWidth="1"/>
    <col min="5632" max="5632" width="7.83203125" style="17" customWidth="1"/>
    <col min="5633" max="5633" width="7.5" style="17" customWidth="1"/>
    <col min="5634" max="5634" width="9" style="17" customWidth="1"/>
    <col min="5635" max="5635" width="8.33203125" style="17" customWidth="1"/>
    <col min="5636" max="5638" width="8.5" style="17" bestFit="1" customWidth="1"/>
    <col min="5639" max="5639" width="10" style="17" bestFit="1" customWidth="1"/>
    <col min="5640" max="5640" width="8.1640625" style="17" bestFit="1" customWidth="1"/>
    <col min="5641" max="5642" width="8.5" style="17" bestFit="1" customWidth="1"/>
    <col min="5643" max="5643" width="6" style="17" bestFit="1" customWidth="1"/>
    <col min="5644" max="5644" width="8.83203125" style="17" customWidth="1"/>
    <col min="5645" max="5645" width="8.5" style="17" bestFit="1" customWidth="1"/>
    <col min="5646" max="5646" width="7.1640625" style="17" bestFit="1" customWidth="1"/>
    <col min="5647" max="5647" width="4.5" style="17" bestFit="1" customWidth="1"/>
    <col min="5648" max="5648" width="5.5" style="17" bestFit="1" customWidth="1"/>
    <col min="5649" max="5651" width="6.1640625" style="17" bestFit="1" customWidth="1"/>
    <col min="5652" max="5652" width="7.1640625" style="17" bestFit="1" customWidth="1"/>
    <col min="5653" max="5662" width="8.83203125" style="17" customWidth="1"/>
    <col min="5663" max="5663" width="10" style="17" bestFit="1" customWidth="1"/>
    <col min="5664" max="5887" width="8.83203125" style="17" customWidth="1"/>
    <col min="5888" max="5888" width="7.83203125" style="17" customWidth="1"/>
    <col min="5889" max="5889" width="7.5" style="17" customWidth="1"/>
    <col min="5890" max="5890" width="9" style="17" customWidth="1"/>
    <col min="5891" max="5891" width="8.33203125" style="17" customWidth="1"/>
    <col min="5892" max="5894" width="8.5" style="17" bestFit="1" customWidth="1"/>
    <col min="5895" max="5895" width="10" style="17" bestFit="1" customWidth="1"/>
    <col min="5896" max="5896" width="8.1640625" style="17" bestFit="1" customWidth="1"/>
    <col min="5897" max="5898" width="8.5" style="17" bestFit="1" customWidth="1"/>
    <col min="5899" max="5899" width="6" style="17" bestFit="1" customWidth="1"/>
    <col min="5900" max="5900" width="8.83203125" style="17" customWidth="1"/>
    <col min="5901" max="5901" width="8.5" style="17" bestFit="1" customWidth="1"/>
    <col min="5902" max="5902" width="7.1640625" style="17" bestFit="1" customWidth="1"/>
    <col min="5903" max="5903" width="4.5" style="17" bestFit="1" customWidth="1"/>
    <col min="5904" max="5904" width="5.5" style="17" bestFit="1" customWidth="1"/>
    <col min="5905" max="5907" width="6.1640625" style="17" bestFit="1" customWidth="1"/>
    <col min="5908" max="5908" width="7.1640625" style="17" bestFit="1" customWidth="1"/>
    <col min="5909" max="5918" width="8.83203125" style="17" customWidth="1"/>
    <col min="5919" max="5919" width="10" style="17" bestFit="1" customWidth="1"/>
    <col min="5920" max="6143" width="8.83203125" style="17" customWidth="1"/>
    <col min="6144" max="6144" width="7.83203125" style="17" customWidth="1"/>
    <col min="6145" max="6145" width="7.5" style="17" customWidth="1"/>
    <col min="6146" max="6146" width="9" style="17" customWidth="1"/>
    <col min="6147" max="6147" width="8.33203125" style="17" customWidth="1"/>
    <col min="6148" max="6150" width="8.5" style="17" bestFit="1" customWidth="1"/>
    <col min="6151" max="6151" width="10" style="17" bestFit="1" customWidth="1"/>
    <col min="6152" max="6152" width="8.1640625" style="17" bestFit="1" customWidth="1"/>
    <col min="6153" max="6154" width="8.5" style="17" bestFit="1" customWidth="1"/>
    <col min="6155" max="6155" width="6" style="17" bestFit="1" customWidth="1"/>
    <col min="6156" max="6156" width="8.83203125" style="17" customWidth="1"/>
    <col min="6157" max="6157" width="8.5" style="17" bestFit="1" customWidth="1"/>
    <col min="6158" max="6158" width="7.1640625" style="17" bestFit="1" customWidth="1"/>
    <col min="6159" max="6159" width="4.5" style="17" bestFit="1" customWidth="1"/>
    <col min="6160" max="6160" width="5.5" style="17" bestFit="1" customWidth="1"/>
    <col min="6161" max="6163" width="6.1640625" style="17" bestFit="1" customWidth="1"/>
    <col min="6164" max="6164" width="7.1640625" style="17" bestFit="1" customWidth="1"/>
    <col min="6165" max="6174" width="8.83203125" style="17" customWidth="1"/>
    <col min="6175" max="6175" width="10" style="17" bestFit="1" customWidth="1"/>
    <col min="6176" max="6399" width="8.83203125" style="17" customWidth="1"/>
    <col min="6400" max="6400" width="7.83203125" style="17" customWidth="1"/>
    <col min="6401" max="6401" width="7.5" style="17" customWidth="1"/>
    <col min="6402" max="6402" width="9" style="17" customWidth="1"/>
    <col min="6403" max="6403" width="8.33203125" style="17" customWidth="1"/>
    <col min="6404" max="6406" width="8.5" style="17" bestFit="1" customWidth="1"/>
    <col min="6407" max="6407" width="10" style="17" bestFit="1" customWidth="1"/>
    <col min="6408" max="6408" width="8.1640625" style="17" bestFit="1" customWidth="1"/>
    <col min="6409" max="6410" width="8.5" style="17" bestFit="1" customWidth="1"/>
    <col min="6411" max="6411" width="6" style="17" bestFit="1" customWidth="1"/>
    <col min="6412" max="6412" width="8.83203125" style="17" customWidth="1"/>
    <col min="6413" max="6413" width="8.5" style="17" bestFit="1" customWidth="1"/>
    <col min="6414" max="6414" width="7.1640625" style="17" bestFit="1" customWidth="1"/>
    <col min="6415" max="6415" width="4.5" style="17" bestFit="1" customWidth="1"/>
    <col min="6416" max="6416" width="5.5" style="17" bestFit="1" customWidth="1"/>
    <col min="6417" max="6419" width="6.1640625" style="17" bestFit="1" customWidth="1"/>
    <col min="6420" max="6420" width="7.1640625" style="17" bestFit="1" customWidth="1"/>
    <col min="6421" max="6430" width="8.83203125" style="17" customWidth="1"/>
    <col min="6431" max="6431" width="10" style="17" bestFit="1" customWidth="1"/>
    <col min="6432" max="6655" width="8.83203125" style="17" customWidth="1"/>
    <col min="6656" max="6656" width="7.83203125" style="17" customWidth="1"/>
    <col min="6657" max="6657" width="7.5" style="17" customWidth="1"/>
    <col min="6658" max="6658" width="9" style="17" customWidth="1"/>
    <col min="6659" max="6659" width="8.33203125" style="17" customWidth="1"/>
    <col min="6660" max="6662" width="8.5" style="17" bestFit="1" customWidth="1"/>
    <col min="6663" max="6663" width="10" style="17" bestFit="1" customWidth="1"/>
    <col min="6664" max="6664" width="8.1640625" style="17" bestFit="1" customWidth="1"/>
    <col min="6665" max="6666" width="8.5" style="17" bestFit="1" customWidth="1"/>
    <col min="6667" max="6667" width="6" style="17" bestFit="1" customWidth="1"/>
    <col min="6668" max="6668" width="8.83203125" style="17" customWidth="1"/>
    <col min="6669" max="6669" width="8.5" style="17" bestFit="1" customWidth="1"/>
    <col min="6670" max="6670" width="7.1640625" style="17" bestFit="1" customWidth="1"/>
    <col min="6671" max="6671" width="4.5" style="17" bestFit="1" customWidth="1"/>
    <col min="6672" max="6672" width="5.5" style="17" bestFit="1" customWidth="1"/>
    <col min="6673" max="6675" width="6.1640625" style="17" bestFit="1" customWidth="1"/>
    <col min="6676" max="6676" width="7.1640625" style="17" bestFit="1" customWidth="1"/>
    <col min="6677" max="6686" width="8.83203125" style="17" customWidth="1"/>
    <col min="6687" max="6687" width="10" style="17" bestFit="1" customWidth="1"/>
    <col min="6688" max="6911" width="8.83203125" style="17" customWidth="1"/>
    <col min="6912" max="6912" width="7.83203125" style="17" customWidth="1"/>
    <col min="6913" max="6913" width="7.5" style="17" customWidth="1"/>
    <col min="6914" max="6914" width="9" style="17" customWidth="1"/>
    <col min="6915" max="6915" width="8.33203125" style="17" customWidth="1"/>
    <col min="6916" max="6918" width="8.5" style="17" bestFit="1" customWidth="1"/>
    <col min="6919" max="6919" width="10" style="17" bestFit="1" customWidth="1"/>
    <col min="6920" max="6920" width="8.1640625" style="17" bestFit="1" customWidth="1"/>
    <col min="6921" max="6922" width="8.5" style="17" bestFit="1" customWidth="1"/>
    <col min="6923" max="6923" width="6" style="17" bestFit="1" customWidth="1"/>
    <col min="6924" max="6924" width="8.83203125" style="17" customWidth="1"/>
    <col min="6925" max="6925" width="8.5" style="17" bestFit="1" customWidth="1"/>
    <col min="6926" max="6926" width="7.1640625" style="17" bestFit="1" customWidth="1"/>
    <col min="6927" max="6927" width="4.5" style="17" bestFit="1" customWidth="1"/>
    <col min="6928" max="6928" width="5.5" style="17" bestFit="1" customWidth="1"/>
    <col min="6929" max="6931" width="6.1640625" style="17" bestFit="1" customWidth="1"/>
    <col min="6932" max="6932" width="7.1640625" style="17" bestFit="1" customWidth="1"/>
    <col min="6933" max="6942" width="8.83203125" style="17" customWidth="1"/>
    <col min="6943" max="6943" width="10" style="17" bestFit="1" customWidth="1"/>
    <col min="6944" max="7167" width="8.83203125" style="17" customWidth="1"/>
    <col min="7168" max="7168" width="7.83203125" style="17" customWidth="1"/>
    <col min="7169" max="7169" width="7.5" style="17" customWidth="1"/>
    <col min="7170" max="7170" width="9" style="17" customWidth="1"/>
    <col min="7171" max="7171" width="8.33203125" style="17" customWidth="1"/>
    <col min="7172" max="7174" width="8.5" style="17" bestFit="1" customWidth="1"/>
    <col min="7175" max="7175" width="10" style="17" bestFit="1" customWidth="1"/>
    <col min="7176" max="7176" width="8.1640625" style="17" bestFit="1" customWidth="1"/>
    <col min="7177" max="7178" width="8.5" style="17" bestFit="1" customWidth="1"/>
    <col min="7179" max="7179" width="6" style="17" bestFit="1" customWidth="1"/>
    <col min="7180" max="7180" width="8.83203125" style="17" customWidth="1"/>
    <col min="7181" max="7181" width="8.5" style="17" bestFit="1" customWidth="1"/>
    <col min="7182" max="7182" width="7.1640625" style="17" bestFit="1" customWidth="1"/>
    <col min="7183" max="7183" width="4.5" style="17" bestFit="1" customWidth="1"/>
    <col min="7184" max="7184" width="5.5" style="17" bestFit="1" customWidth="1"/>
    <col min="7185" max="7187" width="6.1640625" style="17" bestFit="1" customWidth="1"/>
    <col min="7188" max="7188" width="7.1640625" style="17" bestFit="1" customWidth="1"/>
    <col min="7189" max="7198" width="8.83203125" style="17" customWidth="1"/>
    <col min="7199" max="7199" width="10" style="17" bestFit="1" customWidth="1"/>
    <col min="7200" max="7423" width="8.83203125" style="17" customWidth="1"/>
    <col min="7424" max="7424" width="7.83203125" style="17" customWidth="1"/>
    <col min="7425" max="7425" width="7.5" style="17" customWidth="1"/>
    <col min="7426" max="7426" width="9" style="17" customWidth="1"/>
    <col min="7427" max="7427" width="8.33203125" style="17" customWidth="1"/>
    <col min="7428" max="7430" width="8.5" style="17" bestFit="1" customWidth="1"/>
    <col min="7431" max="7431" width="10" style="17" bestFit="1" customWidth="1"/>
    <col min="7432" max="7432" width="8.1640625" style="17" bestFit="1" customWidth="1"/>
    <col min="7433" max="7434" width="8.5" style="17" bestFit="1" customWidth="1"/>
    <col min="7435" max="7435" width="6" style="17" bestFit="1" customWidth="1"/>
    <col min="7436" max="7436" width="8.83203125" style="17" customWidth="1"/>
    <col min="7437" max="7437" width="8.5" style="17" bestFit="1" customWidth="1"/>
    <col min="7438" max="7438" width="7.1640625" style="17" bestFit="1" customWidth="1"/>
    <col min="7439" max="7439" width="4.5" style="17" bestFit="1" customWidth="1"/>
    <col min="7440" max="7440" width="5.5" style="17" bestFit="1" customWidth="1"/>
    <col min="7441" max="7443" width="6.1640625" style="17" bestFit="1" customWidth="1"/>
    <col min="7444" max="7444" width="7.1640625" style="17" bestFit="1" customWidth="1"/>
    <col min="7445" max="7454" width="8.83203125" style="17" customWidth="1"/>
    <col min="7455" max="7455" width="10" style="17" bestFit="1" customWidth="1"/>
    <col min="7456" max="7679" width="8.83203125" style="17" customWidth="1"/>
    <col min="7680" max="7680" width="7.83203125" style="17" customWidth="1"/>
    <col min="7681" max="7681" width="7.5" style="17" customWidth="1"/>
    <col min="7682" max="7682" width="9" style="17" customWidth="1"/>
    <col min="7683" max="7683" width="8.33203125" style="17" customWidth="1"/>
    <col min="7684" max="7686" width="8.5" style="17" bestFit="1" customWidth="1"/>
    <col min="7687" max="7687" width="10" style="17" bestFit="1" customWidth="1"/>
    <col min="7688" max="7688" width="8.1640625" style="17" bestFit="1" customWidth="1"/>
    <col min="7689" max="7690" width="8.5" style="17" bestFit="1" customWidth="1"/>
    <col min="7691" max="7691" width="6" style="17" bestFit="1" customWidth="1"/>
    <col min="7692" max="7692" width="8.83203125" style="17" customWidth="1"/>
    <col min="7693" max="7693" width="8.5" style="17" bestFit="1" customWidth="1"/>
    <col min="7694" max="7694" width="7.1640625" style="17" bestFit="1" customWidth="1"/>
    <col min="7695" max="7695" width="4.5" style="17" bestFit="1" customWidth="1"/>
    <col min="7696" max="7696" width="5.5" style="17" bestFit="1" customWidth="1"/>
    <col min="7697" max="7699" width="6.1640625" style="17" bestFit="1" customWidth="1"/>
    <col min="7700" max="7700" width="7.1640625" style="17" bestFit="1" customWidth="1"/>
    <col min="7701" max="7710" width="8.83203125" style="17" customWidth="1"/>
    <col min="7711" max="7711" width="10" style="17" bestFit="1" customWidth="1"/>
    <col min="7712" max="7935" width="8.83203125" style="17" customWidth="1"/>
    <col min="7936" max="7936" width="7.83203125" style="17" customWidth="1"/>
    <col min="7937" max="7937" width="7.5" style="17" customWidth="1"/>
    <col min="7938" max="7938" width="9" style="17" customWidth="1"/>
    <col min="7939" max="7939" width="8.33203125" style="17" customWidth="1"/>
    <col min="7940" max="7942" width="8.5" style="17" bestFit="1" customWidth="1"/>
    <col min="7943" max="7943" width="10" style="17" bestFit="1" customWidth="1"/>
    <col min="7944" max="7944" width="8.1640625" style="17" bestFit="1" customWidth="1"/>
    <col min="7945" max="7946" width="8.5" style="17" bestFit="1" customWidth="1"/>
    <col min="7947" max="7947" width="6" style="17" bestFit="1" customWidth="1"/>
    <col min="7948" max="7948" width="8.83203125" style="17" customWidth="1"/>
    <col min="7949" max="7949" width="8.5" style="17" bestFit="1" customWidth="1"/>
    <col min="7950" max="7950" width="7.1640625" style="17" bestFit="1" customWidth="1"/>
    <col min="7951" max="7951" width="4.5" style="17" bestFit="1" customWidth="1"/>
    <col min="7952" max="7952" width="5.5" style="17" bestFit="1" customWidth="1"/>
    <col min="7953" max="7955" width="6.1640625" style="17" bestFit="1" customWidth="1"/>
    <col min="7956" max="7956" width="7.1640625" style="17" bestFit="1" customWidth="1"/>
    <col min="7957" max="7966" width="8.83203125" style="17" customWidth="1"/>
    <col min="7967" max="7967" width="10" style="17" bestFit="1" customWidth="1"/>
    <col min="7968" max="8191" width="8.83203125" style="17" customWidth="1"/>
    <col min="8192" max="8192" width="7.83203125" style="17" customWidth="1"/>
    <col min="8193" max="8193" width="7.5" style="17" customWidth="1"/>
    <col min="8194" max="8194" width="9" style="17" customWidth="1"/>
    <col min="8195" max="8195" width="8.33203125" style="17" customWidth="1"/>
    <col min="8196" max="8198" width="8.5" style="17" bestFit="1" customWidth="1"/>
    <col min="8199" max="8199" width="10" style="17" bestFit="1" customWidth="1"/>
    <col min="8200" max="8200" width="8.1640625" style="17" bestFit="1" customWidth="1"/>
    <col min="8201" max="8202" width="8.5" style="17" bestFit="1" customWidth="1"/>
    <col min="8203" max="8203" width="6" style="17" bestFit="1" customWidth="1"/>
    <col min="8204" max="8204" width="8.83203125" style="17" customWidth="1"/>
    <col min="8205" max="8205" width="8.5" style="17" bestFit="1" customWidth="1"/>
    <col min="8206" max="8206" width="7.1640625" style="17" bestFit="1" customWidth="1"/>
    <col min="8207" max="8207" width="4.5" style="17" bestFit="1" customWidth="1"/>
    <col min="8208" max="8208" width="5.5" style="17" bestFit="1" customWidth="1"/>
    <col min="8209" max="8211" width="6.1640625" style="17" bestFit="1" customWidth="1"/>
    <col min="8212" max="8212" width="7.1640625" style="17" bestFit="1" customWidth="1"/>
    <col min="8213" max="8222" width="8.83203125" style="17" customWidth="1"/>
    <col min="8223" max="8223" width="10" style="17" bestFit="1" customWidth="1"/>
    <col min="8224" max="8447" width="8.83203125" style="17" customWidth="1"/>
    <col min="8448" max="8448" width="7.83203125" style="17" customWidth="1"/>
    <col min="8449" max="8449" width="7.5" style="17" customWidth="1"/>
    <col min="8450" max="8450" width="9" style="17" customWidth="1"/>
    <col min="8451" max="8451" width="8.33203125" style="17" customWidth="1"/>
    <col min="8452" max="8454" width="8.5" style="17" bestFit="1" customWidth="1"/>
    <col min="8455" max="8455" width="10" style="17" bestFit="1" customWidth="1"/>
    <col min="8456" max="8456" width="8.1640625" style="17" bestFit="1" customWidth="1"/>
    <col min="8457" max="8458" width="8.5" style="17" bestFit="1" customWidth="1"/>
    <col min="8459" max="8459" width="6" style="17" bestFit="1" customWidth="1"/>
    <col min="8460" max="8460" width="8.83203125" style="17" customWidth="1"/>
    <col min="8461" max="8461" width="8.5" style="17" bestFit="1" customWidth="1"/>
    <col min="8462" max="8462" width="7.1640625" style="17" bestFit="1" customWidth="1"/>
    <col min="8463" max="8463" width="4.5" style="17" bestFit="1" customWidth="1"/>
    <col min="8464" max="8464" width="5.5" style="17" bestFit="1" customWidth="1"/>
    <col min="8465" max="8467" width="6.1640625" style="17" bestFit="1" customWidth="1"/>
    <col min="8468" max="8468" width="7.1640625" style="17" bestFit="1" customWidth="1"/>
    <col min="8469" max="8478" width="8.83203125" style="17" customWidth="1"/>
    <col min="8479" max="8479" width="10" style="17" bestFit="1" customWidth="1"/>
    <col min="8480" max="8703" width="8.83203125" style="17" customWidth="1"/>
    <col min="8704" max="8704" width="7.83203125" style="17" customWidth="1"/>
    <col min="8705" max="8705" width="7.5" style="17" customWidth="1"/>
    <col min="8706" max="8706" width="9" style="17" customWidth="1"/>
    <col min="8707" max="8707" width="8.33203125" style="17" customWidth="1"/>
    <col min="8708" max="8710" width="8.5" style="17" bestFit="1" customWidth="1"/>
    <col min="8711" max="8711" width="10" style="17" bestFit="1" customWidth="1"/>
    <col min="8712" max="8712" width="8.1640625" style="17" bestFit="1" customWidth="1"/>
    <col min="8713" max="8714" width="8.5" style="17" bestFit="1" customWidth="1"/>
    <col min="8715" max="8715" width="6" style="17" bestFit="1" customWidth="1"/>
    <col min="8716" max="8716" width="8.83203125" style="17" customWidth="1"/>
    <col min="8717" max="8717" width="8.5" style="17" bestFit="1" customWidth="1"/>
    <col min="8718" max="8718" width="7.1640625" style="17" bestFit="1" customWidth="1"/>
    <col min="8719" max="8719" width="4.5" style="17" bestFit="1" customWidth="1"/>
    <col min="8720" max="8720" width="5.5" style="17" bestFit="1" customWidth="1"/>
    <col min="8721" max="8723" width="6.1640625" style="17" bestFit="1" customWidth="1"/>
    <col min="8724" max="8724" width="7.1640625" style="17" bestFit="1" customWidth="1"/>
    <col min="8725" max="8734" width="8.83203125" style="17" customWidth="1"/>
    <col min="8735" max="8735" width="10" style="17" bestFit="1" customWidth="1"/>
    <col min="8736" max="8959" width="8.83203125" style="17" customWidth="1"/>
    <col min="8960" max="8960" width="7.83203125" style="17" customWidth="1"/>
    <col min="8961" max="8961" width="7.5" style="17" customWidth="1"/>
    <col min="8962" max="8962" width="9" style="17" customWidth="1"/>
    <col min="8963" max="8963" width="8.33203125" style="17" customWidth="1"/>
    <col min="8964" max="8966" width="8.5" style="17" bestFit="1" customWidth="1"/>
    <col min="8967" max="8967" width="10" style="17" bestFit="1" customWidth="1"/>
    <col min="8968" max="8968" width="8.1640625" style="17" bestFit="1" customWidth="1"/>
    <col min="8969" max="8970" width="8.5" style="17" bestFit="1" customWidth="1"/>
    <col min="8971" max="8971" width="6" style="17" bestFit="1" customWidth="1"/>
    <col min="8972" max="8972" width="8.83203125" style="17" customWidth="1"/>
    <col min="8973" max="8973" width="8.5" style="17" bestFit="1" customWidth="1"/>
    <col min="8974" max="8974" width="7.1640625" style="17" bestFit="1" customWidth="1"/>
    <col min="8975" max="8975" width="4.5" style="17" bestFit="1" customWidth="1"/>
    <col min="8976" max="8976" width="5.5" style="17" bestFit="1" customWidth="1"/>
    <col min="8977" max="8979" width="6.1640625" style="17" bestFit="1" customWidth="1"/>
    <col min="8980" max="8980" width="7.1640625" style="17" bestFit="1" customWidth="1"/>
    <col min="8981" max="8990" width="8.83203125" style="17" customWidth="1"/>
    <col min="8991" max="8991" width="10" style="17" bestFit="1" customWidth="1"/>
    <col min="8992" max="9215" width="8.83203125" style="17" customWidth="1"/>
    <col min="9216" max="9216" width="7.83203125" style="17" customWidth="1"/>
    <col min="9217" max="9217" width="7.5" style="17" customWidth="1"/>
    <col min="9218" max="9218" width="9" style="17" customWidth="1"/>
    <col min="9219" max="9219" width="8.33203125" style="17" customWidth="1"/>
    <col min="9220" max="9222" width="8.5" style="17" bestFit="1" customWidth="1"/>
    <col min="9223" max="9223" width="10" style="17" bestFit="1" customWidth="1"/>
    <col min="9224" max="9224" width="8.1640625" style="17" bestFit="1" customWidth="1"/>
    <col min="9225" max="9226" width="8.5" style="17" bestFit="1" customWidth="1"/>
    <col min="9227" max="9227" width="6" style="17" bestFit="1" customWidth="1"/>
    <col min="9228" max="9228" width="8.83203125" style="17" customWidth="1"/>
    <col min="9229" max="9229" width="8.5" style="17" bestFit="1" customWidth="1"/>
    <col min="9230" max="9230" width="7.1640625" style="17" bestFit="1" customWidth="1"/>
    <col min="9231" max="9231" width="4.5" style="17" bestFit="1" customWidth="1"/>
    <col min="9232" max="9232" width="5.5" style="17" bestFit="1" customWidth="1"/>
    <col min="9233" max="9235" width="6.1640625" style="17" bestFit="1" customWidth="1"/>
    <col min="9236" max="9236" width="7.1640625" style="17" bestFit="1" customWidth="1"/>
    <col min="9237" max="9246" width="8.83203125" style="17" customWidth="1"/>
    <col min="9247" max="9247" width="10" style="17" bestFit="1" customWidth="1"/>
    <col min="9248" max="9471" width="8.83203125" style="17" customWidth="1"/>
    <col min="9472" max="9472" width="7.83203125" style="17" customWidth="1"/>
    <col min="9473" max="9473" width="7.5" style="17" customWidth="1"/>
    <col min="9474" max="9474" width="9" style="17" customWidth="1"/>
    <col min="9475" max="9475" width="8.33203125" style="17" customWidth="1"/>
    <col min="9476" max="9478" width="8.5" style="17" bestFit="1" customWidth="1"/>
    <col min="9479" max="9479" width="10" style="17" bestFit="1" customWidth="1"/>
    <col min="9480" max="9480" width="8.1640625" style="17" bestFit="1" customWidth="1"/>
    <col min="9481" max="9482" width="8.5" style="17" bestFit="1" customWidth="1"/>
    <col min="9483" max="9483" width="6" style="17" bestFit="1" customWidth="1"/>
    <col min="9484" max="9484" width="8.83203125" style="17" customWidth="1"/>
    <col min="9485" max="9485" width="8.5" style="17" bestFit="1" customWidth="1"/>
    <col min="9486" max="9486" width="7.1640625" style="17" bestFit="1" customWidth="1"/>
    <col min="9487" max="9487" width="4.5" style="17" bestFit="1" customWidth="1"/>
    <col min="9488" max="9488" width="5.5" style="17" bestFit="1" customWidth="1"/>
    <col min="9489" max="9491" width="6.1640625" style="17" bestFit="1" customWidth="1"/>
    <col min="9492" max="9492" width="7.1640625" style="17" bestFit="1" customWidth="1"/>
    <col min="9493" max="9502" width="8.83203125" style="17" customWidth="1"/>
    <col min="9503" max="9503" width="10" style="17" bestFit="1" customWidth="1"/>
    <col min="9504" max="9727" width="8.83203125" style="17" customWidth="1"/>
    <col min="9728" max="9728" width="7.83203125" style="17" customWidth="1"/>
    <col min="9729" max="9729" width="7.5" style="17" customWidth="1"/>
    <col min="9730" max="9730" width="9" style="17" customWidth="1"/>
    <col min="9731" max="9731" width="8.33203125" style="17" customWidth="1"/>
    <col min="9732" max="9734" width="8.5" style="17" bestFit="1" customWidth="1"/>
    <col min="9735" max="9735" width="10" style="17" bestFit="1" customWidth="1"/>
    <col min="9736" max="9736" width="8.1640625" style="17" bestFit="1" customWidth="1"/>
    <col min="9737" max="9738" width="8.5" style="17" bestFit="1" customWidth="1"/>
    <col min="9739" max="9739" width="6" style="17" bestFit="1" customWidth="1"/>
    <col min="9740" max="9740" width="8.83203125" style="17" customWidth="1"/>
    <col min="9741" max="9741" width="8.5" style="17" bestFit="1" customWidth="1"/>
    <col min="9742" max="9742" width="7.1640625" style="17" bestFit="1" customWidth="1"/>
    <col min="9743" max="9743" width="4.5" style="17" bestFit="1" customWidth="1"/>
    <col min="9744" max="9744" width="5.5" style="17" bestFit="1" customWidth="1"/>
    <col min="9745" max="9747" width="6.1640625" style="17" bestFit="1" customWidth="1"/>
    <col min="9748" max="9748" width="7.1640625" style="17" bestFit="1" customWidth="1"/>
    <col min="9749" max="9758" width="8.83203125" style="17" customWidth="1"/>
    <col min="9759" max="9759" width="10" style="17" bestFit="1" customWidth="1"/>
    <col min="9760" max="9983" width="8.83203125" style="17" customWidth="1"/>
    <col min="9984" max="9984" width="7.83203125" style="17" customWidth="1"/>
    <col min="9985" max="9985" width="7.5" style="17" customWidth="1"/>
    <col min="9986" max="9986" width="9" style="17" customWidth="1"/>
    <col min="9987" max="9987" width="8.33203125" style="17" customWidth="1"/>
    <col min="9988" max="9990" width="8.5" style="17" bestFit="1" customWidth="1"/>
    <col min="9991" max="9991" width="10" style="17" bestFit="1" customWidth="1"/>
    <col min="9992" max="9992" width="8.1640625" style="17" bestFit="1" customWidth="1"/>
    <col min="9993" max="9994" width="8.5" style="17" bestFit="1" customWidth="1"/>
    <col min="9995" max="9995" width="6" style="17" bestFit="1" customWidth="1"/>
    <col min="9996" max="9996" width="8.83203125" style="17" customWidth="1"/>
    <col min="9997" max="9997" width="8.5" style="17" bestFit="1" customWidth="1"/>
    <col min="9998" max="9998" width="7.1640625" style="17" bestFit="1" customWidth="1"/>
    <col min="9999" max="9999" width="4.5" style="17" bestFit="1" customWidth="1"/>
    <col min="10000" max="10000" width="5.5" style="17" bestFit="1" customWidth="1"/>
    <col min="10001" max="10003" width="6.1640625" style="17" bestFit="1" customWidth="1"/>
    <col min="10004" max="10004" width="7.1640625" style="17" bestFit="1" customWidth="1"/>
    <col min="10005" max="10014" width="8.83203125" style="17" customWidth="1"/>
    <col min="10015" max="10015" width="10" style="17" bestFit="1" customWidth="1"/>
    <col min="10016" max="10239" width="8.83203125" style="17" customWidth="1"/>
    <col min="10240" max="10240" width="7.83203125" style="17" customWidth="1"/>
    <col min="10241" max="10241" width="7.5" style="17" customWidth="1"/>
    <col min="10242" max="10242" width="9" style="17" customWidth="1"/>
    <col min="10243" max="10243" width="8.33203125" style="17" customWidth="1"/>
    <col min="10244" max="10246" width="8.5" style="17" bestFit="1" customWidth="1"/>
    <col min="10247" max="10247" width="10" style="17" bestFit="1" customWidth="1"/>
    <col min="10248" max="10248" width="8.1640625" style="17" bestFit="1" customWidth="1"/>
    <col min="10249" max="10250" width="8.5" style="17" bestFit="1" customWidth="1"/>
    <col min="10251" max="10251" width="6" style="17" bestFit="1" customWidth="1"/>
    <col min="10252" max="10252" width="8.83203125" style="17" customWidth="1"/>
    <col min="10253" max="10253" width="8.5" style="17" bestFit="1" customWidth="1"/>
    <col min="10254" max="10254" width="7.1640625" style="17" bestFit="1" customWidth="1"/>
    <col min="10255" max="10255" width="4.5" style="17" bestFit="1" customWidth="1"/>
    <col min="10256" max="10256" width="5.5" style="17" bestFit="1" customWidth="1"/>
    <col min="10257" max="10259" width="6.1640625" style="17" bestFit="1" customWidth="1"/>
    <col min="10260" max="10260" width="7.1640625" style="17" bestFit="1" customWidth="1"/>
    <col min="10261" max="10270" width="8.83203125" style="17" customWidth="1"/>
    <col min="10271" max="10271" width="10" style="17" bestFit="1" customWidth="1"/>
    <col min="10272" max="10495" width="8.83203125" style="17" customWidth="1"/>
    <col min="10496" max="10496" width="7.83203125" style="17" customWidth="1"/>
    <col min="10497" max="10497" width="7.5" style="17" customWidth="1"/>
    <col min="10498" max="10498" width="9" style="17" customWidth="1"/>
    <col min="10499" max="10499" width="8.33203125" style="17" customWidth="1"/>
    <col min="10500" max="10502" width="8.5" style="17" bestFit="1" customWidth="1"/>
    <col min="10503" max="10503" width="10" style="17" bestFit="1" customWidth="1"/>
    <col min="10504" max="10504" width="8.1640625" style="17" bestFit="1" customWidth="1"/>
    <col min="10505" max="10506" width="8.5" style="17" bestFit="1" customWidth="1"/>
    <col min="10507" max="10507" width="6" style="17" bestFit="1" customWidth="1"/>
    <col min="10508" max="10508" width="8.83203125" style="17" customWidth="1"/>
    <col min="10509" max="10509" width="8.5" style="17" bestFit="1" customWidth="1"/>
    <col min="10510" max="10510" width="7.1640625" style="17" bestFit="1" customWidth="1"/>
    <col min="10511" max="10511" width="4.5" style="17" bestFit="1" customWidth="1"/>
    <col min="10512" max="10512" width="5.5" style="17" bestFit="1" customWidth="1"/>
    <col min="10513" max="10515" width="6.1640625" style="17" bestFit="1" customWidth="1"/>
    <col min="10516" max="10516" width="7.1640625" style="17" bestFit="1" customWidth="1"/>
    <col min="10517" max="10526" width="8.83203125" style="17" customWidth="1"/>
    <col min="10527" max="10527" width="10" style="17" bestFit="1" customWidth="1"/>
    <col min="10528" max="10751" width="8.83203125" style="17" customWidth="1"/>
    <col min="10752" max="10752" width="7.83203125" style="17" customWidth="1"/>
    <col min="10753" max="10753" width="7.5" style="17" customWidth="1"/>
    <col min="10754" max="10754" width="9" style="17" customWidth="1"/>
    <col min="10755" max="10755" width="8.33203125" style="17" customWidth="1"/>
    <col min="10756" max="10758" width="8.5" style="17" bestFit="1" customWidth="1"/>
    <col min="10759" max="10759" width="10" style="17" bestFit="1" customWidth="1"/>
    <col min="10760" max="10760" width="8.1640625" style="17" bestFit="1" customWidth="1"/>
    <col min="10761" max="10762" width="8.5" style="17" bestFit="1" customWidth="1"/>
    <col min="10763" max="10763" width="6" style="17" bestFit="1" customWidth="1"/>
    <col min="10764" max="10764" width="8.83203125" style="17" customWidth="1"/>
    <col min="10765" max="10765" width="8.5" style="17" bestFit="1" customWidth="1"/>
    <col min="10766" max="10766" width="7.1640625" style="17" bestFit="1" customWidth="1"/>
    <col min="10767" max="10767" width="4.5" style="17" bestFit="1" customWidth="1"/>
    <col min="10768" max="10768" width="5.5" style="17" bestFit="1" customWidth="1"/>
    <col min="10769" max="10771" width="6.1640625" style="17" bestFit="1" customWidth="1"/>
    <col min="10772" max="10772" width="7.1640625" style="17" bestFit="1" customWidth="1"/>
    <col min="10773" max="10782" width="8.83203125" style="17" customWidth="1"/>
    <col min="10783" max="10783" width="10" style="17" bestFit="1" customWidth="1"/>
    <col min="10784" max="11007" width="8.83203125" style="17" customWidth="1"/>
    <col min="11008" max="11008" width="7.83203125" style="17" customWidth="1"/>
    <col min="11009" max="11009" width="7.5" style="17" customWidth="1"/>
    <col min="11010" max="11010" width="9" style="17" customWidth="1"/>
    <col min="11011" max="11011" width="8.33203125" style="17" customWidth="1"/>
    <col min="11012" max="11014" width="8.5" style="17" bestFit="1" customWidth="1"/>
    <col min="11015" max="11015" width="10" style="17" bestFit="1" customWidth="1"/>
    <col min="11016" max="11016" width="8.1640625" style="17" bestFit="1" customWidth="1"/>
    <col min="11017" max="11018" width="8.5" style="17" bestFit="1" customWidth="1"/>
    <col min="11019" max="11019" width="6" style="17" bestFit="1" customWidth="1"/>
    <col min="11020" max="11020" width="8.83203125" style="17" customWidth="1"/>
    <col min="11021" max="11021" width="8.5" style="17" bestFit="1" customWidth="1"/>
    <col min="11022" max="11022" width="7.1640625" style="17" bestFit="1" customWidth="1"/>
    <col min="11023" max="11023" width="4.5" style="17" bestFit="1" customWidth="1"/>
    <col min="11024" max="11024" width="5.5" style="17" bestFit="1" customWidth="1"/>
    <col min="11025" max="11027" width="6.1640625" style="17" bestFit="1" customWidth="1"/>
    <col min="11028" max="11028" width="7.1640625" style="17" bestFit="1" customWidth="1"/>
    <col min="11029" max="11038" width="8.83203125" style="17" customWidth="1"/>
    <col min="11039" max="11039" width="10" style="17" bestFit="1" customWidth="1"/>
    <col min="11040" max="11263" width="8.83203125" style="17" customWidth="1"/>
    <col min="11264" max="11264" width="7.83203125" style="17" customWidth="1"/>
    <col min="11265" max="11265" width="7.5" style="17" customWidth="1"/>
    <col min="11266" max="11266" width="9" style="17" customWidth="1"/>
    <col min="11267" max="11267" width="8.33203125" style="17" customWidth="1"/>
    <col min="11268" max="11270" width="8.5" style="17" bestFit="1" customWidth="1"/>
    <col min="11271" max="11271" width="10" style="17" bestFit="1" customWidth="1"/>
    <col min="11272" max="11272" width="8.1640625" style="17" bestFit="1" customWidth="1"/>
    <col min="11273" max="11274" width="8.5" style="17" bestFit="1" customWidth="1"/>
    <col min="11275" max="11275" width="6" style="17" bestFit="1" customWidth="1"/>
    <col min="11276" max="11276" width="8.83203125" style="17" customWidth="1"/>
    <col min="11277" max="11277" width="8.5" style="17" bestFit="1" customWidth="1"/>
    <col min="11278" max="11278" width="7.1640625" style="17" bestFit="1" customWidth="1"/>
    <col min="11279" max="11279" width="4.5" style="17" bestFit="1" customWidth="1"/>
    <col min="11280" max="11280" width="5.5" style="17" bestFit="1" customWidth="1"/>
    <col min="11281" max="11283" width="6.1640625" style="17" bestFit="1" customWidth="1"/>
    <col min="11284" max="11284" width="7.1640625" style="17" bestFit="1" customWidth="1"/>
    <col min="11285" max="11294" width="8.83203125" style="17" customWidth="1"/>
    <col min="11295" max="11295" width="10" style="17" bestFit="1" customWidth="1"/>
    <col min="11296" max="11519" width="8.83203125" style="17" customWidth="1"/>
    <col min="11520" max="11520" width="7.83203125" style="17" customWidth="1"/>
    <col min="11521" max="11521" width="7.5" style="17" customWidth="1"/>
    <col min="11522" max="11522" width="9" style="17" customWidth="1"/>
    <col min="11523" max="11523" width="8.33203125" style="17" customWidth="1"/>
    <col min="11524" max="11526" width="8.5" style="17" bestFit="1" customWidth="1"/>
    <col min="11527" max="11527" width="10" style="17" bestFit="1" customWidth="1"/>
    <col min="11528" max="11528" width="8.1640625" style="17" bestFit="1" customWidth="1"/>
    <col min="11529" max="11530" width="8.5" style="17" bestFit="1" customWidth="1"/>
    <col min="11531" max="11531" width="6" style="17" bestFit="1" customWidth="1"/>
    <col min="11532" max="11532" width="8.83203125" style="17" customWidth="1"/>
    <col min="11533" max="11533" width="8.5" style="17" bestFit="1" customWidth="1"/>
    <col min="11534" max="11534" width="7.1640625" style="17" bestFit="1" customWidth="1"/>
    <col min="11535" max="11535" width="4.5" style="17" bestFit="1" customWidth="1"/>
    <col min="11536" max="11536" width="5.5" style="17" bestFit="1" customWidth="1"/>
    <col min="11537" max="11539" width="6.1640625" style="17" bestFit="1" customWidth="1"/>
    <col min="11540" max="11540" width="7.1640625" style="17" bestFit="1" customWidth="1"/>
    <col min="11541" max="11550" width="8.83203125" style="17" customWidth="1"/>
    <col min="11551" max="11551" width="10" style="17" bestFit="1" customWidth="1"/>
    <col min="11552" max="11775" width="8.83203125" style="17" customWidth="1"/>
    <col min="11776" max="11776" width="7.83203125" style="17" customWidth="1"/>
    <col min="11777" max="11777" width="7.5" style="17" customWidth="1"/>
    <col min="11778" max="11778" width="9" style="17" customWidth="1"/>
    <col min="11779" max="11779" width="8.33203125" style="17" customWidth="1"/>
    <col min="11780" max="11782" width="8.5" style="17" bestFit="1" customWidth="1"/>
    <col min="11783" max="11783" width="10" style="17" bestFit="1" customWidth="1"/>
    <col min="11784" max="11784" width="8.1640625" style="17" bestFit="1" customWidth="1"/>
    <col min="11785" max="11786" width="8.5" style="17" bestFit="1" customWidth="1"/>
    <col min="11787" max="11787" width="6" style="17" bestFit="1" customWidth="1"/>
    <col min="11788" max="11788" width="8.83203125" style="17" customWidth="1"/>
    <col min="11789" max="11789" width="8.5" style="17" bestFit="1" customWidth="1"/>
    <col min="11790" max="11790" width="7.1640625" style="17" bestFit="1" customWidth="1"/>
    <col min="11791" max="11791" width="4.5" style="17" bestFit="1" customWidth="1"/>
    <col min="11792" max="11792" width="5.5" style="17" bestFit="1" customWidth="1"/>
    <col min="11793" max="11795" width="6.1640625" style="17" bestFit="1" customWidth="1"/>
    <col min="11796" max="11796" width="7.1640625" style="17" bestFit="1" customWidth="1"/>
    <col min="11797" max="11806" width="8.83203125" style="17" customWidth="1"/>
    <col min="11807" max="11807" width="10" style="17" bestFit="1" customWidth="1"/>
    <col min="11808" max="12031" width="8.83203125" style="17" customWidth="1"/>
    <col min="12032" max="12032" width="7.83203125" style="17" customWidth="1"/>
    <col min="12033" max="12033" width="7.5" style="17" customWidth="1"/>
    <col min="12034" max="12034" width="9" style="17" customWidth="1"/>
    <col min="12035" max="12035" width="8.33203125" style="17" customWidth="1"/>
    <col min="12036" max="12038" width="8.5" style="17" bestFit="1" customWidth="1"/>
    <col min="12039" max="12039" width="10" style="17" bestFit="1" customWidth="1"/>
    <col min="12040" max="12040" width="8.1640625" style="17" bestFit="1" customWidth="1"/>
    <col min="12041" max="12042" width="8.5" style="17" bestFit="1" customWidth="1"/>
    <col min="12043" max="12043" width="6" style="17" bestFit="1" customWidth="1"/>
    <col min="12044" max="12044" width="8.83203125" style="17" customWidth="1"/>
    <col min="12045" max="12045" width="8.5" style="17" bestFit="1" customWidth="1"/>
    <col min="12046" max="12046" width="7.1640625" style="17" bestFit="1" customWidth="1"/>
    <col min="12047" max="12047" width="4.5" style="17" bestFit="1" customWidth="1"/>
    <col min="12048" max="12048" width="5.5" style="17" bestFit="1" customWidth="1"/>
    <col min="12049" max="12051" width="6.1640625" style="17" bestFit="1" customWidth="1"/>
    <col min="12052" max="12052" width="7.1640625" style="17" bestFit="1" customWidth="1"/>
    <col min="12053" max="12062" width="8.83203125" style="17" customWidth="1"/>
    <col min="12063" max="12063" width="10" style="17" bestFit="1" customWidth="1"/>
    <col min="12064" max="12287" width="8.83203125" style="17" customWidth="1"/>
    <col min="12288" max="12288" width="7.83203125" style="17" customWidth="1"/>
    <col min="12289" max="12289" width="7.5" style="17" customWidth="1"/>
    <col min="12290" max="12290" width="9" style="17" customWidth="1"/>
    <col min="12291" max="12291" width="8.33203125" style="17" customWidth="1"/>
    <col min="12292" max="12294" width="8.5" style="17" bestFit="1" customWidth="1"/>
    <col min="12295" max="12295" width="10" style="17" bestFit="1" customWidth="1"/>
    <col min="12296" max="12296" width="8.1640625" style="17" bestFit="1" customWidth="1"/>
    <col min="12297" max="12298" width="8.5" style="17" bestFit="1" customWidth="1"/>
    <col min="12299" max="12299" width="6" style="17" bestFit="1" customWidth="1"/>
    <col min="12300" max="12300" width="8.83203125" style="17" customWidth="1"/>
    <col min="12301" max="12301" width="8.5" style="17" bestFit="1" customWidth="1"/>
    <col min="12302" max="12302" width="7.1640625" style="17" bestFit="1" customWidth="1"/>
    <col min="12303" max="12303" width="4.5" style="17" bestFit="1" customWidth="1"/>
    <col min="12304" max="12304" width="5.5" style="17" bestFit="1" customWidth="1"/>
    <col min="12305" max="12307" width="6.1640625" style="17" bestFit="1" customWidth="1"/>
    <col min="12308" max="12308" width="7.1640625" style="17" bestFit="1" customWidth="1"/>
    <col min="12309" max="12318" width="8.83203125" style="17" customWidth="1"/>
    <col min="12319" max="12319" width="10" style="17" bestFit="1" customWidth="1"/>
    <col min="12320" max="12543" width="8.83203125" style="17" customWidth="1"/>
    <col min="12544" max="12544" width="7.83203125" style="17" customWidth="1"/>
    <col min="12545" max="12545" width="7.5" style="17" customWidth="1"/>
    <col min="12546" max="12546" width="9" style="17" customWidth="1"/>
    <col min="12547" max="12547" width="8.33203125" style="17" customWidth="1"/>
    <col min="12548" max="12550" width="8.5" style="17" bestFit="1" customWidth="1"/>
    <col min="12551" max="12551" width="10" style="17" bestFit="1" customWidth="1"/>
    <col min="12552" max="12552" width="8.1640625" style="17" bestFit="1" customWidth="1"/>
    <col min="12553" max="12554" width="8.5" style="17" bestFit="1" customWidth="1"/>
    <col min="12555" max="12555" width="6" style="17" bestFit="1" customWidth="1"/>
    <col min="12556" max="12556" width="8.83203125" style="17" customWidth="1"/>
    <col min="12557" max="12557" width="8.5" style="17" bestFit="1" customWidth="1"/>
    <col min="12558" max="12558" width="7.1640625" style="17" bestFit="1" customWidth="1"/>
    <col min="12559" max="12559" width="4.5" style="17" bestFit="1" customWidth="1"/>
    <col min="12560" max="12560" width="5.5" style="17" bestFit="1" customWidth="1"/>
    <col min="12561" max="12563" width="6.1640625" style="17" bestFit="1" customWidth="1"/>
    <col min="12564" max="12564" width="7.1640625" style="17" bestFit="1" customWidth="1"/>
    <col min="12565" max="12574" width="8.83203125" style="17" customWidth="1"/>
    <col min="12575" max="12575" width="10" style="17" bestFit="1" customWidth="1"/>
    <col min="12576" max="12799" width="8.83203125" style="17" customWidth="1"/>
    <col min="12800" max="12800" width="7.83203125" style="17" customWidth="1"/>
    <col min="12801" max="12801" width="7.5" style="17" customWidth="1"/>
    <col min="12802" max="12802" width="9" style="17" customWidth="1"/>
    <col min="12803" max="12803" width="8.33203125" style="17" customWidth="1"/>
    <col min="12804" max="12806" width="8.5" style="17" bestFit="1" customWidth="1"/>
    <col min="12807" max="12807" width="10" style="17" bestFit="1" customWidth="1"/>
    <col min="12808" max="12808" width="8.1640625" style="17" bestFit="1" customWidth="1"/>
    <col min="12809" max="12810" width="8.5" style="17" bestFit="1" customWidth="1"/>
    <col min="12811" max="12811" width="6" style="17" bestFit="1" customWidth="1"/>
    <col min="12812" max="12812" width="8.83203125" style="17" customWidth="1"/>
    <col min="12813" max="12813" width="8.5" style="17" bestFit="1" customWidth="1"/>
    <col min="12814" max="12814" width="7.1640625" style="17" bestFit="1" customWidth="1"/>
    <col min="12815" max="12815" width="4.5" style="17" bestFit="1" customWidth="1"/>
    <col min="12816" max="12816" width="5.5" style="17" bestFit="1" customWidth="1"/>
    <col min="12817" max="12819" width="6.1640625" style="17" bestFit="1" customWidth="1"/>
    <col min="12820" max="12820" width="7.1640625" style="17" bestFit="1" customWidth="1"/>
    <col min="12821" max="12830" width="8.83203125" style="17" customWidth="1"/>
    <col min="12831" max="12831" width="10" style="17" bestFit="1" customWidth="1"/>
    <col min="12832" max="13055" width="8.83203125" style="17" customWidth="1"/>
    <col min="13056" max="13056" width="7.83203125" style="17" customWidth="1"/>
    <col min="13057" max="13057" width="7.5" style="17" customWidth="1"/>
    <col min="13058" max="13058" width="9" style="17" customWidth="1"/>
    <col min="13059" max="13059" width="8.33203125" style="17" customWidth="1"/>
    <col min="13060" max="13062" width="8.5" style="17" bestFit="1" customWidth="1"/>
    <col min="13063" max="13063" width="10" style="17" bestFit="1" customWidth="1"/>
    <col min="13064" max="13064" width="8.1640625" style="17" bestFit="1" customWidth="1"/>
    <col min="13065" max="13066" width="8.5" style="17" bestFit="1" customWidth="1"/>
    <col min="13067" max="13067" width="6" style="17" bestFit="1" customWidth="1"/>
    <col min="13068" max="13068" width="8.83203125" style="17" customWidth="1"/>
    <col min="13069" max="13069" width="8.5" style="17" bestFit="1" customWidth="1"/>
    <col min="13070" max="13070" width="7.1640625" style="17" bestFit="1" customWidth="1"/>
    <col min="13071" max="13071" width="4.5" style="17" bestFit="1" customWidth="1"/>
    <col min="13072" max="13072" width="5.5" style="17" bestFit="1" customWidth="1"/>
    <col min="13073" max="13075" width="6.1640625" style="17" bestFit="1" customWidth="1"/>
    <col min="13076" max="13076" width="7.1640625" style="17" bestFit="1" customWidth="1"/>
    <col min="13077" max="13086" width="8.83203125" style="17" customWidth="1"/>
    <col min="13087" max="13087" width="10" style="17" bestFit="1" customWidth="1"/>
    <col min="13088" max="13311" width="8.83203125" style="17" customWidth="1"/>
    <col min="13312" max="13312" width="7.83203125" style="17" customWidth="1"/>
    <col min="13313" max="13313" width="7.5" style="17" customWidth="1"/>
    <col min="13314" max="13314" width="9" style="17" customWidth="1"/>
    <col min="13315" max="13315" width="8.33203125" style="17" customWidth="1"/>
    <col min="13316" max="13318" width="8.5" style="17" bestFit="1" customWidth="1"/>
    <col min="13319" max="13319" width="10" style="17" bestFit="1" customWidth="1"/>
    <col min="13320" max="13320" width="8.1640625" style="17" bestFit="1" customWidth="1"/>
    <col min="13321" max="13322" width="8.5" style="17" bestFit="1" customWidth="1"/>
    <col min="13323" max="13323" width="6" style="17" bestFit="1" customWidth="1"/>
    <col min="13324" max="13324" width="8.83203125" style="17" customWidth="1"/>
    <col min="13325" max="13325" width="8.5" style="17" bestFit="1" customWidth="1"/>
    <col min="13326" max="13326" width="7.1640625" style="17" bestFit="1" customWidth="1"/>
    <col min="13327" max="13327" width="4.5" style="17" bestFit="1" customWidth="1"/>
    <col min="13328" max="13328" width="5.5" style="17" bestFit="1" customWidth="1"/>
    <col min="13329" max="13331" width="6.1640625" style="17" bestFit="1" customWidth="1"/>
    <col min="13332" max="13332" width="7.1640625" style="17" bestFit="1" customWidth="1"/>
    <col min="13333" max="13342" width="8.83203125" style="17" customWidth="1"/>
    <col min="13343" max="13343" width="10" style="17" bestFit="1" customWidth="1"/>
    <col min="13344" max="13567" width="8.83203125" style="17" customWidth="1"/>
    <col min="13568" max="13568" width="7.83203125" style="17" customWidth="1"/>
    <col min="13569" max="13569" width="7.5" style="17" customWidth="1"/>
    <col min="13570" max="13570" width="9" style="17" customWidth="1"/>
    <col min="13571" max="13571" width="8.33203125" style="17" customWidth="1"/>
    <col min="13572" max="13574" width="8.5" style="17" bestFit="1" customWidth="1"/>
    <col min="13575" max="13575" width="10" style="17" bestFit="1" customWidth="1"/>
    <col min="13576" max="13576" width="8.1640625" style="17" bestFit="1" customWidth="1"/>
    <col min="13577" max="13578" width="8.5" style="17" bestFit="1" customWidth="1"/>
    <col min="13579" max="13579" width="6" style="17" bestFit="1" customWidth="1"/>
    <col min="13580" max="13580" width="8.83203125" style="17" customWidth="1"/>
    <col min="13581" max="13581" width="8.5" style="17" bestFit="1" customWidth="1"/>
    <col min="13582" max="13582" width="7.1640625" style="17" bestFit="1" customWidth="1"/>
    <col min="13583" max="13583" width="4.5" style="17" bestFit="1" customWidth="1"/>
    <col min="13584" max="13584" width="5.5" style="17" bestFit="1" customWidth="1"/>
    <col min="13585" max="13587" width="6.1640625" style="17" bestFit="1" customWidth="1"/>
    <col min="13588" max="13588" width="7.1640625" style="17" bestFit="1" customWidth="1"/>
    <col min="13589" max="13598" width="8.83203125" style="17" customWidth="1"/>
    <col min="13599" max="13599" width="10" style="17" bestFit="1" customWidth="1"/>
    <col min="13600" max="13823" width="8.83203125" style="17" customWidth="1"/>
    <col min="13824" max="13824" width="7.83203125" style="17" customWidth="1"/>
    <col min="13825" max="13825" width="7.5" style="17" customWidth="1"/>
    <col min="13826" max="13826" width="9" style="17" customWidth="1"/>
    <col min="13827" max="13827" width="8.33203125" style="17" customWidth="1"/>
    <col min="13828" max="13830" width="8.5" style="17" bestFit="1" customWidth="1"/>
    <col min="13831" max="13831" width="10" style="17" bestFit="1" customWidth="1"/>
    <col min="13832" max="13832" width="8.1640625" style="17" bestFit="1" customWidth="1"/>
    <col min="13833" max="13834" width="8.5" style="17" bestFit="1" customWidth="1"/>
    <col min="13835" max="13835" width="6" style="17" bestFit="1" customWidth="1"/>
    <col min="13836" max="13836" width="8.83203125" style="17" customWidth="1"/>
    <col min="13837" max="13837" width="8.5" style="17" bestFit="1" customWidth="1"/>
    <col min="13838" max="13838" width="7.1640625" style="17" bestFit="1" customWidth="1"/>
    <col min="13839" max="13839" width="4.5" style="17" bestFit="1" customWidth="1"/>
    <col min="13840" max="13840" width="5.5" style="17" bestFit="1" customWidth="1"/>
    <col min="13841" max="13843" width="6.1640625" style="17" bestFit="1" customWidth="1"/>
    <col min="13844" max="13844" width="7.1640625" style="17" bestFit="1" customWidth="1"/>
    <col min="13845" max="13854" width="8.83203125" style="17" customWidth="1"/>
    <col min="13855" max="13855" width="10" style="17" bestFit="1" customWidth="1"/>
    <col min="13856" max="14079" width="8.83203125" style="17" customWidth="1"/>
    <col min="14080" max="14080" width="7.83203125" style="17" customWidth="1"/>
    <col min="14081" max="14081" width="7.5" style="17" customWidth="1"/>
    <col min="14082" max="14082" width="9" style="17" customWidth="1"/>
    <col min="14083" max="14083" width="8.33203125" style="17" customWidth="1"/>
    <col min="14084" max="14086" width="8.5" style="17" bestFit="1" customWidth="1"/>
    <col min="14087" max="14087" width="10" style="17" bestFit="1" customWidth="1"/>
    <col min="14088" max="14088" width="8.1640625" style="17" bestFit="1" customWidth="1"/>
    <col min="14089" max="14090" width="8.5" style="17" bestFit="1" customWidth="1"/>
    <col min="14091" max="14091" width="6" style="17" bestFit="1" customWidth="1"/>
    <col min="14092" max="14092" width="8.83203125" style="17" customWidth="1"/>
    <col min="14093" max="14093" width="8.5" style="17" bestFit="1" customWidth="1"/>
    <col min="14094" max="14094" width="7.1640625" style="17" bestFit="1" customWidth="1"/>
    <col min="14095" max="14095" width="4.5" style="17" bestFit="1" customWidth="1"/>
    <col min="14096" max="14096" width="5.5" style="17" bestFit="1" customWidth="1"/>
    <col min="14097" max="14099" width="6.1640625" style="17" bestFit="1" customWidth="1"/>
    <col min="14100" max="14100" width="7.1640625" style="17" bestFit="1" customWidth="1"/>
    <col min="14101" max="14110" width="8.83203125" style="17" customWidth="1"/>
    <col min="14111" max="14111" width="10" style="17" bestFit="1" customWidth="1"/>
    <col min="14112" max="14335" width="8.83203125" style="17" customWidth="1"/>
    <col min="14336" max="14336" width="7.83203125" style="17" customWidth="1"/>
    <col min="14337" max="14337" width="7.5" style="17" customWidth="1"/>
    <col min="14338" max="14338" width="9" style="17" customWidth="1"/>
    <col min="14339" max="14339" width="8.33203125" style="17" customWidth="1"/>
    <col min="14340" max="14342" width="8.5" style="17" bestFit="1" customWidth="1"/>
    <col min="14343" max="14343" width="10" style="17" bestFit="1" customWidth="1"/>
    <col min="14344" max="14344" width="8.1640625" style="17" bestFit="1" customWidth="1"/>
    <col min="14345" max="14346" width="8.5" style="17" bestFit="1" customWidth="1"/>
    <col min="14347" max="14347" width="6" style="17" bestFit="1" customWidth="1"/>
    <col min="14348" max="14348" width="8.83203125" style="17" customWidth="1"/>
    <col min="14349" max="14349" width="8.5" style="17" bestFit="1" customWidth="1"/>
    <col min="14350" max="14350" width="7.1640625" style="17" bestFit="1" customWidth="1"/>
    <col min="14351" max="14351" width="4.5" style="17" bestFit="1" customWidth="1"/>
    <col min="14352" max="14352" width="5.5" style="17" bestFit="1" customWidth="1"/>
    <col min="14353" max="14355" width="6.1640625" style="17" bestFit="1" customWidth="1"/>
    <col min="14356" max="14356" width="7.1640625" style="17" bestFit="1" customWidth="1"/>
    <col min="14357" max="14366" width="8.83203125" style="17" customWidth="1"/>
    <col min="14367" max="14367" width="10" style="17" bestFit="1" customWidth="1"/>
    <col min="14368" max="14591" width="8.83203125" style="17" customWidth="1"/>
    <col min="14592" max="14592" width="7.83203125" style="17" customWidth="1"/>
    <col min="14593" max="14593" width="7.5" style="17" customWidth="1"/>
    <col min="14594" max="14594" width="9" style="17" customWidth="1"/>
    <col min="14595" max="14595" width="8.33203125" style="17" customWidth="1"/>
    <col min="14596" max="14598" width="8.5" style="17" bestFit="1" customWidth="1"/>
    <col min="14599" max="14599" width="10" style="17" bestFit="1" customWidth="1"/>
    <col min="14600" max="14600" width="8.1640625" style="17" bestFit="1" customWidth="1"/>
    <col min="14601" max="14602" width="8.5" style="17" bestFit="1" customWidth="1"/>
    <col min="14603" max="14603" width="6" style="17" bestFit="1" customWidth="1"/>
    <col min="14604" max="14604" width="8.83203125" style="17" customWidth="1"/>
    <col min="14605" max="14605" width="8.5" style="17" bestFit="1" customWidth="1"/>
    <col min="14606" max="14606" width="7.1640625" style="17" bestFit="1" customWidth="1"/>
    <col min="14607" max="14607" width="4.5" style="17" bestFit="1" customWidth="1"/>
    <col min="14608" max="14608" width="5.5" style="17" bestFit="1" customWidth="1"/>
    <col min="14609" max="14611" width="6.1640625" style="17" bestFit="1" customWidth="1"/>
    <col min="14612" max="14612" width="7.1640625" style="17" bestFit="1" customWidth="1"/>
    <col min="14613" max="14622" width="8.83203125" style="17" customWidth="1"/>
    <col min="14623" max="14623" width="10" style="17" bestFit="1" customWidth="1"/>
    <col min="14624" max="14847" width="8.83203125" style="17" customWidth="1"/>
    <col min="14848" max="14848" width="7.83203125" style="17" customWidth="1"/>
    <col min="14849" max="14849" width="7.5" style="17" customWidth="1"/>
    <col min="14850" max="14850" width="9" style="17" customWidth="1"/>
    <col min="14851" max="14851" width="8.33203125" style="17" customWidth="1"/>
    <col min="14852" max="14854" width="8.5" style="17" bestFit="1" customWidth="1"/>
    <col min="14855" max="14855" width="10" style="17" bestFit="1" customWidth="1"/>
    <col min="14856" max="14856" width="8.1640625" style="17" bestFit="1" customWidth="1"/>
    <col min="14857" max="14858" width="8.5" style="17" bestFit="1" customWidth="1"/>
    <col min="14859" max="14859" width="6" style="17" bestFit="1" customWidth="1"/>
    <col min="14860" max="14860" width="8.83203125" style="17" customWidth="1"/>
    <col min="14861" max="14861" width="8.5" style="17" bestFit="1" customWidth="1"/>
    <col min="14862" max="14862" width="7.1640625" style="17" bestFit="1" customWidth="1"/>
    <col min="14863" max="14863" width="4.5" style="17" bestFit="1" customWidth="1"/>
    <col min="14864" max="14864" width="5.5" style="17" bestFit="1" customWidth="1"/>
    <col min="14865" max="14867" width="6.1640625" style="17" bestFit="1" customWidth="1"/>
    <col min="14868" max="14868" width="7.1640625" style="17" bestFit="1" customWidth="1"/>
    <col min="14869" max="14878" width="8.83203125" style="17" customWidth="1"/>
    <col min="14879" max="14879" width="10" style="17" bestFit="1" customWidth="1"/>
    <col min="14880" max="15103" width="8.83203125" style="17" customWidth="1"/>
    <col min="15104" max="15104" width="7.83203125" style="17" customWidth="1"/>
    <col min="15105" max="15105" width="7.5" style="17" customWidth="1"/>
    <col min="15106" max="15106" width="9" style="17" customWidth="1"/>
    <col min="15107" max="15107" width="8.33203125" style="17" customWidth="1"/>
    <col min="15108" max="15110" width="8.5" style="17" bestFit="1" customWidth="1"/>
    <col min="15111" max="15111" width="10" style="17" bestFit="1" customWidth="1"/>
    <col min="15112" max="15112" width="8.1640625" style="17" bestFit="1" customWidth="1"/>
    <col min="15113" max="15114" width="8.5" style="17" bestFit="1" customWidth="1"/>
    <col min="15115" max="15115" width="6" style="17" bestFit="1" customWidth="1"/>
    <col min="15116" max="15116" width="8.83203125" style="17" customWidth="1"/>
    <col min="15117" max="15117" width="8.5" style="17" bestFit="1" customWidth="1"/>
    <col min="15118" max="15118" width="7.1640625" style="17" bestFit="1" customWidth="1"/>
    <col min="15119" max="15119" width="4.5" style="17" bestFit="1" customWidth="1"/>
    <col min="15120" max="15120" width="5.5" style="17" bestFit="1" customWidth="1"/>
    <col min="15121" max="15123" width="6.1640625" style="17" bestFit="1" customWidth="1"/>
    <col min="15124" max="15124" width="7.1640625" style="17" bestFit="1" customWidth="1"/>
    <col min="15125" max="15134" width="8.83203125" style="17" customWidth="1"/>
    <col min="15135" max="15135" width="10" style="17" bestFit="1" customWidth="1"/>
    <col min="15136" max="15359" width="8.83203125" style="17" customWidth="1"/>
    <col min="15360" max="15360" width="7.83203125" style="17" customWidth="1"/>
    <col min="15361" max="15361" width="7.5" style="17" customWidth="1"/>
    <col min="15362" max="15362" width="9" style="17" customWidth="1"/>
    <col min="15363" max="15363" width="8.33203125" style="17" customWidth="1"/>
    <col min="15364" max="15366" width="8.5" style="17" bestFit="1" customWidth="1"/>
    <col min="15367" max="15367" width="10" style="17" bestFit="1" customWidth="1"/>
    <col min="15368" max="15368" width="8.1640625" style="17" bestFit="1" customWidth="1"/>
    <col min="15369" max="15370" width="8.5" style="17" bestFit="1" customWidth="1"/>
    <col min="15371" max="15371" width="6" style="17" bestFit="1" customWidth="1"/>
    <col min="15372" max="15372" width="8.83203125" style="17" customWidth="1"/>
    <col min="15373" max="15373" width="8.5" style="17" bestFit="1" customWidth="1"/>
    <col min="15374" max="15374" width="7.1640625" style="17" bestFit="1" customWidth="1"/>
    <col min="15375" max="15375" width="4.5" style="17" bestFit="1" customWidth="1"/>
    <col min="15376" max="15376" width="5.5" style="17" bestFit="1" customWidth="1"/>
    <col min="15377" max="15379" width="6.1640625" style="17" bestFit="1" customWidth="1"/>
    <col min="15380" max="15380" width="7.1640625" style="17" bestFit="1" customWidth="1"/>
    <col min="15381" max="15390" width="8.83203125" style="17" customWidth="1"/>
    <col min="15391" max="15391" width="10" style="17" bestFit="1" customWidth="1"/>
    <col min="15392" max="15615" width="8.83203125" style="17" customWidth="1"/>
    <col min="15616" max="15616" width="7.83203125" style="17" customWidth="1"/>
    <col min="15617" max="15617" width="7.5" style="17" customWidth="1"/>
    <col min="15618" max="15618" width="9" style="17" customWidth="1"/>
    <col min="15619" max="15619" width="8.33203125" style="17" customWidth="1"/>
    <col min="15620" max="15622" width="8.5" style="17" bestFit="1" customWidth="1"/>
    <col min="15623" max="15623" width="10" style="17" bestFit="1" customWidth="1"/>
    <col min="15624" max="15624" width="8.1640625" style="17" bestFit="1" customWidth="1"/>
    <col min="15625" max="15626" width="8.5" style="17" bestFit="1" customWidth="1"/>
    <col min="15627" max="15627" width="6" style="17" bestFit="1" customWidth="1"/>
    <col min="15628" max="15628" width="8.83203125" style="17" customWidth="1"/>
    <col min="15629" max="15629" width="8.5" style="17" bestFit="1" customWidth="1"/>
    <col min="15630" max="15630" width="7.1640625" style="17" bestFit="1" customWidth="1"/>
    <col min="15631" max="15631" width="4.5" style="17" bestFit="1" customWidth="1"/>
    <col min="15632" max="15632" width="5.5" style="17" bestFit="1" customWidth="1"/>
    <col min="15633" max="15635" width="6.1640625" style="17" bestFit="1" customWidth="1"/>
    <col min="15636" max="15636" width="7.1640625" style="17" bestFit="1" customWidth="1"/>
    <col min="15637" max="15646" width="8.83203125" style="17" customWidth="1"/>
    <col min="15647" max="15647" width="10" style="17" bestFit="1" customWidth="1"/>
    <col min="15648" max="15871" width="8.83203125" style="17" customWidth="1"/>
    <col min="15872" max="15872" width="7.83203125" style="17" customWidth="1"/>
    <col min="15873" max="15873" width="7.5" style="17" customWidth="1"/>
    <col min="15874" max="15874" width="9" style="17" customWidth="1"/>
    <col min="15875" max="15875" width="8.33203125" style="17" customWidth="1"/>
    <col min="15876" max="15878" width="8.5" style="17" bestFit="1" customWidth="1"/>
    <col min="15879" max="15879" width="10" style="17" bestFit="1" customWidth="1"/>
    <col min="15880" max="15880" width="8.1640625" style="17" bestFit="1" customWidth="1"/>
    <col min="15881" max="15882" width="8.5" style="17" bestFit="1" customWidth="1"/>
    <col min="15883" max="15883" width="6" style="17" bestFit="1" customWidth="1"/>
    <col min="15884" max="15884" width="8.83203125" style="17" customWidth="1"/>
    <col min="15885" max="15885" width="8.5" style="17" bestFit="1" customWidth="1"/>
    <col min="15886" max="15886" width="7.1640625" style="17" bestFit="1" customWidth="1"/>
    <col min="15887" max="15887" width="4.5" style="17" bestFit="1" customWidth="1"/>
    <col min="15888" max="15888" width="5.5" style="17" bestFit="1" customWidth="1"/>
    <col min="15889" max="15891" width="6.1640625" style="17" bestFit="1" customWidth="1"/>
    <col min="15892" max="15892" width="7.1640625" style="17" bestFit="1" customWidth="1"/>
    <col min="15893" max="15902" width="8.83203125" style="17" customWidth="1"/>
    <col min="15903" max="15903" width="10" style="17" bestFit="1" customWidth="1"/>
    <col min="15904" max="16127" width="8.83203125" style="17" customWidth="1"/>
    <col min="16128" max="16128" width="7.83203125" style="17" customWidth="1"/>
    <col min="16129" max="16129" width="7.5" style="17" customWidth="1"/>
    <col min="16130" max="16130" width="9" style="17" customWidth="1"/>
    <col min="16131" max="16131" width="8.33203125" style="17" customWidth="1"/>
    <col min="16132" max="16134" width="8.5" style="17" bestFit="1" customWidth="1"/>
    <col min="16135" max="16135" width="10" style="17" bestFit="1" customWidth="1"/>
    <col min="16136" max="16136" width="8.1640625" style="17" bestFit="1" customWidth="1"/>
    <col min="16137" max="16138" width="8.5" style="17" bestFit="1" customWidth="1"/>
    <col min="16139" max="16139" width="6" style="17" bestFit="1" customWidth="1"/>
    <col min="16140" max="16140" width="8.83203125" style="17" customWidth="1"/>
    <col min="16141" max="16141" width="8.5" style="17" bestFit="1" customWidth="1"/>
    <col min="16142" max="16142" width="7.1640625" style="17" bestFit="1" customWidth="1"/>
    <col min="16143" max="16143" width="4.5" style="17" bestFit="1" customWidth="1"/>
    <col min="16144" max="16144" width="5.5" style="17" bestFit="1" customWidth="1"/>
    <col min="16145" max="16147" width="6.1640625" style="17" bestFit="1" customWidth="1"/>
    <col min="16148" max="16148" width="7.1640625" style="17" bestFit="1" customWidth="1"/>
    <col min="16149" max="16158" width="8.83203125" style="17" customWidth="1"/>
    <col min="16159" max="16159" width="10" style="17" bestFit="1" customWidth="1"/>
    <col min="16160" max="16384" width="8.83203125" style="17" customWidth="1"/>
  </cols>
  <sheetData>
    <row r="1" spans="2:5" s="29" customFormat="1" ht="16" customHeight="1"/>
    <row r="2" spans="2:5" s="29" customFormat="1" ht="16" customHeight="1">
      <c r="B2" s="18"/>
      <c r="C2" s="19" t="s">
        <v>9</v>
      </c>
      <c r="D2" s="18"/>
      <c r="E2" s="18"/>
    </row>
    <row r="3" spans="2:5" s="29" customFormat="1" ht="16" customHeight="1">
      <c r="B3" s="20" t="s">
        <v>11</v>
      </c>
      <c r="C3" s="21">
        <v>45427</v>
      </c>
      <c r="D3" s="18"/>
      <c r="E3" s="18"/>
    </row>
    <row r="4" spans="2:5" s="29" customFormat="1" ht="16" customHeight="1">
      <c r="B4" s="30" t="s">
        <v>52</v>
      </c>
      <c r="C4" s="33">
        <v>0</v>
      </c>
    </row>
    <row r="5" spans="2:5" s="29" customFormat="1" ht="16" customHeight="1">
      <c r="B5" s="22" t="s">
        <v>23</v>
      </c>
      <c r="C5" s="23" t="s">
        <v>22</v>
      </c>
      <c r="D5" s="18"/>
      <c r="E5" s="18"/>
    </row>
    <row r="6" spans="2:5" s="29" customFormat="1" ht="16" customHeight="1">
      <c r="B6" s="20" t="s">
        <v>5</v>
      </c>
      <c r="C6" s="118">
        <f>VLOOKUP(C5,B18:D22,2,FALSE)</f>
        <v>46.45</v>
      </c>
      <c r="D6" s="18"/>
      <c r="E6" s="18"/>
    </row>
    <row r="7" spans="2:5" s="29" customFormat="1" ht="16" customHeight="1">
      <c r="B7" s="20" t="s">
        <v>10</v>
      </c>
      <c r="C7" s="118">
        <f>VLOOKUP(C5,B18:D22,3,FALSE)</f>
        <v>7.42</v>
      </c>
      <c r="D7" s="18"/>
      <c r="E7" s="18"/>
    </row>
    <row r="8" spans="2:5" s="29" customFormat="1" ht="16" customHeight="1">
      <c r="B8" s="20" t="s">
        <v>6</v>
      </c>
      <c r="C8" s="30">
        <f>YEAR(C3)</f>
        <v>2024</v>
      </c>
      <c r="D8" s="18"/>
      <c r="E8" s="18"/>
    </row>
    <row r="9" spans="2:5" s="29" customFormat="1" ht="16" customHeight="1">
      <c r="B9" s="20" t="s">
        <v>12</v>
      </c>
      <c r="C9" s="24" t="str">
        <f>IF(OR(MOD($C$8,400)=0,AND(MOD($C$8,4)=0,MOD($C$8,100)&lt;&gt;0)),"Y", "N")</f>
        <v>Y</v>
      </c>
      <c r="D9" s="18"/>
      <c r="E9" s="18"/>
    </row>
    <row r="10" spans="2:5" s="29" customFormat="1" ht="16" customHeight="1">
      <c r="B10" s="20" t="s">
        <v>7</v>
      </c>
      <c r="C10" s="30">
        <f>MONTH(C3)</f>
        <v>5</v>
      </c>
      <c r="D10" s="18"/>
      <c r="E10" s="18"/>
    </row>
    <row r="11" spans="2:5" s="29" customFormat="1" ht="16" customHeight="1">
      <c r="B11" s="20" t="s">
        <v>8</v>
      </c>
      <c r="C11" s="30">
        <f>DAY(C3)</f>
        <v>15</v>
      </c>
      <c r="D11" s="18"/>
      <c r="E11" s="18"/>
    </row>
    <row r="12" spans="2:5" s="29" customFormat="1" ht="16" customHeight="1">
      <c r="B12" s="20" t="s">
        <v>13</v>
      </c>
      <c r="C12" s="25">
        <f>INT(275*$C$10/9)-IF(C9="Y",1,2)*INT(($C$10+9)/12)+$C$11-30</f>
        <v>136</v>
      </c>
      <c r="D12" s="18"/>
      <c r="E12" s="18"/>
    </row>
    <row r="13" spans="2:5" s="29" customFormat="1" ht="16" customHeight="1">
      <c r="B13" s="20" t="s">
        <v>14</v>
      </c>
      <c r="C13" s="71">
        <f>367*$C$8-INT(7/4*$C$8)-INT(3*(INT(($C$8-8/7)/100)+1)/4)+1721059.5-1+C12</f>
        <v>2460445.5</v>
      </c>
      <c r="D13" s="18"/>
      <c r="E13" s="18"/>
    </row>
    <row r="14" spans="2:5" s="29" customFormat="1" ht="16" customHeight="1">
      <c r="B14" s="18"/>
      <c r="C14" s="18"/>
      <c r="D14" s="18"/>
      <c r="E14" s="18"/>
    </row>
    <row r="15" spans="2:5" s="29" customFormat="1" ht="16" customHeight="1">
      <c r="B15" s="18"/>
      <c r="C15" s="18"/>
      <c r="D15" s="26">
        <v>0</v>
      </c>
      <c r="E15" s="18"/>
    </row>
    <row r="16" spans="2:5" s="29" customFormat="1" ht="16" customHeight="1">
      <c r="B16" s="132" t="s">
        <v>18</v>
      </c>
      <c r="C16" s="132"/>
      <c r="D16" s="132"/>
      <c r="E16" s="18"/>
    </row>
    <row r="17" spans="2:5" s="29" customFormat="1" ht="16" customHeight="1">
      <c r="B17" s="27" t="s">
        <v>19</v>
      </c>
      <c r="C17" s="15" t="s">
        <v>20</v>
      </c>
      <c r="D17" s="16" t="s">
        <v>21</v>
      </c>
      <c r="E17" s="18" t="s">
        <v>25</v>
      </c>
    </row>
    <row r="18" spans="2:5" s="29" customFormat="1" ht="16" customHeight="1">
      <c r="B18" s="28" t="s">
        <v>22</v>
      </c>
      <c r="C18" s="117">
        <v>46.45</v>
      </c>
      <c r="D18" s="117">
        <v>7.42</v>
      </c>
      <c r="E18" s="18"/>
    </row>
    <row r="19" spans="2:5" s="29" customFormat="1" ht="16" customHeight="1">
      <c r="B19" s="28"/>
      <c r="C19" s="117"/>
      <c r="D19" s="117"/>
      <c r="E19" s="18"/>
    </row>
    <row r="20" spans="2:5" s="29" customFormat="1" ht="16" customHeight="1">
      <c r="B20" s="28"/>
      <c r="C20" s="117"/>
      <c r="D20" s="117"/>
      <c r="E20" s="18"/>
    </row>
    <row r="21" spans="2:5" s="29" customFormat="1" ht="16" customHeight="1">
      <c r="B21" s="28"/>
      <c r="C21" s="117"/>
      <c r="D21" s="117"/>
      <c r="E21" s="18"/>
    </row>
    <row r="22" spans="2:5" s="29" customFormat="1" ht="16" customHeight="1">
      <c r="B22" s="28"/>
      <c r="C22" s="117"/>
      <c r="D22" s="117"/>
      <c r="E22" s="18"/>
    </row>
    <row r="23" spans="2:5" s="29" customFormat="1" ht="16" customHeight="1">
      <c r="B23" s="18"/>
      <c r="C23" s="18"/>
      <c r="D23" s="18"/>
      <c r="E23" s="18"/>
    </row>
    <row r="24" spans="2:5" s="29" customFormat="1" ht="16" customHeight="1">
      <c r="B24" s="18"/>
      <c r="C24" s="18"/>
      <c r="D24" s="18"/>
      <c r="E24" s="18"/>
    </row>
    <row r="25" spans="2:5" s="29" customFormat="1" ht="16" customHeight="1">
      <c r="B25" s="133" t="str">
        <f>CONCATENATE("Moon's illuminated fraction: ",TEXT(Illumination!C8*100,"0.00"),"%")</f>
        <v>Moon's illuminated fraction: 45.33%</v>
      </c>
      <c r="C25" s="133"/>
      <c r="D25" s="133"/>
      <c r="E25" s="18"/>
    </row>
    <row r="26" spans="2:5" s="29" customFormat="1" ht="16" customHeight="1"/>
    <row r="27" spans="2:5" s="32" customFormat="1" ht="16" customHeight="1"/>
    <row r="28" spans="2:5" s="29" customFormat="1" ht="16" customHeight="1"/>
    <row r="29" spans="2:5" s="29" customFormat="1" ht="16" customHeight="1">
      <c r="B29" s="31" t="s">
        <v>24</v>
      </c>
      <c r="C29" s="29">
        <f>PI()/180</f>
        <v>1.7453292519943295E-2</v>
      </c>
    </row>
    <row r="30" spans="2:5" s="29" customFormat="1" ht="16" customHeight="1">
      <c r="B30" s="31" t="s">
        <v>26</v>
      </c>
      <c r="C30" s="29">
        <f>367*C8-INT(7*(C8+INT((C10+9)/12))/4)+INT(275*C10/9)+C11-730531.5+(-C4)/24</f>
        <v>8900.5</v>
      </c>
      <c r="D30" s="31"/>
    </row>
    <row r="31" spans="2:5" s="29" customFormat="1" ht="16" customHeight="1">
      <c r="B31" s="31" t="s">
        <v>27</v>
      </c>
      <c r="C31" s="29">
        <f>C30/36525</f>
        <v>0.24368240930869267</v>
      </c>
      <c r="D31" s="31"/>
    </row>
    <row r="32" spans="2:5" s="29" customFormat="1" ht="16" customHeight="1">
      <c r="B32" s="31" t="s">
        <v>28</v>
      </c>
      <c r="C32" s="29">
        <f>MOD(280.46061837 + 360.98564736629*C30+ C7,360)</f>
        <v>240.63500203425065</v>
      </c>
      <c r="D32" s="31"/>
    </row>
    <row r="33" spans="2:30" s="29" customFormat="1" ht="16" customHeight="1">
      <c r="B33" s="31" t="s">
        <v>29</v>
      </c>
      <c r="C33" s="29">
        <f xml:space="preserve"> 23.439 - 0.0000004 * $C$30</f>
        <v>23.435439800000001</v>
      </c>
      <c r="D33" s="31"/>
    </row>
    <row r="34" spans="2:30" s="29" customFormat="1" ht="16" customHeight="1">
      <c r="B34" s="31" t="s">
        <v>30</v>
      </c>
      <c r="C34" s="29">
        <f>180/PI()</f>
        <v>57.295779513082323</v>
      </c>
      <c r="D34" s="31"/>
    </row>
    <row r="35" spans="2:30" s="29" customFormat="1" ht="16" customHeight="1">
      <c r="B35" s="31" t="s">
        <v>31</v>
      </c>
      <c r="C35" s="29">
        <f>TAN(RADIANS(C33/2))^2</f>
        <v>4.3019986291320193E-2</v>
      </c>
      <c r="D35" s="31"/>
      <c r="F35" s="31"/>
    </row>
    <row r="36" spans="2:30" s="29" customFormat="1" ht="16" customHeight="1">
      <c r="B36" s="31"/>
      <c r="D36" s="31"/>
    </row>
    <row r="37" spans="2:30" s="29" customFormat="1" ht="16" customHeight="1"/>
    <row r="38" spans="2:30" s="29" customFormat="1" ht="16" customHeight="1">
      <c r="D38" s="129" t="s">
        <v>33</v>
      </c>
      <c r="E38" s="130"/>
      <c r="F38" s="130"/>
      <c r="G38" s="130"/>
      <c r="H38" s="130"/>
      <c r="I38" s="130"/>
      <c r="J38" s="131"/>
      <c r="K38" s="129" t="s">
        <v>34</v>
      </c>
      <c r="L38" s="130"/>
      <c r="M38" s="130"/>
      <c r="N38" s="130"/>
      <c r="O38" s="130"/>
      <c r="P38" s="130"/>
      <c r="Q38" s="130"/>
      <c r="R38" s="130"/>
      <c r="S38" s="130"/>
      <c r="T38" s="130"/>
      <c r="U38" s="131"/>
      <c r="V38" s="129" t="s">
        <v>35</v>
      </c>
      <c r="W38" s="130"/>
      <c r="X38" s="130"/>
      <c r="Y38" s="130"/>
      <c r="Z38" s="130"/>
      <c r="AA38" s="130"/>
      <c r="AB38" s="130"/>
      <c r="AC38" s="130"/>
      <c r="AD38" s="131"/>
    </row>
    <row r="39" spans="2:30" s="29" customFormat="1" ht="16" customHeight="1">
      <c r="B39" s="34" t="s">
        <v>36</v>
      </c>
      <c r="C39" s="35" t="s">
        <v>37</v>
      </c>
      <c r="D39" s="68" t="s">
        <v>63</v>
      </c>
      <c r="E39" s="69" t="s">
        <v>38</v>
      </c>
      <c r="F39" s="69" t="s">
        <v>39</v>
      </c>
      <c r="G39" s="69" t="s">
        <v>55</v>
      </c>
      <c r="H39" s="69" t="s">
        <v>56</v>
      </c>
      <c r="I39" s="69" t="s">
        <v>57</v>
      </c>
      <c r="J39" s="70" t="s">
        <v>58</v>
      </c>
      <c r="K39" s="68" t="s">
        <v>31</v>
      </c>
      <c r="L39" s="69" t="s">
        <v>39</v>
      </c>
      <c r="M39" s="69" t="s">
        <v>40</v>
      </c>
      <c r="N39" s="69" t="s">
        <v>41</v>
      </c>
      <c r="O39" s="69" t="s">
        <v>42</v>
      </c>
      <c r="P39" s="69" t="s">
        <v>43</v>
      </c>
      <c r="Q39" s="69" t="s">
        <v>44</v>
      </c>
      <c r="R39" s="69" t="s">
        <v>45</v>
      </c>
      <c r="S39" s="69" t="s">
        <v>46</v>
      </c>
      <c r="T39" s="69" t="s">
        <v>53</v>
      </c>
      <c r="U39" s="70" t="s">
        <v>54</v>
      </c>
      <c r="V39" s="68" t="s">
        <v>47</v>
      </c>
      <c r="W39" s="69" t="s">
        <v>48</v>
      </c>
      <c r="X39" s="69" t="s">
        <v>49</v>
      </c>
      <c r="Y39" s="69" t="s">
        <v>50</v>
      </c>
      <c r="Z39" s="69" t="s">
        <v>51</v>
      </c>
      <c r="AA39" s="69" t="s">
        <v>59</v>
      </c>
      <c r="AB39" s="69" t="s">
        <v>60</v>
      </c>
      <c r="AC39" s="69" t="s">
        <v>61</v>
      </c>
      <c r="AD39" s="70" t="s">
        <v>62</v>
      </c>
    </row>
    <row r="40" spans="2:30" s="29" customFormat="1" ht="16" customHeight="1">
      <c r="B40" s="36">
        <v>0</v>
      </c>
      <c r="C40" s="37">
        <f t="shared" ref="C40:C64" si="0">$C$30+B40/24</f>
        <v>8900.5</v>
      </c>
      <c r="D40" s="42">
        <f t="shared" ref="D40:D64" si="1">MOD(280.461 + 0.9856474 * C40, 360)</f>
        <v>53.215683699998408</v>
      </c>
      <c r="E40" s="43">
        <f t="shared" ref="E40:E64" si="2">MOD(357.528 + 0.9856003 * C40,360)</f>
        <v>129.86347014999956</v>
      </c>
      <c r="F40" s="43">
        <f t="shared" ref="F40:F64" si="3">D40+1.915 * SIN(RADIANS(E40)) + 0.02 * SIN(RADIANS(2 *E40))</f>
        <v>54.665908458046154</v>
      </c>
      <c r="G40" s="43">
        <f t="shared" ref="G40:G64" si="4">F40 - $C$34*$C$35*SIN(RADIANS(2*F40)) + $C$34/2 * $C$35^2 * SIN(RADIANS(4*F40))</f>
        <v>52.306896959017379</v>
      </c>
      <c r="H40" s="43">
        <f t="shared" ref="H40:H64" si="5">DEGREES(ASIN(SIN(RADIANS($C$33))*SIN(RADIANS(F40))))</f>
        <v>18.932484015769411</v>
      </c>
      <c r="I40" s="43">
        <f t="shared" ref="I40:I64" si="6">MOD(280.46061837 + 360.98564736629*C40+ $C$7-G40,360)</f>
        <v>188.32810507528484</v>
      </c>
      <c r="J40" s="44">
        <f t="shared" ref="J40:J64" si="7">ASIN(SIN(RADIANS(H40))*SIN(RADIANS($C$6))+COS(RADIANS(H40))*COS(RADIANS($C$6))*COS(RADIANS(I40)))/$C$29</f>
        <v>-24.185131390399356</v>
      </c>
      <c r="K40" s="59">
        <f t="shared" ref="K40:K64" si="8">C40/36525</f>
        <v>0.24368240930869267</v>
      </c>
      <c r="L40" s="60">
        <f t="shared" ref="L40:L64" si="9" xml:space="preserve"> MOD(218.32 + 481267.883 * K40,360)
+ 6.29 * SIN(RADIANS(MOD(134.9 + 477198.85 * K40,360)))
- 1.27 * SIN(RADIANS(MOD(259.2 - 413335.38 * K40,360)))
+ 0.66 * SIN(RADIANS(MOD(235.7 + 890534.23 * K40,360)))
+ 0.21 * SIN(RADIANS(MOD(269.9 + 954397.7 * K40, 360)))
- 0.19 * SIN(RADIANS(MOD(357.5 + 35999.05 * K40, 360)))
- 0.11 * SIN(RADIANS(MOD(186.6 + 966404.05 * K40, 360)))</f>
        <v>139.33029167440131</v>
      </c>
      <c r="M40" s="61">
        <f t="shared" ref="M40:M64" si="10">5.13 * SIN(RADIANS(MOD(93.3 + 483202.03 * K40, 360)))
+ 0.28 * SIN(RADIANS(MOD(228.2 + 960400.87 * K40, 360)))
- 0.28 * SIN(RADIANS(MOD(318.3 + 6003.18 * K40, 360)))
- 0.17 * SIN(RADIANS(MOD(217.6 - 407332.2 * K40, 360)))</f>
        <v>4.3188170653510589</v>
      </c>
      <c r="N40" s="43">
        <f t="shared" ref="N40:N64" si="11" xml:space="preserve"> 0.9508
+ 0.0518 * COS(RADIANS(MOD(134.9 + 477198.85 * K40, 360)))
+ 0.0095 * COS(RADIANS(MOD(259.2 - 413335.38 * K40, 360)))
+ 0.0078 * COS(RADIANS(MOD(235.7 + 890534.23 * K40, 360)))
+ 0.0028 * COS(RADIANS(MOD(269.9 + 954397.7 * K40, 360)))</f>
        <v>0.91292833006839702</v>
      </c>
      <c r="O40" s="43">
        <f t="shared" ref="O40:O64" si="12">1/ SIN(RADIANS(N40))</f>
        <v>62.763091111285121</v>
      </c>
      <c r="P40" s="57">
        <f t="shared" ref="P40:P64" si="13">COS(RADIANS(M40))*COS(RADIANS(L40))</f>
        <v>-0.75632525275149065</v>
      </c>
      <c r="Q40" s="57">
        <f t="shared" ref="Q40:Q64" si="14">0.9175*COS(RADIANS(M40))*SIN(RADIANS(L40)) - 0.3978 * SIN(RADIANS(M40))</f>
        <v>0.56627778224262681</v>
      </c>
      <c r="R40" s="57">
        <f t="shared" ref="R40:R64" si="15">0.3978 * COS(RADIANS(M40))*SIN(RADIANS(L40)) + 0.9175 * SIN(RADIANS(M40))</f>
        <v>0.32760258009358001</v>
      </c>
      <c r="S40" s="57">
        <f t="shared" ref="S40:S64" si="16">DEGREES(ATAN(Q40/P40))</f>
        <v>-36.823026223231615</v>
      </c>
      <c r="T40" s="57">
        <f t="shared" ref="T40:T64" si="17">IF(P40 &lt; 0, S40 + 180, IF(Q40 &lt; 0, 360 + S40, S40))</f>
        <v>143.17697377676839</v>
      </c>
      <c r="U40" s="58">
        <f t="shared" ref="U40:U64" si="18">DEGREES(ASIN(R40))</f>
        <v>19.123326296665159</v>
      </c>
      <c r="V40" s="56">
        <f t="shared" ref="V40:V64" si="19">O40*COS(RADIANS(U40))*COS(RADIANS(T40)) - COS(RADIANS($C$6))*COS(RADIANS(MOD(280.46061837 + 360.98564736629*C40+ $C$7, 360)))</f>
        <v>-47.130869702428008</v>
      </c>
      <c r="W40" s="57">
        <f t="shared" ref="W40:W64" si="20">O40*COS(RADIANS(U40))*SIN(RADIANS(T40)) - COS(RADIANS($C$6))*SIN(RADIANS(MOD(280.46061837 + 360.98564736629*C40+ $C$7, 360)))</f>
        <v>36.141370558261968</v>
      </c>
      <c r="X40" s="57">
        <f t="shared" ref="X40:X64" si="21">O40*SIN(RADIANS(U40))-SIN(RADIANS($C$6))</f>
        <v>19.836577190507338</v>
      </c>
      <c r="Y40" s="57">
        <f t="shared" ref="Y40:Y64" si="22">SQRT(V40*V40+W40*W40+X40*X40)</f>
        <v>62.617947422219196</v>
      </c>
      <c r="Z40" s="57">
        <f t="shared" ref="Z40:Z64" si="23">DEGREES(ATAN(W40/V40))</f>
        <v>-37.482077461501532</v>
      </c>
      <c r="AA40" s="57">
        <f t="shared" ref="AA40:AA64" si="24">IF(V40 &lt; 0, Z40 + 180, IF(W40 &lt; 0, 360 + Z40, Z40))</f>
        <v>142.51792253849845</v>
      </c>
      <c r="AB40" s="57">
        <f t="shared" ref="AB40:AB64" si="25">DEGREES(ASIN(X40/Y40))</f>
        <v>18.468751691502018</v>
      </c>
      <c r="AC40" s="57">
        <f t="shared" ref="AC40:AC64" si="26">MOD(280.46061837 + 360.98564736629*C40+ $C$7-AA40,360)</f>
        <v>98.117079495918006</v>
      </c>
      <c r="AD40" s="58">
        <f t="shared" ref="AD40:AD64" si="27">ASIN(SIN(RADIANS(AB40))*SIN(RADIANS($C$6))+COS(RADIANS(AB40))*COS(RADIANS($C$6))*COS(RADIANS(AC40)))/$C$29</f>
        <v>7.8931991283118199</v>
      </c>
    </row>
    <row r="41" spans="2:30" s="29" customFormat="1" ht="16" customHeight="1">
      <c r="B41" s="36">
        <v>1</v>
      </c>
      <c r="C41" s="37">
        <f t="shared" si="0"/>
        <v>8900.5416666666661</v>
      </c>
      <c r="D41" s="42">
        <f t="shared" si="1"/>
        <v>53.25675234166556</v>
      </c>
      <c r="E41" s="43">
        <f t="shared" si="2"/>
        <v>129.90453682916632</v>
      </c>
      <c r="F41" s="43">
        <f t="shared" si="3"/>
        <v>54.706091863975516</v>
      </c>
      <c r="G41" s="43">
        <f t="shared" si="4"/>
        <v>52.348111171117921</v>
      </c>
      <c r="H41" s="43">
        <f t="shared" si="5"/>
        <v>18.942250914284635</v>
      </c>
      <c r="I41" s="43">
        <f t="shared" si="6"/>
        <v>203.32795950304717</v>
      </c>
      <c r="J41" s="44">
        <f t="shared" si="7"/>
        <v>-21.292628592353829</v>
      </c>
      <c r="K41" s="59">
        <f t="shared" si="8"/>
        <v>0.24368355007985396</v>
      </c>
      <c r="L41" s="60">
        <f t="shared" si="9"/>
        <v>139.83355242538732</v>
      </c>
      <c r="M41" s="61">
        <f t="shared" si="10"/>
        <v>4.2932960982638493</v>
      </c>
      <c r="N41" s="43">
        <f t="shared" si="11"/>
        <v>0.91259518906740966</v>
      </c>
      <c r="O41" s="43">
        <f t="shared" si="12"/>
        <v>62.786000710291724</v>
      </c>
      <c r="P41" s="57">
        <f t="shared" si="13"/>
        <v>-0.76202952923539968</v>
      </c>
      <c r="Q41" s="57">
        <f t="shared" si="14"/>
        <v>0.56035618297290113</v>
      </c>
      <c r="R41" s="57">
        <f t="shared" si="15"/>
        <v>0.32455102430300609</v>
      </c>
      <c r="S41" s="57">
        <f t="shared" si="16"/>
        <v>-36.328795224820581</v>
      </c>
      <c r="T41" s="57">
        <f t="shared" si="17"/>
        <v>143.67120477517943</v>
      </c>
      <c r="U41" s="58">
        <f t="shared" si="18"/>
        <v>18.938376158177515</v>
      </c>
      <c r="V41" s="56">
        <f t="shared" si="19"/>
        <v>-47.67375574744932</v>
      </c>
      <c r="W41" s="57">
        <f t="shared" si="20"/>
        <v>35.849670911777388</v>
      </c>
      <c r="X41" s="57">
        <f t="shared" si="21"/>
        <v>19.652487450216338</v>
      </c>
      <c r="Y41" s="57">
        <f t="shared" si="22"/>
        <v>62.802915175420843</v>
      </c>
      <c r="Z41" s="57">
        <f t="shared" si="23"/>
        <v>-36.942403221743419</v>
      </c>
      <c r="AA41" s="57">
        <f t="shared" si="24"/>
        <v>143.0575967782566</v>
      </c>
      <c r="AB41" s="57">
        <f t="shared" si="25"/>
        <v>18.235483040394232</v>
      </c>
      <c r="AC41" s="57">
        <f t="shared" si="26"/>
        <v>112.61847389629111</v>
      </c>
      <c r="AD41" s="58">
        <f t="shared" si="27"/>
        <v>-1.4252993697891632</v>
      </c>
    </row>
    <row r="42" spans="2:30" s="29" customFormat="1" ht="16" customHeight="1">
      <c r="B42" s="36">
        <v>2</v>
      </c>
      <c r="C42" s="37">
        <f t="shared" si="0"/>
        <v>8900.5833333333339</v>
      </c>
      <c r="D42" s="42">
        <f t="shared" si="1"/>
        <v>53.297820983332713</v>
      </c>
      <c r="E42" s="43">
        <f t="shared" si="2"/>
        <v>129.9456035083349</v>
      </c>
      <c r="F42" s="43">
        <f t="shared" si="3"/>
        <v>54.746274555674873</v>
      </c>
      <c r="G42" s="43">
        <f t="shared" si="4"/>
        <v>52.389329485987936</v>
      </c>
      <c r="H42" s="43">
        <f t="shared" si="5"/>
        <v>18.952008538251466</v>
      </c>
      <c r="I42" s="43">
        <f t="shared" si="6"/>
        <v>218.32780982879922</v>
      </c>
      <c r="J42" s="44">
        <f t="shared" si="7"/>
        <v>-16.00998911488589</v>
      </c>
      <c r="K42" s="59">
        <f t="shared" si="8"/>
        <v>0.2436846908510153</v>
      </c>
      <c r="L42" s="60">
        <f t="shared" si="9"/>
        <v>140.33639834418128</v>
      </c>
      <c r="M42" s="61">
        <f t="shared" si="10"/>
        <v>4.2674649338737458</v>
      </c>
      <c r="N42" s="43">
        <f t="shared" si="11"/>
        <v>0.91226723140948396</v>
      </c>
      <c r="O42" s="43">
        <f t="shared" si="12"/>
        <v>62.808570203123182</v>
      </c>
      <c r="P42" s="57">
        <f t="shared" si="13"/>
        <v>-0.76767094321486196</v>
      </c>
      <c r="Q42" s="57">
        <f t="shared" si="14"/>
        <v>0.55439601577920972</v>
      </c>
      <c r="R42" s="57">
        <f t="shared" si="15"/>
        <v>0.32147684573003338</v>
      </c>
      <c r="S42" s="57">
        <f t="shared" si="16"/>
        <v>-35.836034307205871</v>
      </c>
      <c r="T42" s="57">
        <f t="shared" si="17"/>
        <v>144.16396569279414</v>
      </c>
      <c r="U42" s="58">
        <f t="shared" si="18"/>
        <v>18.752261787834119</v>
      </c>
      <c r="V42" s="56">
        <f t="shared" si="19"/>
        <v>-48.224373652690865</v>
      </c>
      <c r="W42" s="57">
        <f t="shared" si="20"/>
        <v>35.509347034156065</v>
      </c>
      <c r="X42" s="57">
        <f t="shared" si="21"/>
        <v>19.466727641515288</v>
      </c>
      <c r="Y42" s="57">
        <f t="shared" si="22"/>
        <v>62.971878057236061</v>
      </c>
      <c r="Z42" s="57">
        <f t="shared" si="23"/>
        <v>-36.365557006203346</v>
      </c>
      <c r="AA42" s="57">
        <f t="shared" si="24"/>
        <v>143.63444299379665</v>
      </c>
      <c r="AB42" s="57">
        <f t="shared" si="25"/>
        <v>18.007029063524424</v>
      </c>
      <c r="AC42" s="57">
        <f t="shared" si="26"/>
        <v>127.08269632095471</v>
      </c>
      <c r="AD42" s="58">
        <f t="shared" si="27"/>
        <v>-9.8480684301036394</v>
      </c>
    </row>
    <row r="43" spans="2:30" s="29" customFormat="1" ht="16" customHeight="1">
      <c r="B43" s="36">
        <v>3</v>
      </c>
      <c r="C43" s="37">
        <f t="shared" si="0"/>
        <v>8900.625</v>
      </c>
      <c r="D43" s="42">
        <f t="shared" si="1"/>
        <v>53.338889624998046</v>
      </c>
      <c r="E43" s="43">
        <f t="shared" si="2"/>
        <v>129.98667018749984</v>
      </c>
      <c r="F43" s="43">
        <f t="shared" si="3"/>
        <v>54.786456533605424</v>
      </c>
      <c r="G43" s="43">
        <f t="shared" si="4"/>
        <v>52.430551902488439</v>
      </c>
      <c r="H43" s="43">
        <f t="shared" si="5"/>
        <v>18.961756882154141</v>
      </c>
      <c r="I43" s="43">
        <f t="shared" si="6"/>
        <v>233.32765605254099</v>
      </c>
      <c r="J43" s="44">
        <f t="shared" si="7"/>
        <v>-8.8387747937628305</v>
      </c>
      <c r="K43" s="59">
        <f t="shared" si="8"/>
        <v>0.24368583162217658</v>
      </c>
      <c r="L43" s="60">
        <f t="shared" si="9"/>
        <v>140.83883587646881</v>
      </c>
      <c r="M43" s="61">
        <f t="shared" si="10"/>
        <v>4.2413261744495774</v>
      </c>
      <c r="N43" s="43">
        <f t="shared" si="11"/>
        <v>0.91194448001168416</v>
      </c>
      <c r="O43" s="43">
        <f t="shared" si="12"/>
        <v>62.830797259173664</v>
      </c>
      <c r="P43" s="57">
        <f t="shared" si="13"/>
        <v>-0.77324926756351642</v>
      </c>
      <c r="Q43" s="57">
        <f t="shared" si="14"/>
        <v>0.54839775525025347</v>
      </c>
      <c r="R43" s="57">
        <f t="shared" si="15"/>
        <v>0.31838029901479581</v>
      </c>
      <c r="S43" s="57">
        <f t="shared" si="16"/>
        <v>-35.344728059654756</v>
      </c>
      <c r="T43" s="57">
        <f t="shared" si="17"/>
        <v>144.65527194034524</v>
      </c>
      <c r="U43" s="58">
        <f t="shared" si="18"/>
        <v>18.565000481538906</v>
      </c>
      <c r="V43" s="56">
        <f t="shared" si="19"/>
        <v>-48.770426685440839</v>
      </c>
      <c r="W43" s="57">
        <f t="shared" si="20"/>
        <v>35.118967010956943</v>
      </c>
      <c r="X43" s="57">
        <f t="shared" si="21"/>
        <v>19.279314626515617</v>
      </c>
      <c r="Y43" s="57">
        <f t="shared" si="22"/>
        <v>63.115674245505929</v>
      </c>
      <c r="Z43" s="57">
        <f t="shared" si="23"/>
        <v>-35.757182978500587</v>
      </c>
      <c r="AA43" s="57">
        <f t="shared" si="24"/>
        <v>144.24281702149941</v>
      </c>
      <c r="AB43" s="57">
        <f t="shared" si="25"/>
        <v>17.785841476585755</v>
      </c>
      <c r="AC43" s="57">
        <f t="shared" si="26"/>
        <v>141.51539093349129</v>
      </c>
      <c r="AD43" s="58">
        <f t="shared" si="27"/>
        <v>-16.987079331113204</v>
      </c>
    </row>
    <row r="44" spans="2:30" s="29" customFormat="1" ht="16" customHeight="1">
      <c r="B44" s="36">
        <v>4</v>
      </c>
      <c r="C44" s="37">
        <f t="shared" si="0"/>
        <v>8900.6666666666661</v>
      </c>
      <c r="D44" s="42">
        <f t="shared" si="1"/>
        <v>53.379958266665199</v>
      </c>
      <c r="E44" s="43">
        <f t="shared" si="2"/>
        <v>130.0277368666666</v>
      </c>
      <c r="F44" s="43">
        <f t="shared" si="3"/>
        <v>54.826637798233939</v>
      </c>
      <c r="G44" s="43">
        <f t="shared" si="4"/>
        <v>52.471778419475498</v>
      </c>
      <c r="H44" s="43">
        <f t="shared" si="5"/>
        <v>18.971495940481692</v>
      </c>
      <c r="I44" s="43">
        <f t="shared" si="6"/>
        <v>248.32749817566946</v>
      </c>
      <c r="J44" s="44">
        <f t="shared" si="7"/>
        <v>-0.2864866555190711</v>
      </c>
      <c r="K44" s="59">
        <f t="shared" si="8"/>
        <v>0.24368697239333789</v>
      </c>
      <c r="L44" s="60">
        <f t="shared" si="9"/>
        <v>141.34087150605004</v>
      </c>
      <c r="M44" s="61">
        <f t="shared" si="10"/>
        <v>4.2148824227593673</v>
      </c>
      <c r="N44" s="43">
        <f t="shared" si="11"/>
        <v>0.91162695683334694</v>
      </c>
      <c r="O44" s="43">
        <f t="shared" si="12"/>
        <v>62.852679620017867</v>
      </c>
      <c r="P44" s="57">
        <f t="shared" si="13"/>
        <v>-0.77876427871755016</v>
      </c>
      <c r="Q44" s="57">
        <f t="shared" si="14"/>
        <v>0.54236187452316231</v>
      </c>
      <c r="R44" s="57">
        <f t="shared" si="15"/>
        <v>0.31526163818441522</v>
      </c>
      <c r="S44" s="57">
        <f t="shared" si="16"/>
        <v>-34.854860850321039</v>
      </c>
      <c r="T44" s="57">
        <f t="shared" si="17"/>
        <v>145.14513914967895</v>
      </c>
      <c r="U44" s="58">
        <f t="shared" si="18"/>
        <v>18.376609370079006</v>
      </c>
      <c r="V44" s="56">
        <f t="shared" si="19"/>
        <v>-49.29965893697598</v>
      </c>
      <c r="W44" s="57">
        <f t="shared" si="20"/>
        <v>34.68033357634765</v>
      </c>
      <c r="X44" s="57">
        <f t="shared" si="21"/>
        <v>19.090265349088931</v>
      </c>
      <c r="Y44" s="57">
        <f t="shared" si="22"/>
        <v>63.226735953768227</v>
      </c>
      <c r="Z44" s="57">
        <f t="shared" si="23"/>
        <v>-35.12484980118365</v>
      </c>
      <c r="AA44" s="57">
        <f t="shared" si="24"/>
        <v>144.87515019881636</v>
      </c>
      <c r="AB44" s="57">
        <f t="shared" si="25"/>
        <v>17.573766572879368</v>
      </c>
      <c r="AC44" s="57">
        <f t="shared" si="26"/>
        <v>155.92412639595568</v>
      </c>
      <c r="AD44" s="58">
        <f t="shared" si="27"/>
        <v>-22.386833176391125</v>
      </c>
    </row>
    <row r="45" spans="2:30" s="29" customFormat="1" ht="16" customHeight="1">
      <c r="B45" s="36">
        <v>5</v>
      </c>
      <c r="C45" s="37">
        <f t="shared" si="0"/>
        <v>8900.7083333333339</v>
      </c>
      <c r="D45" s="42">
        <f t="shared" si="1"/>
        <v>53.421026908332351</v>
      </c>
      <c r="E45" s="43">
        <f t="shared" si="2"/>
        <v>130.06880354583336</v>
      </c>
      <c r="F45" s="43">
        <f t="shared" si="3"/>
        <v>54.866818350022172</v>
      </c>
      <c r="G45" s="43">
        <f t="shared" si="4"/>
        <v>52.51300903578931</v>
      </c>
      <c r="H45" s="43">
        <f t="shared" si="5"/>
        <v>18.9812257077254</v>
      </c>
      <c r="I45" s="43">
        <f t="shared" si="6"/>
        <v>263.32733619958162</v>
      </c>
      <c r="J45" s="44">
        <f t="shared" si="7"/>
        <v>9.208843337566428</v>
      </c>
      <c r="K45" s="59">
        <f t="shared" si="8"/>
        <v>0.24368811316449923</v>
      </c>
      <c r="L45" s="60">
        <f t="shared" si="9"/>
        <v>141.84251175361868</v>
      </c>
      <c r="M45" s="61">
        <f t="shared" si="10"/>
        <v>4.1881362817783812</v>
      </c>
      <c r="N45" s="43">
        <f t="shared" si="11"/>
        <v>0.91131468287695638</v>
      </c>
      <c r="O45" s="43">
        <f t="shared" si="12"/>
        <v>62.87421509980723</v>
      </c>
      <c r="P45" s="57">
        <f t="shared" si="13"/>
        <v>-0.78421575659223708</v>
      </c>
      <c r="Q45" s="57">
        <f t="shared" si="14"/>
        <v>0.53628884529691112</v>
      </c>
      <c r="R45" s="57">
        <f t="shared" si="15"/>
        <v>0.31212111665358683</v>
      </c>
      <c r="S45" s="57">
        <f t="shared" si="16"/>
        <v>-34.366416834587781</v>
      </c>
      <c r="T45" s="57">
        <f t="shared" si="17"/>
        <v>145.63358316541223</v>
      </c>
      <c r="U45" s="58">
        <f t="shared" si="18"/>
        <v>18.187105419528837</v>
      </c>
      <c r="V45" s="56">
        <f t="shared" si="19"/>
        <v>-49.800693330776141</v>
      </c>
      <c r="W45" s="57">
        <f t="shared" si="20"/>
        <v>34.198362789664074</v>
      </c>
      <c r="X45" s="57">
        <f t="shared" si="21"/>
        <v>18.899596833471534</v>
      </c>
      <c r="Y45" s="57">
        <f t="shared" si="22"/>
        <v>63.299540552734335</v>
      </c>
      <c r="Z45" s="57">
        <f t="shared" si="23"/>
        <v>-34.477563451121817</v>
      </c>
      <c r="AA45" s="57">
        <f t="shared" si="24"/>
        <v>145.52243654887818</v>
      </c>
      <c r="AB45" s="57">
        <f t="shared" si="25"/>
        <v>17.371974201394803</v>
      </c>
      <c r="AC45" s="57">
        <f t="shared" si="26"/>
        <v>170.31790868658572</v>
      </c>
      <c r="AD45" s="58">
        <f t="shared" si="27"/>
        <v>-25.58155927141226</v>
      </c>
    </row>
    <row r="46" spans="2:30" s="29" customFormat="1" ht="16" customHeight="1">
      <c r="B46" s="36">
        <v>6</v>
      </c>
      <c r="C46" s="37">
        <f t="shared" si="0"/>
        <v>8900.75</v>
      </c>
      <c r="D46" s="42">
        <f t="shared" si="1"/>
        <v>53.462095549999503</v>
      </c>
      <c r="E46" s="43">
        <f t="shared" si="2"/>
        <v>130.10987022500012</v>
      </c>
      <c r="F46" s="43">
        <f t="shared" si="3"/>
        <v>54.906998189433949</v>
      </c>
      <c r="G46" s="43">
        <f t="shared" si="4"/>
        <v>52.554243750261548</v>
      </c>
      <c r="H46" s="43">
        <f t="shared" si="5"/>
        <v>18.990946178380504</v>
      </c>
      <c r="I46" s="43">
        <f t="shared" si="6"/>
        <v>278.3271701252088</v>
      </c>
      <c r="J46" s="44">
        <f t="shared" si="7"/>
        <v>19.281312437859182</v>
      </c>
      <c r="K46" s="59">
        <f t="shared" si="8"/>
        <v>0.24368925393566052</v>
      </c>
      <c r="L46" s="60">
        <f t="shared" si="9"/>
        <v>142.34376317551622</v>
      </c>
      <c r="M46" s="61">
        <f t="shared" si="10"/>
        <v>4.1610903544004643</v>
      </c>
      <c r="N46" s="43">
        <f t="shared" si="11"/>
        <v>0.91100767818907213</v>
      </c>
      <c r="O46" s="43">
        <f t="shared" si="12"/>
        <v>62.895401585652735</v>
      </c>
      <c r="P46" s="57">
        <f t="shared" si="13"/>
        <v>-0.78960348449950613</v>
      </c>
      <c r="Q46" s="57">
        <f t="shared" si="14"/>
        <v>0.53017913784778925</v>
      </c>
      <c r="R46" s="57">
        <f t="shared" si="15"/>
        <v>0.3089589872261107</v>
      </c>
      <c r="S46" s="57">
        <f t="shared" si="16"/>
        <v>-33.879379963255616</v>
      </c>
      <c r="T46" s="57">
        <f t="shared" si="17"/>
        <v>146.12062003674438</v>
      </c>
      <c r="U46" s="58">
        <f t="shared" si="18"/>
        <v>17.996505431777031</v>
      </c>
      <c r="V46" s="56">
        <f t="shared" si="19"/>
        <v>-50.263809436326959</v>
      </c>
      <c r="W46" s="57">
        <f t="shared" si="20"/>
        <v>33.680749395790635</v>
      </c>
      <c r="X46" s="57">
        <f t="shared" si="21"/>
        <v>18.707326182884678</v>
      </c>
      <c r="Y46" s="57">
        <f t="shared" si="22"/>
        <v>63.33093613571716</v>
      </c>
      <c r="Z46" s="57">
        <f t="shared" si="23"/>
        <v>-33.825229741963824</v>
      </c>
      <c r="AA46" s="57">
        <f t="shared" si="24"/>
        <v>146.17477025803618</v>
      </c>
      <c r="AB46" s="57">
        <f t="shared" si="25"/>
        <v>17.1809258527026</v>
      </c>
      <c r="AC46" s="57">
        <f t="shared" si="26"/>
        <v>184.70664361771196</v>
      </c>
      <c r="AD46" s="58">
        <f t="shared" si="27"/>
        <v>-26.227213771272677</v>
      </c>
    </row>
    <row r="47" spans="2:30" s="29" customFormat="1" ht="16" customHeight="1">
      <c r="B47" s="36">
        <v>7</v>
      </c>
      <c r="C47" s="37">
        <f t="shared" si="0"/>
        <v>8900.7916666666661</v>
      </c>
      <c r="D47" s="42">
        <f t="shared" si="1"/>
        <v>53.503164191664837</v>
      </c>
      <c r="E47" s="43">
        <f t="shared" si="2"/>
        <v>130.15093690416688</v>
      </c>
      <c r="F47" s="43">
        <f t="shared" si="3"/>
        <v>54.947177316931601</v>
      </c>
      <c r="G47" s="43">
        <f t="shared" si="4"/>
        <v>52.595482561711648</v>
      </c>
      <c r="H47" s="43">
        <f t="shared" si="5"/>
        <v>19.000657346945349</v>
      </c>
      <c r="I47" s="43">
        <f t="shared" si="6"/>
        <v>293.32699995394796</v>
      </c>
      <c r="J47" s="44">
        <f t="shared" si="7"/>
        <v>29.599227485180545</v>
      </c>
      <c r="K47" s="59">
        <f t="shared" si="8"/>
        <v>0.2436903947068218</v>
      </c>
      <c r="L47" s="60">
        <f t="shared" si="9"/>
        <v>142.8446323625551</v>
      </c>
      <c r="M47" s="61">
        <f t="shared" si="10"/>
        <v>4.133747243147436</v>
      </c>
      <c r="N47" s="43">
        <f t="shared" si="11"/>
        <v>0.91070596186150965</v>
      </c>
      <c r="O47" s="43">
        <f t="shared" si="12"/>
        <v>62.916237037980046</v>
      </c>
      <c r="P47" s="57">
        <f t="shared" si="13"/>
        <v>-0.79492724906757983</v>
      </c>
      <c r="Q47" s="57">
        <f t="shared" si="14"/>
        <v>0.52403322104575334</v>
      </c>
      <c r="R47" s="57">
        <f t="shared" si="15"/>
        <v>0.30577550209676052</v>
      </c>
      <c r="S47" s="57">
        <f t="shared" si="16"/>
        <v>-33.393733990485352</v>
      </c>
      <c r="T47" s="57">
        <f t="shared" si="17"/>
        <v>146.60626600951466</v>
      </c>
      <c r="U47" s="58">
        <f t="shared" si="18"/>
        <v>17.804826045136764</v>
      </c>
      <c r="V47" s="56">
        <f t="shared" si="19"/>
        <v>-50.681607792863588</v>
      </c>
      <c r="W47" s="57">
        <f t="shared" si="20"/>
        <v>33.137441798549538</v>
      </c>
      <c r="X47" s="57">
        <f t="shared" si="21"/>
        <v>18.513470578129041</v>
      </c>
      <c r="Y47" s="57">
        <f t="shared" si="22"/>
        <v>63.320328570445362</v>
      </c>
      <c r="Z47" s="57">
        <f t="shared" si="23"/>
        <v>-33.178089928121537</v>
      </c>
      <c r="AA47" s="57">
        <f t="shared" si="24"/>
        <v>146.82191007187845</v>
      </c>
      <c r="AB47" s="57">
        <f t="shared" si="25"/>
        <v>17.000376749381186</v>
      </c>
      <c r="AC47" s="57">
        <f t="shared" si="26"/>
        <v>199.10057244403288</v>
      </c>
      <c r="AD47" s="58">
        <f t="shared" si="27"/>
        <v>-24.248720697687062</v>
      </c>
    </row>
    <row r="48" spans="2:30" s="29" customFormat="1" ht="16" customHeight="1">
      <c r="B48" s="36">
        <v>8</v>
      </c>
      <c r="C48" s="37">
        <f t="shared" si="0"/>
        <v>8900.8333333333339</v>
      </c>
      <c r="D48" s="42">
        <f t="shared" si="1"/>
        <v>53.544232833331989</v>
      </c>
      <c r="E48" s="43">
        <f t="shared" si="2"/>
        <v>130.19200358333364</v>
      </c>
      <c r="F48" s="43">
        <f t="shared" si="3"/>
        <v>54.987355732983204</v>
      </c>
      <c r="G48" s="43">
        <f t="shared" si="4"/>
        <v>52.636725468954232</v>
      </c>
      <c r="H48" s="43">
        <f t="shared" si="5"/>
        <v>19.010359207923134</v>
      </c>
      <c r="I48" s="43">
        <f t="shared" si="6"/>
        <v>308.32682568719611</v>
      </c>
      <c r="J48" s="44">
        <f t="shared" si="7"/>
        <v>39.796027991203182</v>
      </c>
      <c r="K48" s="59">
        <f t="shared" si="8"/>
        <v>0.24369153547798314</v>
      </c>
      <c r="L48" s="60">
        <f t="shared" si="9"/>
        <v>143.34512593871349</v>
      </c>
      <c r="M48" s="61">
        <f t="shared" si="10"/>
        <v>4.1061095499043558</v>
      </c>
      <c r="N48" s="43">
        <f t="shared" si="11"/>
        <v>0.91040955203283869</v>
      </c>
      <c r="O48" s="43">
        <f t="shared" si="12"/>
        <v>62.93671949085239</v>
      </c>
      <c r="P48" s="57">
        <f t="shared" si="13"/>
        <v>-0.80018684016057184</v>
      </c>
      <c r="Q48" s="57">
        <f t="shared" si="14"/>
        <v>0.51785156237390206</v>
      </c>
      <c r="R48" s="57">
        <f t="shared" si="15"/>
        <v>0.3025709128549906</v>
      </c>
      <c r="S48" s="57">
        <f t="shared" si="16"/>
        <v>-32.909462481680428</v>
      </c>
      <c r="T48" s="57">
        <f t="shared" si="17"/>
        <v>147.09053751831956</v>
      </c>
      <c r="U48" s="58">
        <f t="shared" si="18"/>
        <v>17.61208373512709</v>
      </c>
      <c r="V48" s="56">
        <f t="shared" si="19"/>
        <v>-51.049515223431847</v>
      </c>
      <c r="W48" s="57">
        <f t="shared" si="20"/>
        <v>32.579962621926853</v>
      </c>
      <c r="X48" s="57">
        <f t="shared" si="21"/>
        <v>18.318047276247579</v>
      </c>
      <c r="Y48" s="57">
        <f t="shared" si="22"/>
        <v>63.269722814379328</v>
      </c>
      <c r="Z48" s="57">
        <f t="shared" si="23"/>
        <v>-32.546148168239377</v>
      </c>
      <c r="AA48" s="57">
        <f t="shared" si="24"/>
        <v>147.45385183176063</v>
      </c>
      <c r="AB48" s="57">
        <f t="shared" si="25"/>
        <v>16.829407811598188</v>
      </c>
      <c r="AC48" s="57">
        <f t="shared" si="26"/>
        <v>213.50969932461157</v>
      </c>
      <c r="AD48" s="58">
        <f t="shared" si="27"/>
        <v>-19.87868115818873</v>
      </c>
    </row>
    <row r="49" spans="2:30" s="29" customFormat="1" ht="16" customHeight="1">
      <c r="B49" s="36">
        <v>9</v>
      </c>
      <c r="C49" s="37">
        <f t="shared" si="0"/>
        <v>8900.875</v>
      </c>
      <c r="D49" s="42">
        <f t="shared" si="1"/>
        <v>53.585301474999142</v>
      </c>
      <c r="E49" s="43">
        <f t="shared" si="2"/>
        <v>130.23307026250041</v>
      </c>
      <c r="F49" s="43">
        <f t="shared" si="3"/>
        <v>55.027533438051677</v>
      </c>
      <c r="G49" s="43">
        <f t="shared" si="4"/>
        <v>52.677972470787978</v>
      </c>
      <c r="H49" s="43">
        <f t="shared" si="5"/>
        <v>19.020051755819292</v>
      </c>
      <c r="I49" s="43">
        <f t="shared" si="6"/>
        <v>323.32664732541889</v>
      </c>
      <c r="J49" s="44">
        <f t="shared" si="7"/>
        <v>49.344270112916725</v>
      </c>
      <c r="K49" s="59">
        <f t="shared" si="8"/>
        <v>0.24369267624914442</v>
      </c>
      <c r="L49" s="60">
        <f t="shared" si="9"/>
        <v>143.84525055994106</v>
      </c>
      <c r="M49" s="61">
        <f t="shared" si="10"/>
        <v>4.078179875666228</v>
      </c>
      <c r="N49" s="43">
        <f t="shared" si="11"/>
        <v>0.91011846589006551</v>
      </c>
      <c r="O49" s="43">
        <f t="shared" si="12"/>
        <v>62.956847052269801</v>
      </c>
      <c r="P49" s="57">
        <f t="shared" si="13"/>
        <v>-0.80538205080065961</v>
      </c>
      <c r="Q49" s="57">
        <f t="shared" si="14"/>
        <v>0.5116346279481353</v>
      </c>
      <c r="R49" s="57">
        <f t="shared" si="15"/>
        <v>0.29934547048893057</v>
      </c>
      <c r="S49" s="57">
        <f t="shared" si="16"/>
        <v>-32.426548821076501</v>
      </c>
      <c r="T49" s="57">
        <f t="shared" si="17"/>
        <v>147.57345117892351</v>
      </c>
      <c r="U49" s="58">
        <f t="shared" si="18"/>
        <v>17.418294815329002</v>
      </c>
      <c r="V49" s="56">
        <f t="shared" si="19"/>
        <v>-51.366096515417212</v>
      </c>
      <c r="W49" s="57">
        <f t="shared" si="20"/>
        <v>32.020621413873016</v>
      </c>
      <c r="X49" s="57">
        <f t="shared" si="21"/>
        <v>18.121073609163236</v>
      </c>
      <c r="Y49" s="57">
        <f t="shared" si="22"/>
        <v>63.18361635511576</v>
      </c>
      <c r="Z49" s="57">
        <f t="shared" si="23"/>
        <v>-31.938607655104299</v>
      </c>
      <c r="AA49" s="57">
        <f t="shared" si="24"/>
        <v>148.06139234489569</v>
      </c>
      <c r="AB49" s="57">
        <f t="shared" si="25"/>
        <v>16.666485097663795</v>
      </c>
      <c r="AC49" s="57">
        <f t="shared" si="26"/>
        <v>227.94322745129466</v>
      </c>
      <c r="AD49" s="58">
        <f t="shared" si="27"/>
        <v>-13.548937709907333</v>
      </c>
    </row>
    <row r="50" spans="2:30" s="29" customFormat="1" ht="16" customHeight="1">
      <c r="B50" s="36">
        <v>10</v>
      </c>
      <c r="C50" s="37">
        <f t="shared" si="0"/>
        <v>8900.9166666666661</v>
      </c>
      <c r="D50" s="42">
        <f t="shared" si="1"/>
        <v>53.626370116664475</v>
      </c>
      <c r="E50" s="43">
        <f t="shared" si="2"/>
        <v>130.27413694166535</v>
      </c>
      <c r="F50" s="43">
        <f t="shared" si="3"/>
        <v>55.067710432600315</v>
      </c>
      <c r="G50" s="43">
        <f t="shared" si="4"/>
        <v>52.719223566001233</v>
      </c>
      <c r="H50" s="43">
        <f t="shared" si="5"/>
        <v>19.029734985142856</v>
      </c>
      <c r="I50" s="43">
        <f t="shared" si="6"/>
        <v>338.32646487047896</v>
      </c>
      <c r="J50" s="44">
        <f t="shared" si="7"/>
        <v>57.310034347735126</v>
      </c>
      <c r="K50" s="59">
        <f t="shared" si="8"/>
        <v>0.24369381702030571</v>
      </c>
      <c r="L50" s="60">
        <f t="shared" si="9"/>
        <v>144.34501291296067</v>
      </c>
      <c r="M50" s="61">
        <f t="shared" si="10"/>
        <v>4.0499608202748476</v>
      </c>
      <c r="N50" s="43">
        <f t="shared" si="11"/>
        <v>0.90983271967046675</v>
      </c>
      <c r="O50" s="43">
        <f t="shared" si="12"/>
        <v>62.976617904447252</v>
      </c>
      <c r="P50" s="57">
        <f t="shared" si="13"/>
        <v>-0.8105126770916099</v>
      </c>
      <c r="Q50" s="57">
        <f t="shared" si="14"/>
        <v>0.50538288253855601</v>
      </c>
      <c r="R50" s="57">
        <f t="shared" si="15"/>
        <v>0.29609942538994216</v>
      </c>
      <c r="S50" s="57">
        <f t="shared" si="16"/>
        <v>-31.944976219160697</v>
      </c>
      <c r="T50" s="57">
        <f t="shared" si="17"/>
        <v>148.05502378083929</v>
      </c>
      <c r="U50" s="58">
        <f t="shared" si="18"/>
        <v>17.223475438330286</v>
      </c>
      <c r="V50" s="56">
        <f t="shared" si="19"/>
        <v>-51.633151111106862</v>
      </c>
      <c r="W50" s="57">
        <f t="shared" si="20"/>
        <v>31.47167343802024</v>
      </c>
      <c r="X50" s="57">
        <f t="shared" si="21"/>
        <v>17.92256698231067</v>
      </c>
      <c r="Y50" s="57">
        <f t="shared" si="22"/>
        <v>63.068747648000723</v>
      </c>
      <c r="Z50" s="57">
        <f t="shared" si="23"/>
        <v>-31.363333343385705</v>
      </c>
      <c r="AA50" s="57">
        <f t="shared" si="24"/>
        <v>148.6366666566143</v>
      </c>
      <c r="AB50" s="57">
        <f t="shared" si="25"/>
        <v>16.509546012952928</v>
      </c>
      <c r="AC50" s="57">
        <f t="shared" si="26"/>
        <v>242.40902177989483</v>
      </c>
      <c r="AD50" s="58">
        <f t="shared" si="27"/>
        <v>-5.7386124602635888</v>
      </c>
    </row>
    <row r="51" spans="2:30" s="29" customFormat="1" ht="16" customHeight="1">
      <c r="B51" s="36">
        <v>11</v>
      </c>
      <c r="C51" s="37">
        <f t="shared" si="0"/>
        <v>8900.9583333333339</v>
      </c>
      <c r="D51" s="42">
        <f t="shared" si="1"/>
        <v>53.667438758333446</v>
      </c>
      <c r="E51" s="43">
        <f t="shared" si="2"/>
        <v>130.31520362083393</v>
      </c>
      <c r="F51" s="43">
        <f t="shared" si="3"/>
        <v>55.107886717099781</v>
      </c>
      <c r="G51" s="43">
        <f t="shared" si="4"/>
        <v>52.760478753379211</v>
      </c>
      <c r="H51" s="43">
        <f t="shared" si="5"/>
        <v>19.039408890408097</v>
      </c>
      <c r="I51" s="43">
        <f t="shared" si="6"/>
        <v>353.32627832377329</v>
      </c>
      <c r="J51" s="44">
        <f t="shared" si="7"/>
        <v>62.045136251144214</v>
      </c>
      <c r="K51" s="59">
        <f t="shared" si="8"/>
        <v>0.24369495779146705</v>
      </c>
      <c r="L51" s="60">
        <f t="shared" si="9"/>
        <v>144.84441971394875</v>
      </c>
      <c r="M51" s="61">
        <f t="shared" si="10"/>
        <v>4.0214549821860741</v>
      </c>
      <c r="N51" s="43">
        <f t="shared" si="11"/>
        <v>0.90955232866374569</v>
      </c>
      <c r="O51" s="43">
        <f t="shared" si="12"/>
        <v>62.996030304059254</v>
      </c>
      <c r="P51" s="57">
        <f t="shared" si="13"/>
        <v>-0.8155785181424775</v>
      </c>
      <c r="Q51" s="57">
        <f t="shared" si="14"/>
        <v>0.49909678959380538</v>
      </c>
      <c r="R51" s="57">
        <f t="shared" si="15"/>
        <v>0.29283302735901662</v>
      </c>
      <c r="S51" s="57">
        <f t="shared" si="16"/>
        <v>-31.46472772002172</v>
      </c>
      <c r="T51" s="57">
        <f t="shared" si="17"/>
        <v>148.53527227997827</v>
      </c>
      <c r="U51" s="58">
        <f t="shared" si="18"/>
        <v>17.027641596833178</v>
      </c>
      <c r="V51" s="56">
        <f t="shared" si="19"/>
        <v>-51.855588182932621</v>
      </c>
      <c r="W51" s="57">
        <f t="shared" si="20"/>
        <v>30.944482192844436</v>
      </c>
      <c r="X51" s="57">
        <f t="shared" si="21"/>
        <v>17.722544873339913</v>
      </c>
      <c r="Y51" s="57">
        <f t="shared" si="22"/>
        <v>62.933707985218177</v>
      </c>
      <c r="Z51" s="57">
        <f t="shared" si="23"/>
        <v>-30.826363065679434</v>
      </c>
      <c r="AA51" s="57">
        <f t="shared" si="24"/>
        <v>149.17363693432057</v>
      </c>
      <c r="AB51" s="57">
        <f t="shared" si="25"/>
        <v>16.356112519135717</v>
      </c>
      <c r="AC51" s="57">
        <f t="shared" si="26"/>
        <v>256.91312014311552</v>
      </c>
      <c r="AD51" s="58">
        <f t="shared" si="27"/>
        <v>3.1189065849327764</v>
      </c>
    </row>
    <row r="52" spans="2:30" s="29" customFormat="1" ht="16" customHeight="1">
      <c r="B52" s="38">
        <v>12</v>
      </c>
      <c r="C52" s="39">
        <f t="shared" si="0"/>
        <v>8901</v>
      </c>
      <c r="D52" s="45">
        <f t="shared" si="1"/>
        <v>53.70850739999878</v>
      </c>
      <c r="E52" s="46">
        <f t="shared" si="2"/>
        <v>130.35627030000069</v>
      </c>
      <c r="F52" s="46">
        <f t="shared" si="3"/>
        <v>55.148062292008582</v>
      </c>
      <c r="G52" s="46">
        <f t="shared" si="4"/>
        <v>52.801738031683968</v>
      </c>
      <c r="H52" s="46">
        <f t="shared" si="5"/>
        <v>19.049073466129894</v>
      </c>
      <c r="I52" s="46">
        <f t="shared" si="6"/>
        <v>8.3260876857675612</v>
      </c>
      <c r="J52" s="39">
        <f t="shared" si="7"/>
        <v>61.756406592991965</v>
      </c>
      <c r="K52" s="50">
        <f t="shared" si="8"/>
        <v>0.24369609856262833</v>
      </c>
      <c r="L52" s="51">
        <f t="shared" si="9"/>
        <v>145.34347770735098</v>
      </c>
      <c r="M52" s="52">
        <f t="shared" si="10"/>
        <v>3.9926649582475351</v>
      </c>
      <c r="N52" s="46">
        <f t="shared" si="11"/>
        <v>0.90927730721446076</v>
      </c>
      <c r="O52" s="46">
        <f t="shared" si="12"/>
        <v>63.015082582454056</v>
      </c>
      <c r="P52" s="53">
        <f t="shared" si="13"/>
        <v>-0.82057937599416708</v>
      </c>
      <c r="Q52" s="53">
        <f t="shared" si="14"/>
        <v>0.4927768112651445</v>
      </c>
      <c r="R52" s="53">
        <f t="shared" si="15"/>
        <v>0.28954652561325273</v>
      </c>
      <c r="S52" s="53">
        <f t="shared" si="16"/>
        <v>-30.985786208385399</v>
      </c>
      <c r="T52" s="53">
        <f t="shared" si="17"/>
        <v>149.01421379161459</v>
      </c>
      <c r="U52" s="54">
        <f t="shared" si="18"/>
        <v>16.830809124816593</v>
      </c>
      <c r="V52" s="55">
        <f t="shared" si="19"/>
        <v>-52.041088653421205</v>
      </c>
      <c r="W52" s="53">
        <f t="shared" si="20"/>
        <v>30.448743042002569</v>
      </c>
      <c r="X52" s="53">
        <f t="shared" si="21"/>
        <v>17.521024830783659</v>
      </c>
      <c r="Y52" s="53">
        <f t="shared" si="22"/>
        <v>62.788431834153037</v>
      </c>
      <c r="Z52" s="53">
        <f t="shared" si="23"/>
        <v>-30.331494252671686</v>
      </c>
      <c r="AA52" s="53">
        <f t="shared" si="24"/>
        <v>149.66850574732831</v>
      </c>
      <c r="AB52" s="53">
        <f t="shared" si="25"/>
        <v>16.203431188357978</v>
      </c>
      <c r="AC52" s="53">
        <f t="shared" si="26"/>
        <v>271.45931997010484</v>
      </c>
      <c r="AD52" s="54">
        <f t="shared" si="27"/>
        <v>12.655976027701753</v>
      </c>
    </row>
    <row r="53" spans="2:30" s="29" customFormat="1" ht="16" customHeight="1">
      <c r="B53" s="36">
        <v>13</v>
      </c>
      <c r="C53" s="37">
        <f t="shared" si="0"/>
        <v>8901.0416666666661</v>
      </c>
      <c r="D53" s="42">
        <f t="shared" si="1"/>
        <v>53.749576041664113</v>
      </c>
      <c r="E53" s="43">
        <f t="shared" si="2"/>
        <v>130.39733697916563</v>
      </c>
      <c r="F53" s="43">
        <f t="shared" si="3"/>
        <v>55.18823715779633</v>
      </c>
      <c r="G53" s="43">
        <f t="shared" si="4"/>
        <v>52.843001399678272</v>
      </c>
      <c r="H53" s="43">
        <f t="shared" si="5"/>
        <v>19.058728706829285</v>
      </c>
      <c r="I53" s="43">
        <f t="shared" si="6"/>
        <v>23.325892957858741</v>
      </c>
      <c r="J53" s="44">
        <f t="shared" si="7"/>
        <v>56.580416623097889</v>
      </c>
      <c r="K53" s="59">
        <f t="shared" si="8"/>
        <v>0.24369723933378962</v>
      </c>
      <c r="L53" s="60">
        <f t="shared" si="9"/>
        <v>145.84219366466522</v>
      </c>
      <c r="M53" s="61">
        <f t="shared" si="10"/>
        <v>3.9635933434664481</v>
      </c>
      <c r="N53" s="43">
        <f t="shared" si="11"/>
        <v>0.90900766872446159</v>
      </c>
      <c r="O53" s="43">
        <f t="shared" si="12"/>
        <v>63.033773145856209</v>
      </c>
      <c r="P53" s="57">
        <f t="shared" si="13"/>
        <v>-0.82551505554714</v>
      </c>
      <c r="Q53" s="57">
        <f t="shared" si="14"/>
        <v>0.48642340843254805</v>
      </c>
      <c r="R53" s="57">
        <f t="shared" si="15"/>
        <v>0.28624016879301151</v>
      </c>
      <c r="S53" s="57">
        <f t="shared" si="16"/>
        <v>-30.508134416510142</v>
      </c>
      <c r="T53" s="57">
        <f t="shared" si="17"/>
        <v>149.49186558348987</v>
      </c>
      <c r="U53" s="58">
        <f t="shared" si="18"/>
        <v>16.632993698786319</v>
      </c>
      <c r="V53" s="56">
        <f t="shared" si="19"/>
        <v>-52.1995773179667</v>
      </c>
      <c r="W53" s="57">
        <f t="shared" si="20"/>
        <v>29.991821152530971</v>
      </c>
      <c r="X53" s="57">
        <f t="shared" si="21"/>
        <v>17.318024472732169</v>
      </c>
      <c r="Y53" s="57">
        <f t="shared" si="22"/>
        <v>62.643588497610338</v>
      </c>
      <c r="Z53" s="57">
        <f t="shared" si="23"/>
        <v>-29.879978558740238</v>
      </c>
      <c r="AA53" s="57">
        <f t="shared" si="24"/>
        <v>150.12002144125975</v>
      </c>
      <c r="AB53" s="57">
        <f t="shared" si="25"/>
        <v>16.048637908330907</v>
      </c>
      <c r="AC53" s="57">
        <f t="shared" si="26"/>
        <v>286.0488729160279</v>
      </c>
      <c r="AD53" s="58">
        <f t="shared" si="27"/>
        <v>22.545571895346079</v>
      </c>
    </row>
    <row r="54" spans="2:30" s="29" customFormat="1" ht="16" customHeight="1">
      <c r="B54" s="36">
        <v>14</v>
      </c>
      <c r="C54" s="37">
        <f t="shared" si="0"/>
        <v>8901.0833333333339</v>
      </c>
      <c r="D54" s="42">
        <f t="shared" si="1"/>
        <v>53.790644683333085</v>
      </c>
      <c r="E54" s="43">
        <f t="shared" si="2"/>
        <v>130.43840365833421</v>
      </c>
      <c r="F54" s="43">
        <f t="shared" si="3"/>
        <v>55.228411314932771</v>
      </c>
      <c r="G54" s="43">
        <f t="shared" si="4"/>
        <v>52.884268856114339</v>
      </c>
      <c r="H54" s="43">
        <f t="shared" si="5"/>
        <v>19.068374607030865</v>
      </c>
      <c r="I54" s="43">
        <f t="shared" si="6"/>
        <v>38.32569414190948</v>
      </c>
      <c r="J54" s="44">
        <f t="shared" si="7"/>
        <v>48.38567697379392</v>
      </c>
      <c r="K54" s="59">
        <f t="shared" si="8"/>
        <v>0.24369838010495096</v>
      </c>
      <c r="L54" s="60">
        <f t="shared" si="9"/>
        <v>146.34057438312323</v>
      </c>
      <c r="M54" s="61">
        <f t="shared" si="10"/>
        <v>3.9342427308078922</v>
      </c>
      <c r="N54" s="43">
        <f t="shared" si="11"/>
        <v>0.9087434256557646</v>
      </c>
      <c r="O54" s="43">
        <f t="shared" si="12"/>
        <v>63.05210047552648</v>
      </c>
      <c r="P54" s="57">
        <f t="shared" si="13"/>
        <v>-0.83038536448962286</v>
      </c>
      <c r="Q54" s="57">
        <f t="shared" si="14"/>
        <v>0.48003704073339604</v>
      </c>
      <c r="R54" s="57">
        <f t="shared" si="15"/>
        <v>0.2829142049707678</v>
      </c>
      <c r="S54" s="57">
        <f t="shared" si="16"/>
        <v>-30.031754930995138</v>
      </c>
      <c r="T54" s="57">
        <f t="shared" si="17"/>
        <v>149.96824506900487</v>
      </c>
      <c r="U54" s="58">
        <f t="shared" si="18"/>
        <v>16.434210839171769</v>
      </c>
      <c r="V54" s="56">
        <f t="shared" si="19"/>
        <v>-52.342541240546602</v>
      </c>
      <c r="W54" s="57">
        <f t="shared" si="20"/>
        <v>29.578249105365988</v>
      </c>
      <c r="X54" s="57">
        <f t="shared" si="21"/>
        <v>17.113561485572436</v>
      </c>
      <c r="Y54" s="57">
        <f t="shared" si="22"/>
        <v>62.509906657888031</v>
      </c>
      <c r="Z54" s="57">
        <f t="shared" si="23"/>
        <v>-29.47035900392785</v>
      </c>
      <c r="AA54" s="57">
        <f t="shared" si="24"/>
        <v>150.52964099607215</v>
      </c>
      <c r="AB54" s="57">
        <f t="shared" si="25"/>
        <v>15.888941399266008</v>
      </c>
      <c r="AC54" s="57">
        <f t="shared" si="26"/>
        <v>300.68032200215384</v>
      </c>
      <c r="AD54" s="58">
        <f t="shared" si="27"/>
        <v>32.448852536331451</v>
      </c>
    </row>
    <row r="55" spans="2:30" s="29" customFormat="1" ht="16" customHeight="1">
      <c r="B55" s="36">
        <v>15</v>
      </c>
      <c r="C55" s="37">
        <f t="shared" si="0"/>
        <v>8901.125</v>
      </c>
      <c r="D55" s="42">
        <f t="shared" si="1"/>
        <v>53.831713324998418</v>
      </c>
      <c r="E55" s="43">
        <f t="shared" si="2"/>
        <v>130.47947033750097</v>
      </c>
      <c r="F55" s="43">
        <f t="shared" si="3"/>
        <v>55.268584763877335</v>
      </c>
      <c r="G55" s="43">
        <f t="shared" si="4"/>
        <v>52.925540399723062</v>
      </c>
      <c r="H55" s="43">
        <f t="shared" si="5"/>
        <v>19.078011161260278</v>
      </c>
      <c r="I55" s="43">
        <f t="shared" si="6"/>
        <v>53.325491238385439</v>
      </c>
      <c r="J55" s="44">
        <f t="shared" si="7"/>
        <v>38.741213246208197</v>
      </c>
      <c r="K55" s="59">
        <f t="shared" si="8"/>
        <v>0.24369952087611224</v>
      </c>
      <c r="L55" s="60">
        <f t="shared" si="9"/>
        <v>146.83862668450084</v>
      </c>
      <c r="M55" s="61">
        <f t="shared" si="10"/>
        <v>3.9046157110042938</v>
      </c>
      <c r="N55" s="43">
        <f t="shared" si="11"/>
        <v>0.90848458953358857</v>
      </c>
      <c r="O55" s="43">
        <f t="shared" si="12"/>
        <v>63.070063127899118</v>
      </c>
      <c r="P55" s="57">
        <f t="shared" si="13"/>
        <v>-0.83519011322863512</v>
      </c>
      <c r="Q55" s="57">
        <f t="shared" si="14"/>
        <v>0.47361816659085648</v>
      </c>
      <c r="R55" s="57">
        <f t="shared" si="15"/>
        <v>0.2795688816600323</v>
      </c>
      <c r="S55" s="57">
        <f t="shared" si="16"/>
        <v>-29.556630199284399</v>
      </c>
      <c r="T55" s="57">
        <f t="shared" si="17"/>
        <v>150.4433698007156</v>
      </c>
      <c r="U55" s="58">
        <f t="shared" si="18"/>
        <v>16.234475911769511</v>
      </c>
      <c r="V55" s="56">
        <f t="shared" si="19"/>
        <v>-52.482241125885835</v>
      </c>
      <c r="W55" s="57">
        <f t="shared" si="20"/>
        <v>29.209418601429043</v>
      </c>
      <c r="X55" s="57">
        <f t="shared" si="21"/>
        <v>16.907653622696284</v>
      </c>
      <c r="Y55" s="57">
        <f t="shared" si="22"/>
        <v>62.397472061408116</v>
      </c>
      <c r="Z55" s="57">
        <f t="shared" si="23"/>
        <v>-29.098481274178546</v>
      </c>
      <c r="AA55" s="57">
        <f t="shared" si="24"/>
        <v>150.90151872582146</v>
      </c>
      <c r="AB55" s="57">
        <f t="shared" si="25"/>
        <v>15.721814991727152</v>
      </c>
      <c r="AC55" s="57">
        <f t="shared" si="26"/>
        <v>315.34951291233301</v>
      </c>
      <c r="AD55" s="58">
        <f t="shared" si="27"/>
        <v>41.928514667436488</v>
      </c>
    </row>
    <row r="56" spans="2:30" s="29" customFormat="1" ht="16" customHeight="1">
      <c r="B56" s="36">
        <v>16</v>
      </c>
      <c r="C56" s="37">
        <f t="shared" si="0"/>
        <v>8901.1666666666661</v>
      </c>
      <c r="D56" s="42">
        <f t="shared" si="1"/>
        <v>53.872781966665571</v>
      </c>
      <c r="E56" s="43">
        <f t="shared" si="2"/>
        <v>130.52053701666591</v>
      </c>
      <c r="F56" s="43">
        <f t="shared" si="3"/>
        <v>55.308757505102321</v>
      </c>
      <c r="G56" s="43">
        <f t="shared" si="4"/>
        <v>52.966816029237904</v>
      </c>
      <c r="H56" s="43">
        <f t="shared" si="5"/>
        <v>19.087638364049777</v>
      </c>
      <c r="I56" s="43">
        <f t="shared" si="6"/>
        <v>68.325284249149263</v>
      </c>
      <c r="J56" s="44">
        <f t="shared" si="7"/>
        <v>28.521504345432653</v>
      </c>
      <c r="K56" s="59">
        <f t="shared" si="8"/>
        <v>0.24370066164727355</v>
      </c>
      <c r="L56" s="60">
        <f t="shared" si="9"/>
        <v>147.33635741390501</v>
      </c>
      <c r="M56" s="61">
        <f t="shared" si="10"/>
        <v>3.8747148723527531</v>
      </c>
      <c r="N56" s="43">
        <f t="shared" si="11"/>
        <v>0.90823117094952466</v>
      </c>
      <c r="O56" s="43">
        <f t="shared" si="12"/>
        <v>63.087659734697546</v>
      </c>
      <c r="P56" s="57">
        <f t="shared" si="13"/>
        <v>-0.83992911482233967</v>
      </c>
      <c r="Q56" s="57">
        <f t="shared" si="14"/>
        <v>0.46716724324407483</v>
      </c>
      <c r="R56" s="57">
        <f t="shared" si="15"/>
        <v>0.27620444582481929</v>
      </c>
      <c r="S56" s="57">
        <f t="shared" si="16"/>
        <v>-29.082742536025872</v>
      </c>
      <c r="T56" s="57">
        <f t="shared" si="17"/>
        <v>150.91725746397412</v>
      </c>
      <c r="U56" s="58">
        <f t="shared" si="18"/>
        <v>16.033804129259938</v>
      </c>
      <c r="V56" s="56">
        <f t="shared" si="19"/>
        <v>-52.630869704581876</v>
      </c>
      <c r="W56" s="57">
        <f t="shared" si="20"/>
        <v>28.883487387599693</v>
      </c>
      <c r="X56" s="57">
        <f t="shared" si="21"/>
        <v>16.700318703208794</v>
      </c>
      <c r="Y56" s="57">
        <f t="shared" si="22"/>
        <v>62.315045810133611</v>
      </c>
      <c r="Z56" s="57">
        <f t="shared" si="23"/>
        <v>-28.757700734018499</v>
      </c>
      <c r="AA56" s="57">
        <f t="shared" si="24"/>
        <v>151.2422992659815</v>
      </c>
      <c r="AB56" s="57">
        <f t="shared" si="25"/>
        <v>15.545181402672986</v>
      </c>
      <c r="AC56" s="57">
        <f t="shared" si="26"/>
        <v>330.04980101203546</v>
      </c>
      <c r="AD56" s="58">
        <f t="shared" si="27"/>
        <v>50.29822914944684</v>
      </c>
    </row>
    <row r="57" spans="2:30" s="29" customFormat="1" ht="16" customHeight="1">
      <c r="B57" s="36">
        <v>17</v>
      </c>
      <c r="C57" s="37">
        <f t="shared" si="0"/>
        <v>8901.2083333333339</v>
      </c>
      <c r="D57" s="42">
        <f t="shared" si="1"/>
        <v>53.913850608332723</v>
      </c>
      <c r="E57" s="43">
        <f t="shared" si="2"/>
        <v>130.56160369583449</v>
      </c>
      <c r="F57" s="43">
        <f t="shared" si="3"/>
        <v>55.348929539072962</v>
      </c>
      <c r="G57" s="43">
        <f t="shared" si="4"/>
        <v>53.008095743374362</v>
      </c>
      <c r="H57" s="43">
        <f t="shared" si="5"/>
        <v>19.09725620993347</v>
      </c>
      <c r="I57" s="43">
        <f t="shared" si="6"/>
        <v>83.325073175132275</v>
      </c>
      <c r="J57" s="44">
        <f t="shared" si="7"/>
        <v>18.228276516928062</v>
      </c>
      <c r="K57" s="59">
        <f t="shared" si="8"/>
        <v>0.24370180241843487</v>
      </c>
      <c r="L57" s="60">
        <f t="shared" si="9"/>
        <v>147.83377343845282</v>
      </c>
      <c r="M57" s="61">
        <f t="shared" si="10"/>
        <v>3.8445428005491693</v>
      </c>
      <c r="N57" s="43">
        <f t="shared" si="11"/>
        <v>0.90798317956501939</v>
      </c>
      <c r="O57" s="43">
        <f t="shared" si="12"/>
        <v>63.10488900301614</v>
      </c>
      <c r="P57" s="57">
        <f t="shared" si="13"/>
        <v>-0.84460218491293471</v>
      </c>
      <c r="Q57" s="57">
        <f t="shared" si="14"/>
        <v>0.46068472678091549</v>
      </c>
      <c r="R57" s="57">
        <f t="shared" si="15"/>
        <v>0.27282114389091028</v>
      </c>
      <c r="S57" s="57">
        <f t="shared" si="16"/>
        <v>-28.610074129351101</v>
      </c>
      <c r="T57" s="57">
        <f t="shared" si="17"/>
        <v>151.38992587064891</v>
      </c>
      <c r="U57" s="58">
        <f t="shared" si="18"/>
        <v>15.832210552869357</v>
      </c>
      <c r="V57" s="56">
        <f t="shared" si="19"/>
        <v>-52.799714798548038</v>
      </c>
      <c r="W57" s="57">
        <f t="shared" si="20"/>
        <v>28.595507779927857</v>
      </c>
      <c r="X57" s="57">
        <f t="shared" si="21"/>
        <v>16.491574610713677</v>
      </c>
      <c r="Y57" s="57">
        <f t="shared" si="22"/>
        <v>62.269454639820502</v>
      </c>
      <c r="Z57" s="57">
        <f t="shared" si="23"/>
        <v>-28.439289178025358</v>
      </c>
      <c r="AA57" s="57">
        <f t="shared" si="24"/>
        <v>151.56071082197465</v>
      </c>
      <c r="AB57" s="57">
        <f t="shared" si="25"/>
        <v>15.357571978461564</v>
      </c>
      <c r="AC57" s="57">
        <f t="shared" si="26"/>
        <v>344.77245809696615</v>
      </c>
      <c r="AD57" s="58">
        <f t="shared" si="27"/>
        <v>56.409089517714584</v>
      </c>
    </row>
    <row r="58" spans="2:30" s="29" customFormat="1" ht="16" customHeight="1">
      <c r="B58" s="36">
        <v>18</v>
      </c>
      <c r="C58" s="37">
        <f t="shared" si="0"/>
        <v>8901.25</v>
      </c>
      <c r="D58" s="42">
        <f t="shared" si="1"/>
        <v>53.954919249998056</v>
      </c>
      <c r="E58" s="43">
        <f t="shared" si="2"/>
        <v>130.60267037499943</v>
      </c>
      <c r="F58" s="43">
        <f t="shared" si="3"/>
        <v>55.389100866255056</v>
      </c>
      <c r="G58" s="43">
        <f t="shared" si="4"/>
        <v>53.049379540837791</v>
      </c>
      <c r="H58" s="43">
        <f t="shared" si="5"/>
        <v>19.106864693449143</v>
      </c>
      <c r="I58" s="43">
        <f t="shared" si="6"/>
        <v>98.324858018197119</v>
      </c>
      <c r="J58" s="44">
        <f t="shared" si="7"/>
        <v>8.2203843800054326</v>
      </c>
      <c r="K58" s="59">
        <f t="shared" si="8"/>
        <v>0.24370294318959618</v>
      </c>
      <c r="L58" s="60">
        <f t="shared" si="9"/>
        <v>148.33088164608367</v>
      </c>
      <c r="M58" s="61">
        <f t="shared" si="10"/>
        <v>3.8141020785199853</v>
      </c>
      <c r="N58" s="43">
        <f t="shared" si="11"/>
        <v>0.90774062411502632</v>
      </c>
      <c r="O58" s="43">
        <f t="shared" si="12"/>
        <v>63.121749715377902</v>
      </c>
      <c r="P58" s="57">
        <f t="shared" si="13"/>
        <v>-0.84920914166243699</v>
      </c>
      <c r="Q58" s="57">
        <f t="shared" si="14"/>
        <v>0.45417107217030267</v>
      </c>
      <c r="R58" s="57">
        <f t="shared" si="15"/>
        <v>0.26941922175689204</v>
      </c>
      <c r="S58" s="57">
        <f t="shared" si="16"/>
        <v>-28.138607046856801</v>
      </c>
      <c r="T58" s="57">
        <f t="shared" si="17"/>
        <v>151.86139295314319</v>
      </c>
      <c r="U58" s="58">
        <f t="shared" si="18"/>
        <v>15.629710094054758</v>
      </c>
      <c r="V58" s="56">
        <f t="shared" si="19"/>
        <v>-52.99838441348939</v>
      </c>
      <c r="W58" s="57">
        <f t="shared" si="20"/>
        <v>28.337767977362098</v>
      </c>
      <c r="X58" s="57">
        <f t="shared" si="21"/>
        <v>16.28143929205233</v>
      </c>
      <c r="Y58" s="57">
        <f t="shared" si="22"/>
        <v>62.265103467348304</v>
      </c>
      <c r="Z58" s="57">
        <f t="shared" si="23"/>
        <v>-28.133022239590805</v>
      </c>
      <c r="AA58" s="57">
        <f t="shared" si="24"/>
        <v>151.86697776040918</v>
      </c>
      <c r="AB58" s="57">
        <f t="shared" si="25"/>
        <v>15.158241487171583</v>
      </c>
      <c r="AC58" s="57">
        <f t="shared" si="26"/>
        <v>359.50725979823619</v>
      </c>
      <c r="AD58" s="58">
        <f t="shared" si="27"/>
        <v>58.705528817898006</v>
      </c>
    </row>
    <row r="59" spans="2:30" s="29" customFormat="1" ht="16" customHeight="1">
      <c r="B59" s="36">
        <v>19</v>
      </c>
      <c r="C59" s="37">
        <f t="shared" si="0"/>
        <v>8901.2916666666661</v>
      </c>
      <c r="D59" s="42">
        <f t="shared" si="1"/>
        <v>53.995987891665209</v>
      </c>
      <c r="E59" s="43">
        <f t="shared" si="2"/>
        <v>130.64373705416619</v>
      </c>
      <c r="F59" s="43">
        <f t="shared" si="3"/>
        <v>55.429271487119898</v>
      </c>
      <c r="G59" s="43">
        <f t="shared" si="4"/>
        <v>53.09066742032855</v>
      </c>
      <c r="H59" s="43">
        <f t="shared" si="5"/>
        <v>19.116463809139447</v>
      </c>
      <c r="I59" s="43">
        <f t="shared" si="6"/>
        <v>113.3246387783438</v>
      </c>
      <c r="J59" s="44">
        <f t="shared" si="7"/>
        <v>-1.1688482151358677</v>
      </c>
      <c r="K59" s="59">
        <f t="shared" si="8"/>
        <v>0.24370408396075746</v>
      </c>
      <c r="L59" s="60">
        <f t="shared" si="9"/>
        <v>148.8276889442958</v>
      </c>
      <c r="M59" s="61">
        <f t="shared" si="10"/>
        <v>3.7833952862625337</v>
      </c>
      <c r="N59" s="43">
        <f t="shared" si="11"/>
        <v>0.90750351241190608</v>
      </c>
      <c r="O59" s="43">
        <f t="shared" si="12"/>
        <v>63.138240729762579</v>
      </c>
      <c r="P59" s="57">
        <f t="shared" si="13"/>
        <v>-0.85374980568937398</v>
      </c>
      <c r="Q59" s="57">
        <f t="shared" si="14"/>
        <v>0.44762673329681857</v>
      </c>
      <c r="R59" s="57">
        <f t="shared" si="15"/>
        <v>0.26599892480632831</v>
      </c>
      <c r="S59" s="57">
        <f t="shared" si="16"/>
        <v>-27.668323241489539</v>
      </c>
      <c r="T59" s="57">
        <f t="shared" si="17"/>
        <v>152.33167675851047</v>
      </c>
      <c r="U59" s="58">
        <f t="shared" si="18"/>
        <v>15.42631751629027</v>
      </c>
      <c r="V59" s="56">
        <f t="shared" si="19"/>
        <v>-53.234146954788436</v>
      </c>
      <c r="W59" s="57">
        <f t="shared" si="20"/>
        <v>28.100322779329403</v>
      </c>
      <c r="X59" s="57">
        <f t="shared" si="21"/>
        <v>16.069930756081863</v>
      </c>
      <c r="Y59" s="57">
        <f t="shared" si="22"/>
        <v>62.303653318339009</v>
      </c>
      <c r="Z59" s="57">
        <f t="shared" si="23"/>
        <v>-27.827903761891214</v>
      </c>
      <c r="AA59" s="57">
        <f t="shared" si="24"/>
        <v>152.17209623810879</v>
      </c>
      <c r="AB59" s="57">
        <f t="shared" si="25"/>
        <v>14.947222935316329</v>
      </c>
      <c r="AC59" s="57">
        <f t="shared" si="26"/>
        <v>14.243209960870445</v>
      </c>
      <c r="AD59" s="58">
        <f t="shared" si="27"/>
        <v>56.32044438816844</v>
      </c>
    </row>
    <row r="60" spans="2:30" s="29" customFormat="1" ht="16" customHeight="1">
      <c r="B60" s="36">
        <v>20</v>
      </c>
      <c r="C60" s="37">
        <f t="shared" si="0"/>
        <v>8901.3333333333339</v>
      </c>
      <c r="D60" s="42">
        <f t="shared" si="1"/>
        <v>54.037056533332361</v>
      </c>
      <c r="E60" s="43">
        <f t="shared" si="2"/>
        <v>130.68480373333477</v>
      </c>
      <c r="F60" s="43">
        <f t="shared" si="3"/>
        <v>55.469441402133718</v>
      </c>
      <c r="G60" s="43">
        <f t="shared" si="4"/>
        <v>53.13195938053105</v>
      </c>
      <c r="H60" s="43">
        <f t="shared" si="5"/>
        <v>19.126053551549383</v>
      </c>
      <c r="I60" s="43">
        <f t="shared" si="6"/>
        <v>128.32441545883194</v>
      </c>
      <c r="J60" s="44">
        <f t="shared" si="7"/>
        <v>-9.5667098310282448</v>
      </c>
      <c r="K60" s="59">
        <f t="shared" si="8"/>
        <v>0.2437052247319188</v>
      </c>
      <c r="L60" s="60">
        <f t="shared" si="9"/>
        <v>149.32420225896433</v>
      </c>
      <c r="M60" s="61">
        <f t="shared" si="10"/>
        <v>3.7524250006974551</v>
      </c>
      <c r="N60" s="43">
        <f t="shared" si="11"/>
        <v>0.90727185134944066</v>
      </c>
      <c r="O60" s="43">
        <f t="shared" si="12"/>
        <v>63.154360979613934</v>
      </c>
      <c r="P60" s="57">
        <f t="shared" si="13"/>
        <v>-0.85822400000786236</v>
      </c>
      <c r="Q60" s="57">
        <f t="shared" si="14"/>
        <v>0.44105216299538191</v>
      </c>
      <c r="R60" s="57">
        <f t="shared" si="15"/>
        <v>0.2625604979201876</v>
      </c>
      <c r="S60" s="57">
        <f t="shared" si="16"/>
        <v>-27.199204557181826</v>
      </c>
      <c r="T60" s="57">
        <f t="shared" si="17"/>
        <v>152.80079544281818</v>
      </c>
      <c r="U60" s="58">
        <f t="shared" si="18"/>
        <v>15.222047436901169</v>
      </c>
      <c r="V60" s="56">
        <f t="shared" si="19"/>
        <v>-53.511431775272435</v>
      </c>
      <c r="W60" s="57">
        <f t="shared" si="20"/>
        <v>27.871677342154268</v>
      </c>
      <c r="X60" s="57">
        <f t="shared" si="21"/>
        <v>15.857067072440591</v>
      </c>
      <c r="Y60" s="57">
        <f t="shared" si="22"/>
        <v>62.383894593433901</v>
      </c>
      <c r="Z60" s="57">
        <f t="shared" si="23"/>
        <v>-27.512962742005694</v>
      </c>
      <c r="AA60" s="57">
        <f t="shared" si="24"/>
        <v>152.4870372579943</v>
      </c>
      <c r="AB60" s="57">
        <f t="shared" si="25"/>
        <v>14.725313927368015</v>
      </c>
      <c r="AC60" s="57">
        <f t="shared" si="26"/>
        <v>28.969337581191212</v>
      </c>
      <c r="AD60" s="58">
        <f t="shared" si="27"/>
        <v>50.103942073668364</v>
      </c>
    </row>
    <row r="61" spans="2:30" s="29" customFormat="1" ht="16" customHeight="1">
      <c r="B61" s="36">
        <v>21</v>
      </c>
      <c r="C61" s="37">
        <f t="shared" si="0"/>
        <v>8901.375</v>
      </c>
      <c r="D61" s="42">
        <f t="shared" si="1"/>
        <v>54.078125174999514</v>
      </c>
      <c r="E61" s="43">
        <f t="shared" si="2"/>
        <v>130.72587041249972</v>
      </c>
      <c r="F61" s="43">
        <f t="shared" si="3"/>
        <v>55.509610611764998</v>
      </c>
      <c r="G61" s="43">
        <f t="shared" si="4"/>
        <v>53.173255420121357</v>
      </c>
      <c r="H61" s="43">
        <f t="shared" si="5"/>
        <v>19.135633915228055</v>
      </c>
      <c r="I61" s="43">
        <f t="shared" si="6"/>
        <v>143.32418805919588</v>
      </c>
      <c r="J61" s="44">
        <f t="shared" si="7"/>
        <v>-16.527124851810537</v>
      </c>
      <c r="K61" s="59">
        <f t="shared" si="8"/>
        <v>0.24370636550308009</v>
      </c>
      <c r="L61" s="60">
        <f t="shared" si="9"/>
        <v>149.8204285329594</v>
      </c>
      <c r="M61" s="61">
        <f t="shared" si="10"/>
        <v>3.7211937955448171</v>
      </c>
      <c r="N61" s="43">
        <f t="shared" si="11"/>
        <v>0.90704564690722633</v>
      </c>
      <c r="O61" s="43">
        <f t="shared" si="12"/>
        <v>63.170109473808274</v>
      </c>
      <c r="P61" s="57">
        <f t="shared" si="13"/>
        <v>-0.86263154996654479</v>
      </c>
      <c r="Q61" s="57">
        <f t="shared" si="14"/>
        <v>0.43444781308972702</v>
      </c>
      <c r="R61" s="57">
        <f t="shared" si="15"/>
        <v>0.25910418549136166</v>
      </c>
      <c r="S61" s="57">
        <f t="shared" si="16"/>
        <v>-26.731232734509749</v>
      </c>
      <c r="T61" s="57">
        <f t="shared" si="17"/>
        <v>153.26876726549025</v>
      </c>
      <c r="U61" s="58">
        <f t="shared" si="18"/>
        <v>15.016914329052407</v>
      </c>
      <c r="V61" s="56">
        <f t="shared" si="19"/>
        <v>-53.831524276994202</v>
      </c>
      <c r="W61" s="57">
        <f t="shared" si="20"/>
        <v>27.639577123540555</v>
      </c>
      <c r="X61" s="57">
        <f t="shared" si="21"/>
        <v>15.642866370413129</v>
      </c>
      <c r="Y61" s="57">
        <f t="shared" si="22"/>
        <v>62.501827955951534</v>
      </c>
      <c r="Z61" s="57">
        <f t="shared" si="23"/>
        <v>-27.17804684122542</v>
      </c>
      <c r="AA61" s="57">
        <f t="shared" si="24"/>
        <v>152.82195315877459</v>
      </c>
      <c r="AB61" s="57">
        <f t="shared" si="25"/>
        <v>14.493995470319129</v>
      </c>
      <c r="AC61" s="57">
        <f t="shared" si="26"/>
        <v>43.675490320660174</v>
      </c>
      <c r="AD61" s="58">
        <f t="shared" si="27"/>
        <v>41.594501739409445</v>
      </c>
    </row>
    <row r="62" spans="2:30" s="29" customFormat="1" ht="16" customHeight="1">
      <c r="B62" s="36">
        <v>22</v>
      </c>
      <c r="C62" s="37">
        <f t="shared" si="0"/>
        <v>8901.4166666666661</v>
      </c>
      <c r="D62" s="42">
        <f t="shared" si="1"/>
        <v>54.119193816664847</v>
      </c>
      <c r="E62" s="43">
        <f t="shared" si="2"/>
        <v>130.76693709166648</v>
      </c>
      <c r="F62" s="43">
        <f t="shared" si="3"/>
        <v>55.549779116480465</v>
      </c>
      <c r="G62" s="43">
        <f t="shared" si="4"/>
        <v>53.214555537763005</v>
      </c>
      <c r="H62" s="43">
        <f t="shared" si="5"/>
        <v>19.145204894727733</v>
      </c>
      <c r="I62" s="43">
        <f t="shared" si="6"/>
        <v>158.32395658176392</v>
      </c>
      <c r="J62" s="44">
        <f t="shared" si="7"/>
        <v>-21.540268025402248</v>
      </c>
      <c r="K62" s="59">
        <f t="shared" si="8"/>
        <v>0.24370750627424137</v>
      </c>
      <c r="L62" s="60">
        <f t="shared" si="9"/>
        <v>150.31637472507992</v>
      </c>
      <c r="M62" s="61">
        <f t="shared" si="10"/>
        <v>3.6897042411827159</v>
      </c>
      <c r="N62" s="43">
        <f t="shared" si="11"/>
        <v>0.90682490415506667</v>
      </c>
      <c r="O62" s="43">
        <f t="shared" si="12"/>
        <v>63.185485296610082</v>
      </c>
      <c r="P62" s="57">
        <f t="shared" si="13"/>
        <v>-0.86697228319207575</v>
      </c>
      <c r="Q62" s="57">
        <f t="shared" si="14"/>
        <v>0.4278141344278954</v>
      </c>
      <c r="R62" s="57">
        <f t="shared" si="15"/>
        <v>0.25563023143754782</v>
      </c>
      <c r="S62" s="57">
        <f t="shared" si="16"/>
        <v>-26.264389415890431</v>
      </c>
      <c r="T62" s="57">
        <f t="shared" si="17"/>
        <v>153.73561058410957</v>
      </c>
      <c r="U62" s="58">
        <f t="shared" si="18"/>
        <v>14.810932523668479</v>
      </c>
      <c r="V62" s="56">
        <f t="shared" si="19"/>
        <v>-54.192476458913319</v>
      </c>
      <c r="W62" s="57">
        <f t="shared" si="20"/>
        <v>27.391849887763922</v>
      </c>
      <c r="X62" s="57">
        <f t="shared" si="21"/>
        <v>15.427346837668098</v>
      </c>
      <c r="Y62" s="57">
        <f t="shared" si="22"/>
        <v>62.650945527369132</v>
      </c>
      <c r="Z62" s="57">
        <f t="shared" si="23"/>
        <v>-26.814536994979353</v>
      </c>
      <c r="AA62" s="57">
        <f t="shared" si="24"/>
        <v>153.18546300502064</v>
      </c>
      <c r="AB62" s="57">
        <f t="shared" si="25"/>
        <v>14.255293680737635</v>
      </c>
      <c r="AC62" s="57">
        <f t="shared" si="26"/>
        <v>58.353049114346504</v>
      </c>
      <c r="AD62" s="58">
        <f t="shared" si="27"/>
        <v>31.927071151945192</v>
      </c>
    </row>
    <row r="63" spans="2:30" s="29" customFormat="1" ht="16" customHeight="1">
      <c r="B63" s="36">
        <v>23</v>
      </c>
      <c r="C63" s="37">
        <f t="shared" si="0"/>
        <v>8901.4583333333339</v>
      </c>
      <c r="D63" s="42">
        <f t="shared" si="1"/>
        <v>54.160262458331999</v>
      </c>
      <c r="E63" s="43">
        <f t="shared" si="2"/>
        <v>130.80800377083324</v>
      </c>
      <c r="F63" s="43">
        <f t="shared" si="3"/>
        <v>55.589946916752773</v>
      </c>
      <c r="G63" s="43">
        <f t="shared" si="4"/>
        <v>53.25585973211497</v>
      </c>
      <c r="H63" s="43">
        <f t="shared" si="5"/>
        <v>19.154766484605677</v>
      </c>
      <c r="I63" s="43">
        <f t="shared" si="6"/>
        <v>173.32372102839872</v>
      </c>
      <c r="J63" s="44">
        <f t="shared" si="7"/>
        <v>-24.117874834273898</v>
      </c>
      <c r="K63" s="59">
        <f t="shared" si="8"/>
        <v>0.24370864704540271</v>
      </c>
      <c r="L63" s="60">
        <f t="shared" si="9"/>
        <v>150.81204780874026</v>
      </c>
      <c r="M63" s="61">
        <f t="shared" si="10"/>
        <v>3.6579589045400764</v>
      </c>
      <c r="N63" s="43">
        <f t="shared" si="11"/>
        <v>0.90660962725774319</v>
      </c>
      <c r="O63" s="43">
        <f t="shared" si="12"/>
        <v>63.200487607588414</v>
      </c>
      <c r="P63" s="57">
        <f t="shared" si="13"/>
        <v>-0.8712460295320511</v>
      </c>
      <c r="Q63" s="57">
        <f t="shared" si="14"/>
        <v>0.42115157692202099</v>
      </c>
      <c r="R63" s="57">
        <f t="shared" si="15"/>
        <v>0.25213887921663458</v>
      </c>
      <c r="S63" s="57">
        <f t="shared" si="16"/>
        <v>-25.798656150848078</v>
      </c>
      <c r="T63" s="57">
        <f t="shared" si="17"/>
        <v>154.20134384915193</v>
      </c>
      <c r="U63" s="58">
        <f t="shared" si="18"/>
        <v>14.604116211528845</v>
      </c>
      <c r="V63" s="56">
        <f t="shared" si="19"/>
        <v>-54.589239039380061</v>
      </c>
      <c r="W63" s="57">
        <f t="shared" si="20"/>
        <v>27.117242077715229</v>
      </c>
      <c r="X63" s="57">
        <f t="shared" si="21"/>
        <v>15.210526719124031</v>
      </c>
      <c r="Y63" s="57">
        <f t="shared" si="22"/>
        <v>62.822686665512578</v>
      </c>
      <c r="Z63" s="57">
        <f t="shared" si="23"/>
        <v>-26.415920216195119</v>
      </c>
      <c r="AA63" s="57">
        <f t="shared" si="24"/>
        <v>153.5840797838049</v>
      </c>
      <c r="AB63" s="57">
        <f t="shared" si="25"/>
        <v>14.011602280386647</v>
      </c>
      <c r="AC63" s="57">
        <f t="shared" si="26"/>
        <v>72.995500976685435</v>
      </c>
      <c r="AD63" s="58">
        <f t="shared" si="27"/>
        <v>21.775948007353353</v>
      </c>
    </row>
    <row r="64" spans="2:30" s="29" customFormat="1" ht="16" customHeight="1">
      <c r="B64" s="40">
        <v>24</v>
      </c>
      <c r="C64" s="41">
        <f t="shared" si="0"/>
        <v>8901.5</v>
      </c>
      <c r="D64" s="47">
        <f t="shared" si="1"/>
        <v>54.201331099999152</v>
      </c>
      <c r="E64" s="48">
        <f t="shared" si="2"/>
        <v>130.84907045</v>
      </c>
      <c r="F64" s="48">
        <f t="shared" si="3"/>
        <v>55.630114013049351</v>
      </c>
      <c r="G64" s="48">
        <f t="shared" si="4"/>
        <v>53.297168001820104</v>
      </c>
      <c r="H64" s="48">
        <f t="shared" si="5"/>
        <v>19.164318679421477</v>
      </c>
      <c r="I64" s="48">
        <f t="shared" si="6"/>
        <v>188.32348139863461</v>
      </c>
      <c r="J64" s="49">
        <f t="shared" si="7"/>
        <v>-23.955162426849171</v>
      </c>
      <c r="K64" s="62">
        <f t="shared" si="8"/>
        <v>0.24370978781656399</v>
      </c>
      <c r="L64" s="63">
        <f t="shared" si="9"/>
        <v>151.30745477065068</v>
      </c>
      <c r="M64" s="64">
        <f t="shared" si="10"/>
        <v>3.6259603489993979</v>
      </c>
      <c r="N64" s="48">
        <f t="shared" si="11"/>
        <v>0.90639981947991133</v>
      </c>
      <c r="O64" s="48">
        <f t="shared" si="12"/>
        <v>63.215115641511794</v>
      </c>
      <c r="P64" s="65">
        <f t="shared" si="13"/>
        <v>-0.87545262099967125</v>
      </c>
      <c r="Q64" s="65">
        <f t="shared" si="14"/>
        <v>0.41446058958928766</v>
      </c>
      <c r="R64" s="65">
        <f t="shared" si="15"/>
        <v>0.24863037184277714</v>
      </c>
      <c r="S64" s="65">
        <f t="shared" si="16"/>
        <v>-25.334014401125188</v>
      </c>
      <c r="T64" s="65">
        <f t="shared" si="17"/>
        <v>154.66598559887481</v>
      </c>
      <c r="U64" s="66">
        <f t="shared" si="18"/>
        <v>14.396479445429232</v>
      </c>
      <c r="V64" s="67">
        <f t="shared" si="19"/>
        <v>-55.014006100466098</v>
      </c>
      <c r="W64" s="65">
        <f t="shared" si="20"/>
        <v>26.806192245429042</v>
      </c>
      <c r="X64" s="65">
        <f t="shared" si="21"/>
        <v>14.992424315835123</v>
      </c>
      <c r="Y64" s="65">
        <f t="shared" si="22"/>
        <v>63.007028153905694</v>
      </c>
      <c r="Z64" s="65">
        <f t="shared" si="23"/>
        <v>-25.978178950847433</v>
      </c>
      <c r="AA64" s="65">
        <f t="shared" si="24"/>
        <v>154.02182104915258</v>
      </c>
      <c r="AB64" s="65">
        <f t="shared" si="25"/>
        <v>13.76548744364198</v>
      </c>
      <c r="AC64" s="65">
        <f t="shared" si="26"/>
        <v>87.598828351590782</v>
      </c>
      <c r="AD64" s="66">
        <f t="shared" si="27"/>
        <v>11.565934877882876</v>
      </c>
    </row>
    <row r="65" s="29" customFormat="1" ht="16" customHeight="1"/>
    <row r="66" s="29" customFormat="1" ht="16" customHeight="1"/>
    <row r="67" s="29" customFormat="1" ht="16" customHeight="1"/>
    <row r="68" s="29" customFormat="1" ht="16" customHeight="1"/>
    <row r="69" s="29" customFormat="1" ht="16" customHeight="1"/>
    <row r="70" s="29" customFormat="1" ht="16" customHeight="1"/>
    <row r="71" s="29" customFormat="1" ht="16" customHeight="1"/>
    <row r="72" s="29" customFormat="1" ht="16" customHeight="1"/>
    <row r="73" s="29" customFormat="1" ht="16" customHeight="1"/>
    <row r="74" s="29" customFormat="1" ht="16" customHeight="1"/>
    <row r="75" s="29" customFormat="1" ht="16" customHeight="1"/>
    <row r="76" s="29" customFormat="1" ht="16" customHeight="1"/>
    <row r="77" s="29" customFormat="1" ht="16" customHeight="1"/>
    <row r="78" s="29" customFormat="1" ht="16" customHeight="1"/>
    <row r="79" s="29" customFormat="1" ht="16" customHeight="1"/>
    <row r="80" s="29" customFormat="1" ht="16" customHeight="1"/>
    <row r="81" s="29" customFormat="1" ht="16" customHeight="1"/>
    <row r="82" s="29" customFormat="1" ht="16" customHeight="1"/>
    <row r="83" s="29" customFormat="1" ht="16" customHeight="1"/>
    <row r="84" s="29" customFormat="1" ht="16" customHeight="1"/>
    <row r="85" s="29" customFormat="1" ht="16" customHeight="1"/>
    <row r="86" s="29" customFormat="1" ht="16" customHeight="1"/>
    <row r="87" s="29" customFormat="1" ht="16" customHeight="1"/>
    <row r="88" s="29" customFormat="1" ht="16" customHeight="1"/>
    <row r="89" s="29" customFormat="1" ht="16" customHeight="1"/>
    <row r="90" s="29" customFormat="1" ht="16" customHeight="1"/>
    <row r="91" s="29" customFormat="1" ht="16" customHeight="1"/>
    <row r="92" s="29" customFormat="1" ht="16" customHeight="1"/>
    <row r="93" s="29" customFormat="1" ht="16" customHeight="1"/>
    <row r="94" s="29" customFormat="1" ht="16" customHeight="1"/>
    <row r="95" s="29" customFormat="1" ht="16" customHeight="1"/>
    <row r="96" s="29" customFormat="1" ht="16" customHeight="1"/>
    <row r="97" s="29" customFormat="1" ht="16" customHeight="1"/>
    <row r="98" s="29" customFormat="1" ht="16" customHeight="1"/>
    <row r="99" s="29" customFormat="1" ht="16" customHeight="1"/>
    <row r="100" s="29" customFormat="1" ht="16" customHeight="1"/>
    <row r="101" s="29" customFormat="1" ht="16" customHeight="1"/>
    <row r="102" s="29" customFormat="1" ht="16" customHeight="1"/>
    <row r="103" s="29" customFormat="1" ht="16" customHeight="1"/>
    <row r="104" s="29" customFormat="1" ht="16" customHeight="1"/>
    <row r="105" s="29" customFormat="1" ht="16" customHeight="1"/>
    <row r="106" s="29" customFormat="1" ht="16" customHeight="1"/>
    <row r="107" s="29" customFormat="1" ht="16" customHeight="1"/>
    <row r="108" s="29" customFormat="1" ht="16" customHeight="1"/>
    <row r="109" s="29" customFormat="1" ht="16" customHeight="1"/>
    <row r="110" s="29" customFormat="1" ht="16" customHeight="1"/>
    <row r="111" s="29" customFormat="1" ht="16" customHeight="1"/>
    <row r="112" s="29" customFormat="1" ht="16" customHeight="1"/>
    <row r="113" s="29" customFormat="1" ht="16" customHeight="1"/>
    <row r="114" s="29" customFormat="1" ht="16" customHeight="1"/>
    <row r="115" s="29" customFormat="1" ht="16" customHeight="1"/>
    <row r="116" s="29" customFormat="1" ht="16" customHeight="1"/>
  </sheetData>
  <sheetProtection sheet="1" objects="1" scenarios="1"/>
  <mergeCells count="5">
    <mergeCell ref="D38:J38"/>
    <mergeCell ref="V38:AD38"/>
    <mergeCell ref="K38:U38"/>
    <mergeCell ref="B16:D16"/>
    <mergeCell ref="B25:D25"/>
  </mergeCells>
  <dataValidations disablePrompts="1" count="1">
    <dataValidation type="list" allowBlank="1" showInputMessage="1" showErrorMessage="1" sqref="C5" xr:uid="{67234243-1578-8D47-BB7F-AF294B8CAEE6}">
      <formula1>$B$18:$B$22</formula1>
    </dataValidation>
  </dataValidations>
  <pageMargins left="0.75" right="0.75" top="1" bottom="1" header="0.5" footer="0.5"/>
  <pageSetup paperSize="8" scale="150" orientation="landscape" horizontalDpi="300" verticalDpi="0" copies="0"/>
  <headerFooter alignWithMargins="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AA000-088E-D244-BC8C-0BA2C93AC46E}">
  <dimension ref="A1:K209"/>
  <sheetViews>
    <sheetView showGridLines="0" workbookViewId="0">
      <selection activeCell="C21" sqref="C21"/>
    </sheetView>
  </sheetViews>
  <sheetFormatPr baseColWidth="10" defaultRowHeight="14"/>
  <cols>
    <col min="1" max="1" width="10.83203125" style="74" customWidth="1"/>
    <col min="2" max="2" width="15.83203125" style="74" customWidth="1"/>
    <col min="3" max="3" width="13.33203125" style="74" customWidth="1"/>
    <col min="4" max="4" width="15.83203125" style="74" customWidth="1"/>
    <col min="5" max="7" width="10.83203125" style="74" customWidth="1"/>
    <col min="8" max="10" width="12.1640625" style="74" customWidth="1"/>
    <col min="11" max="11" width="10.83203125" style="74" customWidth="1"/>
    <col min="12" max="13" width="10.83203125" style="75" customWidth="1"/>
    <col min="14" max="14" width="10.1640625" style="75" bestFit="1" customWidth="1"/>
    <col min="15" max="238" width="8.83203125" style="75" customWidth="1"/>
    <col min="239" max="239" width="7.83203125" style="75" customWidth="1"/>
    <col min="240" max="240" width="7.5" style="75" customWidth="1"/>
    <col min="241" max="241" width="9" style="75" customWidth="1"/>
    <col min="242" max="242" width="8.33203125" style="75" customWidth="1"/>
    <col min="243" max="245" width="8.5" style="75" bestFit="1" customWidth="1"/>
    <col min="246" max="246" width="10" style="75" bestFit="1" customWidth="1"/>
    <col min="247" max="247" width="8.1640625" style="75" bestFit="1" customWidth="1"/>
    <col min="248" max="249" width="8.5" style="75" bestFit="1" customWidth="1"/>
    <col min="250" max="250" width="6" style="75" bestFit="1" customWidth="1"/>
    <col min="251" max="251" width="8.83203125" style="75" customWidth="1"/>
    <col min="252" max="252" width="8.5" style="75" bestFit="1" customWidth="1"/>
    <col min="253" max="253" width="7.1640625" style="75" bestFit="1" customWidth="1"/>
    <col min="254" max="254" width="4.5" style="75" bestFit="1" customWidth="1"/>
    <col min="255" max="255" width="5.5" style="75" bestFit="1" customWidth="1"/>
    <col min="256" max="258" width="6.1640625" style="75" bestFit="1" customWidth="1"/>
    <col min="259" max="259" width="7.1640625" style="75" bestFit="1" customWidth="1"/>
    <col min="260" max="269" width="8.83203125" style="75" customWidth="1"/>
    <col min="270" max="270" width="10" style="75" bestFit="1" customWidth="1"/>
    <col min="271" max="494" width="8.83203125" style="75" customWidth="1"/>
    <col min="495" max="495" width="7.83203125" style="75" customWidth="1"/>
    <col min="496" max="496" width="7.5" style="75" customWidth="1"/>
    <col min="497" max="497" width="9" style="75" customWidth="1"/>
    <col min="498" max="498" width="8.33203125" style="75" customWidth="1"/>
    <col min="499" max="501" width="8.5" style="75" bestFit="1" customWidth="1"/>
    <col min="502" max="502" width="10" style="75" bestFit="1" customWidth="1"/>
    <col min="503" max="503" width="8.1640625" style="75" bestFit="1" customWidth="1"/>
    <col min="504" max="505" width="8.5" style="75" bestFit="1" customWidth="1"/>
    <col min="506" max="506" width="6" style="75" bestFit="1" customWidth="1"/>
    <col min="507" max="507" width="8.83203125" style="75" customWidth="1"/>
    <col min="508" max="508" width="8.5" style="75" bestFit="1" customWidth="1"/>
    <col min="509" max="509" width="7.1640625" style="75" bestFit="1" customWidth="1"/>
    <col min="510" max="510" width="4.5" style="75" bestFit="1" customWidth="1"/>
    <col min="511" max="511" width="5.5" style="75" bestFit="1" customWidth="1"/>
    <col min="512" max="514" width="6.1640625" style="75" bestFit="1" customWidth="1"/>
    <col min="515" max="515" width="7.1640625" style="75" bestFit="1" customWidth="1"/>
    <col min="516" max="525" width="8.83203125" style="75" customWidth="1"/>
    <col min="526" max="526" width="10" style="75" bestFit="1" customWidth="1"/>
    <col min="527" max="750" width="8.83203125" style="75" customWidth="1"/>
    <col min="751" max="751" width="7.83203125" style="75" customWidth="1"/>
    <col min="752" max="752" width="7.5" style="75" customWidth="1"/>
    <col min="753" max="753" width="9" style="75" customWidth="1"/>
    <col min="754" max="754" width="8.33203125" style="75" customWidth="1"/>
    <col min="755" max="757" width="8.5" style="75" bestFit="1" customWidth="1"/>
    <col min="758" max="758" width="10" style="75" bestFit="1" customWidth="1"/>
    <col min="759" max="759" width="8.1640625" style="75" bestFit="1" customWidth="1"/>
    <col min="760" max="761" width="8.5" style="75" bestFit="1" customWidth="1"/>
    <col min="762" max="762" width="6" style="75" bestFit="1" customWidth="1"/>
    <col min="763" max="763" width="8.83203125" style="75" customWidth="1"/>
    <col min="764" max="764" width="8.5" style="75" bestFit="1" customWidth="1"/>
    <col min="765" max="765" width="7.1640625" style="75" bestFit="1" customWidth="1"/>
    <col min="766" max="766" width="4.5" style="75" bestFit="1" customWidth="1"/>
    <col min="767" max="767" width="5.5" style="75" bestFit="1" customWidth="1"/>
    <col min="768" max="770" width="6.1640625" style="75" bestFit="1" customWidth="1"/>
    <col min="771" max="771" width="7.1640625" style="75" bestFit="1" customWidth="1"/>
    <col min="772" max="781" width="8.83203125" style="75" customWidth="1"/>
    <col min="782" max="782" width="10" style="75" bestFit="1" customWidth="1"/>
    <col min="783" max="1006" width="8.83203125" style="75" customWidth="1"/>
    <col min="1007" max="1007" width="7.83203125" style="75" customWidth="1"/>
    <col min="1008" max="1008" width="7.5" style="75" customWidth="1"/>
    <col min="1009" max="1009" width="9" style="75" customWidth="1"/>
    <col min="1010" max="1010" width="8.33203125" style="75" customWidth="1"/>
    <col min="1011" max="1013" width="8.5" style="75" bestFit="1" customWidth="1"/>
    <col min="1014" max="1014" width="10" style="75" bestFit="1" customWidth="1"/>
    <col min="1015" max="1015" width="8.1640625" style="75" bestFit="1" customWidth="1"/>
    <col min="1016" max="1017" width="8.5" style="75" bestFit="1" customWidth="1"/>
    <col min="1018" max="1018" width="6" style="75" bestFit="1" customWidth="1"/>
    <col min="1019" max="1019" width="8.83203125" style="75" customWidth="1"/>
    <col min="1020" max="1020" width="8.5" style="75" bestFit="1" customWidth="1"/>
    <col min="1021" max="1021" width="7.1640625" style="75" bestFit="1" customWidth="1"/>
    <col min="1022" max="1022" width="4.5" style="75" bestFit="1" customWidth="1"/>
    <col min="1023" max="1023" width="5.5" style="75" bestFit="1" customWidth="1"/>
    <col min="1024" max="1026" width="6.1640625" style="75" bestFit="1" customWidth="1"/>
    <col min="1027" max="1027" width="7.1640625" style="75" bestFit="1" customWidth="1"/>
    <col min="1028" max="1037" width="8.83203125" style="75" customWidth="1"/>
    <col min="1038" max="1038" width="10" style="75" bestFit="1" customWidth="1"/>
    <col min="1039" max="1262" width="8.83203125" style="75" customWidth="1"/>
    <col min="1263" max="1263" width="7.83203125" style="75" customWidth="1"/>
    <col min="1264" max="1264" width="7.5" style="75" customWidth="1"/>
    <col min="1265" max="1265" width="9" style="75" customWidth="1"/>
    <col min="1266" max="1266" width="8.33203125" style="75" customWidth="1"/>
    <col min="1267" max="1269" width="8.5" style="75" bestFit="1" customWidth="1"/>
    <col min="1270" max="1270" width="10" style="75" bestFit="1" customWidth="1"/>
    <col min="1271" max="1271" width="8.1640625" style="75" bestFit="1" customWidth="1"/>
    <col min="1272" max="1273" width="8.5" style="75" bestFit="1" customWidth="1"/>
    <col min="1274" max="1274" width="6" style="75" bestFit="1" customWidth="1"/>
    <col min="1275" max="1275" width="8.83203125" style="75" customWidth="1"/>
    <col min="1276" max="1276" width="8.5" style="75" bestFit="1" customWidth="1"/>
    <col min="1277" max="1277" width="7.1640625" style="75" bestFit="1" customWidth="1"/>
    <col min="1278" max="1278" width="4.5" style="75" bestFit="1" customWidth="1"/>
    <col min="1279" max="1279" width="5.5" style="75" bestFit="1" customWidth="1"/>
    <col min="1280" max="1282" width="6.1640625" style="75" bestFit="1" customWidth="1"/>
    <col min="1283" max="1283" width="7.1640625" style="75" bestFit="1" customWidth="1"/>
    <col min="1284" max="1293" width="8.83203125" style="75" customWidth="1"/>
    <col min="1294" max="1294" width="10" style="75" bestFit="1" customWidth="1"/>
    <col min="1295" max="1518" width="8.83203125" style="75" customWidth="1"/>
    <col min="1519" max="1519" width="7.83203125" style="75" customWidth="1"/>
    <col min="1520" max="1520" width="7.5" style="75" customWidth="1"/>
    <col min="1521" max="1521" width="9" style="75" customWidth="1"/>
    <col min="1522" max="1522" width="8.33203125" style="75" customWidth="1"/>
    <col min="1523" max="1525" width="8.5" style="75" bestFit="1" customWidth="1"/>
    <col min="1526" max="1526" width="10" style="75" bestFit="1" customWidth="1"/>
    <col min="1527" max="1527" width="8.1640625" style="75" bestFit="1" customWidth="1"/>
    <col min="1528" max="1529" width="8.5" style="75" bestFit="1" customWidth="1"/>
    <col min="1530" max="1530" width="6" style="75" bestFit="1" customWidth="1"/>
    <col min="1531" max="1531" width="8.83203125" style="75" customWidth="1"/>
    <col min="1532" max="1532" width="8.5" style="75" bestFit="1" customWidth="1"/>
    <col min="1533" max="1533" width="7.1640625" style="75" bestFit="1" customWidth="1"/>
    <col min="1534" max="1534" width="4.5" style="75" bestFit="1" customWidth="1"/>
    <col min="1535" max="1535" width="5.5" style="75" bestFit="1" customWidth="1"/>
    <col min="1536" max="1538" width="6.1640625" style="75" bestFit="1" customWidth="1"/>
    <col min="1539" max="1539" width="7.1640625" style="75" bestFit="1" customWidth="1"/>
    <col min="1540" max="1549" width="8.83203125" style="75" customWidth="1"/>
    <col min="1550" max="1550" width="10" style="75" bestFit="1" customWidth="1"/>
    <col min="1551" max="1774" width="8.83203125" style="75" customWidth="1"/>
    <col min="1775" max="1775" width="7.83203125" style="75" customWidth="1"/>
    <col min="1776" max="1776" width="7.5" style="75" customWidth="1"/>
    <col min="1777" max="1777" width="9" style="75" customWidth="1"/>
    <col min="1778" max="1778" width="8.33203125" style="75" customWidth="1"/>
    <col min="1779" max="1781" width="8.5" style="75" bestFit="1" customWidth="1"/>
    <col min="1782" max="1782" width="10" style="75" bestFit="1" customWidth="1"/>
    <col min="1783" max="1783" width="8.1640625" style="75" bestFit="1" customWidth="1"/>
    <col min="1784" max="1785" width="8.5" style="75" bestFit="1" customWidth="1"/>
    <col min="1786" max="1786" width="6" style="75" bestFit="1" customWidth="1"/>
    <col min="1787" max="1787" width="8.83203125" style="75" customWidth="1"/>
    <col min="1788" max="1788" width="8.5" style="75" bestFit="1" customWidth="1"/>
    <col min="1789" max="1789" width="7.1640625" style="75" bestFit="1" customWidth="1"/>
    <col min="1790" max="1790" width="4.5" style="75" bestFit="1" customWidth="1"/>
    <col min="1791" max="1791" width="5.5" style="75" bestFit="1" customWidth="1"/>
    <col min="1792" max="1794" width="6.1640625" style="75" bestFit="1" customWidth="1"/>
    <col min="1795" max="1795" width="7.1640625" style="75" bestFit="1" customWidth="1"/>
    <col min="1796" max="1805" width="8.83203125" style="75" customWidth="1"/>
    <col min="1806" max="1806" width="10" style="75" bestFit="1" customWidth="1"/>
    <col min="1807" max="2030" width="8.83203125" style="75" customWidth="1"/>
    <col min="2031" max="2031" width="7.83203125" style="75" customWidth="1"/>
    <col min="2032" max="2032" width="7.5" style="75" customWidth="1"/>
    <col min="2033" max="2033" width="9" style="75" customWidth="1"/>
    <col min="2034" max="2034" width="8.33203125" style="75" customWidth="1"/>
    <col min="2035" max="2037" width="8.5" style="75" bestFit="1" customWidth="1"/>
    <col min="2038" max="2038" width="10" style="75" bestFit="1" customWidth="1"/>
    <col min="2039" max="2039" width="8.1640625" style="75" bestFit="1" customWidth="1"/>
    <col min="2040" max="2041" width="8.5" style="75" bestFit="1" customWidth="1"/>
    <col min="2042" max="2042" width="6" style="75" bestFit="1" customWidth="1"/>
    <col min="2043" max="2043" width="8.83203125" style="75" customWidth="1"/>
    <col min="2044" max="2044" width="8.5" style="75" bestFit="1" customWidth="1"/>
    <col min="2045" max="2045" width="7.1640625" style="75" bestFit="1" customWidth="1"/>
    <col min="2046" max="2046" width="4.5" style="75" bestFit="1" customWidth="1"/>
    <col min="2047" max="2047" width="5.5" style="75" bestFit="1" customWidth="1"/>
    <col min="2048" max="2050" width="6.1640625" style="75" bestFit="1" customWidth="1"/>
    <col min="2051" max="2051" width="7.1640625" style="75" bestFit="1" customWidth="1"/>
    <col min="2052" max="2061" width="8.83203125" style="75" customWidth="1"/>
    <col min="2062" max="2062" width="10" style="75" bestFit="1" customWidth="1"/>
    <col min="2063" max="2286" width="8.83203125" style="75" customWidth="1"/>
    <col min="2287" max="2287" width="7.83203125" style="75" customWidth="1"/>
    <col min="2288" max="2288" width="7.5" style="75" customWidth="1"/>
    <col min="2289" max="2289" width="9" style="75" customWidth="1"/>
    <col min="2290" max="2290" width="8.33203125" style="75" customWidth="1"/>
    <col min="2291" max="2293" width="8.5" style="75" bestFit="1" customWidth="1"/>
    <col min="2294" max="2294" width="10" style="75" bestFit="1" customWidth="1"/>
    <col min="2295" max="2295" width="8.1640625" style="75" bestFit="1" customWidth="1"/>
    <col min="2296" max="2297" width="8.5" style="75" bestFit="1" customWidth="1"/>
    <col min="2298" max="2298" width="6" style="75" bestFit="1" customWidth="1"/>
    <col min="2299" max="2299" width="8.83203125" style="75" customWidth="1"/>
    <col min="2300" max="2300" width="8.5" style="75" bestFit="1" customWidth="1"/>
    <col min="2301" max="2301" width="7.1640625" style="75" bestFit="1" customWidth="1"/>
    <col min="2302" max="2302" width="4.5" style="75" bestFit="1" customWidth="1"/>
    <col min="2303" max="2303" width="5.5" style="75" bestFit="1" customWidth="1"/>
    <col min="2304" max="2306" width="6.1640625" style="75" bestFit="1" customWidth="1"/>
    <col min="2307" max="2307" width="7.1640625" style="75" bestFit="1" customWidth="1"/>
    <col min="2308" max="2317" width="8.83203125" style="75" customWidth="1"/>
    <col min="2318" max="2318" width="10" style="75" bestFit="1" customWidth="1"/>
    <col min="2319" max="2542" width="8.83203125" style="75" customWidth="1"/>
    <col min="2543" max="2543" width="7.83203125" style="75" customWidth="1"/>
    <col min="2544" max="2544" width="7.5" style="75" customWidth="1"/>
    <col min="2545" max="2545" width="9" style="75" customWidth="1"/>
    <col min="2546" max="2546" width="8.33203125" style="75" customWidth="1"/>
    <col min="2547" max="2549" width="8.5" style="75" bestFit="1" customWidth="1"/>
    <col min="2550" max="2550" width="10" style="75" bestFit="1" customWidth="1"/>
    <col min="2551" max="2551" width="8.1640625" style="75" bestFit="1" customWidth="1"/>
    <col min="2552" max="2553" width="8.5" style="75" bestFit="1" customWidth="1"/>
    <col min="2554" max="2554" width="6" style="75" bestFit="1" customWidth="1"/>
    <col min="2555" max="2555" width="8.83203125" style="75" customWidth="1"/>
    <col min="2556" max="2556" width="8.5" style="75" bestFit="1" customWidth="1"/>
    <col min="2557" max="2557" width="7.1640625" style="75" bestFit="1" customWidth="1"/>
    <col min="2558" max="2558" width="4.5" style="75" bestFit="1" customWidth="1"/>
    <col min="2559" max="2559" width="5.5" style="75" bestFit="1" customWidth="1"/>
    <col min="2560" max="2562" width="6.1640625" style="75" bestFit="1" customWidth="1"/>
    <col min="2563" max="2563" width="7.1640625" style="75" bestFit="1" customWidth="1"/>
    <col min="2564" max="2573" width="8.83203125" style="75" customWidth="1"/>
    <col min="2574" max="2574" width="10" style="75" bestFit="1" customWidth="1"/>
    <col min="2575" max="2798" width="8.83203125" style="75" customWidth="1"/>
    <col min="2799" max="2799" width="7.83203125" style="75" customWidth="1"/>
    <col min="2800" max="2800" width="7.5" style="75" customWidth="1"/>
    <col min="2801" max="2801" width="9" style="75" customWidth="1"/>
    <col min="2802" max="2802" width="8.33203125" style="75" customWidth="1"/>
    <col min="2803" max="2805" width="8.5" style="75" bestFit="1" customWidth="1"/>
    <col min="2806" max="2806" width="10" style="75" bestFit="1" customWidth="1"/>
    <col min="2807" max="2807" width="8.1640625" style="75" bestFit="1" customWidth="1"/>
    <col min="2808" max="2809" width="8.5" style="75" bestFit="1" customWidth="1"/>
    <col min="2810" max="2810" width="6" style="75" bestFit="1" customWidth="1"/>
    <col min="2811" max="2811" width="8.83203125" style="75" customWidth="1"/>
    <col min="2812" max="2812" width="8.5" style="75" bestFit="1" customWidth="1"/>
    <col min="2813" max="2813" width="7.1640625" style="75" bestFit="1" customWidth="1"/>
    <col min="2814" max="2814" width="4.5" style="75" bestFit="1" customWidth="1"/>
    <col min="2815" max="2815" width="5.5" style="75" bestFit="1" customWidth="1"/>
    <col min="2816" max="2818" width="6.1640625" style="75" bestFit="1" customWidth="1"/>
    <col min="2819" max="2819" width="7.1640625" style="75" bestFit="1" customWidth="1"/>
    <col min="2820" max="2829" width="8.83203125" style="75" customWidth="1"/>
    <col min="2830" max="2830" width="10" style="75" bestFit="1" customWidth="1"/>
    <col min="2831" max="3054" width="8.83203125" style="75" customWidth="1"/>
    <col min="3055" max="3055" width="7.83203125" style="75" customWidth="1"/>
    <col min="3056" max="3056" width="7.5" style="75" customWidth="1"/>
    <col min="3057" max="3057" width="9" style="75" customWidth="1"/>
    <col min="3058" max="3058" width="8.33203125" style="75" customWidth="1"/>
    <col min="3059" max="3061" width="8.5" style="75" bestFit="1" customWidth="1"/>
    <col min="3062" max="3062" width="10" style="75" bestFit="1" customWidth="1"/>
    <col min="3063" max="3063" width="8.1640625" style="75" bestFit="1" customWidth="1"/>
    <col min="3064" max="3065" width="8.5" style="75" bestFit="1" customWidth="1"/>
    <col min="3066" max="3066" width="6" style="75" bestFit="1" customWidth="1"/>
    <col min="3067" max="3067" width="8.83203125" style="75" customWidth="1"/>
    <col min="3068" max="3068" width="8.5" style="75" bestFit="1" customWidth="1"/>
    <col min="3069" max="3069" width="7.1640625" style="75" bestFit="1" customWidth="1"/>
    <col min="3070" max="3070" width="4.5" style="75" bestFit="1" customWidth="1"/>
    <col min="3071" max="3071" width="5.5" style="75" bestFit="1" customWidth="1"/>
    <col min="3072" max="3074" width="6.1640625" style="75" bestFit="1" customWidth="1"/>
    <col min="3075" max="3075" width="7.1640625" style="75" bestFit="1" customWidth="1"/>
    <col min="3076" max="3085" width="8.83203125" style="75" customWidth="1"/>
    <col min="3086" max="3086" width="10" style="75" bestFit="1" customWidth="1"/>
    <col min="3087" max="3310" width="8.83203125" style="75" customWidth="1"/>
    <col min="3311" max="3311" width="7.83203125" style="75" customWidth="1"/>
    <col min="3312" max="3312" width="7.5" style="75" customWidth="1"/>
    <col min="3313" max="3313" width="9" style="75" customWidth="1"/>
    <col min="3314" max="3314" width="8.33203125" style="75" customWidth="1"/>
    <col min="3315" max="3317" width="8.5" style="75" bestFit="1" customWidth="1"/>
    <col min="3318" max="3318" width="10" style="75" bestFit="1" customWidth="1"/>
    <col min="3319" max="3319" width="8.1640625" style="75" bestFit="1" customWidth="1"/>
    <col min="3320" max="3321" width="8.5" style="75" bestFit="1" customWidth="1"/>
    <col min="3322" max="3322" width="6" style="75" bestFit="1" customWidth="1"/>
    <col min="3323" max="3323" width="8.83203125" style="75" customWidth="1"/>
    <col min="3324" max="3324" width="8.5" style="75" bestFit="1" customWidth="1"/>
    <col min="3325" max="3325" width="7.1640625" style="75" bestFit="1" customWidth="1"/>
    <col min="3326" max="3326" width="4.5" style="75" bestFit="1" customWidth="1"/>
    <col min="3327" max="3327" width="5.5" style="75" bestFit="1" customWidth="1"/>
    <col min="3328" max="3330" width="6.1640625" style="75" bestFit="1" customWidth="1"/>
    <col min="3331" max="3331" width="7.1640625" style="75" bestFit="1" customWidth="1"/>
    <col min="3332" max="3341" width="8.83203125" style="75" customWidth="1"/>
    <col min="3342" max="3342" width="10" style="75" bestFit="1" customWidth="1"/>
    <col min="3343" max="3566" width="8.83203125" style="75" customWidth="1"/>
    <col min="3567" max="3567" width="7.83203125" style="75" customWidth="1"/>
    <col min="3568" max="3568" width="7.5" style="75" customWidth="1"/>
    <col min="3569" max="3569" width="9" style="75" customWidth="1"/>
    <col min="3570" max="3570" width="8.33203125" style="75" customWidth="1"/>
    <col min="3571" max="3573" width="8.5" style="75" bestFit="1" customWidth="1"/>
    <col min="3574" max="3574" width="10" style="75" bestFit="1" customWidth="1"/>
    <col min="3575" max="3575" width="8.1640625" style="75" bestFit="1" customWidth="1"/>
    <col min="3576" max="3577" width="8.5" style="75" bestFit="1" customWidth="1"/>
    <col min="3578" max="3578" width="6" style="75" bestFit="1" customWidth="1"/>
    <col min="3579" max="3579" width="8.83203125" style="75" customWidth="1"/>
    <col min="3580" max="3580" width="8.5" style="75" bestFit="1" customWidth="1"/>
    <col min="3581" max="3581" width="7.1640625" style="75" bestFit="1" customWidth="1"/>
    <col min="3582" max="3582" width="4.5" style="75" bestFit="1" customWidth="1"/>
    <col min="3583" max="3583" width="5.5" style="75" bestFit="1" customWidth="1"/>
    <col min="3584" max="3586" width="6.1640625" style="75" bestFit="1" customWidth="1"/>
    <col min="3587" max="3587" width="7.1640625" style="75" bestFit="1" customWidth="1"/>
    <col min="3588" max="3597" width="8.83203125" style="75" customWidth="1"/>
    <col min="3598" max="3598" width="10" style="75" bestFit="1" customWidth="1"/>
    <col min="3599" max="3822" width="8.83203125" style="75" customWidth="1"/>
    <col min="3823" max="3823" width="7.83203125" style="75" customWidth="1"/>
    <col min="3824" max="3824" width="7.5" style="75" customWidth="1"/>
    <col min="3825" max="3825" width="9" style="75" customWidth="1"/>
    <col min="3826" max="3826" width="8.33203125" style="75" customWidth="1"/>
    <col min="3827" max="3829" width="8.5" style="75" bestFit="1" customWidth="1"/>
    <col min="3830" max="3830" width="10" style="75" bestFit="1" customWidth="1"/>
    <col min="3831" max="3831" width="8.1640625" style="75" bestFit="1" customWidth="1"/>
    <col min="3832" max="3833" width="8.5" style="75" bestFit="1" customWidth="1"/>
    <col min="3834" max="3834" width="6" style="75" bestFit="1" customWidth="1"/>
    <col min="3835" max="3835" width="8.83203125" style="75" customWidth="1"/>
    <col min="3836" max="3836" width="8.5" style="75" bestFit="1" customWidth="1"/>
    <col min="3837" max="3837" width="7.1640625" style="75" bestFit="1" customWidth="1"/>
    <col min="3838" max="3838" width="4.5" style="75" bestFit="1" customWidth="1"/>
    <col min="3839" max="3839" width="5.5" style="75" bestFit="1" customWidth="1"/>
    <col min="3840" max="3842" width="6.1640625" style="75" bestFit="1" customWidth="1"/>
    <col min="3843" max="3843" width="7.1640625" style="75" bestFit="1" customWidth="1"/>
    <col min="3844" max="3853" width="8.83203125" style="75" customWidth="1"/>
    <col min="3854" max="3854" width="10" style="75" bestFit="1" customWidth="1"/>
    <col min="3855" max="4078" width="8.83203125" style="75" customWidth="1"/>
    <col min="4079" max="4079" width="7.83203125" style="75" customWidth="1"/>
    <col min="4080" max="4080" width="7.5" style="75" customWidth="1"/>
    <col min="4081" max="4081" width="9" style="75" customWidth="1"/>
    <col min="4082" max="4082" width="8.33203125" style="75" customWidth="1"/>
    <col min="4083" max="4085" width="8.5" style="75" bestFit="1" customWidth="1"/>
    <col min="4086" max="4086" width="10" style="75" bestFit="1" customWidth="1"/>
    <col min="4087" max="4087" width="8.1640625" style="75" bestFit="1" customWidth="1"/>
    <col min="4088" max="4089" width="8.5" style="75" bestFit="1" customWidth="1"/>
    <col min="4090" max="4090" width="6" style="75" bestFit="1" customWidth="1"/>
    <col min="4091" max="4091" width="8.83203125" style="75" customWidth="1"/>
    <col min="4092" max="4092" width="8.5" style="75" bestFit="1" customWidth="1"/>
    <col min="4093" max="4093" width="7.1640625" style="75" bestFit="1" customWidth="1"/>
    <col min="4094" max="4094" width="4.5" style="75" bestFit="1" customWidth="1"/>
    <col min="4095" max="4095" width="5.5" style="75" bestFit="1" customWidth="1"/>
    <col min="4096" max="4098" width="6.1640625" style="75" bestFit="1" customWidth="1"/>
    <col min="4099" max="4099" width="7.1640625" style="75" bestFit="1" customWidth="1"/>
    <col min="4100" max="4109" width="8.83203125" style="75" customWidth="1"/>
    <col min="4110" max="4110" width="10" style="75" bestFit="1" customWidth="1"/>
    <col min="4111" max="4334" width="8.83203125" style="75" customWidth="1"/>
    <col min="4335" max="4335" width="7.83203125" style="75" customWidth="1"/>
    <col min="4336" max="4336" width="7.5" style="75" customWidth="1"/>
    <col min="4337" max="4337" width="9" style="75" customWidth="1"/>
    <col min="4338" max="4338" width="8.33203125" style="75" customWidth="1"/>
    <col min="4339" max="4341" width="8.5" style="75" bestFit="1" customWidth="1"/>
    <col min="4342" max="4342" width="10" style="75" bestFit="1" customWidth="1"/>
    <col min="4343" max="4343" width="8.1640625" style="75" bestFit="1" customWidth="1"/>
    <col min="4344" max="4345" width="8.5" style="75" bestFit="1" customWidth="1"/>
    <col min="4346" max="4346" width="6" style="75" bestFit="1" customWidth="1"/>
    <col min="4347" max="4347" width="8.83203125" style="75" customWidth="1"/>
    <col min="4348" max="4348" width="8.5" style="75" bestFit="1" customWidth="1"/>
    <col min="4349" max="4349" width="7.1640625" style="75" bestFit="1" customWidth="1"/>
    <col min="4350" max="4350" width="4.5" style="75" bestFit="1" customWidth="1"/>
    <col min="4351" max="4351" width="5.5" style="75" bestFit="1" customWidth="1"/>
    <col min="4352" max="4354" width="6.1640625" style="75" bestFit="1" customWidth="1"/>
    <col min="4355" max="4355" width="7.1640625" style="75" bestFit="1" customWidth="1"/>
    <col min="4356" max="4365" width="8.83203125" style="75" customWidth="1"/>
    <col min="4366" max="4366" width="10" style="75" bestFit="1" customWidth="1"/>
    <col min="4367" max="4590" width="8.83203125" style="75" customWidth="1"/>
    <col min="4591" max="4591" width="7.83203125" style="75" customWidth="1"/>
    <col min="4592" max="4592" width="7.5" style="75" customWidth="1"/>
    <col min="4593" max="4593" width="9" style="75" customWidth="1"/>
    <col min="4594" max="4594" width="8.33203125" style="75" customWidth="1"/>
    <col min="4595" max="4597" width="8.5" style="75" bestFit="1" customWidth="1"/>
    <col min="4598" max="4598" width="10" style="75" bestFit="1" customWidth="1"/>
    <col min="4599" max="4599" width="8.1640625" style="75" bestFit="1" customWidth="1"/>
    <col min="4600" max="4601" width="8.5" style="75" bestFit="1" customWidth="1"/>
    <col min="4602" max="4602" width="6" style="75" bestFit="1" customWidth="1"/>
    <col min="4603" max="4603" width="8.83203125" style="75" customWidth="1"/>
    <col min="4604" max="4604" width="8.5" style="75" bestFit="1" customWidth="1"/>
    <col min="4605" max="4605" width="7.1640625" style="75" bestFit="1" customWidth="1"/>
    <col min="4606" max="4606" width="4.5" style="75" bestFit="1" customWidth="1"/>
    <col min="4607" max="4607" width="5.5" style="75" bestFit="1" customWidth="1"/>
    <col min="4608" max="4610" width="6.1640625" style="75" bestFit="1" customWidth="1"/>
    <col min="4611" max="4611" width="7.1640625" style="75" bestFit="1" customWidth="1"/>
    <col min="4612" max="4621" width="8.83203125" style="75" customWidth="1"/>
    <col min="4622" max="4622" width="10" style="75" bestFit="1" customWidth="1"/>
    <col min="4623" max="4846" width="8.83203125" style="75" customWidth="1"/>
    <col min="4847" max="4847" width="7.83203125" style="75" customWidth="1"/>
    <col min="4848" max="4848" width="7.5" style="75" customWidth="1"/>
    <col min="4849" max="4849" width="9" style="75" customWidth="1"/>
    <col min="4850" max="4850" width="8.33203125" style="75" customWidth="1"/>
    <col min="4851" max="4853" width="8.5" style="75" bestFit="1" customWidth="1"/>
    <col min="4854" max="4854" width="10" style="75" bestFit="1" customWidth="1"/>
    <col min="4855" max="4855" width="8.1640625" style="75" bestFit="1" customWidth="1"/>
    <col min="4856" max="4857" width="8.5" style="75" bestFit="1" customWidth="1"/>
    <col min="4858" max="4858" width="6" style="75" bestFit="1" customWidth="1"/>
    <col min="4859" max="4859" width="8.83203125" style="75" customWidth="1"/>
    <col min="4860" max="4860" width="8.5" style="75" bestFit="1" customWidth="1"/>
    <col min="4861" max="4861" width="7.1640625" style="75" bestFit="1" customWidth="1"/>
    <col min="4862" max="4862" width="4.5" style="75" bestFit="1" customWidth="1"/>
    <col min="4863" max="4863" width="5.5" style="75" bestFit="1" customWidth="1"/>
    <col min="4864" max="4866" width="6.1640625" style="75" bestFit="1" customWidth="1"/>
    <col min="4867" max="4867" width="7.1640625" style="75" bestFit="1" customWidth="1"/>
    <col min="4868" max="4877" width="8.83203125" style="75" customWidth="1"/>
    <col min="4878" max="4878" width="10" style="75" bestFit="1" customWidth="1"/>
    <col min="4879" max="5102" width="8.83203125" style="75" customWidth="1"/>
    <col min="5103" max="5103" width="7.83203125" style="75" customWidth="1"/>
    <col min="5104" max="5104" width="7.5" style="75" customWidth="1"/>
    <col min="5105" max="5105" width="9" style="75" customWidth="1"/>
    <col min="5106" max="5106" width="8.33203125" style="75" customWidth="1"/>
    <col min="5107" max="5109" width="8.5" style="75" bestFit="1" customWidth="1"/>
    <col min="5110" max="5110" width="10" style="75" bestFit="1" customWidth="1"/>
    <col min="5111" max="5111" width="8.1640625" style="75" bestFit="1" customWidth="1"/>
    <col min="5112" max="5113" width="8.5" style="75" bestFit="1" customWidth="1"/>
    <col min="5114" max="5114" width="6" style="75" bestFit="1" customWidth="1"/>
    <col min="5115" max="5115" width="8.83203125" style="75" customWidth="1"/>
    <col min="5116" max="5116" width="8.5" style="75" bestFit="1" customWidth="1"/>
    <col min="5117" max="5117" width="7.1640625" style="75" bestFit="1" customWidth="1"/>
    <col min="5118" max="5118" width="4.5" style="75" bestFit="1" customWidth="1"/>
    <col min="5119" max="5119" width="5.5" style="75" bestFit="1" customWidth="1"/>
    <col min="5120" max="5122" width="6.1640625" style="75" bestFit="1" customWidth="1"/>
    <col min="5123" max="5123" width="7.1640625" style="75" bestFit="1" customWidth="1"/>
    <col min="5124" max="5133" width="8.83203125" style="75" customWidth="1"/>
    <col min="5134" max="5134" width="10" style="75" bestFit="1" customWidth="1"/>
    <col min="5135" max="5358" width="8.83203125" style="75" customWidth="1"/>
    <col min="5359" max="5359" width="7.83203125" style="75" customWidth="1"/>
    <col min="5360" max="5360" width="7.5" style="75" customWidth="1"/>
    <col min="5361" max="5361" width="9" style="75" customWidth="1"/>
    <col min="5362" max="5362" width="8.33203125" style="75" customWidth="1"/>
    <col min="5363" max="5365" width="8.5" style="75" bestFit="1" customWidth="1"/>
    <col min="5366" max="5366" width="10" style="75" bestFit="1" customWidth="1"/>
    <col min="5367" max="5367" width="8.1640625" style="75" bestFit="1" customWidth="1"/>
    <col min="5368" max="5369" width="8.5" style="75" bestFit="1" customWidth="1"/>
    <col min="5370" max="5370" width="6" style="75" bestFit="1" customWidth="1"/>
    <col min="5371" max="5371" width="8.83203125" style="75" customWidth="1"/>
    <col min="5372" max="5372" width="8.5" style="75" bestFit="1" customWidth="1"/>
    <col min="5373" max="5373" width="7.1640625" style="75" bestFit="1" customWidth="1"/>
    <col min="5374" max="5374" width="4.5" style="75" bestFit="1" customWidth="1"/>
    <col min="5375" max="5375" width="5.5" style="75" bestFit="1" customWidth="1"/>
    <col min="5376" max="5378" width="6.1640625" style="75" bestFit="1" customWidth="1"/>
    <col min="5379" max="5379" width="7.1640625" style="75" bestFit="1" customWidth="1"/>
    <col min="5380" max="5389" width="8.83203125" style="75" customWidth="1"/>
    <col min="5390" max="5390" width="10" style="75" bestFit="1" customWidth="1"/>
    <col min="5391" max="5614" width="8.83203125" style="75" customWidth="1"/>
    <col min="5615" max="5615" width="7.83203125" style="75" customWidth="1"/>
    <col min="5616" max="5616" width="7.5" style="75" customWidth="1"/>
    <col min="5617" max="5617" width="9" style="75" customWidth="1"/>
    <col min="5618" max="5618" width="8.33203125" style="75" customWidth="1"/>
    <col min="5619" max="5621" width="8.5" style="75" bestFit="1" customWidth="1"/>
    <col min="5622" max="5622" width="10" style="75" bestFit="1" customWidth="1"/>
    <col min="5623" max="5623" width="8.1640625" style="75" bestFit="1" customWidth="1"/>
    <col min="5624" max="5625" width="8.5" style="75" bestFit="1" customWidth="1"/>
    <col min="5626" max="5626" width="6" style="75" bestFit="1" customWidth="1"/>
    <col min="5627" max="5627" width="8.83203125" style="75" customWidth="1"/>
    <col min="5628" max="5628" width="8.5" style="75" bestFit="1" customWidth="1"/>
    <col min="5629" max="5629" width="7.1640625" style="75" bestFit="1" customWidth="1"/>
    <col min="5630" max="5630" width="4.5" style="75" bestFit="1" customWidth="1"/>
    <col min="5631" max="5631" width="5.5" style="75" bestFit="1" customWidth="1"/>
    <col min="5632" max="5634" width="6.1640625" style="75" bestFit="1" customWidth="1"/>
    <col min="5635" max="5635" width="7.1640625" style="75" bestFit="1" customWidth="1"/>
    <col min="5636" max="5645" width="8.83203125" style="75" customWidth="1"/>
    <col min="5646" max="5646" width="10" style="75" bestFit="1" customWidth="1"/>
    <col min="5647" max="5870" width="8.83203125" style="75" customWidth="1"/>
    <col min="5871" max="5871" width="7.83203125" style="75" customWidth="1"/>
    <col min="5872" max="5872" width="7.5" style="75" customWidth="1"/>
    <col min="5873" max="5873" width="9" style="75" customWidth="1"/>
    <col min="5874" max="5874" width="8.33203125" style="75" customWidth="1"/>
    <col min="5875" max="5877" width="8.5" style="75" bestFit="1" customWidth="1"/>
    <col min="5878" max="5878" width="10" style="75" bestFit="1" customWidth="1"/>
    <col min="5879" max="5879" width="8.1640625" style="75" bestFit="1" customWidth="1"/>
    <col min="5880" max="5881" width="8.5" style="75" bestFit="1" customWidth="1"/>
    <col min="5882" max="5882" width="6" style="75" bestFit="1" customWidth="1"/>
    <col min="5883" max="5883" width="8.83203125" style="75" customWidth="1"/>
    <col min="5884" max="5884" width="8.5" style="75" bestFit="1" customWidth="1"/>
    <col min="5885" max="5885" width="7.1640625" style="75" bestFit="1" customWidth="1"/>
    <col min="5886" max="5886" width="4.5" style="75" bestFit="1" customWidth="1"/>
    <col min="5887" max="5887" width="5.5" style="75" bestFit="1" customWidth="1"/>
    <col min="5888" max="5890" width="6.1640625" style="75" bestFit="1" customWidth="1"/>
    <col min="5891" max="5891" width="7.1640625" style="75" bestFit="1" customWidth="1"/>
    <col min="5892" max="5901" width="8.83203125" style="75" customWidth="1"/>
    <col min="5902" max="5902" width="10" style="75" bestFit="1" customWidth="1"/>
    <col min="5903" max="6126" width="8.83203125" style="75" customWidth="1"/>
    <col min="6127" max="6127" width="7.83203125" style="75" customWidth="1"/>
    <col min="6128" max="6128" width="7.5" style="75" customWidth="1"/>
    <col min="6129" max="6129" width="9" style="75" customWidth="1"/>
    <col min="6130" max="6130" width="8.33203125" style="75" customWidth="1"/>
    <col min="6131" max="6133" width="8.5" style="75" bestFit="1" customWidth="1"/>
    <col min="6134" max="6134" width="10" style="75" bestFit="1" customWidth="1"/>
    <col min="6135" max="6135" width="8.1640625" style="75" bestFit="1" customWidth="1"/>
    <col min="6136" max="6137" width="8.5" style="75" bestFit="1" customWidth="1"/>
    <col min="6138" max="6138" width="6" style="75" bestFit="1" customWidth="1"/>
    <col min="6139" max="6139" width="8.83203125" style="75" customWidth="1"/>
    <col min="6140" max="6140" width="8.5" style="75" bestFit="1" customWidth="1"/>
    <col min="6141" max="6141" width="7.1640625" style="75" bestFit="1" customWidth="1"/>
    <col min="6142" max="6142" width="4.5" style="75" bestFit="1" customWidth="1"/>
    <col min="6143" max="6143" width="5.5" style="75" bestFit="1" customWidth="1"/>
    <col min="6144" max="6146" width="6.1640625" style="75" bestFit="1" customWidth="1"/>
    <col min="6147" max="6147" width="7.1640625" style="75" bestFit="1" customWidth="1"/>
    <col min="6148" max="6157" width="8.83203125" style="75" customWidth="1"/>
    <col min="6158" max="6158" width="10" style="75" bestFit="1" customWidth="1"/>
    <col min="6159" max="6382" width="8.83203125" style="75" customWidth="1"/>
    <col min="6383" max="6383" width="7.83203125" style="75" customWidth="1"/>
    <col min="6384" max="6384" width="7.5" style="75" customWidth="1"/>
    <col min="6385" max="6385" width="9" style="75" customWidth="1"/>
    <col min="6386" max="6386" width="8.33203125" style="75" customWidth="1"/>
    <col min="6387" max="6389" width="8.5" style="75" bestFit="1" customWidth="1"/>
    <col min="6390" max="6390" width="10" style="75" bestFit="1" customWidth="1"/>
    <col min="6391" max="6391" width="8.1640625" style="75" bestFit="1" customWidth="1"/>
    <col min="6392" max="6393" width="8.5" style="75" bestFit="1" customWidth="1"/>
    <col min="6394" max="6394" width="6" style="75" bestFit="1" customWidth="1"/>
    <col min="6395" max="6395" width="8.83203125" style="75" customWidth="1"/>
    <col min="6396" max="6396" width="8.5" style="75" bestFit="1" customWidth="1"/>
    <col min="6397" max="6397" width="7.1640625" style="75" bestFit="1" customWidth="1"/>
    <col min="6398" max="6398" width="4.5" style="75" bestFit="1" customWidth="1"/>
    <col min="6399" max="6399" width="5.5" style="75" bestFit="1" customWidth="1"/>
    <col min="6400" max="6402" width="6.1640625" style="75" bestFit="1" customWidth="1"/>
    <col min="6403" max="6403" width="7.1640625" style="75" bestFit="1" customWidth="1"/>
    <col min="6404" max="6413" width="8.83203125" style="75" customWidth="1"/>
    <col min="6414" max="6414" width="10" style="75" bestFit="1" customWidth="1"/>
    <col min="6415" max="6638" width="8.83203125" style="75" customWidth="1"/>
    <col min="6639" max="6639" width="7.83203125" style="75" customWidth="1"/>
    <col min="6640" max="6640" width="7.5" style="75" customWidth="1"/>
    <col min="6641" max="6641" width="9" style="75" customWidth="1"/>
    <col min="6642" max="6642" width="8.33203125" style="75" customWidth="1"/>
    <col min="6643" max="6645" width="8.5" style="75" bestFit="1" customWidth="1"/>
    <col min="6646" max="6646" width="10" style="75" bestFit="1" customWidth="1"/>
    <col min="6647" max="6647" width="8.1640625" style="75" bestFit="1" customWidth="1"/>
    <col min="6648" max="6649" width="8.5" style="75" bestFit="1" customWidth="1"/>
    <col min="6650" max="6650" width="6" style="75" bestFit="1" customWidth="1"/>
    <col min="6651" max="6651" width="8.83203125" style="75" customWidth="1"/>
    <col min="6652" max="6652" width="8.5" style="75" bestFit="1" customWidth="1"/>
    <col min="6653" max="6653" width="7.1640625" style="75" bestFit="1" customWidth="1"/>
    <col min="6654" max="6654" width="4.5" style="75" bestFit="1" customWidth="1"/>
    <col min="6655" max="6655" width="5.5" style="75" bestFit="1" customWidth="1"/>
    <col min="6656" max="6658" width="6.1640625" style="75" bestFit="1" customWidth="1"/>
    <col min="6659" max="6659" width="7.1640625" style="75" bestFit="1" customWidth="1"/>
    <col min="6660" max="6669" width="8.83203125" style="75" customWidth="1"/>
    <col min="6670" max="6670" width="10" style="75" bestFit="1" customWidth="1"/>
    <col min="6671" max="6894" width="8.83203125" style="75" customWidth="1"/>
    <col min="6895" max="6895" width="7.83203125" style="75" customWidth="1"/>
    <col min="6896" max="6896" width="7.5" style="75" customWidth="1"/>
    <col min="6897" max="6897" width="9" style="75" customWidth="1"/>
    <col min="6898" max="6898" width="8.33203125" style="75" customWidth="1"/>
    <col min="6899" max="6901" width="8.5" style="75" bestFit="1" customWidth="1"/>
    <col min="6902" max="6902" width="10" style="75" bestFit="1" customWidth="1"/>
    <col min="6903" max="6903" width="8.1640625" style="75" bestFit="1" customWidth="1"/>
    <col min="6904" max="6905" width="8.5" style="75" bestFit="1" customWidth="1"/>
    <col min="6906" max="6906" width="6" style="75" bestFit="1" customWidth="1"/>
    <col min="6907" max="6907" width="8.83203125" style="75" customWidth="1"/>
    <col min="6908" max="6908" width="8.5" style="75" bestFit="1" customWidth="1"/>
    <col min="6909" max="6909" width="7.1640625" style="75" bestFit="1" customWidth="1"/>
    <col min="6910" max="6910" width="4.5" style="75" bestFit="1" customWidth="1"/>
    <col min="6911" max="6911" width="5.5" style="75" bestFit="1" customWidth="1"/>
    <col min="6912" max="6914" width="6.1640625" style="75" bestFit="1" customWidth="1"/>
    <col min="6915" max="6915" width="7.1640625" style="75" bestFit="1" customWidth="1"/>
    <col min="6916" max="6925" width="8.83203125" style="75" customWidth="1"/>
    <col min="6926" max="6926" width="10" style="75" bestFit="1" customWidth="1"/>
    <col min="6927" max="7150" width="8.83203125" style="75" customWidth="1"/>
    <col min="7151" max="7151" width="7.83203125" style="75" customWidth="1"/>
    <col min="7152" max="7152" width="7.5" style="75" customWidth="1"/>
    <col min="7153" max="7153" width="9" style="75" customWidth="1"/>
    <col min="7154" max="7154" width="8.33203125" style="75" customWidth="1"/>
    <col min="7155" max="7157" width="8.5" style="75" bestFit="1" customWidth="1"/>
    <col min="7158" max="7158" width="10" style="75" bestFit="1" customWidth="1"/>
    <col min="7159" max="7159" width="8.1640625" style="75" bestFit="1" customWidth="1"/>
    <col min="7160" max="7161" width="8.5" style="75" bestFit="1" customWidth="1"/>
    <col min="7162" max="7162" width="6" style="75" bestFit="1" customWidth="1"/>
    <col min="7163" max="7163" width="8.83203125" style="75" customWidth="1"/>
    <col min="7164" max="7164" width="8.5" style="75" bestFit="1" customWidth="1"/>
    <col min="7165" max="7165" width="7.1640625" style="75" bestFit="1" customWidth="1"/>
    <col min="7166" max="7166" width="4.5" style="75" bestFit="1" customWidth="1"/>
    <col min="7167" max="7167" width="5.5" style="75" bestFit="1" customWidth="1"/>
    <col min="7168" max="7170" width="6.1640625" style="75" bestFit="1" customWidth="1"/>
    <col min="7171" max="7171" width="7.1640625" style="75" bestFit="1" customWidth="1"/>
    <col min="7172" max="7181" width="8.83203125" style="75" customWidth="1"/>
    <col min="7182" max="7182" width="10" style="75" bestFit="1" customWidth="1"/>
    <col min="7183" max="7406" width="8.83203125" style="75" customWidth="1"/>
    <col min="7407" max="7407" width="7.83203125" style="75" customWidth="1"/>
    <col min="7408" max="7408" width="7.5" style="75" customWidth="1"/>
    <col min="7409" max="7409" width="9" style="75" customWidth="1"/>
    <col min="7410" max="7410" width="8.33203125" style="75" customWidth="1"/>
    <col min="7411" max="7413" width="8.5" style="75" bestFit="1" customWidth="1"/>
    <col min="7414" max="7414" width="10" style="75" bestFit="1" customWidth="1"/>
    <col min="7415" max="7415" width="8.1640625" style="75" bestFit="1" customWidth="1"/>
    <col min="7416" max="7417" width="8.5" style="75" bestFit="1" customWidth="1"/>
    <col min="7418" max="7418" width="6" style="75" bestFit="1" customWidth="1"/>
    <col min="7419" max="7419" width="8.83203125" style="75" customWidth="1"/>
    <col min="7420" max="7420" width="8.5" style="75" bestFit="1" customWidth="1"/>
    <col min="7421" max="7421" width="7.1640625" style="75" bestFit="1" customWidth="1"/>
    <col min="7422" max="7422" width="4.5" style="75" bestFit="1" customWidth="1"/>
    <col min="7423" max="7423" width="5.5" style="75" bestFit="1" customWidth="1"/>
    <col min="7424" max="7426" width="6.1640625" style="75" bestFit="1" customWidth="1"/>
    <col min="7427" max="7427" width="7.1640625" style="75" bestFit="1" customWidth="1"/>
    <col min="7428" max="7437" width="8.83203125" style="75" customWidth="1"/>
    <col min="7438" max="7438" width="10" style="75" bestFit="1" customWidth="1"/>
    <col min="7439" max="7662" width="8.83203125" style="75" customWidth="1"/>
    <col min="7663" max="7663" width="7.83203125" style="75" customWidth="1"/>
    <col min="7664" max="7664" width="7.5" style="75" customWidth="1"/>
    <col min="7665" max="7665" width="9" style="75" customWidth="1"/>
    <col min="7666" max="7666" width="8.33203125" style="75" customWidth="1"/>
    <col min="7667" max="7669" width="8.5" style="75" bestFit="1" customWidth="1"/>
    <col min="7670" max="7670" width="10" style="75" bestFit="1" customWidth="1"/>
    <col min="7671" max="7671" width="8.1640625" style="75" bestFit="1" customWidth="1"/>
    <col min="7672" max="7673" width="8.5" style="75" bestFit="1" customWidth="1"/>
    <col min="7674" max="7674" width="6" style="75" bestFit="1" customWidth="1"/>
    <col min="7675" max="7675" width="8.83203125" style="75" customWidth="1"/>
    <col min="7676" max="7676" width="8.5" style="75" bestFit="1" customWidth="1"/>
    <col min="7677" max="7677" width="7.1640625" style="75" bestFit="1" customWidth="1"/>
    <col min="7678" max="7678" width="4.5" style="75" bestFit="1" customWidth="1"/>
    <col min="7679" max="7679" width="5.5" style="75" bestFit="1" customWidth="1"/>
    <col min="7680" max="7682" width="6.1640625" style="75" bestFit="1" customWidth="1"/>
    <col min="7683" max="7683" width="7.1640625" style="75" bestFit="1" customWidth="1"/>
    <col min="7684" max="7693" width="8.83203125" style="75" customWidth="1"/>
    <col min="7694" max="7694" width="10" style="75" bestFit="1" customWidth="1"/>
    <col min="7695" max="7918" width="8.83203125" style="75" customWidth="1"/>
    <col min="7919" max="7919" width="7.83203125" style="75" customWidth="1"/>
    <col min="7920" max="7920" width="7.5" style="75" customWidth="1"/>
    <col min="7921" max="7921" width="9" style="75" customWidth="1"/>
    <col min="7922" max="7922" width="8.33203125" style="75" customWidth="1"/>
    <col min="7923" max="7925" width="8.5" style="75" bestFit="1" customWidth="1"/>
    <col min="7926" max="7926" width="10" style="75" bestFit="1" customWidth="1"/>
    <col min="7927" max="7927" width="8.1640625" style="75" bestFit="1" customWidth="1"/>
    <col min="7928" max="7929" width="8.5" style="75" bestFit="1" customWidth="1"/>
    <col min="7930" max="7930" width="6" style="75" bestFit="1" customWidth="1"/>
    <col min="7931" max="7931" width="8.83203125" style="75" customWidth="1"/>
    <col min="7932" max="7932" width="8.5" style="75" bestFit="1" customWidth="1"/>
    <col min="7933" max="7933" width="7.1640625" style="75" bestFit="1" customWidth="1"/>
    <col min="7934" max="7934" width="4.5" style="75" bestFit="1" customWidth="1"/>
    <col min="7935" max="7935" width="5.5" style="75" bestFit="1" customWidth="1"/>
    <col min="7936" max="7938" width="6.1640625" style="75" bestFit="1" customWidth="1"/>
    <col min="7939" max="7939" width="7.1640625" style="75" bestFit="1" customWidth="1"/>
    <col min="7940" max="7949" width="8.83203125" style="75" customWidth="1"/>
    <col min="7950" max="7950" width="10" style="75" bestFit="1" customWidth="1"/>
    <col min="7951" max="8174" width="8.83203125" style="75" customWidth="1"/>
    <col min="8175" max="8175" width="7.83203125" style="75" customWidth="1"/>
    <col min="8176" max="8176" width="7.5" style="75" customWidth="1"/>
    <col min="8177" max="8177" width="9" style="75" customWidth="1"/>
    <col min="8178" max="8178" width="8.33203125" style="75" customWidth="1"/>
    <col min="8179" max="8181" width="8.5" style="75" bestFit="1" customWidth="1"/>
    <col min="8182" max="8182" width="10" style="75" bestFit="1" customWidth="1"/>
    <col min="8183" max="8183" width="8.1640625" style="75" bestFit="1" customWidth="1"/>
    <col min="8184" max="8185" width="8.5" style="75" bestFit="1" customWidth="1"/>
    <col min="8186" max="8186" width="6" style="75" bestFit="1" customWidth="1"/>
    <col min="8187" max="8187" width="8.83203125" style="75" customWidth="1"/>
    <col min="8188" max="8188" width="8.5" style="75" bestFit="1" customWidth="1"/>
    <col min="8189" max="8189" width="7.1640625" style="75" bestFit="1" customWidth="1"/>
    <col min="8190" max="8190" width="4.5" style="75" bestFit="1" customWidth="1"/>
    <col min="8191" max="8191" width="5.5" style="75" bestFit="1" customWidth="1"/>
    <col min="8192" max="8194" width="6.1640625" style="75" bestFit="1" customWidth="1"/>
    <col min="8195" max="8195" width="7.1640625" style="75" bestFit="1" customWidth="1"/>
    <col min="8196" max="8205" width="8.83203125" style="75" customWidth="1"/>
    <col min="8206" max="8206" width="10" style="75" bestFit="1" customWidth="1"/>
    <col min="8207" max="8430" width="8.83203125" style="75" customWidth="1"/>
    <col min="8431" max="8431" width="7.83203125" style="75" customWidth="1"/>
    <col min="8432" max="8432" width="7.5" style="75" customWidth="1"/>
    <col min="8433" max="8433" width="9" style="75" customWidth="1"/>
    <col min="8434" max="8434" width="8.33203125" style="75" customWidth="1"/>
    <col min="8435" max="8437" width="8.5" style="75" bestFit="1" customWidth="1"/>
    <col min="8438" max="8438" width="10" style="75" bestFit="1" customWidth="1"/>
    <col min="8439" max="8439" width="8.1640625" style="75" bestFit="1" customWidth="1"/>
    <col min="8440" max="8441" width="8.5" style="75" bestFit="1" customWidth="1"/>
    <col min="8442" max="8442" width="6" style="75" bestFit="1" customWidth="1"/>
    <col min="8443" max="8443" width="8.83203125" style="75" customWidth="1"/>
    <col min="8444" max="8444" width="8.5" style="75" bestFit="1" customWidth="1"/>
    <col min="8445" max="8445" width="7.1640625" style="75" bestFit="1" customWidth="1"/>
    <col min="8446" max="8446" width="4.5" style="75" bestFit="1" customWidth="1"/>
    <col min="8447" max="8447" width="5.5" style="75" bestFit="1" customWidth="1"/>
    <col min="8448" max="8450" width="6.1640625" style="75" bestFit="1" customWidth="1"/>
    <col min="8451" max="8451" width="7.1640625" style="75" bestFit="1" customWidth="1"/>
    <col min="8452" max="8461" width="8.83203125" style="75" customWidth="1"/>
    <col min="8462" max="8462" width="10" style="75" bestFit="1" customWidth="1"/>
    <col min="8463" max="8686" width="8.83203125" style="75" customWidth="1"/>
    <col min="8687" max="8687" width="7.83203125" style="75" customWidth="1"/>
    <col min="8688" max="8688" width="7.5" style="75" customWidth="1"/>
    <col min="8689" max="8689" width="9" style="75" customWidth="1"/>
    <col min="8690" max="8690" width="8.33203125" style="75" customWidth="1"/>
    <col min="8691" max="8693" width="8.5" style="75" bestFit="1" customWidth="1"/>
    <col min="8694" max="8694" width="10" style="75" bestFit="1" customWidth="1"/>
    <col min="8695" max="8695" width="8.1640625" style="75" bestFit="1" customWidth="1"/>
    <col min="8696" max="8697" width="8.5" style="75" bestFit="1" customWidth="1"/>
    <col min="8698" max="8698" width="6" style="75" bestFit="1" customWidth="1"/>
    <col min="8699" max="8699" width="8.83203125" style="75" customWidth="1"/>
    <col min="8700" max="8700" width="8.5" style="75" bestFit="1" customWidth="1"/>
    <col min="8701" max="8701" width="7.1640625" style="75" bestFit="1" customWidth="1"/>
    <col min="8702" max="8702" width="4.5" style="75" bestFit="1" customWidth="1"/>
    <col min="8703" max="8703" width="5.5" style="75" bestFit="1" customWidth="1"/>
    <col min="8704" max="8706" width="6.1640625" style="75" bestFit="1" customWidth="1"/>
    <col min="8707" max="8707" width="7.1640625" style="75" bestFit="1" customWidth="1"/>
    <col min="8708" max="8717" width="8.83203125" style="75" customWidth="1"/>
    <col min="8718" max="8718" width="10" style="75" bestFit="1" customWidth="1"/>
    <col min="8719" max="8942" width="8.83203125" style="75" customWidth="1"/>
    <col min="8943" max="8943" width="7.83203125" style="75" customWidth="1"/>
    <col min="8944" max="8944" width="7.5" style="75" customWidth="1"/>
    <col min="8945" max="8945" width="9" style="75" customWidth="1"/>
    <col min="8946" max="8946" width="8.33203125" style="75" customWidth="1"/>
    <col min="8947" max="8949" width="8.5" style="75" bestFit="1" customWidth="1"/>
    <col min="8950" max="8950" width="10" style="75" bestFit="1" customWidth="1"/>
    <col min="8951" max="8951" width="8.1640625" style="75" bestFit="1" customWidth="1"/>
    <col min="8952" max="8953" width="8.5" style="75" bestFit="1" customWidth="1"/>
    <col min="8954" max="8954" width="6" style="75" bestFit="1" customWidth="1"/>
    <col min="8955" max="8955" width="8.83203125" style="75" customWidth="1"/>
    <col min="8956" max="8956" width="8.5" style="75" bestFit="1" customWidth="1"/>
    <col min="8957" max="8957" width="7.1640625" style="75" bestFit="1" customWidth="1"/>
    <col min="8958" max="8958" width="4.5" style="75" bestFit="1" customWidth="1"/>
    <col min="8959" max="8959" width="5.5" style="75" bestFit="1" customWidth="1"/>
    <col min="8960" max="8962" width="6.1640625" style="75" bestFit="1" customWidth="1"/>
    <col min="8963" max="8963" width="7.1640625" style="75" bestFit="1" customWidth="1"/>
    <col min="8964" max="8973" width="8.83203125" style="75" customWidth="1"/>
    <col min="8974" max="8974" width="10" style="75" bestFit="1" customWidth="1"/>
    <col min="8975" max="9198" width="8.83203125" style="75" customWidth="1"/>
    <col min="9199" max="9199" width="7.83203125" style="75" customWidth="1"/>
    <col min="9200" max="9200" width="7.5" style="75" customWidth="1"/>
    <col min="9201" max="9201" width="9" style="75" customWidth="1"/>
    <col min="9202" max="9202" width="8.33203125" style="75" customWidth="1"/>
    <col min="9203" max="9205" width="8.5" style="75" bestFit="1" customWidth="1"/>
    <col min="9206" max="9206" width="10" style="75" bestFit="1" customWidth="1"/>
    <col min="9207" max="9207" width="8.1640625" style="75" bestFit="1" customWidth="1"/>
    <col min="9208" max="9209" width="8.5" style="75" bestFit="1" customWidth="1"/>
    <col min="9210" max="9210" width="6" style="75" bestFit="1" customWidth="1"/>
    <col min="9211" max="9211" width="8.83203125" style="75" customWidth="1"/>
    <col min="9212" max="9212" width="8.5" style="75" bestFit="1" customWidth="1"/>
    <col min="9213" max="9213" width="7.1640625" style="75" bestFit="1" customWidth="1"/>
    <col min="9214" max="9214" width="4.5" style="75" bestFit="1" customWidth="1"/>
    <col min="9215" max="9215" width="5.5" style="75" bestFit="1" customWidth="1"/>
    <col min="9216" max="9218" width="6.1640625" style="75" bestFit="1" customWidth="1"/>
    <col min="9219" max="9219" width="7.1640625" style="75" bestFit="1" customWidth="1"/>
    <col min="9220" max="9229" width="8.83203125" style="75" customWidth="1"/>
    <col min="9230" max="9230" width="10" style="75" bestFit="1" customWidth="1"/>
    <col min="9231" max="9454" width="8.83203125" style="75" customWidth="1"/>
    <col min="9455" max="9455" width="7.83203125" style="75" customWidth="1"/>
    <col min="9456" max="9456" width="7.5" style="75" customWidth="1"/>
    <col min="9457" max="9457" width="9" style="75" customWidth="1"/>
    <col min="9458" max="9458" width="8.33203125" style="75" customWidth="1"/>
    <col min="9459" max="9461" width="8.5" style="75" bestFit="1" customWidth="1"/>
    <col min="9462" max="9462" width="10" style="75" bestFit="1" customWidth="1"/>
    <col min="9463" max="9463" width="8.1640625" style="75" bestFit="1" customWidth="1"/>
    <col min="9464" max="9465" width="8.5" style="75" bestFit="1" customWidth="1"/>
    <col min="9466" max="9466" width="6" style="75" bestFit="1" customWidth="1"/>
    <col min="9467" max="9467" width="8.83203125" style="75" customWidth="1"/>
    <col min="9468" max="9468" width="8.5" style="75" bestFit="1" customWidth="1"/>
    <col min="9469" max="9469" width="7.1640625" style="75" bestFit="1" customWidth="1"/>
    <col min="9470" max="9470" width="4.5" style="75" bestFit="1" customWidth="1"/>
    <col min="9471" max="9471" width="5.5" style="75" bestFit="1" customWidth="1"/>
    <col min="9472" max="9474" width="6.1640625" style="75" bestFit="1" customWidth="1"/>
    <col min="9475" max="9475" width="7.1640625" style="75" bestFit="1" customWidth="1"/>
    <col min="9476" max="9485" width="8.83203125" style="75" customWidth="1"/>
    <col min="9486" max="9486" width="10" style="75" bestFit="1" customWidth="1"/>
    <col min="9487" max="9710" width="8.83203125" style="75" customWidth="1"/>
    <col min="9711" max="9711" width="7.83203125" style="75" customWidth="1"/>
    <col min="9712" max="9712" width="7.5" style="75" customWidth="1"/>
    <col min="9713" max="9713" width="9" style="75" customWidth="1"/>
    <col min="9714" max="9714" width="8.33203125" style="75" customWidth="1"/>
    <col min="9715" max="9717" width="8.5" style="75" bestFit="1" customWidth="1"/>
    <col min="9718" max="9718" width="10" style="75" bestFit="1" customWidth="1"/>
    <col min="9719" max="9719" width="8.1640625" style="75" bestFit="1" customWidth="1"/>
    <col min="9720" max="9721" width="8.5" style="75" bestFit="1" customWidth="1"/>
    <col min="9722" max="9722" width="6" style="75" bestFit="1" customWidth="1"/>
    <col min="9723" max="9723" width="8.83203125" style="75" customWidth="1"/>
    <col min="9724" max="9724" width="8.5" style="75" bestFit="1" customWidth="1"/>
    <col min="9725" max="9725" width="7.1640625" style="75" bestFit="1" customWidth="1"/>
    <col min="9726" max="9726" width="4.5" style="75" bestFit="1" customWidth="1"/>
    <col min="9727" max="9727" width="5.5" style="75" bestFit="1" customWidth="1"/>
    <col min="9728" max="9730" width="6.1640625" style="75" bestFit="1" customWidth="1"/>
    <col min="9731" max="9731" width="7.1640625" style="75" bestFit="1" customWidth="1"/>
    <col min="9732" max="9741" width="8.83203125" style="75" customWidth="1"/>
    <col min="9742" max="9742" width="10" style="75" bestFit="1" customWidth="1"/>
    <col min="9743" max="9966" width="8.83203125" style="75" customWidth="1"/>
    <col min="9967" max="9967" width="7.83203125" style="75" customWidth="1"/>
    <col min="9968" max="9968" width="7.5" style="75" customWidth="1"/>
    <col min="9969" max="9969" width="9" style="75" customWidth="1"/>
    <col min="9970" max="9970" width="8.33203125" style="75" customWidth="1"/>
    <col min="9971" max="9973" width="8.5" style="75" bestFit="1" customWidth="1"/>
    <col min="9974" max="9974" width="10" style="75" bestFit="1" customWidth="1"/>
    <col min="9975" max="9975" width="8.1640625" style="75" bestFit="1" customWidth="1"/>
    <col min="9976" max="9977" width="8.5" style="75" bestFit="1" customWidth="1"/>
    <col min="9978" max="9978" width="6" style="75" bestFit="1" customWidth="1"/>
    <col min="9979" max="9979" width="8.83203125" style="75" customWidth="1"/>
    <col min="9980" max="9980" width="8.5" style="75" bestFit="1" customWidth="1"/>
    <col min="9981" max="9981" width="7.1640625" style="75" bestFit="1" customWidth="1"/>
    <col min="9982" max="9982" width="4.5" style="75" bestFit="1" customWidth="1"/>
    <col min="9983" max="9983" width="5.5" style="75" bestFit="1" customWidth="1"/>
    <col min="9984" max="9986" width="6.1640625" style="75" bestFit="1" customWidth="1"/>
    <col min="9987" max="9987" width="7.1640625" style="75" bestFit="1" customWidth="1"/>
    <col min="9988" max="9997" width="8.83203125" style="75" customWidth="1"/>
    <col min="9998" max="9998" width="10" style="75" bestFit="1" customWidth="1"/>
    <col min="9999" max="10222" width="8.83203125" style="75" customWidth="1"/>
    <col min="10223" max="10223" width="7.83203125" style="75" customWidth="1"/>
    <col min="10224" max="10224" width="7.5" style="75" customWidth="1"/>
    <col min="10225" max="10225" width="9" style="75" customWidth="1"/>
    <col min="10226" max="10226" width="8.33203125" style="75" customWidth="1"/>
    <col min="10227" max="10229" width="8.5" style="75" bestFit="1" customWidth="1"/>
    <col min="10230" max="10230" width="10" style="75" bestFit="1" customWidth="1"/>
    <col min="10231" max="10231" width="8.1640625" style="75" bestFit="1" customWidth="1"/>
    <col min="10232" max="10233" width="8.5" style="75" bestFit="1" customWidth="1"/>
    <col min="10234" max="10234" width="6" style="75" bestFit="1" customWidth="1"/>
    <col min="10235" max="10235" width="8.83203125" style="75" customWidth="1"/>
    <col min="10236" max="10236" width="8.5" style="75" bestFit="1" customWidth="1"/>
    <col min="10237" max="10237" width="7.1640625" style="75" bestFit="1" customWidth="1"/>
    <col min="10238" max="10238" width="4.5" style="75" bestFit="1" customWidth="1"/>
    <col min="10239" max="10239" width="5.5" style="75" bestFit="1" customWidth="1"/>
    <col min="10240" max="10242" width="6.1640625" style="75" bestFit="1" customWidth="1"/>
    <col min="10243" max="10243" width="7.1640625" style="75" bestFit="1" customWidth="1"/>
    <col min="10244" max="10253" width="8.83203125" style="75" customWidth="1"/>
    <col min="10254" max="10254" width="10" style="75" bestFit="1" customWidth="1"/>
    <col min="10255" max="10478" width="8.83203125" style="75" customWidth="1"/>
    <col min="10479" max="10479" width="7.83203125" style="75" customWidth="1"/>
    <col min="10480" max="10480" width="7.5" style="75" customWidth="1"/>
    <col min="10481" max="10481" width="9" style="75" customWidth="1"/>
    <col min="10482" max="10482" width="8.33203125" style="75" customWidth="1"/>
    <col min="10483" max="10485" width="8.5" style="75" bestFit="1" customWidth="1"/>
    <col min="10486" max="10486" width="10" style="75" bestFit="1" customWidth="1"/>
    <col min="10487" max="10487" width="8.1640625" style="75" bestFit="1" customWidth="1"/>
    <col min="10488" max="10489" width="8.5" style="75" bestFit="1" customWidth="1"/>
    <col min="10490" max="10490" width="6" style="75" bestFit="1" customWidth="1"/>
    <col min="10491" max="10491" width="8.83203125" style="75" customWidth="1"/>
    <col min="10492" max="10492" width="8.5" style="75" bestFit="1" customWidth="1"/>
    <col min="10493" max="10493" width="7.1640625" style="75" bestFit="1" customWidth="1"/>
    <col min="10494" max="10494" width="4.5" style="75" bestFit="1" customWidth="1"/>
    <col min="10495" max="10495" width="5.5" style="75" bestFit="1" customWidth="1"/>
    <col min="10496" max="10498" width="6.1640625" style="75" bestFit="1" customWidth="1"/>
    <col min="10499" max="10499" width="7.1640625" style="75" bestFit="1" customWidth="1"/>
    <col min="10500" max="10509" width="8.83203125" style="75" customWidth="1"/>
    <col min="10510" max="10510" width="10" style="75" bestFit="1" customWidth="1"/>
    <col min="10511" max="10734" width="8.83203125" style="75" customWidth="1"/>
    <col min="10735" max="10735" width="7.83203125" style="75" customWidth="1"/>
    <col min="10736" max="10736" width="7.5" style="75" customWidth="1"/>
    <col min="10737" max="10737" width="9" style="75" customWidth="1"/>
    <col min="10738" max="10738" width="8.33203125" style="75" customWidth="1"/>
    <col min="10739" max="10741" width="8.5" style="75" bestFit="1" customWidth="1"/>
    <col min="10742" max="10742" width="10" style="75" bestFit="1" customWidth="1"/>
    <col min="10743" max="10743" width="8.1640625" style="75" bestFit="1" customWidth="1"/>
    <col min="10744" max="10745" width="8.5" style="75" bestFit="1" customWidth="1"/>
    <col min="10746" max="10746" width="6" style="75" bestFit="1" customWidth="1"/>
    <col min="10747" max="10747" width="8.83203125" style="75" customWidth="1"/>
    <col min="10748" max="10748" width="8.5" style="75" bestFit="1" customWidth="1"/>
    <col min="10749" max="10749" width="7.1640625" style="75" bestFit="1" customWidth="1"/>
    <col min="10750" max="10750" width="4.5" style="75" bestFit="1" customWidth="1"/>
    <col min="10751" max="10751" width="5.5" style="75" bestFit="1" customWidth="1"/>
    <col min="10752" max="10754" width="6.1640625" style="75" bestFit="1" customWidth="1"/>
    <col min="10755" max="10755" width="7.1640625" style="75" bestFit="1" customWidth="1"/>
    <col min="10756" max="10765" width="8.83203125" style="75" customWidth="1"/>
    <col min="10766" max="10766" width="10" style="75" bestFit="1" customWidth="1"/>
    <col min="10767" max="10990" width="8.83203125" style="75" customWidth="1"/>
    <col min="10991" max="10991" width="7.83203125" style="75" customWidth="1"/>
    <col min="10992" max="10992" width="7.5" style="75" customWidth="1"/>
    <col min="10993" max="10993" width="9" style="75" customWidth="1"/>
    <col min="10994" max="10994" width="8.33203125" style="75" customWidth="1"/>
    <col min="10995" max="10997" width="8.5" style="75" bestFit="1" customWidth="1"/>
    <col min="10998" max="10998" width="10" style="75" bestFit="1" customWidth="1"/>
    <col min="10999" max="10999" width="8.1640625" style="75" bestFit="1" customWidth="1"/>
    <col min="11000" max="11001" width="8.5" style="75" bestFit="1" customWidth="1"/>
    <col min="11002" max="11002" width="6" style="75" bestFit="1" customWidth="1"/>
    <col min="11003" max="11003" width="8.83203125" style="75" customWidth="1"/>
    <col min="11004" max="11004" width="8.5" style="75" bestFit="1" customWidth="1"/>
    <col min="11005" max="11005" width="7.1640625" style="75" bestFit="1" customWidth="1"/>
    <col min="11006" max="11006" width="4.5" style="75" bestFit="1" customWidth="1"/>
    <col min="11007" max="11007" width="5.5" style="75" bestFit="1" customWidth="1"/>
    <col min="11008" max="11010" width="6.1640625" style="75" bestFit="1" customWidth="1"/>
    <col min="11011" max="11011" width="7.1640625" style="75" bestFit="1" customWidth="1"/>
    <col min="11012" max="11021" width="8.83203125" style="75" customWidth="1"/>
    <col min="11022" max="11022" width="10" style="75" bestFit="1" customWidth="1"/>
    <col min="11023" max="11246" width="8.83203125" style="75" customWidth="1"/>
    <col min="11247" max="11247" width="7.83203125" style="75" customWidth="1"/>
    <col min="11248" max="11248" width="7.5" style="75" customWidth="1"/>
    <col min="11249" max="11249" width="9" style="75" customWidth="1"/>
    <col min="11250" max="11250" width="8.33203125" style="75" customWidth="1"/>
    <col min="11251" max="11253" width="8.5" style="75" bestFit="1" customWidth="1"/>
    <col min="11254" max="11254" width="10" style="75" bestFit="1" customWidth="1"/>
    <col min="11255" max="11255" width="8.1640625" style="75" bestFit="1" customWidth="1"/>
    <col min="11256" max="11257" width="8.5" style="75" bestFit="1" customWidth="1"/>
    <col min="11258" max="11258" width="6" style="75" bestFit="1" customWidth="1"/>
    <col min="11259" max="11259" width="8.83203125" style="75" customWidth="1"/>
    <col min="11260" max="11260" width="8.5" style="75" bestFit="1" customWidth="1"/>
    <col min="11261" max="11261" width="7.1640625" style="75" bestFit="1" customWidth="1"/>
    <col min="11262" max="11262" width="4.5" style="75" bestFit="1" customWidth="1"/>
    <col min="11263" max="11263" width="5.5" style="75" bestFit="1" customWidth="1"/>
    <col min="11264" max="11266" width="6.1640625" style="75" bestFit="1" customWidth="1"/>
    <col min="11267" max="11267" width="7.1640625" style="75" bestFit="1" customWidth="1"/>
    <col min="11268" max="11277" width="8.83203125" style="75" customWidth="1"/>
    <col min="11278" max="11278" width="10" style="75" bestFit="1" customWidth="1"/>
    <col min="11279" max="11502" width="8.83203125" style="75" customWidth="1"/>
    <col min="11503" max="11503" width="7.83203125" style="75" customWidth="1"/>
    <col min="11504" max="11504" width="7.5" style="75" customWidth="1"/>
    <col min="11505" max="11505" width="9" style="75" customWidth="1"/>
    <col min="11506" max="11506" width="8.33203125" style="75" customWidth="1"/>
    <col min="11507" max="11509" width="8.5" style="75" bestFit="1" customWidth="1"/>
    <col min="11510" max="11510" width="10" style="75" bestFit="1" customWidth="1"/>
    <col min="11511" max="11511" width="8.1640625" style="75" bestFit="1" customWidth="1"/>
    <col min="11512" max="11513" width="8.5" style="75" bestFit="1" customWidth="1"/>
    <col min="11514" max="11514" width="6" style="75" bestFit="1" customWidth="1"/>
    <col min="11515" max="11515" width="8.83203125" style="75" customWidth="1"/>
    <col min="11516" max="11516" width="8.5" style="75" bestFit="1" customWidth="1"/>
    <col min="11517" max="11517" width="7.1640625" style="75" bestFit="1" customWidth="1"/>
    <col min="11518" max="11518" width="4.5" style="75" bestFit="1" customWidth="1"/>
    <col min="11519" max="11519" width="5.5" style="75" bestFit="1" customWidth="1"/>
    <col min="11520" max="11522" width="6.1640625" style="75" bestFit="1" customWidth="1"/>
    <col min="11523" max="11523" width="7.1640625" style="75" bestFit="1" customWidth="1"/>
    <col min="11524" max="11533" width="8.83203125" style="75" customWidth="1"/>
    <col min="11534" max="11534" width="10" style="75" bestFit="1" customWidth="1"/>
    <col min="11535" max="11758" width="8.83203125" style="75" customWidth="1"/>
    <col min="11759" max="11759" width="7.83203125" style="75" customWidth="1"/>
    <col min="11760" max="11760" width="7.5" style="75" customWidth="1"/>
    <col min="11761" max="11761" width="9" style="75" customWidth="1"/>
    <col min="11762" max="11762" width="8.33203125" style="75" customWidth="1"/>
    <col min="11763" max="11765" width="8.5" style="75" bestFit="1" customWidth="1"/>
    <col min="11766" max="11766" width="10" style="75" bestFit="1" customWidth="1"/>
    <col min="11767" max="11767" width="8.1640625" style="75" bestFit="1" customWidth="1"/>
    <col min="11768" max="11769" width="8.5" style="75" bestFit="1" customWidth="1"/>
    <col min="11770" max="11770" width="6" style="75" bestFit="1" customWidth="1"/>
    <col min="11771" max="11771" width="8.83203125" style="75" customWidth="1"/>
    <col min="11772" max="11772" width="8.5" style="75" bestFit="1" customWidth="1"/>
    <col min="11773" max="11773" width="7.1640625" style="75" bestFit="1" customWidth="1"/>
    <col min="11774" max="11774" width="4.5" style="75" bestFit="1" customWidth="1"/>
    <col min="11775" max="11775" width="5.5" style="75" bestFit="1" customWidth="1"/>
    <col min="11776" max="11778" width="6.1640625" style="75" bestFit="1" customWidth="1"/>
    <col min="11779" max="11779" width="7.1640625" style="75" bestFit="1" customWidth="1"/>
    <col min="11780" max="11789" width="8.83203125" style="75" customWidth="1"/>
    <col min="11790" max="11790" width="10" style="75" bestFit="1" customWidth="1"/>
    <col min="11791" max="12014" width="8.83203125" style="75" customWidth="1"/>
    <col min="12015" max="12015" width="7.83203125" style="75" customWidth="1"/>
    <col min="12016" max="12016" width="7.5" style="75" customWidth="1"/>
    <col min="12017" max="12017" width="9" style="75" customWidth="1"/>
    <col min="12018" max="12018" width="8.33203125" style="75" customWidth="1"/>
    <col min="12019" max="12021" width="8.5" style="75" bestFit="1" customWidth="1"/>
    <col min="12022" max="12022" width="10" style="75" bestFit="1" customWidth="1"/>
    <col min="12023" max="12023" width="8.1640625" style="75" bestFit="1" customWidth="1"/>
    <col min="12024" max="12025" width="8.5" style="75" bestFit="1" customWidth="1"/>
    <col min="12026" max="12026" width="6" style="75" bestFit="1" customWidth="1"/>
    <col min="12027" max="12027" width="8.83203125" style="75" customWidth="1"/>
    <col min="12028" max="12028" width="8.5" style="75" bestFit="1" customWidth="1"/>
    <col min="12029" max="12029" width="7.1640625" style="75" bestFit="1" customWidth="1"/>
    <col min="12030" max="12030" width="4.5" style="75" bestFit="1" customWidth="1"/>
    <col min="12031" max="12031" width="5.5" style="75" bestFit="1" customWidth="1"/>
    <col min="12032" max="12034" width="6.1640625" style="75" bestFit="1" customWidth="1"/>
    <col min="12035" max="12035" width="7.1640625" style="75" bestFit="1" customWidth="1"/>
    <col min="12036" max="12045" width="8.83203125" style="75" customWidth="1"/>
    <col min="12046" max="12046" width="10" style="75" bestFit="1" customWidth="1"/>
    <col min="12047" max="12270" width="8.83203125" style="75" customWidth="1"/>
    <col min="12271" max="12271" width="7.83203125" style="75" customWidth="1"/>
    <col min="12272" max="12272" width="7.5" style="75" customWidth="1"/>
    <col min="12273" max="12273" width="9" style="75" customWidth="1"/>
    <col min="12274" max="12274" width="8.33203125" style="75" customWidth="1"/>
    <col min="12275" max="12277" width="8.5" style="75" bestFit="1" customWidth="1"/>
    <col min="12278" max="12278" width="10" style="75" bestFit="1" customWidth="1"/>
    <col min="12279" max="12279" width="8.1640625" style="75" bestFit="1" customWidth="1"/>
    <col min="12280" max="12281" width="8.5" style="75" bestFit="1" customWidth="1"/>
    <col min="12282" max="12282" width="6" style="75" bestFit="1" customWidth="1"/>
    <col min="12283" max="12283" width="8.83203125" style="75" customWidth="1"/>
    <col min="12284" max="12284" width="8.5" style="75" bestFit="1" customWidth="1"/>
    <col min="12285" max="12285" width="7.1640625" style="75" bestFit="1" customWidth="1"/>
    <col min="12286" max="12286" width="4.5" style="75" bestFit="1" customWidth="1"/>
    <col min="12287" max="12287" width="5.5" style="75" bestFit="1" customWidth="1"/>
    <col min="12288" max="12290" width="6.1640625" style="75" bestFit="1" customWidth="1"/>
    <col min="12291" max="12291" width="7.1640625" style="75" bestFit="1" customWidth="1"/>
    <col min="12292" max="12301" width="8.83203125" style="75" customWidth="1"/>
    <col min="12302" max="12302" width="10" style="75" bestFit="1" customWidth="1"/>
    <col min="12303" max="12526" width="8.83203125" style="75" customWidth="1"/>
    <col min="12527" max="12527" width="7.83203125" style="75" customWidth="1"/>
    <col min="12528" max="12528" width="7.5" style="75" customWidth="1"/>
    <col min="12529" max="12529" width="9" style="75" customWidth="1"/>
    <col min="12530" max="12530" width="8.33203125" style="75" customWidth="1"/>
    <col min="12531" max="12533" width="8.5" style="75" bestFit="1" customWidth="1"/>
    <col min="12534" max="12534" width="10" style="75" bestFit="1" customWidth="1"/>
    <col min="12535" max="12535" width="8.1640625" style="75" bestFit="1" customWidth="1"/>
    <col min="12536" max="12537" width="8.5" style="75" bestFit="1" customWidth="1"/>
    <col min="12538" max="12538" width="6" style="75" bestFit="1" customWidth="1"/>
    <col min="12539" max="12539" width="8.83203125" style="75" customWidth="1"/>
    <col min="12540" max="12540" width="8.5" style="75" bestFit="1" customWidth="1"/>
    <col min="12541" max="12541" width="7.1640625" style="75" bestFit="1" customWidth="1"/>
    <col min="12542" max="12542" width="4.5" style="75" bestFit="1" customWidth="1"/>
    <col min="12543" max="12543" width="5.5" style="75" bestFit="1" customWidth="1"/>
    <col min="12544" max="12546" width="6.1640625" style="75" bestFit="1" customWidth="1"/>
    <col min="12547" max="12547" width="7.1640625" style="75" bestFit="1" customWidth="1"/>
    <col min="12548" max="12557" width="8.83203125" style="75" customWidth="1"/>
    <col min="12558" max="12558" width="10" style="75" bestFit="1" customWidth="1"/>
    <col min="12559" max="12782" width="8.83203125" style="75" customWidth="1"/>
    <col min="12783" max="12783" width="7.83203125" style="75" customWidth="1"/>
    <col min="12784" max="12784" width="7.5" style="75" customWidth="1"/>
    <col min="12785" max="12785" width="9" style="75" customWidth="1"/>
    <col min="12786" max="12786" width="8.33203125" style="75" customWidth="1"/>
    <col min="12787" max="12789" width="8.5" style="75" bestFit="1" customWidth="1"/>
    <col min="12790" max="12790" width="10" style="75" bestFit="1" customWidth="1"/>
    <col min="12791" max="12791" width="8.1640625" style="75" bestFit="1" customWidth="1"/>
    <col min="12792" max="12793" width="8.5" style="75" bestFit="1" customWidth="1"/>
    <col min="12794" max="12794" width="6" style="75" bestFit="1" customWidth="1"/>
    <col min="12795" max="12795" width="8.83203125" style="75" customWidth="1"/>
    <col min="12796" max="12796" width="8.5" style="75" bestFit="1" customWidth="1"/>
    <col min="12797" max="12797" width="7.1640625" style="75" bestFit="1" customWidth="1"/>
    <col min="12798" max="12798" width="4.5" style="75" bestFit="1" customWidth="1"/>
    <col min="12799" max="12799" width="5.5" style="75" bestFit="1" customWidth="1"/>
    <col min="12800" max="12802" width="6.1640625" style="75" bestFit="1" customWidth="1"/>
    <col min="12803" max="12803" width="7.1640625" style="75" bestFit="1" customWidth="1"/>
    <col min="12804" max="12813" width="8.83203125" style="75" customWidth="1"/>
    <col min="12814" max="12814" width="10" style="75" bestFit="1" customWidth="1"/>
    <col min="12815" max="13038" width="8.83203125" style="75" customWidth="1"/>
    <col min="13039" max="13039" width="7.83203125" style="75" customWidth="1"/>
    <col min="13040" max="13040" width="7.5" style="75" customWidth="1"/>
    <col min="13041" max="13041" width="9" style="75" customWidth="1"/>
    <col min="13042" max="13042" width="8.33203125" style="75" customWidth="1"/>
    <col min="13043" max="13045" width="8.5" style="75" bestFit="1" customWidth="1"/>
    <col min="13046" max="13046" width="10" style="75" bestFit="1" customWidth="1"/>
    <col min="13047" max="13047" width="8.1640625" style="75" bestFit="1" customWidth="1"/>
    <col min="13048" max="13049" width="8.5" style="75" bestFit="1" customWidth="1"/>
    <col min="13050" max="13050" width="6" style="75" bestFit="1" customWidth="1"/>
    <col min="13051" max="13051" width="8.83203125" style="75" customWidth="1"/>
    <col min="13052" max="13052" width="8.5" style="75" bestFit="1" customWidth="1"/>
    <col min="13053" max="13053" width="7.1640625" style="75" bestFit="1" customWidth="1"/>
    <col min="13054" max="13054" width="4.5" style="75" bestFit="1" customWidth="1"/>
    <col min="13055" max="13055" width="5.5" style="75" bestFit="1" customWidth="1"/>
    <col min="13056" max="13058" width="6.1640625" style="75" bestFit="1" customWidth="1"/>
    <col min="13059" max="13059" width="7.1640625" style="75" bestFit="1" customWidth="1"/>
    <col min="13060" max="13069" width="8.83203125" style="75" customWidth="1"/>
    <col min="13070" max="13070" width="10" style="75" bestFit="1" customWidth="1"/>
    <col min="13071" max="13294" width="8.83203125" style="75" customWidth="1"/>
    <col min="13295" max="13295" width="7.83203125" style="75" customWidth="1"/>
    <col min="13296" max="13296" width="7.5" style="75" customWidth="1"/>
    <col min="13297" max="13297" width="9" style="75" customWidth="1"/>
    <col min="13298" max="13298" width="8.33203125" style="75" customWidth="1"/>
    <col min="13299" max="13301" width="8.5" style="75" bestFit="1" customWidth="1"/>
    <col min="13302" max="13302" width="10" style="75" bestFit="1" customWidth="1"/>
    <col min="13303" max="13303" width="8.1640625" style="75" bestFit="1" customWidth="1"/>
    <col min="13304" max="13305" width="8.5" style="75" bestFit="1" customWidth="1"/>
    <col min="13306" max="13306" width="6" style="75" bestFit="1" customWidth="1"/>
    <col min="13307" max="13307" width="8.83203125" style="75" customWidth="1"/>
    <col min="13308" max="13308" width="8.5" style="75" bestFit="1" customWidth="1"/>
    <col min="13309" max="13309" width="7.1640625" style="75" bestFit="1" customWidth="1"/>
    <col min="13310" max="13310" width="4.5" style="75" bestFit="1" customWidth="1"/>
    <col min="13311" max="13311" width="5.5" style="75" bestFit="1" customWidth="1"/>
    <col min="13312" max="13314" width="6.1640625" style="75" bestFit="1" customWidth="1"/>
    <col min="13315" max="13315" width="7.1640625" style="75" bestFit="1" customWidth="1"/>
    <col min="13316" max="13325" width="8.83203125" style="75" customWidth="1"/>
    <col min="13326" max="13326" width="10" style="75" bestFit="1" customWidth="1"/>
    <col min="13327" max="13550" width="8.83203125" style="75" customWidth="1"/>
    <col min="13551" max="13551" width="7.83203125" style="75" customWidth="1"/>
    <col min="13552" max="13552" width="7.5" style="75" customWidth="1"/>
    <col min="13553" max="13553" width="9" style="75" customWidth="1"/>
    <col min="13554" max="13554" width="8.33203125" style="75" customWidth="1"/>
    <col min="13555" max="13557" width="8.5" style="75" bestFit="1" customWidth="1"/>
    <col min="13558" max="13558" width="10" style="75" bestFit="1" customWidth="1"/>
    <col min="13559" max="13559" width="8.1640625" style="75" bestFit="1" customWidth="1"/>
    <col min="13560" max="13561" width="8.5" style="75" bestFit="1" customWidth="1"/>
    <col min="13562" max="13562" width="6" style="75" bestFit="1" customWidth="1"/>
    <col min="13563" max="13563" width="8.83203125" style="75" customWidth="1"/>
    <col min="13564" max="13564" width="8.5" style="75" bestFit="1" customWidth="1"/>
    <col min="13565" max="13565" width="7.1640625" style="75" bestFit="1" customWidth="1"/>
    <col min="13566" max="13566" width="4.5" style="75" bestFit="1" customWidth="1"/>
    <col min="13567" max="13567" width="5.5" style="75" bestFit="1" customWidth="1"/>
    <col min="13568" max="13570" width="6.1640625" style="75" bestFit="1" customWidth="1"/>
    <col min="13571" max="13571" width="7.1640625" style="75" bestFit="1" customWidth="1"/>
    <col min="13572" max="13581" width="8.83203125" style="75" customWidth="1"/>
    <col min="13582" max="13582" width="10" style="75" bestFit="1" customWidth="1"/>
    <col min="13583" max="13806" width="8.83203125" style="75" customWidth="1"/>
    <col min="13807" max="13807" width="7.83203125" style="75" customWidth="1"/>
    <col min="13808" max="13808" width="7.5" style="75" customWidth="1"/>
    <col min="13809" max="13809" width="9" style="75" customWidth="1"/>
    <col min="13810" max="13810" width="8.33203125" style="75" customWidth="1"/>
    <col min="13811" max="13813" width="8.5" style="75" bestFit="1" customWidth="1"/>
    <col min="13814" max="13814" width="10" style="75" bestFit="1" customWidth="1"/>
    <col min="13815" max="13815" width="8.1640625" style="75" bestFit="1" customWidth="1"/>
    <col min="13816" max="13817" width="8.5" style="75" bestFit="1" customWidth="1"/>
    <col min="13818" max="13818" width="6" style="75" bestFit="1" customWidth="1"/>
    <col min="13819" max="13819" width="8.83203125" style="75" customWidth="1"/>
    <col min="13820" max="13820" width="8.5" style="75" bestFit="1" customWidth="1"/>
    <col min="13821" max="13821" width="7.1640625" style="75" bestFit="1" customWidth="1"/>
    <col min="13822" max="13822" width="4.5" style="75" bestFit="1" customWidth="1"/>
    <col min="13823" max="13823" width="5.5" style="75" bestFit="1" customWidth="1"/>
    <col min="13824" max="13826" width="6.1640625" style="75" bestFit="1" customWidth="1"/>
    <col min="13827" max="13827" width="7.1640625" style="75" bestFit="1" customWidth="1"/>
    <col min="13828" max="13837" width="8.83203125" style="75" customWidth="1"/>
    <col min="13838" max="13838" width="10" style="75" bestFit="1" customWidth="1"/>
    <col min="13839" max="14062" width="8.83203125" style="75" customWidth="1"/>
    <col min="14063" max="14063" width="7.83203125" style="75" customWidth="1"/>
    <col min="14064" max="14064" width="7.5" style="75" customWidth="1"/>
    <col min="14065" max="14065" width="9" style="75" customWidth="1"/>
    <col min="14066" max="14066" width="8.33203125" style="75" customWidth="1"/>
    <col min="14067" max="14069" width="8.5" style="75" bestFit="1" customWidth="1"/>
    <col min="14070" max="14070" width="10" style="75" bestFit="1" customWidth="1"/>
    <col min="14071" max="14071" width="8.1640625" style="75" bestFit="1" customWidth="1"/>
    <col min="14072" max="14073" width="8.5" style="75" bestFit="1" customWidth="1"/>
    <col min="14074" max="14074" width="6" style="75" bestFit="1" customWidth="1"/>
    <col min="14075" max="14075" width="8.83203125" style="75" customWidth="1"/>
    <col min="14076" max="14076" width="8.5" style="75" bestFit="1" customWidth="1"/>
    <col min="14077" max="14077" width="7.1640625" style="75" bestFit="1" customWidth="1"/>
    <col min="14078" max="14078" width="4.5" style="75" bestFit="1" customWidth="1"/>
    <col min="14079" max="14079" width="5.5" style="75" bestFit="1" customWidth="1"/>
    <col min="14080" max="14082" width="6.1640625" style="75" bestFit="1" customWidth="1"/>
    <col min="14083" max="14083" width="7.1640625" style="75" bestFit="1" customWidth="1"/>
    <col min="14084" max="14093" width="8.83203125" style="75" customWidth="1"/>
    <col min="14094" max="14094" width="10" style="75" bestFit="1" customWidth="1"/>
    <col min="14095" max="14318" width="8.83203125" style="75" customWidth="1"/>
    <col min="14319" max="14319" width="7.83203125" style="75" customWidth="1"/>
    <col min="14320" max="14320" width="7.5" style="75" customWidth="1"/>
    <col min="14321" max="14321" width="9" style="75" customWidth="1"/>
    <col min="14322" max="14322" width="8.33203125" style="75" customWidth="1"/>
    <col min="14323" max="14325" width="8.5" style="75" bestFit="1" customWidth="1"/>
    <col min="14326" max="14326" width="10" style="75" bestFit="1" customWidth="1"/>
    <col min="14327" max="14327" width="8.1640625" style="75" bestFit="1" customWidth="1"/>
    <col min="14328" max="14329" width="8.5" style="75" bestFit="1" customWidth="1"/>
    <col min="14330" max="14330" width="6" style="75" bestFit="1" customWidth="1"/>
    <col min="14331" max="14331" width="8.83203125" style="75" customWidth="1"/>
    <col min="14332" max="14332" width="8.5" style="75" bestFit="1" customWidth="1"/>
    <col min="14333" max="14333" width="7.1640625" style="75" bestFit="1" customWidth="1"/>
    <col min="14334" max="14334" width="4.5" style="75" bestFit="1" customWidth="1"/>
    <col min="14335" max="14335" width="5.5" style="75" bestFit="1" customWidth="1"/>
    <col min="14336" max="14338" width="6.1640625" style="75" bestFit="1" customWidth="1"/>
    <col min="14339" max="14339" width="7.1640625" style="75" bestFit="1" customWidth="1"/>
    <col min="14340" max="14349" width="8.83203125" style="75" customWidth="1"/>
    <col min="14350" max="14350" width="10" style="75" bestFit="1" customWidth="1"/>
    <col min="14351" max="14574" width="8.83203125" style="75" customWidth="1"/>
    <col min="14575" max="14575" width="7.83203125" style="75" customWidth="1"/>
    <col min="14576" max="14576" width="7.5" style="75" customWidth="1"/>
    <col min="14577" max="14577" width="9" style="75" customWidth="1"/>
    <col min="14578" max="14578" width="8.33203125" style="75" customWidth="1"/>
    <col min="14579" max="14581" width="8.5" style="75" bestFit="1" customWidth="1"/>
    <col min="14582" max="14582" width="10" style="75" bestFit="1" customWidth="1"/>
    <col min="14583" max="14583" width="8.1640625" style="75" bestFit="1" customWidth="1"/>
    <col min="14584" max="14585" width="8.5" style="75" bestFit="1" customWidth="1"/>
    <col min="14586" max="14586" width="6" style="75" bestFit="1" customWidth="1"/>
    <col min="14587" max="14587" width="8.83203125" style="75" customWidth="1"/>
    <col min="14588" max="14588" width="8.5" style="75" bestFit="1" customWidth="1"/>
    <col min="14589" max="14589" width="7.1640625" style="75" bestFit="1" customWidth="1"/>
    <col min="14590" max="14590" width="4.5" style="75" bestFit="1" customWidth="1"/>
    <col min="14591" max="14591" width="5.5" style="75" bestFit="1" customWidth="1"/>
    <col min="14592" max="14594" width="6.1640625" style="75" bestFit="1" customWidth="1"/>
    <col min="14595" max="14595" width="7.1640625" style="75" bestFit="1" customWidth="1"/>
    <col min="14596" max="14605" width="8.83203125" style="75" customWidth="1"/>
    <col min="14606" max="14606" width="10" style="75" bestFit="1" customWidth="1"/>
    <col min="14607" max="14830" width="8.83203125" style="75" customWidth="1"/>
    <col min="14831" max="14831" width="7.83203125" style="75" customWidth="1"/>
    <col min="14832" max="14832" width="7.5" style="75" customWidth="1"/>
    <col min="14833" max="14833" width="9" style="75" customWidth="1"/>
    <col min="14834" max="14834" width="8.33203125" style="75" customWidth="1"/>
    <col min="14835" max="14837" width="8.5" style="75" bestFit="1" customWidth="1"/>
    <col min="14838" max="14838" width="10" style="75" bestFit="1" customWidth="1"/>
    <col min="14839" max="14839" width="8.1640625" style="75" bestFit="1" customWidth="1"/>
    <col min="14840" max="14841" width="8.5" style="75" bestFit="1" customWidth="1"/>
    <col min="14842" max="14842" width="6" style="75" bestFit="1" customWidth="1"/>
    <col min="14843" max="14843" width="8.83203125" style="75" customWidth="1"/>
    <col min="14844" max="14844" width="8.5" style="75" bestFit="1" customWidth="1"/>
    <col min="14845" max="14845" width="7.1640625" style="75" bestFit="1" customWidth="1"/>
    <col min="14846" max="14846" width="4.5" style="75" bestFit="1" customWidth="1"/>
    <col min="14847" max="14847" width="5.5" style="75" bestFit="1" customWidth="1"/>
    <col min="14848" max="14850" width="6.1640625" style="75" bestFit="1" customWidth="1"/>
    <col min="14851" max="14851" width="7.1640625" style="75" bestFit="1" customWidth="1"/>
    <col min="14852" max="14861" width="8.83203125" style="75" customWidth="1"/>
    <col min="14862" max="14862" width="10" style="75" bestFit="1" customWidth="1"/>
    <col min="14863" max="15086" width="8.83203125" style="75" customWidth="1"/>
    <col min="15087" max="15087" width="7.83203125" style="75" customWidth="1"/>
    <col min="15088" max="15088" width="7.5" style="75" customWidth="1"/>
    <col min="15089" max="15089" width="9" style="75" customWidth="1"/>
    <col min="15090" max="15090" width="8.33203125" style="75" customWidth="1"/>
    <col min="15091" max="15093" width="8.5" style="75" bestFit="1" customWidth="1"/>
    <col min="15094" max="15094" width="10" style="75" bestFit="1" customWidth="1"/>
    <col min="15095" max="15095" width="8.1640625" style="75" bestFit="1" customWidth="1"/>
    <col min="15096" max="15097" width="8.5" style="75" bestFit="1" customWidth="1"/>
    <col min="15098" max="15098" width="6" style="75" bestFit="1" customWidth="1"/>
    <col min="15099" max="15099" width="8.83203125" style="75" customWidth="1"/>
    <col min="15100" max="15100" width="8.5" style="75" bestFit="1" customWidth="1"/>
    <col min="15101" max="15101" width="7.1640625" style="75" bestFit="1" customWidth="1"/>
    <col min="15102" max="15102" width="4.5" style="75" bestFit="1" customWidth="1"/>
    <col min="15103" max="15103" width="5.5" style="75" bestFit="1" customWidth="1"/>
    <col min="15104" max="15106" width="6.1640625" style="75" bestFit="1" customWidth="1"/>
    <col min="15107" max="15107" width="7.1640625" style="75" bestFit="1" customWidth="1"/>
    <col min="15108" max="15117" width="8.83203125" style="75" customWidth="1"/>
    <col min="15118" max="15118" width="10" style="75" bestFit="1" customWidth="1"/>
    <col min="15119" max="15342" width="8.83203125" style="75" customWidth="1"/>
    <col min="15343" max="15343" width="7.83203125" style="75" customWidth="1"/>
    <col min="15344" max="15344" width="7.5" style="75" customWidth="1"/>
    <col min="15345" max="15345" width="9" style="75" customWidth="1"/>
    <col min="15346" max="15346" width="8.33203125" style="75" customWidth="1"/>
    <col min="15347" max="15349" width="8.5" style="75" bestFit="1" customWidth="1"/>
    <col min="15350" max="15350" width="10" style="75" bestFit="1" customWidth="1"/>
    <col min="15351" max="15351" width="8.1640625" style="75" bestFit="1" customWidth="1"/>
    <col min="15352" max="15353" width="8.5" style="75" bestFit="1" customWidth="1"/>
    <col min="15354" max="15354" width="6" style="75" bestFit="1" customWidth="1"/>
    <col min="15355" max="15355" width="8.83203125" style="75" customWidth="1"/>
    <col min="15356" max="15356" width="8.5" style="75" bestFit="1" customWidth="1"/>
    <col min="15357" max="15357" width="7.1640625" style="75" bestFit="1" customWidth="1"/>
    <col min="15358" max="15358" width="4.5" style="75" bestFit="1" customWidth="1"/>
    <col min="15359" max="15359" width="5.5" style="75" bestFit="1" customWidth="1"/>
    <col min="15360" max="15362" width="6.1640625" style="75" bestFit="1" customWidth="1"/>
    <col min="15363" max="15363" width="7.1640625" style="75" bestFit="1" customWidth="1"/>
    <col min="15364" max="15373" width="8.83203125" style="75" customWidth="1"/>
    <col min="15374" max="15374" width="10" style="75" bestFit="1" customWidth="1"/>
    <col min="15375" max="15598" width="8.83203125" style="75" customWidth="1"/>
    <col min="15599" max="15599" width="7.83203125" style="75" customWidth="1"/>
    <col min="15600" max="15600" width="7.5" style="75" customWidth="1"/>
    <col min="15601" max="15601" width="9" style="75" customWidth="1"/>
    <col min="15602" max="15602" width="8.33203125" style="75" customWidth="1"/>
    <col min="15603" max="15605" width="8.5" style="75" bestFit="1" customWidth="1"/>
    <col min="15606" max="15606" width="10" style="75" bestFit="1" customWidth="1"/>
    <col min="15607" max="15607" width="8.1640625" style="75" bestFit="1" customWidth="1"/>
    <col min="15608" max="15609" width="8.5" style="75" bestFit="1" customWidth="1"/>
    <col min="15610" max="15610" width="6" style="75" bestFit="1" customWidth="1"/>
    <col min="15611" max="15611" width="8.83203125" style="75" customWidth="1"/>
    <col min="15612" max="15612" width="8.5" style="75" bestFit="1" customWidth="1"/>
    <col min="15613" max="15613" width="7.1640625" style="75" bestFit="1" customWidth="1"/>
    <col min="15614" max="15614" width="4.5" style="75" bestFit="1" customWidth="1"/>
    <col min="15615" max="15615" width="5.5" style="75" bestFit="1" customWidth="1"/>
    <col min="15616" max="15618" width="6.1640625" style="75" bestFit="1" customWidth="1"/>
    <col min="15619" max="15619" width="7.1640625" style="75" bestFit="1" customWidth="1"/>
    <col min="15620" max="15629" width="8.83203125" style="75" customWidth="1"/>
    <col min="15630" max="15630" width="10" style="75" bestFit="1" customWidth="1"/>
    <col min="15631" max="15854" width="8.83203125" style="75" customWidth="1"/>
    <col min="15855" max="15855" width="7.83203125" style="75" customWidth="1"/>
    <col min="15856" max="15856" width="7.5" style="75" customWidth="1"/>
    <col min="15857" max="15857" width="9" style="75" customWidth="1"/>
    <col min="15858" max="15858" width="8.33203125" style="75" customWidth="1"/>
    <col min="15859" max="15861" width="8.5" style="75" bestFit="1" customWidth="1"/>
    <col min="15862" max="15862" width="10" style="75" bestFit="1" customWidth="1"/>
    <col min="15863" max="15863" width="8.1640625" style="75" bestFit="1" customWidth="1"/>
    <col min="15864" max="15865" width="8.5" style="75" bestFit="1" customWidth="1"/>
    <col min="15866" max="15866" width="6" style="75" bestFit="1" customWidth="1"/>
    <col min="15867" max="15867" width="8.83203125" style="75" customWidth="1"/>
    <col min="15868" max="15868" width="8.5" style="75" bestFit="1" customWidth="1"/>
    <col min="15869" max="15869" width="7.1640625" style="75" bestFit="1" customWidth="1"/>
    <col min="15870" max="15870" width="4.5" style="75" bestFit="1" customWidth="1"/>
    <col min="15871" max="15871" width="5.5" style="75" bestFit="1" customWidth="1"/>
    <col min="15872" max="15874" width="6.1640625" style="75" bestFit="1" customWidth="1"/>
    <col min="15875" max="15875" width="7.1640625" style="75" bestFit="1" customWidth="1"/>
    <col min="15876" max="15885" width="8.83203125" style="75" customWidth="1"/>
    <col min="15886" max="15886" width="10" style="75" bestFit="1" customWidth="1"/>
    <col min="15887" max="16110" width="8.83203125" style="75" customWidth="1"/>
    <col min="16111" max="16111" width="7.83203125" style="75" customWidth="1"/>
    <col min="16112" max="16112" width="7.5" style="75" customWidth="1"/>
    <col min="16113" max="16113" width="9" style="75" customWidth="1"/>
    <col min="16114" max="16114" width="8.33203125" style="75" customWidth="1"/>
    <col min="16115" max="16117" width="8.5" style="75" bestFit="1" customWidth="1"/>
    <col min="16118" max="16118" width="10" style="75" bestFit="1" customWidth="1"/>
    <col min="16119" max="16119" width="8.1640625" style="75" bestFit="1" customWidth="1"/>
    <col min="16120" max="16121" width="8.5" style="75" bestFit="1" customWidth="1"/>
    <col min="16122" max="16122" width="6" style="75" bestFit="1" customWidth="1"/>
    <col min="16123" max="16123" width="8.83203125" style="75" customWidth="1"/>
    <col min="16124" max="16124" width="8.5" style="75" bestFit="1" customWidth="1"/>
    <col min="16125" max="16125" width="7.1640625" style="75" bestFit="1" customWidth="1"/>
    <col min="16126" max="16126" width="4.5" style="75" bestFit="1" customWidth="1"/>
    <col min="16127" max="16127" width="5.5" style="75" bestFit="1" customWidth="1"/>
    <col min="16128" max="16130" width="6.1640625" style="75" bestFit="1" customWidth="1"/>
    <col min="16131" max="16131" width="7.1640625" style="75" bestFit="1" customWidth="1"/>
    <col min="16132" max="16141" width="8.83203125" style="75" customWidth="1"/>
    <col min="16142" max="16142" width="10" style="75" bestFit="1" customWidth="1"/>
    <col min="16143" max="16384" width="8.83203125" style="75" customWidth="1"/>
  </cols>
  <sheetData>
    <row r="1" spans="2:10" s="72" customFormat="1" ht="14" customHeight="1"/>
    <row r="2" spans="2:10" s="72" customFormat="1" ht="14" customHeight="1">
      <c r="B2" s="76" t="s">
        <v>24</v>
      </c>
      <c r="C2" s="77">
        <f>PI()/180</f>
        <v>1.7453292519943295E-2</v>
      </c>
      <c r="F2" s="96" t="s">
        <v>68</v>
      </c>
      <c r="G2" s="97">
        <f>Illumination!C21</f>
        <v>81.593513300780188</v>
      </c>
      <c r="H2" s="98"/>
      <c r="I2" s="99"/>
      <c r="J2" s="100"/>
    </row>
    <row r="3" spans="2:10" s="72" customFormat="1" ht="14" customHeight="1">
      <c r="B3" s="78" t="s">
        <v>31</v>
      </c>
      <c r="C3" s="79">
        <f>('Sun, Moon Position'!C13-2451545)/36525</f>
        <v>0.24368240930869267</v>
      </c>
      <c r="F3" s="101" t="s">
        <v>69</v>
      </c>
      <c r="G3" s="102">
        <v>200</v>
      </c>
      <c r="H3" s="102"/>
      <c r="I3" s="102" t="s">
        <v>70</v>
      </c>
      <c r="J3" s="103">
        <f>MOD(360-Illumination!G2+180,360)</f>
        <v>98.40648669921984</v>
      </c>
    </row>
    <row r="4" spans="2:10" s="72" customFormat="1" ht="14" customHeight="1">
      <c r="B4" s="78" t="s">
        <v>16</v>
      </c>
      <c r="C4" s="79">
        <f>MOD(297.8502042+445267.1115168*$C$3-0.00163*POWER($C$3,2)+(POWER($C$3,3)/545868)-(POWER($C$3,4)/113065000),360)</f>
        <v>81.612627771435655</v>
      </c>
      <c r="F4" s="101" t="s">
        <v>71</v>
      </c>
      <c r="G4" s="102">
        <f>2/G3</f>
        <v>0.01</v>
      </c>
      <c r="H4" s="102"/>
      <c r="I4" s="102" t="s">
        <v>72</v>
      </c>
      <c r="J4" s="104">
        <f>COS(RADIANS(J3))</f>
        <v>-0.14619502736006368</v>
      </c>
    </row>
    <row r="5" spans="2:10" s="72" customFormat="1" ht="14" customHeight="1">
      <c r="B5" s="78" t="s">
        <v>15</v>
      </c>
      <c r="C5" s="79">
        <f>MOD(357.5291092+35999.0502909*$C$3-0.0001536*POWER($C$3,2)+(POWER($C$3,3)/24490000),360)</f>
        <v>129.86440779095756</v>
      </c>
      <c r="F5" s="101"/>
      <c r="G5" s="102"/>
      <c r="H5" s="102"/>
      <c r="I5" s="102" t="s">
        <v>73</v>
      </c>
      <c r="J5" s="105">
        <f>ABS(J4)</f>
        <v>0.14619502736006368</v>
      </c>
    </row>
    <row r="6" spans="2:10" s="72" customFormat="1" ht="14" customHeight="1">
      <c r="B6" s="78" t="s">
        <v>17</v>
      </c>
      <c r="C6" s="79">
        <f>MOD(134.9634114+477198.8676313*$C$3+0.008997*POWER($C$3,2)+(POWER($C$3,3)/69699)-(POWER($C$3,4)/14712000),360)</f>
        <v>139.93372963437287</v>
      </c>
      <c r="F6" s="106"/>
      <c r="G6" s="107"/>
      <c r="H6" s="107"/>
      <c r="I6" s="107" t="s">
        <v>74</v>
      </c>
      <c r="J6" s="108">
        <v>1</v>
      </c>
    </row>
    <row r="7" spans="2:10" s="72" customFormat="1" ht="14" customHeight="1">
      <c r="B7" s="78" t="s">
        <v>32</v>
      </c>
      <c r="C7" s="79">
        <f>180-C4-6.289*SIN($C$2*C6)+2.1*SIN($C$2*C5)-1.274*SIN($C$2*(2*C4-C6))-0.658*SIN($C$2*2*C4)-0.214*SIN($C$2*2*C6)-0.11*SIN($C$2*C4)</f>
        <v>95.359548293014214</v>
      </c>
      <c r="F7" s="101"/>
      <c r="G7" s="102"/>
      <c r="H7" s="102"/>
      <c r="I7" s="102"/>
      <c r="J7" s="105"/>
    </row>
    <row r="8" spans="2:10" s="72" customFormat="1" ht="14" customHeight="1">
      <c r="B8" s="80" t="s">
        <v>66</v>
      </c>
      <c r="C8" s="81">
        <f>(1+COS($C$2*C7))/2</f>
        <v>0.4532972961154455</v>
      </c>
      <c r="F8" s="109" t="s">
        <v>75</v>
      </c>
      <c r="G8" s="110" t="s">
        <v>76</v>
      </c>
      <c r="H8" s="110" t="s">
        <v>77</v>
      </c>
      <c r="I8" s="110" t="s">
        <v>78</v>
      </c>
      <c r="J8" s="111" t="s">
        <v>79</v>
      </c>
    </row>
    <row r="9" spans="2:10" s="72" customFormat="1" ht="14" customHeight="1">
      <c r="F9" s="112">
        <v>-1</v>
      </c>
      <c r="G9" s="113">
        <f t="shared" ref="G9:G72" si="0">IFERROR(IF(SQRT(1-(F9*F9)/($J$5*$J$5))&lt;0.05,0,SQRT(1-(F9*F9)/($J$5*$J$5))),0)</f>
        <v>0</v>
      </c>
      <c r="H9" s="113">
        <f t="shared" ref="H9:H72" si="1">CHOOSE(MATCH($J$3,degrees),IF(F9&lt;0,IFERROR(1-G9,1),0),0,0,IF(F9&gt;0,IFERROR(1-G9,1),0))</f>
        <v>0</v>
      </c>
      <c r="I9" s="113">
        <f t="shared" ref="I9:I72" si="2">CHOOSE(MATCH($J$3,degrees),IF(F9&lt;0,2*G9,2),IF(F9&lt;0,0,1-G9),IF(F9&gt;0,0,1-G9),IF(F9&gt;0,2*G9,2))</f>
        <v>0</v>
      </c>
      <c r="J9" s="104">
        <f t="shared" ref="J9:J72" si="3">CHOOSE(MATCH($J$3,degrees),IF(F9&lt;0,G9+1,2),IF(F9&lt;0,2,2*G9),IF(F9&gt;0,2,2*G9),IF(F9&gt;0,G9+1,2))</f>
        <v>2</v>
      </c>
    </row>
    <row r="10" spans="2:10" s="72" customFormat="1" ht="14" customHeight="1">
      <c r="F10" s="112">
        <f t="shared" ref="F10:F73" si="4">F9+$G$4</f>
        <v>-0.99</v>
      </c>
      <c r="G10" s="113">
        <f t="shared" si="0"/>
        <v>0</v>
      </c>
      <c r="H10" s="113">
        <f t="shared" si="1"/>
        <v>0</v>
      </c>
      <c r="I10" s="113">
        <f t="shared" si="2"/>
        <v>0</v>
      </c>
      <c r="J10" s="104">
        <f t="shared" si="3"/>
        <v>2</v>
      </c>
    </row>
    <row r="11" spans="2:10" s="72" customFormat="1" ht="16" customHeight="1">
      <c r="F11" s="112">
        <f t="shared" si="4"/>
        <v>-0.98</v>
      </c>
      <c r="G11" s="113">
        <f t="shared" si="0"/>
        <v>0</v>
      </c>
      <c r="H11" s="113">
        <f t="shared" si="1"/>
        <v>0</v>
      </c>
      <c r="I11" s="113">
        <f t="shared" si="2"/>
        <v>0</v>
      </c>
      <c r="J11" s="104">
        <f t="shared" si="3"/>
        <v>2</v>
      </c>
    </row>
    <row r="12" spans="2:10" s="72" customFormat="1" ht="16" customHeight="1">
      <c r="F12" s="112">
        <f t="shared" si="4"/>
        <v>-0.97</v>
      </c>
      <c r="G12" s="113">
        <f t="shared" si="0"/>
        <v>0</v>
      </c>
      <c r="H12" s="113">
        <f t="shared" si="1"/>
        <v>0</v>
      </c>
      <c r="I12" s="113">
        <f t="shared" si="2"/>
        <v>0</v>
      </c>
      <c r="J12" s="104">
        <f t="shared" si="3"/>
        <v>2</v>
      </c>
    </row>
    <row r="13" spans="2:10" s="72" customFormat="1" ht="16" customHeight="1">
      <c r="F13" s="112">
        <f t="shared" si="4"/>
        <v>-0.96</v>
      </c>
      <c r="G13" s="113">
        <f t="shared" si="0"/>
        <v>0</v>
      </c>
      <c r="H13" s="113">
        <f t="shared" si="1"/>
        <v>0</v>
      </c>
      <c r="I13" s="113">
        <f t="shared" si="2"/>
        <v>0</v>
      </c>
      <c r="J13" s="104">
        <f t="shared" si="3"/>
        <v>2</v>
      </c>
    </row>
    <row r="14" spans="2:10" s="72" customFormat="1" ht="16" customHeight="1">
      <c r="E14" s="73"/>
      <c r="F14" s="112">
        <f t="shared" si="4"/>
        <v>-0.95</v>
      </c>
      <c r="G14" s="113">
        <f t="shared" si="0"/>
        <v>0</v>
      </c>
      <c r="H14" s="113">
        <f t="shared" si="1"/>
        <v>0</v>
      </c>
      <c r="I14" s="113">
        <f t="shared" si="2"/>
        <v>0</v>
      </c>
      <c r="J14" s="104">
        <f t="shared" si="3"/>
        <v>2</v>
      </c>
    </row>
    <row r="15" spans="2:10" s="72" customFormat="1" ht="16" customHeight="1">
      <c r="E15" s="73"/>
      <c r="F15" s="112">
        <f t="shared" si="4"/>
        <v>-0.94</v>
      </c>
      <c r="G15" s="113">
        <f t="shared" si="0"/>
        <v>0</v>
      </c>
      <c r="H15" s="113">
        <f t="shared" si="1"/>
        <v>0</v>
      </c>
      <c r="I15" s="113">
        <f t="shared" si="2"/>
        <v>0</v>
      </c>
      <c r="J15" s="104">
        <f t="shared" si="3"/>
        <v>2</v>
      </c>
    </row>
    <row r="16" spans="2:10" s="72" customFormat="1" ht="16" customHeight="1">
      <c r="E16" s="73"/>
      <c r="F16" s="112">
        <f t="shared" si="4"/>
        <v>-0.92999999999999994</v>
      </c>
      <c r="G16" s="113">
        <f t="shared" si="0"/>
        <v>0</v>
      </c>
      <c r="H16" s="113">
        <f t="shared" si="1"/>
        <v>0</v>
      </c>
      <c r="I16" s="113">
        <f t="shared" si="2"/>
        <v>0</v>
      </c>
      <c r="J16" s="104">
        <f t="shared" si="3"/>
        <v>2</v>
      </c>
    </row>
    <row r="17" spans="2:10" s="72" customFormat="1" ht="16" customHeight="1">
      <c r="E17" s="73"/>
      <c r="F17" s="112">
        <f t="shared" si="4"/>
        <v>-0.91999999999999993</v>
      </c>
      <c r="G17" s="113">
        <f t="shared" si="0"/>
        <v>0</v>
      </c>
      <c r="H17" s="113">
        <f t="shared" si="1"/>
        <v>0</v>
      </c>
      <c r="I17" s="113">
        <f t="shared" si="2"/>
        <v>0</v>
      </c>
      <c r="J17" s="104">
        <f t="shared" si="3"/>
        <v>2</v>
      </c>
    </row>
    <row r="18" spans="2:10" s="72" customFormat="1" ht="16" customHeight="1">
      <c r="E18" s="73"/>
      <c r="F18" s="112">
        <f t="shared" si="4"/>
        <v>-0.90999999999999992</v>
      </c>
      <c r="G18" s="113">
        <f t="shared" si="0"/>
        <v>0</v>
      </c>
      <c r="H18" s="113">
        <f t="shared" si="1"/>
        <v>0</v>
      </c>
      <c r="I18" s="113">
        <f t="shared" si="2"/>
        <v>0</v>
      </c>
      <c r="J18" s="104">
        <f t="shared" si="3"/>
        <v>2</v>
      </c>
    </row>
    <row r="19" spans="2:10" s="72" customFormat="1" ht="16" customHeight="1">
      <c r="B19" s="82" t="s">
        <v>80</v>
      </c>
      <c r="C19" s="83">
        <v>2460438.64</v>
      </c>
      <c r="D19" s="72" t="s">
        <v>81</v>
      </c>
      <c r="E19" s="73"/>
      <c r="F19" s="112">
        <f t="shared" si="4"/>
        <v>-0.89999999999999991</v>
      </c>
      <c r="G19" s="113">
        <f t="shared" si="0"/>
        <v>0</v>
      </c>
      <c r="H19" s="113">
        <f t="shared" si="1"/>
        <v>0</v>
      </c>
      <c r="I19" s="113">
        <f t="shared" si="2"/>
        <v>0</v>
      </c>
      <c r="J19" s="104">
        <f t="shared" si="3"/>
        <v>2</v>
      </c>
    </row>
    <row r="20" spans="2:10" s="72" customFormat="1" ht="16" customHeight="1">
      <c r="B20" s="84" t="s">
        <v>82</v>
      </c>
      <c r="C20" s="85">
        <f>(('Sun, Moon Position'!C13-C19)/29.530588853)-INT(('Sun, Moon Position'!C13-C19)/29.530588853)</f>
        <v>0.23230149706861367</v>
      </c>
      <c r="D20" s="72" t="str">
        <f>IF(C20&lt;0.5,"(before FM)","(after FM)")</f>
        <v>(before FM)</v>
      </c>
      <c r="E20" s="73"/>
      <c r="F20" s="112">
        <f t="shared" si="4"/>
        <v>-0.8899999999999999</v>
      </c>
      <c r="G20" s="113">
        <f t="shared" si="0"/>
        <v>0</v>
      </c>
      <c r="H20" s="113">
        <f t="shared" si="1"/>
        <v>0</v>
      </c>
      <c r="I20" s="113">
        <f t="shared" si="2"/>
        <v>0</v>
      </c>
      <c r="J20" s="104">
        <f t="shared" si="3"/>
        <v>2</v>
      </c>
    </row>
    <row r="21" spans="2:10" s="72" customFormat="1" ht="16" customHeight="1">
      <c r="B21" s="80" t="s">
        <v>83</v>
      </c>
      <c r="C21" s="86">
        <f>IF(C20&lt;0.5,180*C8,360-180*C8)</f>
        <v>81.593513300780188</v>
      </c>
      <c r="E21" s="73"/>
      <c r="F21" s="112">
        <f t="shared" si="4"/>
        <v>-0.87999999999999989</v>
      </c>
      <c r="G21" s="113">
        <f t="shared" si="0"/>
        <v>0</v>
      </c>
      <c r="H21" s="113">
        <f t="shared" si="1"/>
        <v>0</v>
      </c>
      <c r="I21" s="113">
        <f t="shared" si="2"/>
        <v>0</v>
      </c>
      <c r="J21" s="104">
        <f t="shared" si="3"/>
        <v>2</v>
      </c>
    </row>
    <row r="22" spans="2:10" s="72" customFormat="1" ht="16" customHeight="1">
      <c r="E22" s="73"/>
      <c r="F22" s="112">
        <f t="shared" si="4"/>
        <v>-0.86999999999999988</v>
      </c>
      <c r="G22" s="113">
        <f t="shared" si="0"/>
        <v>0</v>
      </c>
      <c r="H22" s="113">
        <f t="shared" si="1"/>
        <v>0</v>
      </c>
      <c r="I22" s="113">
        <f t="shared" si="2"/>
        <v>0</v>
      </c>
      <c r="J22" s="104">
        <f t="shared" si="3"/>
        <v>2</v>
      </c>
    </row>
    <row r="23" spans="2:10" s="72" customFormat="1" ht="16" customHeight="1">
      <c r="B23" s="87">
        <v>0</v>
      </c>
      <c r="C23" s="88">
        <v>0</v>
      </c>
      <c r="D23" s="89" t="s">
        <v>84</v>
      </c>
      <c r="F23" s="112">
        <f t="shared" si="4"/>
        <v>-0.85999999999999988</v>
      </c>
      <c r="G23" s="113">
        <f t="shared" si="0"/>
        <v>0</v>
      </c>
      <c r="H23" s="113">
        <f t="shared" si="1"/>
        <v>0</v>
      </c>
      <c r="I23" s="113">
        <f t="shared" si="2"/>
        <v>0</v>
      </c>
      <c r="J23" s="104">
        <f t="shared" si="3"/>
        <v>2</v>
      </c>
    </row>
    <row r="24" spans="2:10" s="72" customFormat="1" ht="16" customHeight="1">
      <c r="B24" s="90">
        <f t="shared" ref="B24:B31" si="5">B23+45</f>
        <v>45</v>
      </c>
      <c r="C24" s="91">
        <f t="shared" ref="C24:C31" si="6">B24-22.5</f>
        <v>22.5</v>
      </c>
      <c r="D24" s="92" t="s">
        <v>85</v>
      </c>
      <c r="F24" s="112">
        <f t="shared" si="4"/>
        <v>-0.84999999999999987</v>
      </c>
      <c r="G24" s="113">
        <f t="shared" si="0"/>
        <v>0</v>
      </c>
      <c r="H24" s="113">
        <f t="shared" si="1"/>
        <v>0</v>
      </c>
      <c r="I24" s="113">
        <f t="shared" si="2"/>
        <v>0</v>
      </c>
      <c r="J24" s="104">
        <f t="shared" si="3"/>
        <v>2</v>
      </c>
    </row>
    <row r="25" spans="2:10" s="72" customFormat="1" ht="16" customHeight="1">
      <c r="B25" s="90">
        <f t="shared" si="5"/>
        <v>90</v>
      </c>
      <c r="C25" s="91">
        <f t="shared" si="6"/>
        <v>67.5</v>
      </c>
      <c r="D25" s="92" t="s">
        <v>86</v>
      </c>
      <c r="F25" s="112">
        <f t="shared" si="4"/>
        <v>-0.83999999999999986</v>
      </c>
      <c r="G25" s="113">
        <f t="shared" si="0"/>
        <v>0</v>
      </c>
      <c r="H25" s="113">
        <f t="shared" si="1"/>
        <v>0</v>
      </c>
      <c r="I25" s="113">
        <f t="shared" si="2"/>
        <v>0</v>
      </c>
      <c r="J25" s="104">
        <f t="shared" si="3"/>
        <v>2</v>
      </c>
    </row>
    <row r="26" spans="2:10" s="72" customFormat="1" ht="16" customHeight="1">
      <c r="B26" s="90">
        <f t="shared" si="5"/>
        <v>135</v>
      </c>
      <c r="C26" s="91">
        <f t="shared" si="6"/>
        <v>112.5</v>
      </c>
      <c r="D26" s="92" t="s">
        <v>87</v>
      </c>
      <c r="F26" s="112">
        <f t="shared" si="4"/>
        <v>-0.82999999999999985</v>
      </c>
      <c r="G26" s="113">
        <f t="shared" si="0"/>
        <v>0</v>
      </c>
      <c r="H26" s="113">
        <f t="shared" si="1"/>
        <v>0</v>
      </c>
      <c r="I26" s="113">
        <f t="shared" si="2"/>
        <v>0</v>
      </c>
      <c r="J26" s="104">
        <f t="shared" si="3"/>
        <v>2</v>
      </c>
    </row>
    <row r="27" spans="2:10" s="72" customFormat="1" ht="16" customHeight="1">
      <c r="B27" s="90">
        <f t="shared" si="5"/>
        <v>180</v>
      </c>
      <c r="C27" s="91">
        <f t="shared" si="6"/>
        <v>157.5</v>
      </c>
      <c r="D27" s="92" t="s">
        <v>88</v>
      </c>
      <c r="F27" s="112">
        <f t="shared" si="4"/>
        <v>-0.81999999999999984</v>
      </c>
      <c r="G27" s="113">
        <f t="shared" si="0"/>
        <v>0</v>
      </c>
      <c r="H27" s="113">
        <f t="shared" si="1"/>
        <v>0</v>
      </c>
      <c r="I27" s="113">
        <f t="shared" si="2"/>
        <v>0</v>
      </c>
      <c r="J27" s="104">
        <f t="shared" si="3"/>
        <v>2</v>
      </c>
    </row>
    <row r="28" spans="2:10" s="72" customFormat="1" ht="16" customHeight="1">
      <c r="B28" s="90">
        <f t="shared" si="5"/>
        <v>225</v>
      </c>
      <c r="C28" s="91">
        <f t="shared" si="6"/>
        <v>202.5</v>
      </c>
      <c r="D28" s="92" t="s">
        <v>89</v>
      </c>
      <c r="F28" s="112">
        <f t="shared" si="4"/>
        <v>-0.80999999999999983</v>
      </c>
      <c r="G28" s="113">
        <f t="shared" si="0"/>
        <v>0</v>
      </c>
      <c r="H28" s="113">
        <f t="shared" si="1"/>
        <v>0</v>
      </c>
      <c r="I28" s="113">
        <f t="shared" si="2"/>
        <v>0</v>
      </c>
      <c r="J28" s="104">
        <f t="shared" si="3"/>
        <v>2</v>
      </c>
    </row>
    <row r="29" spans="2:10" s="72" customFormat="1" ht="16" customHeight="1">
      <c r="B29" s="90">
        <f t="shared" si="5"/>
        <v>270</v>
      </c>
      <c r="C29" s="91">
        <f t="shared" si="6"/>
        <v>247.5</v>
      </c>
      <c r="D29" s="92" t="s">
        <v>90</v>
      </c>
      <c r="F29" s="112">
        <f t="shared" si="4"/>
        <v>-0.79999999999999982</v>
      </c>
      <c r="G29" s="113">
        <f t="shared" si="0"/>
        <v>0</v>
      </c>
      <c r="H29" s="113">
        <f t="shared" si="1"/>
        <v>0</v>
      </c>
      <c r="I29" s="113">
        <f t="shared" si="2"/>
        <v>0</v>
      </c>
      <c r="J29" s="104">
        <f t="shared" si="3"/>
        <v>2</v>
      </c>
    </row>
    <row r="30" spans="2:10" s="72" customFormat="1" ht="16" customHeight="1">
      <c r="B30" s="90">
        <f t="shared" si="5"/>
        <v>315</v>
      </c>
      <c r="C30" s="91">
        <f t="shared" si="6"/>
        <v>292.5</v>
      </c>
      <c r="D30" s="92" t="s">
        <v>91</v>
      </c>
      <c r="F30" s="112">
        <f t="shared" si="4"/>
        <v>-0.78999999999999981</v>
      </c>
      <c r="G30" s="113">
        <f t="shared" si="0"/>
        <v>0</v>
      </c>
      <c r="H30" s="113">
        <f t="shared" si="1"/>
        <v>0</v>
      </c>
      <c r="I30" s="113">
        <f t="shared" si="2"/>
        <v>0</v>
      </c>
      <c r="J30" s="104">
        <f t="shared" si="3"/>
        <v>2</v>
      </c>
    </row>
    <row r="31" spans="2:10" s="72" customFormat="1" ht="16" customHeight="1">
      <c r="B31" s="93">
        <f t="shared" si="5"/>
        <v>360</v>
      </c>
      <c r="C31" s="94">
        <f t="shared" si="6"/>
        <v>337.5</v>
      </c>
      <c r="D31" s="95" t="s">
        <v>84</v>
      </c>
      <c r="F31" s="112">
        <f t="shared" si="4"/>
        <v>-0.7799999999999998</v>
      </c>
      <c r="G31" s="113">
        <f t="shared" si="0"/>
        <v>0</v>
      </c>
      <c r="H31" s="113">
        <f t="shared" si="1"/>
        <v>0</v>
      </c>
      <c r="I31" s="113">
        <f t="shared" si="2"/>
        <v>0</v>
      </c>
      <c r="J31" s="104">
        <f t="shared" si="3"/>
        <v>2</v>
      </c>
    </row>
    <row r="32" spans="2:10" s="72" customFormat="1" ht="16" customHeight="1">
      <c r="F32" s="112">
        <f t="shared" si="4"/>
        <v>-0.7699999999999998</v>
      </c>
      <c r="G32" s="113">
        <f t="shared" si="0"/>
        <v>0</v>
      </c>
      <c r="H32" s="113">
        <f t="shared" si="1"/>
        <v>0</v>
      </c>
      <c r="I32" s="113">
        <f t="shared" si="2"/>
        <v>0</v>
      </c>
      <c r="J32" s="104">
        <f t="shared" si="3"/>
        <v>2</v>
      </c>
    </row>
    <row r="33" spans="6:10" s="72" customFormat="1" ht="16" customHeight="1">
      <c r="F33" s="112">
        <f t="shared" si="4"/>
        <v>-0.75999999999999979</v>
      </c>
      <c r="G33" s="113">
        <f t="shared" si="0"/>
        <v>0</v>
      </c>
      <c r="H33" s="113">
        <f t="shared" si="1"/>
        <v>0</v>
      </c>
      <c r="I33" s="113">
        <f t="shared" si="2"/>
        <v>0</v>
      </c>
      <c r="J33" s="104">
        <f t="shared" si="3"/>
        <v>2</v>
      </c>
    </row>
    <row r="34" spans="6:10" s="72" customFormat="1" ht="16" customHeight="1">
      <c r="F34" s="112">
        <f t="shared" si="4"/>
        <v>-0.74999999999999978</v>
      </c>
      <c r="G34" s="113">
        <f t="shared" si="0"/>
        <v>0</v>
      </c>
      <c r="H34" s="113">
        <f t="shared" si="1"/>
        <v>0</v>
      </c>
      <c r="I34" s="113">
        <f t="shared" si="2"/>
        <v>0</v>
      </c>
      <c r="J34" s="104">
        <f t="shared" si="3"/>
        <v>2</v>
      </c>
    </row>
    <row r="35" spans="6:10" s="72" customFormat="1" ht="16" customHeight="1">
      <c r="F35" s="112">
        <f t="shared" si="4"/>
        <v>-0.73999999999999977</v>
      </c>
      <c r="G35" s="113">
        <f t="shared" si="0"/>
        <v>0</v>
      </c>
      <c r="H35" s="113">
        <f t="shared" si="1"/>
        <v>0</v>
      </c>
      <c r="I35" s="113">
        <f t="shared" si="2"/>
        <v>0</v>
      </c>
      <c r="J35" s="104">
        <f t="shared" si="3"/>
        <v>2</v>
      </c>
    </row>
    <row r="36" spans="6:10" s="72" customFormat="1" ht="16" customHeight="1">
      <c r="F36" s="112">
        <f t="shared" si="4"/>
        <v>-0.72999999999999976</v>
      </c>
      <c r="G36" s="113">
        <f t="shared" si="0"/>
        <v>0</v>
      </c>
      <c r="H36" s="113">
        <f t="shared" si="1"/>
        <v>0</v>
      </c>
      <c r="I36" s="113">
        <f t="shared" si="2"/>
        <v>0</v>
      </c>
      <c r="J36" s="104">
        <f t="shared" si="3"/>
        <v>2</v>
      </c>
    </row>
    <row r="37" spans="6:10" s="72" customFormat="1" ht="16" customHeight="1">
      <c r="F37" s="112">
        <f t="shared" si="4"/>
        <v>-0.71999999999999975</v>
      </c>
      <c r="G37" s="113">
        <f t="shared" si="0"/>
        <v>0</v>
      </c>
      <c r="H37" s="113">
        <f t="shared" si="1"/>
        <v>0</v>
      </c>
      <c r="I37" s="113">
        <f t="shared" si="2"/>
        <v>0</v>
      </c>
      <c r="J37" s="104">
        <f t="shared" si="3"/>
        <v>2</v>
      </c>
    </row>
    <row r="38" spans="6:10" s="72" customFormat="1" ht="16" customHeight="1">
      <c r="F38" s="112">
        <f t="shared" si="4"/>
        <v>-0.70999999999999974</v>
      </c>
      <c r="G38" s="113">
        <f t="shared" si="0"/>
        <v>0</v>
      </c>
      <c r="H38" s="113">
        <f t="shared" si="1"/>
        <v>0</v>
      </c>
      <c r="I38" s="113">
        <f t="shared" si="2"/>
        <v>0</v>
      </c>
      <c r="J38" s="104">
        <f t="shared" si="3"/>
        <v>2</v>
      </c>
    </row>
    <row r="39" spans="6:10" s="72" customFormat="1" ht="16" customHeight="1">
      <c r="F39" s="112">
        <f t="shared" si="4"/>
        <v>-0.69999999999999973</v>
      </c>
      <c r="G39" s="113">
        <f t="shared" si="0"/>
        <v>0</v>
      </c>
      <c r="H39" s="113">
        <f t="shared" si="1"/>
        <v>0</v>
      </c>
      <c r="I39" s="113">
        <f t="shared" si="2"/>
        <v>0</v>
      </c>
      <c r="J39" s="104">
        <f t="shared" si="3"/>
        <v>2</v>
      </c>
    </row>
    <row r="40" spans="6:10" s="72" customFormat="1" ht="16" customHeight="1">
      <c r="F40" s="112">
        <f t="shared" si="4"/>
        <v>-0.68999999999999972</v>
      </c>
      <c r="G40" s="113">
        <f t="shared" si="0"/>
        <v>0</v>
      </c>
      <c r="H40" s="113">
        <f t="shared" si="1"/>
        <v>0</v>
      </c>
      <c r="I40" s="113">
        <f t="shared" si="2"/>
        <v>0</v>
      </c>
      <c r="J40" s="104">
        <f t="shared" si="3"/>
        <v>2</v>
      </c>
    </row>
    <row r="41" spans="6:10" s="72" customFormat="1" ht="16" customHeight="1">
      <c r="F41" s="112">
        <f t="shared" si="4"/>
        <v>-0.67999999999999972</v>
      </c>
      <c r="G41" s="113">
        <f t="shared" si="0"/>
        <v>0</v>
      </c>
      <c r="H41" s="113">
        <f t="shared" si="1"/>
        <v>0</v>
      </c>
      <c r="I41" s="113">
        <f t="shared" si="2"/>
        <v>0</v>
      </c>
      <c r="J41" s="104">
        <f t="shared" si="3"/>
        <v>2</v>
      </c>
    </row>
    <row r="42" spans="6:10" s="72" customFormat="1" ht="16" customHeight="1">
      <c r="F42" s="112">
        <f t="shared" si="4"/>
        <v>-0.66999999999999971</v>
      </c>
      <c r="G42" s="113">
        <f t="shared" si="0"/>
        <v>0</v>
      </c>
      <c r="H42" s="113">
        <f t="shared" si="1"/>
        <v>0</v>
      </c>
      <c r="I42" s="113">
        <f t="shared" si="2"/>
        <v>0</v>
      </c>
      <c r="J42" s="104">
        <f t="shared" si="3"/>
        <v>2</v>
      </c>
    </row>
    <row r="43" spans="6:10" s="72" customFormat="1" ht="16" customHeight="1">
      <c r="F43" s="112">
        <f t="shared" si="4"/>
        <v>-0.6599999999999997</v>
      </c>
      <c r="G43" s="113">
        <f t="shared" si="0"/>
        <v>0</v>
      </c>
      <c r="H43" s="113">
        <f t="shared" si="1"/>
        <v>0</v>
      </c>
      <c r="I43" s="113">
        <f t="shared" si="2"/>
        <v>0</v>
      </c>
      <c r="J43" s="104">
        <f t="shared" si="3"/>
        <v>2</v>
      </c>
    </row>
    <row r="44" spans="6:10" s="72" customFormat="1" ht="16" customHeight="1">
      <c r="F44" s="112">
        <f t="shared" si="4"/>
        <v>-0.64999999999999969</v>
      </c>
      <c r="G44" s="113">
        <f t="shared" si="0"/>
        <v>0</v>
      </c>
      <c r="H44" s="113">
        <f t="shared" si="1"/>
        <v>0</v>
      </c>
      <c r="I44" s="113">
        <f t="shared" si="2"/>
        <v>0</v>
      </c>
      <c r="J44" s="104">
        <f t="shared" si="3"/>
        <v>2</v>
      </c>
    </row>
    <row r="45" spans="6:10" s="72" customFormat="1" ht="16" customHeight="1">
      <c r="F45" s="112">
        <f t="shared" si="4"/>
        <v>-0.63999999999999968</v>
      </c>
      <c r="G45" s="113">
        <f t="shared" si="0"/>
        <v>0</v>
      </c>
      <c r="H45" s="113">
        <f t="shared" si="1"/>
        <v>0</v>
      </c>
      <c r="I45" s="113">
        <f t="shared" si="2"/>
        <v>0</v>
      </c>
      <c r="J45" s="104">
        <f t="shared" si="3"/>
        <v>2</v>
      </c>
    </row>
    <row r="46" spans="6:10" s="72" customFormat="1" ht="16" customHeight="1">
      <c r="F46" s="112">
        <f t="shared" si="4"/>
        <v>-0.62999999999999967</v>
      </c>
      <c r="G46" s="113">
        <f t="shared" si="0"/>
        <v>0</v>
      </c>
      <c r="H46" s="113">
        <f t="shared" si="1"/>
        <v>0</v>
      </c>
      <c r="I46" s="113">
        <f t="shared" si="2"/>
        <v>0</v>
      </c>
      <c r="J46" s="104">
        <f t="shared" si="3"/>
        <v>2</v>
      </c>
    </row>
    <row r="47" spans="6:10" s="72" customFormat="1" ht="16" customHeight="1">
      <c r="F47" s="112">
        <f t="shared" si="4"/>
        <v>-0.61999999999999966</v>
      </c>
      <c r="G47" s="113">
        <f t="shared" si="0"/>
        <v>0</v>
      </c>
      <c r="H47" s="113">
        <f t="shared" si="1"/>
        <v>0</v>
      </c>
      <c r="I47" s="113">
        <f t="shared" si="2"/>
        <v>0</v>
      </c>
      <c r="J47" s="104">
        <f t="shared" si="3"/>
        <v>2</v>
      </c>
    </row>
    <row r="48" spans="6:10" s="72" customFormat="1" ht="16" customHeight="1">
      <c r="F48" s="112">
        <f t="shared" si="4"/>
        <v>-0.60999999999999965</v>
      </c>
      <c r="G48" s="113">
        <f t="shared" si="0"/>
        <v>0</v>
      </c>
      <c r="H48" s="113">
        <f t="shared" si="1"/>
        <v>0</v>
      </c>
      <c r="I48" s="113">
        <f t="shared" si="2"/>
        <v>0</v>
      </c>
      <c r="J48" s="104">
        <f t="shared" si="3"/>
        <v>2</v>
      </c>
    </row>
    <row r="49" spans="6:10" s="72" customFormat="1" ht="16" customHeight="1">
      <c r="F49" s="112">
        <f t="shared" si="4"/>
        <v>-0.59999999999999964</v>
      </c>
      <c r="G49" s="113">
        <f t="shared" si="0"/>
        <v>0</v>
      </c>
      <c r="H49" s="113">
        <f t="shared" si="1"/>
        <v>0</v>
      </c>
      <c r="I49" s="113">
        <f t="shared" si="2"/>
        <v>0</v>
      </c>
      <c r="J49" s="104">
        <f t="shared" si="3"/>
        <v>2</v>
      </c>
    </row>
    <row r="50" spans="6:10" s="72" customFormat="1" ht="16" customHeight="1">
      <c r="F50" s="112">
        <f t="shared" si="4"/>
        <v>-0.58999999999999964</v>
      </c>
      <c r="G50" s="113">
        <f t="shared" si="0"/>
        <v>0</v>
      </c>
      <c r="H50" s="113">
        <f t="shared" si="1"/>
        <v>0</v>
      </c>
      <c r="I50" s="113">
        <f t="shared" si="2"/>
        <v>0</v>
      </c>
      <c r="J50" s="104">
        <f t="shared" si="3"/>
        <v>2</v>
      </c>
    </row>
    <row r="51" spans="6:10" s="72" customFormat="1" ht="16" customHeight="1">
      <c r="F51" s="112">
        <f t="shared" si="4"/>
        <v>-0.57999999999999963</v>
      </c>
      <c r="G51" s="113">
        <f t="shared" si="0"/>
        <v>0</v>
      </c>
      <c r="H51" s="113">
        <f t="shared" si="1"/>
        <v>0</v>
      </c>
      <c r="I51" s="113">
        <f t="shared" si="2"/>
        <v>0</v>
      </c>
      <c r="J51" s="104">
        <f t="shared" si="3"/>
        <v>2</v>
      </c>
    </row>
    <row r="52" spans="6:10" s="72" customFormat="1" ht="16" customHeight="1">
      <c r="F52" s="112">
        <f t="shared" si="4"/>
        <v>-0.56999999999999962</v>
      </c>
      <c r="G52" s="113">
        <f t="shared" si="0"/>
        <v>0</v>
      </c>
      <c r="H52" s="113">
        <f t="shared" si="1"/>
        <v>0</v>
      </c>
      <c r="I52" s="113">
        <f t="shared" si="2"/>
        <v>0</v>
      </c>
      <c r="J52" s="104">
        <f t="shared" si="3"/>
        <v>2</v>
      </c>
    </row>
    <row r="53" spans="6:10" s="72" customFormat="1" ht="16" customHeight="1">
      <c r="F53" s="112">
        <f t="shared" si="4"/>
        <v>-0.55999999999999961</v>
      </c>
      <c r="G53" s="113">
        <f t="shared" si="0"/>
        <v>0</v>
      </c>
      <c r="H53" s="113">
        <f t="shared" si="1"/>
        <v>0</v>
      </c>
      <c r="I53" s="113">
        <f t="shared" si="2"/>
        <v>0</v>
      </c>
      <c r="J53" s="104">
        <f t="shared" si="3"/>
        <v>2</v>
      </c>
    </row>
    <row r="54" spans="6:10" s="72" customFormat="1" ht="16" customHeight="1">
      <c r="F54" s="112">
        <f t="shared" si="4"/>
        <v>-0.5499999999999996</v>
      </c>
      <c r="G54" s="113">
        <f t="shared" si="0"/>
        <v>0</v>
      </c>
      <c r="H54" s="113">
        <f t="shared" si="1"/>
        <v>0</v>
      </c>
      <c r="I54" s="113">
        <f t="shared" si="2"/>
        <v>0</v>
      </c>
      <c r="J54" s="104">
        <f t="shared" si="3"/>
        <v>2</v>
      </c>
    </row>
    <row r="55" spans="6:10" s="72" customFormat="1" ht="16" customHeight="1">
      <c r="F55" s="112">
        <f t="shared" si="4"/>
        <v>-0.53999999999999959</v>
      </c>
      <c r="G55" s="113">
        <f t="shared" si="0"/>
        <v>0</v>
      </c>
      <c r="H55" s="113">
        <f t="shared" si="1"/>
        <v>0</v>
      </c>
      <c r="I55" s="113">
        <f t="shared" si="2"/>
        <v>0</v>
      </c>
      <c r="J55" s="104">
        <f t="shared" si="3"/>
        <v>2</v>
      </c>
    </row>
    <row r="56" spans="6:10" s="72" customFormat="1" ht="16" customHeight="1">
      <c r="F56" s="112">
        <f t="shared" si="4"/>
        <v>-0.52999999999999958</v>
      </c>
      <c r="G56" s="113">
        <f t="shared" si="0"/>
        <v>0</v>
      </c>
      <c r="H56" s="113">
        <f t="shared" si="1"/>
        <v>0</v>
      </c>
      <c r="I56" s="113">
        <f t="shared" si="2"/>
        <v>0</v>
      </c>
      <c r="J56" s="104">
        <f t="shared" si="3"/>
        <v>2</v>
      </c>
    </row>
    <row r="57" spans="6:10" s="72" customFormat="1" ht="16" customHeight="1">
      <c r="F57" s="112">
        <f t="shared" si="4"/>
        <v>-0.51999999999999957</v>
      </c>
      <c r="G57" s="113">
        <f t="shared" si="0"/>
        <v>0</v>
      </c>
      <c r="H57" s="113">
        <f t="shared" si="1"/>
        <v>0</v>
      </c>
      <c r="I57" s="113">
        <f t="shared" si="2"/>
        <v>0</v>
      </c>
      <c r="J57" s="104">
        <f t="shared" si="3"/>
        <v>2</v>
      </c>
    </row>
    <row r="58" spans="6:10" s="72" customFormat="1" ht="16" customHeight="1">
      <c r="F58" s="112">
        <f t="shared" si="4"/>
        <v>-0.50999999999999956</v>
      </c>
      <c r="G58" s="113">
        <f t="shared" si="0"/>
        <v>0</v>
      </c>
      <c r="H58" s="113">
        <f t="shared" si="1"/>
        <v>0</v>
      </c>
      <c r="I58" s="113">
        <f t="shared" si="2"/>
        <v>0</v>
      </c>
      <c r="J58" s="104">
        <f t="shared" si="3"/>
        <v>2</v>
      </c>
    </row>
    <row r="59" spans="6:10" s="72" customFormat="1" ht="16" customHeight="1">
      <c r="F59" s="112">
        <f t="shared" si="4"/>
        <v>-0.49999999999999956</v>
      </c>
      <c r="G59" s="113">
        <f t="shared" si="0"/>
        <v>0</v>
      </c>
      <c r="H59" s="113">
        <f t="shared" si="1"/>
        <v>0</v>
      </c>
      <c r="I59" s="113">
        <f t="shared" si="2"/>
        <v>0</v>
      </c>
      <c r="J59" s="104">
        <f t="shared" si="3"/>
        <v>2</v>
      </c>
    </row>
    <row r="60" spans="6:10" s="72" customFormat="1" ht="16" customHeight="1">
      <c r="F60" s="112">
        <f t="shared" si="4"/>
        <v>-0.48999999999999955</v>
      </c>
      <c r="G60" s="113">
        <f t="shared" si="0"/>
        <v>0</v>
      </c>
      <c r="H60" s="113">
        <f t="shared" si="1"/>
        <v>0</v>
      </c>
      <c r="I60" s="113">
        <f t="shared" si="2"/>
        <v>0</v>
      </c>
      <c r="J60" s="104">
        <f t="shared" si="3"/>
        <v>2</v>
      </c>
    </row>
    <row r="61" spans="6:10" s="72" customFormat="1" ht="16" customHeight="1">
      <c r="F61" s="112">
        <f t="shared" si="4"/>
        <v>-0.47999999999999954</v>
      </c>
      <c r="G61" s="113">
        <f t="shared" si="0"/>
        <v>0</v>
      </c>
      <c r="H61" s="113">
        <f t="shared" si="1"/>
        <v>0</v>
      </c>
      <c r="I61" s="113">
        <f t="shared" si="2"/>
        <v>0</v>
      </c>
      <c r="J61" s="104">
        <f t="shared" si="3"/>
        <v>2</v>
      </c>
    </row>
    <row r="62" spans="6:10" s="72" customFormat="1" ht="16" customHeight="1">
      <c r="F62" s="112">
        <f t="shared" si="4"/>
        <v>-0.46999999999999953</v>
      </c>
      <c r="G62" s="113">
        <f t="shared" si="0"/>
        <v>0</v>
      </c>
      <c r="H62" s="113">
        <f t="shared" si="1"/>
        <v>0</v>
      </c>
      <c r="I62" s="113">
        <f t="shared" si="2"/>
        <v>0</v>
      </c>
      <c r="J62" s="104">
        <f t="shared" si="3"/>
        <v>2</v>
      </c>
    </row>
    <row r="63" spans="6:10" s="72" customFormat="1" ht="16" customHeight="1">
      <c r="F63" s="112">
        <f t="shared" si="4"/>
        <v>-0.45999999999999952</v>
      </c>
      <c r="G63" s="113">
        <f t="shared" si="0"/>
        <v>0</v>
      </c>
      <c r="H63" s="113">
        <f t="shared" si="1"/>
        <v>0</v>
      </c>
      <c r="I63" s="113">
        <f t="shared" si="2"/>
        <v>0</v>
      </c>
      <c r="J63" s="104">
        <f t="shared" si="3"/>
        <v>2</v>
      </c>
    </row>
    <row r="64" spans="6:10" ht="16">
      <c r="F64" s="112">
        <f t="shared" si="4"/>
        <v>-0.44999999999999951</v>
      </c>
      <c r="G64" s="113">
        <f t="shared" si="0"/>
        <v>0</v>
      </c>
      <c r="H64" s="113">
        <f t="shared" si="1"/>
        <v>0</v>
      </c>
      <c r="I64" s="113">
        <f t="shared" si="2"/>
        <v>0</v>
      </c>
      <c r="J64" s="104">
        <f t="shared" si="3"/>
        <v>2</v>
      </c>
    </row>
    <row r="65" spans="6:10" ht="16">
      <c r="F65" s="112">
        <f t="shared" si="4"/>
        <v>-0.4399999999999995</v>
      </c>
      <c r="G65" s="113">
        <f t="shared" si="0"/>
        <v>0</v>
      </c>
      <c r="H65" s="113">
        <f t="shared" si="1"/>
        <v>0</v>
      </c>
      <c r="I65" s="113">
        <f t="shared" si="2"/>
        <v>0</v>
      </c>
      <c r="J65" s="104">
        <f t="shared" si="3"/>
        <v>2</v>
      </c>
    </row>
    <row r="66" spans="6:10" ht="16">
      <c r="F66" s="112">
        <f t="shared" si="4"/>
        <v>-0.42999999999999949</v>
      </c>
      <c r="G66" s="113">
        <f t="shared" si="0"/>
        <v>0</v>
      </c>
      <c r="H66" s="113">
        <f t="shared" si="1"/>
        <v>0</v>
      </c>
      <c r="I66" s="113">
        <f t="shared" si="2"/>
        <v>0</v>
      </c>
      <c r="J66" s="104">
        <f t="shared" si="3"/>
        <v>2</v>
      </c>
    </row>
    <row r="67" spans="6:10" ht="16">
      <c r="F67" s="112">
        <f t="shared" si="4"/>
        <v>-0.41999999999999948</v>
      </c>
      <c r="G67" s="113">
        <f t="shared" si="0"/>
        <v>0</v>
      </c>
      <c r="H67" s="113">
        <f t="shared" si="1"/>
        <v>0</v>
      </c>
      <c r="I67" s="113">
        <f t="shared" si="2"/>
        <v>0</v>
      </c>
      <c r="J67" s="104">
        <f t="shared" si="3"/>
        <v>2</v>
      </c>
    </row>
    <row r="68" spans="6:10" ht="16">
      <c r="F68" s="112">
        <f t="shared" si="4"/>
        <v>-0.40999999999999948</v>
      </c>
      <c r="G68" s="113">
        <f t="shared" si="0"/>
        <v>0</v>
      </c>
      <c r="H68" s="113">
        <f t="shared" si="1"/>
        <v>0</v>
      </c>
      <c r="I68" s="113">
        <f t="shared" si="2"/>
        <v>0</v>
      </c>
      <c r="J68" s="104">
        <f t="shared" si="3"/>
        <v>2</v>
      </c>
    </row>
    <row r="69" spans="6:10" ht="16">
      <c r="F69" s="112">
        <f t="shared" si="4"/>
        <v>-0.39999999999999947</v>
      </c>
      <c r="G69" s="113">
        <f t="shared" si="0"/>
        <v>0</v>
      </c>
      <c r="H69" s="113">
        <f t="shared" si="1"/>
        <v>0</v>
      </c>
      <c r="I69" s="113">
        <f t="shared" si="2"/>
        <v>0</v>
      </c>
      <c r="J69" s="104">
        <f t="shared" si="3"/>
        <v>2</v>
      </c>
    </row>
    <row r="70" spans="6:10" ht="16">
      <c r="F70" s="112">
        <f t="shared" si="4"/>
        <v>-0.38999999999999946</v>
      </c>
      <c r="G70" s="113">
        <f t="shared" si="0"/>
        <v>0</v>
      </c>
      <c r="H70" s="113">
        <f t="shared" si="1"/>
        <v>0</v>
      </c>
      <c r="I70" s="113">
        <f t="shared" si="2"/>
        <v>0</v>
      </c>
      <c r="J70" s="104">
        <f t="shared" si="3"/>
        <v>2</v>
      </c>
    </row>
    <row r="71" spans="6:10" ht="16">
      <c r="F71" s="112">
        <f t="shared" si="4"/>
        <v>-0.37999999999999945</v>
      </c>
      <c r="G71" s="113">
        <f t="shared" si="0"/>
        <v>0</v>
      </c>
      <c r="H71" s="113">
        <f t="shared" si="1"/>
        <v>0</v>
      </c>
      <c r="I71" s="113">
        <f t="shared" si="2"/>
        <v>0</v>
      </c>
      <c r="J71" s="104">
        <f t="shared" si="3"/>
        <v>2</v>
      </c>
    </row>
    <row r="72" spans="6:10" ht="16">
      <c r="F72" s="112">
        <f t="shared" si="4"/>
        <v>-0.36999999999999944</v>
      </c>
      <c r="G72" s="113">
        <f t="shared" si="0"/>
        <v>0</v>
      </c>
      <c r="H72" s="113">
        <f t="shared" si="1"/>
        <v>0</v>
      </c>
      <c r="I72" s="113">
        <f t="shared" si="2"/>
        <v>0</v>
      </c>
      <c r="J72" s="104">
        <f t="shared" si="3"/>
        <v>2</v>
      </c>
    </row>
    <row r="73" spans="6:10" ht="16">
      <c r="F73" s="112">
        <f t="shared" si="4"/>
        <v>-0.35999999999999943</v>
      </c>
      <c r="G73" s="113">
        <f t="shared" ref="G73:G136" si="7">IFERROR(IF(SQRT(1-(F73*F73)/($J$5*$J$5))&lt;0.05,0,SQRT(1-(F73*F73)/($J$5*$J$5))),0)</f>
        <v>0</v>
      </c>
      <c r="H73" s="113">
        <f t="shared" ref="H73:H136" si="8">CHOOSE(MATCH($J$3,degrees),IF(F73&lt;0,IFERROR(1-G73,1),0),0,0,IF(F73&gt;0,IFERROR(1-G73,1),0))</f>
        <v>0</v>
      </c>
      <c r="I73" s="113">
        <f t="shared" ref="I73:I136" si="9">CHOOSE(MATCH($J$3,degrees),IF(F73&lt;0,2*G73,2),IF(F73&lt;0,0,1-G73),IF(F73&gt;0,0,1-G73),IF(F73&gt;0,2*G73,2))</f>
        <v>0</v>
      </c>
      <c r="J73" s="104">
        <f t="shared" ref="J73:J136" si="10">CHOOSE(MATCH($J$3,degrees),IF(F73&lt;0,G73+1,2),IF(F73&lt;0,2,2*G73),IF(F73&gt;0,2,2*G73),IF(F73&gt;0,G73+1,2))</f>
        <v>2</v>
      </c>
    </row>
    <row r="74" spans="6:10" ht="16">
      <c r="F74" s="112">
        <f t="shared" ref="F74:F137" si="11">F73+$G$4</f>
        <v>-0.34999999999999942</v>
      </c>
      <c r="G74" s="113">
        <f t="shared" si="7"/>
        <v>0</v>
      </c>
      <c r="H74" s="113">
        <f t="shared" si="8"/>
        <v>0</v>
      </c>
      <c r="I74" s="113">
        <f t="shared" si="9"/>
        <v>0</v>
      </c>
      <c r="J74" s="104">
        <f t="shared" si="10"/>
        <v>2</v>
      </c>
    </row>
    <row r="75" spans="6:10" ht="16">
      <c r="F75" s="112">
        <f t="shared" si="11"/>
        <v>-0.33999999999999941</v>
      </c>
      <c r="G75" s="113">
        <f t="shared" si="7"/>
        <v>0</v>
      </c>
      <c r="H75" s="113">
        <f t="shared" si="8"/>
        <v>0</v>
      </c>
      <c r="I75" s="113">
        <f t="shared" si="9"/>
        <v>0</v>
      </c>
      <c r="J75" s="104">
        <f t="shared" si="10"/>
        <v>2</v>
      </c>
    </row>
    <row r="76" spans="6:10" ht="16">
      <c r="F76" s="112">
        <f t="shared" si="11"/>
        <v>-0.3299999999999994</v>
      </c>
      <c r="G76" s="113">
        <f t="shared" si="7"/>
        <v>0</v>
      </c>
      <c r="H76" s="113">
        <f t="shared" si="8"/>
        <v>0</v>
      </c>
      <c r="I76" s="113">
        <f t="shared" si="9"/>
        <v>0</v>
      </c>
      <c r="J76" s="104">
        <f t="shared" si="10"/>
        <v>2</v>
      </c>
    </row>
    <row r="77" spans="6:10" ht="16">
      <c r="F77" s="112">
        <f t="shared" si="11"/>
        <v>-0.3199999999999994</v>
      </c>
      <c r="G77" s="113">
        <f t="shared" si="7"/>
        <v>0</v>
      </c>
      <c r="H77" s="113">
        <f t="shared" si="8"/>
        <v>0</v>
      </c>
      <c r="I77" s="113">
        <f t="shared" si="9"/>
        <v>0</v>
      </c>
      <c r="J77" s="104">
        <f t="shared" si="10"/>
        <v>2</v>
      </c>
    </row>
    <row r="78" spans="6:10" ht="16">
      <c r="F78" s="112">
        <f t="shared" si="11"/>
        <v>-0.30999999999999939</v>
      </c>
      <c r="G78" s="113">
        <f t="shared" si="7"/>
        <v>0</v>
      </c>
      <c r="H78" s="113">
        <f t="shared" si="8"/>
        <v>0</v>
      </c>
      <c r="I78" s="113">
        <f t="shared" si="9"/>
        <v>0</v>
      </c>
      <c r="J78" s="104">
        <f t="shared" si="10"/>
        <v>2</v>
      </c>
    </row>
    <row r="79" spans="6:10" ht="16">
      <c r="F79" s="112">
        <f t="shared" si="11"/>
        <v>-0.29999999999999938</v>
      </c>
      <c r="G79" s="113">
        <f t="shared" si="7"/>
        <v>0</v>
      </c>
      <c r="H79" s="113">
        <f t="shared" si="8"/>
        <v>0</v>
      </c>
      <c r="I79" s="113">
        <f t="shared" si="9"/>
        <v>0</v>
      </c>
      <c r="J79" s="104">
        <f t="shared" si="10"/>
        <v>2</v>
      </c>
    </row>
    <row r="80" spans="6:10" ht="16">
      <c r="F80" s="112">
        <f t="shared" si="11"/>
        <v>-0.28999999999999937</v>
      </c>
      <c r="G80" s="113">
        <f t="shared" si="7"/>
        <v>0</v>
      </c>
      <c r="H80" s="113">
        <f t="shared" si="8"/>
        <v>0</v>
      </c>
      <c r="I80" s="113">
        <f t="shared" si="9"/>
        <v>0</v>
      </c>
      <c r="J80" s="104">
        <f t="shared" si="10"/>
        <v>2</v>
      </c>
    </row>
    <row r="81" spans="6:10" ht="16">
      <c r="F81" s="112">
        <f t="shared" si="11"/>
        <v>-0.27999999999999936</v>
      </c>
      <c r="G81" s="113">
        <f t="shared" si="7"/>
        <v>0</v>
      </c>
      <c r="H81" s="113">
        <f t="shared" si="8"/>
        <v>0</v>
      </c>
      <c r="I81" s="113">
        <f t="shared" si="9"/>
        <v>0</v>
      </c>
      <c r="J81" s="104">
        <f t="shared" si="10"/>
        <v>2</v>
      </c>
    </row>
    <row r="82" spans="6:10" ht="16">
      <c r="F82" s="112">
        <f t="shared" si="11"/>
        <v>-0.26999999999999935</v>
      </c>
      <c r="G82" s="113">
        <f t="shared" si="7"/>
        <v>0</v>
      </c>
      <c r="H82" s="113">
        <f t="shared" si="8"/>
        <v>0</v>
      </c>
      <c r="I82" s="113">
        <f t="shared" si="9"/>
        <v>0</v>
      </c>
      <c r="J82" s="104">
        <f t="shared" si="10"/>
        <v>2</v>
      </c>
    </row>
    <row r="83" spans="6:10" ht="16">
      <c r="F83" s="112">
        <f t="shared" si="11"/>
        <v>-0.25999999999999934</v>
      </c>
      <c r="G83" s="113">
        <f t="shared" si="7"/>
        <v>0</v>
      </c>
      <c r="H83" s="113">
        <f t="shared" si="8"/>
        <v>0</v>
      </c>
      <c r="I83" s="113">
        <f t="shared" si="9"/>
        <v>0</v>
      </c>
      <c r="J83" s="104">
        <f t="shared" si="10"/>
        <v>2</v>
      </c>
    </row>
    <row r="84" spans="6:10" ht="16">
      <c r="F84" s="112">
        <f t="shared" si="11"/>
        <v>-0.24999999999999933</v>
      </c>
      <c r="G84" s="113">
        <f t="shared" si="7"/>
        <v>0</v>
      </c>
      <c r="H84" s="113">
        <f t="shared" si="8"/>
        <v>0</v>
      </c>
      <c r="I84" s="113">
        <f t="shared" si="9"/>
        <v>0</v>
      </c>
      <c r="J84" s="104">
        <f t="shared" si="10"/>
        <v>2</v>
      </c>
    </row>
    <row r="85" spans="6:10" ht="16">
      <c r="F85" s="112">
        <f t="shared" si="11"/>
        <v>-0.23999999999999932</v>
      </c>
      <c r="G85" s="113">
        <f t="shared" si="7"/>
        <v>0</v>
      </c>
      <c r="H85" s="113">
        <f t="shared" si="8"/>
        <v>0</v>
      </c>
      <c r="I85" s="113">
        <f t="shared" si="9"/>
        <v>0</v>
      </c>
      <c r="J85" s="104">
        <f t="shared" si="10"/>
        <v>2</v>
      </c>
    </row>
    <row r="86" spans="6:10" ht="16">
      <c r="F86" s="112">
        <f t="shared" si="11"/>
        <v>-0.22999999999999932</v>
      </c>
      <c r="G86" s="113">
        <f t="shared" si="7"/>
        <v>0</v>
      </c>
      <c r="H86" s="113">
        <f t="shared" si="8"/>
        <v>0</v>
      </c>
      <c r="I86" s="113">
        <f t="shared" si="9"/>
        <v>0</v>
      </c>
      <c r="J86" s="104">
        <f t="shared" si="10"/>
        <v>2</v>
      </c>
    </row>
    <row r="87" spans="6:10" ht="16">
      <c r="F87" s="112">
        <f t="shared" si="11"/>
        <v>-0.21999999999999931</v>
      </c>
      <c r="G87" s="113">
        <f t="shared" si="7"/>
        <v>0</v>
      </c>
      <c r="H87" s="113">
        <f t="shared" si="8"/>
        <v>0</v>
      </c>
      <c r="I87" s="113">
        <f t="shared" si="9"/>
        <v>0</v>
      </c>
      <c r="J87" s="104">
        <f t="shared" si="10"/>
        <v>2</v>
      </c>
    </row>
    <row r="88" spans="6:10" ht="16">
      <c r="F88" s="112">
        <f t="shared" si="11"/>
        <v>-0.2099999999999993</v>
      </c>
      <c r="G88" s="113">
        <f t="shared" si="7"/>
        <v>0</v>
      </c>
      <c r="H88" s="113">
        <f t="shared" si="8"/>
        <v>0</v>
      </c>
      <c r="I88" s="113">
        <f t="shared" si="9"/>
        <v>0</v>
      </c>
      <c r="J88" s="104">
        <f t="shared" si="10"/>
        <v>2</v>
      </c>
    </row>
    <row r="89" spans="6:10" ht="16">
      <c r="F89" s="112">
        <f t="shared" si="11"/>
        <v>-0.19999999999999929</v>
      </c>
      <c r="G89" s="113">
        <f t="shared" si="7"/>
        <v>0</v>
      </c>
      <c r="H89" s="113">
        <f t="shared" si="8"/>
        <v>0</v>
      </c>
      <c r="I89" s="113">
        <f t="shared" si="9"/>
        <v>0</v>
      </c>
      <c r="J89" s="104">
        <f t="shared" si="10"/>
        <v>2</v>
      </c>
    </row>
    <row r="90" spans="6:10" ht="16">
      <c r="F90" s="112">
        <f t="shared" si="11"/>
        <v>-0.18999999999999928</v>
      </c>
      <c r="G90" s="113">
        <f t="shared" si="7"/>
        <v>0</v>
      </c>
      <c r="H90" s="113">
        <f t="shared" si="8"/>
        <v>0</v>
      </c>
      <c r="I90" s="113">
        <f t="shared" si="9"/>
        <v>0</v>
      </c>
      <c r="J90" s="104">
        <f t="shared" si="10"/>
        <v>2</v>
      </c>
    </row>
    <row r="91" spans="6:10" ht="16">
      <c r="F91" s="112">
        <f t="shared" si="11"/>
        <v>-0.17999999999999927</v>
      </c>
      <c r="G91" s="113">
        <f t="shared" si="7"/>
        <v>0</v>
      </c>
      <c r="H91" s="113">
        <f t="shared" si="8"/>
        <v>0</v>
      </c>
      <c r="I91" s="113">
        <f t="shared" si="9"/>
        <v>0</v>
      </c>
      <c r="J91" s="104">
        <f t="shared" si="10"/>
        <v>2</v>
      </c>
    </row>
    <row r="92" spans="6:10" ht="16">
      <c r="F92" s="112">
        <f t="shared" si="11"/>
        <v>-0.16999999999999926</v>
      </c>
      <c r="G92" s="113">
        <f t="shared" si="7"/>
        <v>0</v>
      </c>
      <c r="H92" s="113">
        <f t="shared" si="8"/>
        <v>0</v>
      </c>
      <c r="I92" s="113">
        <f t="shared" si="9"/>
        <v>0</v>
      </c>
      <c r="J92" s="104">
        <f t="shared" si="10"/>
        <v>2</v>
      </c>
    </row>
    <row r="93" spans="6:10" ht="16">
      <c r="F93" s="112">
        <f t="shared" si="11"/>
        <v>-0.15999999999999925</v>
      </c>
      <c r="G93" s="113">
        <f t="shared" si="7"/>
        <v>0</v>
      </c>
      <c r="H93" s="113">
        <f t="shared" si="8"/>
        <v>0</v>
      </c>
      <c r="I93" s="113">
        <f t="shared" si="9"/>
        <v>0</v>
      </c>
      <c r="J93" s="104">
        <f t="shared" si="10"/>
        <v>2</v>
      </c>
    </row>
    <row r="94" spans="6:10" ht="16">
      <c r="F94" s="112">
        <f t="shared" si="11"/>
        <v>-0.14999999999999925</v>
      </c>
      <c r="G94" s="113">
        <f t="shared" si="7"/>
        <v>0</v>
      </c>
      <c r="H94" s="113">
        <f t="shared" si="8"/>
        <v>0</v>
      </c>
      <c r="I94" s="113">
        <f t="shared" si="9"/>
        <v>0</v>
      </c>
      <c r="J94" s="104">
        <f t="shared" si="10"/>
        <v>2</v>
      </c>
    </row>
    <row r="95" spans="6:10" ht="16">
      <c r="F95" s="112">
        <f t="shared" si="11"/>
        <v>-0.13999999999999924</v>
      </c>
      <c r="G95" s="113">
        <f t="shared" si="7"/>
        <v>0.28801828184150446</v>
      </c>
      <c r="H95" s="113">
        <f t="shared" si="8"/>
        <v>0</v>
      </c>
      <c r="I95" s="113">
        <f t="shared" si="9"/>
        <v>0</v>
      </c>
      <c r="J95" s="104">
        <f t="shared" si="10"/>
        <v>2</v>
      </c>
    </row>
    <row r="96" spans="6:10" ht="16">
      <c r="F96" s="112">
        <f t="shared" si="11"/>
        <v>-0.12999999999999923</v>
      </c>
      <c r="G96" s="113">
        <f t="shared" si="7"/>
        <v>0.45747374009649561</v>
      </c>
      <c r="H96" s="113">
        <f t="shared" si="8"/>
        <v>0</v>
      </c>
      <c r="I96" s="113">
        <f t="shared" si="9"/>
        <v>0</v>
      </c>
      <c r="J96" s="104">
        <f t="shared" si="10"/>
        <v>2</v>
      </c>
    </row>
    <row r="97" spans="6:10" ht="16">
      <c r="F97" s="112">
        <f t="shared" si="11"/>
        <v>-0.11999999999999923</v>
      </c>
      <c r="G97" s="113">
        <f t="shared" si="7"/>
        <v>0.57118500352422763</v>
      </c>
      <c r="H97" s="113">
        <f t="shared" si="8"/>
        <v>0</v>
      </c>
      <c r="I97" s="113">
        <f t="shared" si="9"/>
        <v>0</v>
      </c>
      <c r="J97" s="104">
        <f t="shared" si="10"/>
        <v>2</v>
      </c>
    </row>
    <row r="98" spans="6:10" ht="16">
      <c r="F98" s="112">
        <f t="shared" si="11"/>
        <v>-0.10999999999999924</v>
      </c>
      <c r="G98" s="113">
        <f t="shared" si="7"/>
        <v>0.65868413279372395</v>
      </c>
      <c r="H98" s="113">
        <f t="shared" si="8"/>
        <v>0</v>
      </c>
      <c r="I98" s="113">
        <f t="shared" si="9"/>
        <v>0</v>
      </c>
      <c r="J98" s="104">
        <f t="shared" si="10"/>
        <v>2</v>
      </c>
    </row>
    <row r="99" spans="6:10" ht="16">
      <c r="F99" s="112">
        <f t="shared" si="11"/>
        <v>-9.9999999999999242E-2</v>
      </c>
      <c r="G99" s="113">
        <f t="shared" si="7"/>
        <v>0.72946532371842077</v>
      </c>
      <c r="H99" s="113">
        <f t="shared" si="8"/>
        <v>0</v>
      </c>
      <c r="I99" s="113">
        <f t="shared" si="9"/>
        <v>0</v>
      </c>
      <c r="J99" s="104">
        <f t="shared" si="10"/>
        <v>2</v>
      </c>
    </row>
    <row r="100" spans="6:10" ht="16">
      <c r="F100" s="112">
        <f t="shared" si="11"/>
        <v>-8.9999999999999247E-2</v>
      </c>
      <c r="G100" s="113">
        <f t="shared" si="7"/>
        <v>0.78804626982885551</v>
      </c>
      <c r="H100" s="113">
        <f t="shared" si="8"/>
        <v>0</v>
      </c>
      <c r="I100" s="113">
        <f t="shared" si="9"/>
        <v>0</v>
      </c>
      <c r="J100" s="104">
        <f t="shared" si="10"/>
        <v>2</v>
      </c>
    </row>
    <row r="101" spans="6:10" ht="16">
      <c r="F101" s="112">
        <f t="shared" si="11"/>
        <v>-7.9999999999999252E-2</v>
      </c>
      <c r="G101" s="113">
        <f t="shared" si="7"/>
        <v>0.83699258147541444</v>
      </c>
      <c r="H101" s="113">
        <f t="shared" si="8"/>
        <v>0</v>
      </c>
      <c r="I101" s="113">
        <f t="shared" si="9"/>
        <v>0</v>
      </c>
      <c r="J101" s="104">
        <f t="shared" si="10"/>
        <v>2</v>
      </c>
    </row>
    <row r="102" spans="6:10" ht="16">
      <c r="F102" s="112">
        <f t="shared" si="11"/>
        <v>-6.9999999999999257E-2</v>
      </c>
      <c r="G102" s="113">
        <f t="shared" si="7"/>
        <v>0.87791721287871749</v>
      </c>
      <c r="H102" s="113">
        <f t="shared" si="8"/>
        <v>0</v>
      </c>
      <c r="I102" s="113">
        <f t="shared" si="9"/>
        <v>0</v>
      </c>
      <c r="J102" s="104">
        <f t="shared" si="10"/>
        <v>2</v>
      </c>
    </row>
    <row r="103" spans="6:10" ht="16">
      <c r="F103" s="112">
        <f t="shared" si="11"/>
        <v>-5.9999999999999255E-2</v>
      </c>
      <c r="G103" s="113">
        <f t="shared" si="7"/>
        <v>0.91190080439856236</v>
      </c>
      <c r="H103" s="113">
        <f t="shared" si="8"/>
        <v>0</v>
      </c>
      <c r="I103" s="113">
        <f t="shared" si="9"/>
        <v>0</v>
      </c>
      <c r="J103" s="104">
        <f t="shared" si="10"/>
        <v>2</v>
      </c>
    </row>
    <row r="104" spans="6:10" ht="16">
      <c r="F104" s="112">
        <f t="shared" si="11"/>
        <v>-4.9999999999999253E-2</v>
      </c>
      <c r="G104" s="113">
        <f t="shared" si="7"/>
        <v>0.93969671417266687</v>
      </c>
      <c r="H104" s="113">
        <f t="shared" si="8"/>
        <v>0</v>
      </c>
      <c r="I104" s="113">
        <f t="shared" si="9"/>
        <v>0</v>
      </c>
      <c r="J104" s="104">
        <f t="shared" si="10"/>
        <v>2</v>
      </c>
    </row>
    <row r="105" spans="6:10" ht="16">
      <c r="F105" s="112">
        <f t="shared" si="11"/>
        <v>-3.9999999999999251E-2</v>
      </c>
      <c r="G105" s="113">
        <f t="shared" si="7"/>
        <v>0.96184153859210142</v>
      </c>
      <c r="H105" s="113">
        <f t="shared" si="8"/>
        <v>0</v>
      </c>
      <c r="I105" s="113">
        <f t="shared" si="9"/>
        <v>0</v>
      </c>
      <c r="J105" s="104">
        <f t="shared" si="10"/>
        <v>2</v>
      </c>
    </row>
    <row r="106" spans="6:10" ht="16">
      <c r="F106" s="112">
        <f t="shared" si="11"/>
        <v>-2.9999999999999249E-2</v>
      </c>
      <c r="G106" s="113">
        <f t="shared" si="7"/>
        <v>0.97871894293800576</v>
      </c>
      <c r="H106" s="113">
        <f t="shared" si="8"/>
        <v>0</v>
      </c>
      <c r="I106" s="113">
        <f t="shared" si="9"/>
        <v>0</v>
      </c>
      <c r="J106" s="104">
        <f t="shared" si="10"/>
        <v>2</v>
      </c>
    </row>
    <row r="107" spans="6:10" ht="16">
      <c r="F107" s="112">
        <f t="shared" si="11"/>
        <v>-1.9999999999999248E-2</v>
      </c>
      <c r="G107" s="113">
        <f t="shared" si="7"/>
        <v>0.99059819621292766</v>
      </c>
      <c r="H107" s="113">
        <f t="shared" si="8"/>
        <v>0</v>
      </c>
      <c r="I107" s="113">
        <f t="shared" si="9"/>
        <v>0</v>
      </c>
      <c r="J107" s="104">
        <f t="shared" si="10"/>
        <v>2</v>
      </c>
    </row>
    <row r="108" spans="6:10" ht="16">
      <c r="F108" s="112">
        <f t="shared" si="11"/>
        <v>-9.9999999999992473E-3</v>
      </c>
      <c r="G108" s="113">
        <f t="shared" si="7"/>
        <v>0.99765785547204344</v>
      </c>
      <c r="H108" s="113">
        <f t="shared" si="8"/>
        <v>0</v>
      </c>
      <c r="I108" s="113">
        <f t="shared" si="9"/>
        <v>0</v>
      </c>
      <c r="J108" s="104">
        <f t="shared" si="10"/>
        <v>2</v>
      </c>
    </row>
    <row r="109" spans="6:10" ht="16">
      <c r="F109" s="112">
        <f t="shared" si="11"/>
        <v>7.5286998857393428E-16</v>
      </c>
      <c r="G109" s="113">
        <f t="shared" si="7"/>
        <v>1</v>
      </c>
      <c r="H109" s="113">
        <f t="shared" si="8"/>
        <v>0</v>
      </c>
      <c r="I109" s="113">
        <f t="shared" si="9"/>
        <v>0</v>
      </c>
      <c r="J109" s="104">
        <f t="shared" si="10"/>
        <v>2</v>
      </c>
    </row>
    <row r="110" spans="6:10" ht="16">
      <c r="F110" s="112">
        <f t="shared" si="11"/>
        <v>1.0000000000000753E-2</v>
      </c>
      <c r="G110" s="113">
        <f t="shared" si="7"/>
        <v>0.99765785547204278</v>
      </c>
      <c r="H110" s="113">
        <f t="shared" si="8"/>
        <v>0</v>
      </c>
      <c r="I110" s="113">
        <f t="shared" si="9"/>
        <v>2.3421445279572239E-3</v>
      </c>
      <c r="J110" s="104">
        <f t="shared" si="10"/>
        <v>1.9953157109440856</v>
      </c>
    </row>
    <row r="111" spans="6:10" ht="16">
      <c r="F111" s="112">
        <f t="shared" si="11"/>
        <v>2.0000000000000753E-2</v>
      </c>
      <c r="G111" s="113">
        <f t="shared" si="7"/>
        <v>0.99059819621292622</v>
      </c>
      <c r="H111" s="113">
        <f t="shared" si="8"/>
        <v>0</v>
      </c>
      <c r="I111" s="113">
        <f t="shared" si="9"/>
        <v>9.4018037870737814E-3</v>
      </c>
      <c r="J111" s="104">
        <f t="shared" si="10"/>
        <v>1.9811963924258524</v>
      </c>
    </row>
    <row r="112" spans="6:10" ht="16">
      <c r="F112" s="112">
        <f t="shared" si="11"/>
        <v>3.0000000000000755E-2</v>
      </c>
      <c r="G112" s="113">
        <f t="shared" si="7"/>
        <v>0.97871894293800354</v>
      </c>
      <c r="H112" s="113">
        <f t="shared" si="8"/>
        <v>0</v>
      </c>
      <c r="I112" s="113">
        <f t="shared" si="9"/>
        <v>2.1281057061996456E-2</v>
      </c>
      <c r="J112" s="104">
        <f t="shared" si="10"/>
        <v>1.9574378858760071</v>
      </c>
    </row>
    <row r="113" spans="6:10" ht="16">
      <c r="F113" s="112">
        <f t="shared" si="11"/>
        <v>4.0000000000000757E-2</v>
      </c>
      <c r="G113" s="113">
        <f t="shared" si="7"/>
        <v>0.96184153859209853</v>
      </c>
      <c r="H113" s="113">
        <f t="shared" si="8"/>
        <v>0</v>
      </c>
      <c r="I113" s="113">
        <f t="shared" si="9"/>
        <v>3.8158461407901467E-2</v>
      </c>
      <c r="J113" s="104">
        <f t="shared" si="10"/>
        <v>1.9236830771841971</v>
      </c>
    </row>
    <row r="114" spans="6:10" ht="16">
      <c r="F114" s="112">
        <f t="shared" si="11"/>
        <v>5.0000000000000759E-2</v>
      </c>
      <c r="G114" s="113">
        <f t="shared" si="7"/>
        <v>0.93969671417266321</v>
      </c>
      <c r="H114" s="113">
        <f t="shared" si="8"/>
        <v>0</v>
      </c>
      <c r="I114" s="113">
        <f t="shared" si="9"/>
        <v>6.0303285827336794E-2</v>
      </c>
      <c r="J114" s="104">
        <f t="shared" si="10"/>
        <v>1.8793934283453264</v>
      </c>
    </row>
    <row r="115" spans="6:10" ht="16">
      <c r="F115" s="112">
        <f t="shared" si="11"/>
        <v>6.0000000000000761E-2</v>
      </c>
      <c r="G115" s="113">
        <f t="shared" si="7"/>
        <v>0.9119008043985577</v>
      </c>
      <c r="H115" s="113">
        <f t="shared" si="8"/>
        <v>0</v>
      </c>
      <c r="I115" s="113">
        <f t="shared" si="9"/>
        <v>8.8099195601442304E-2</v>
      </c>
      <c r="J115" s="104">
        <f t="shared" si="10"/>
        <v>1.8238016087971154</v>
      </c>
    </row>
    <row r="116" spans="6:10" ht="16">
      <c r="F116" s="112">
        <f t="shared" si="11"/>
        <v>7.0000000000000756E-2</v>
      </c>
      <c r="G116" s="113">
        <f t="shared" si="7"/>
        <v>0.87791721287871194</v>
      </c>
      <c r="H116" s="113">
        <f t="shared" si="8"/>
        <v>0</v>
      </c>
      <c r="I116" s="113">
        <f t="shared" si="9"/>
        <v>0.12208278712128806</v>
      </c>
      <c r="J116" s="104">
        <f t="shared" si="10"/>
        <v>1.7558344257574239</v>
      </c>
    </row>
    <row r="117" spans="6:10" ht="16">
      <c r="F117" s="112">
        <f t="shared" si="11"/>
        <v>8.0000000000000751E-2</v>
      </c>
      <c r="G117" s="113">
        <f t="shared" si="7"/>
        <v>0.83699258147540767</v>
      </c>
      <c r="H117" s="113">
        <f t="shared" si="8"/>
        <v>0</v>
      </c>
      <c r="I117" s="113">
        <f t="shared" si="9"/>
        <v>0.16300741852459233</v>
      </c>
      <c r="J117" s="104">
        <f t="shared" si="10"/>
        <v>1.6739851629508153</v>
      </c>
    </row>
    <row r="118" spans="6:10" ht="16">
      <c r="F118" s="112">
        <f t="shared" si="11"/>
        <v>9.0000000000000746E-2</v>
      </c>
      <c r="G118" s="113">
        <f t="shared" si="7"/>
        <v>0.78804626982884751</v>
      </c>
      <c r="H118" s="113">
        <f t="shared" si="8"/>
        <v>0</v>
      </c>
      <c r="I118" s="113">
        <f t="shared" si="9"/>
        <v>0.21195373017115249</v>
      </c>
      <c r="J118" s="104">
        <f t="shared" si="10"/>
        <v>1.576092539657695</v>
      </c>
    </row>
    <row r="119" spans="6:10" ht="16">
      <c r="F119" s="112">
        <f t="shared" si="11"/>
        <v>0.10000000000000074</v>
      </c>
      <c r="G119" s="113">
        <f t="shared" si="7"/>
        <v>0.72946532371841133</v>
      </c>
      <c r="H119" s="113">
        <f t="shared" si="8"/>
        <v>0</v>
      </c>
      <c r="I119" s="113">
        <f t="shared" si="9"/>
        <v>0.27053467628158867</v>
      </c>
      <c r="J119" s="104">
        <f t="shared" si="10"/>
        <v>1.4589306474368227</v>
      </c>
    </row>
    <row r="120" spans="6:10" ht="16">
      <c r="F120" s="112">
        <f t="shared" si="11"/>
        <v>0.11000000000000074</v>
      </c>
      <c r="G120" s="113">
        <f t="shared" si="7"/>
        <v>0.65868413279371218</v>
      </c>
      <c r="H120" s="113">
        <f t="shared" si="8"/>
        <v>0</v>
      </c>
      <c r="I120" s="113">
        <f t="shared" si="9"/>
        <v>0.34131586720628782</v>
      </c>
      <c r="J120" s="104">
        <f t="shared" si="10"/>
        <v>1.3173682655874244</v>
      </c>
    </row>
    <row r="121" spans="6:10" ht="16">
      <c r="F121" s="112">
        <f t="shared" si="11"/>
        <v>0.12000000000000073</v>
      </c>
      <c r="G121" s="113">
        <f t="shared" si="7"/>
        <v>0.57118500352421298</v>
      </c>
      <c r="H121" s="113">
        <f t="shared" si="8"/>
        <v>0</v>
      </c>
      <c r="I121" s="113">
        <f t="shared" si="9"/>
        <v>0.42881499647578702</v>
      </c>
      <c r="J121" s="104">
        <f t="shared" si="10"/>
        <v>1.142370007048426</v>
      </c>
    </row>
    <row r="122" spans="6:10" ht="16">
      <c r="F122" s="112">
        <f t="shared" si="11"/>
        <v>0.13000000000000073</v>
      </c>
      <c r="G122" s="113">
        <f t="shared" si="7"/>
        <v>0.45747374009647584</v>
      </c>
      <c r="H122" s="113">
        <f t="shared" si="8"/>
        <v>0</v>
      </c>
      <c r="I122" s="113">
        <f t="shared" si="9"/>
        <v>0.5425262599035241</v>
      </c>
      <c r="J122" s="104">
        <f t="shared" si="10"/>
        <v>0.91494748019295169</v>
      </c>
    </row>
    <row r="123" spans="6:10" ht="16">
      <c r="F123" s="112">
        <f t="shared" si="11"/>
        <v>0.14000000000000073</v>
      </c>
      <c r="G123" s="113">
        <f t="shared" si="7"/>
        <v>0.28801828184147055</v>
      </c>
      <c r="H123" s="113">
        <f t="shared" si="8"/>
        <v>0</v>
      </c>
      <c r="I123" s="113">
        <f t="shared" si="9"/>
        <v>0.71198171815852951</v>
      </c>
      <c r="J123" s="104">
        <f t="shared" si="10"/>
        <v>0.57603656368294109</v>
      </c>
    </row>
    <row r="124" spans="6:10" ht="16">
      <c r="F124" s="112">
        <f t="shared" si="11"/>
        <v>0.15000000000000074</v>
      </c>
      <c r="G124" s="113">
        <f t="shared" si="7"/>
        <v>0</v>
      </c>
      <c r="H124" s="113">
        <f t="shared" si="8"/>
        <v>0</v>
      </c>
      <c r="I124" s="113">
        <f t="shared" si="9"/>
        <v>1</v>
      </c>
      <c r="J124" s="104">
        <f t="shared" si="10"/>
        <v>0</v>
      </c>
    </row>
    <row r="125" spans="6:10" ht="16">
      <c r="F125" s="112">
        <f t="shared" si="11"/>
        <v>0.16000000000000075</v>
      </c>
      <c r="G125" s="113">
        <f t="shared" si="7"/>
        <v>0</v>
      </c>
      <c r="H125" s="113">
        <f t="shared" si="8"/>
        <v>0</v>
      </c>
      <c r="I125" s="113">
        <f t="shared" si="9"/>
        <v>1</v>
      </c>
      <c r="J125" s="104">
        <f t="shared" si="10"/>
        <v>0</v>
      </c>
    </row>
    <row r="126" spans="6:10" ht="16">
      <c r="F126" s="112">
        <f t="shared" si="11"/>
        <v>0.17000000000000076</v>
      </c>
      <c r="G126" s="113">
        <f t="shared" si="7"/>
        <v>0</v>
      </c>
      <c r="H126" s="113">
        <f t="shared" si="8"/>
        <v>0</v>
      </c>
      <c r="I126" s="113">
        <f t="shared" si="9"/>
        <v>1</v>
      </c>
      <c r="J126" s="104">
        <f t="shared" si="10"/>
        <v>0</v>
      </c>
    </row>
    <row r="127" spans="6:10" ht="16">
      <c r="F127" s="112">
        <f t="shared" si="11"/>
        <v>0.18000000000000077</v>
      </c>
      <c r="G127" s="113">
        <f t="shared" si="7"/>
        <v>0</v>
      </c>
      <c r="H127" s="113">
        <f t="shared" si="8"/>
        <v>0</v>
      </c>
      <c r="I127" s="113">
        <f t="shared" si="9"/>
        <v>1</v>
      </c>
      <c r="J127" s="104">
        <f t="shared" si="10"/>
        <v>0</v>
      </c>
    </row>
    <row r="128" spans="6:10" ht="16">
      <c r="F128" s="112">
        <f t="shared" si="11"/>
        <v>0.19000000000000078</v>
      </c>
      <c r="G128" s="113">
        <f t="shared" si="7"/>
        <v>0</v>
      </c>
      <c r="H128" s="113">
        <f t="shared" si="8"/>
        <v>0</v>
      </c>
      <c r="I128" s="113">
        <f t="shared" si="9"/>
        <v>1</v>
      </c>
      <c r="J128" s="104">
        <f t="shared" si="10"/>
        <v>0</v>
      </c>
    </row>
    <row r="129" spans="6:10" ht="16">
      <c r="F129" s="112">
        <f t="shared" si="11"/>
        <v>0.20000000000000079</v>
      </c>
      <c r="G129" s="113">
        <f t="shared" si="7"/>
        <v>0</v>
      </c>
      <c r="H129" s="113">
        <f t="shared" si="8"/>
        <v>0</v>
      </c>
      <c r="I129" s="113">
        <f t="shared" si="9"/>
        <v>1</v>
      </c>
      <c r="J129" s="104">
        <f t="shared" si="10"/>
        <v>0</v>
      </c>
    </row>
    <row r="130" spans="6:10" ht="16">
      <c r="F130" s="112">
        <f t="shared" si="11"/>
        <v>0.2100000000000008</v>
      </c>
      <c r="G130" s="113">
        <f t="shared" si="7"/>
        <v>0</v>
      </c>
      <c r="H130" s="113">
        <f t="shared" si="8"/>
        <v>0</v>
      </c>
      <c r="I130" s="113">
        <f t="shared" si="9"/>
        <v>1</v>
      </c>
      <c r="J130" s="104">
        <f t="shared" si="10"/>
        <v>0</v>
      </c>
    </row>
    <row r="131" spans="6:10" ht="16">
      <c r="F131" s="112">
        <f t="shared" si="11"/>
        <v>0.22000000000000081</v>
      </c>
      <c r="G131" s="113">
        <f t="shared" si="7"/>
        <v>0</v>
      </c>
      <c r="H131" s="113">
        <f t="shared" si="8"/>
        <v>0</v>
      </c>
      <c r="I131" s="113">
        <f t="shared" si="9"/>
        <v>1</v>
      </c>
      <c r="J131" s="104">
        <f t="shared" si="10"/>
        <v>0</v>
      </c>
    </row>
    <row r="132" spans="6:10" ht="16">
      <c r="F132" s="112">
        <f t="shared" si="11"/>
        <v>0.23000000000000081</v>
      </c>
      <c r="G132" s="113">
        <f t="shared" si="7"/>
        <v>0</v>
      </c>
      <c r="H132" s="113">
        <f t="shared" si="8"/>
        <v>0</v>
      </c>
      <c r="I132" s="113">
        <f t="shared" si="9"/>
        <v>1</v>
      </c>
      <c r="J132" s="104">
        <f t="shared" si="10"/>
        <v>0</v>
      </c>
    </row>
    <row r="133" spans="6:10" ht="16">
      <c r="F133" s="112">
        <f t="shared" si="11"/>
        <v>0.24000000000000082</v>
      </c>
      <c r="G133" s="113">
        <f t="shared" si="7"/>
        <v>0</v>
      </c>
      <c r="H133" s="113">
        <f t="shared" si="8"/>
        <v>0</v>
      </c>
      <c r="I133" s="113">
        <f t="shared" si="9"/>
        <v>1</v>
      </c>
      <c r="J133" s="104">
        <f t="shared" si="10"/>
        <v>0</v>
      </c>
    </row>
    <row r="134" spans="6:10" ht="16">
      <c r="F134" s="112">
        <f t="shared" si="11"/>
        <v>0.25000000000000083</v>
      </c>
      <c r="G134" s="113">
        <f t="shared" si="7"/>
        <v>0</v>
      </c>
      <c r="H134" s="113">
        <f t="shared" si="8"/>
        <v>0</v>
      </c>
      <c r="I134" s="113">
        <f t="shared" si="9"/>
        <v>1</v>
      </c>
      <c r="J134" s="104">
        <f t="shared" si="10"/>
        <v>0</v>
      </c>
    </row>
    <row r="135" spans="6:10" ht="16">
      <c r="F135" s="112">
        <f t="shared" si="11"/>
        <v>0.26000000000000084</v>
      </c>
      <c r="G135" s="113">
        <f t="shared" si="7"/>
        <v>0</v>
      </c>
      <c r="H135" s="113">
        <f t="shared" si="8"/>
        <v>0</v>
      </c>
      <c r="I135" s="113">
        <f t="shared" si="9"/>
        <v>1</v>
      </c>
      <c r="J135" s="104">
        <f t="shared" si="10"/>
        <v>0</v>
      </c>
    </row>
    <row r="136" spans="6:10" ht="16">
      <c r="F136" s="112">
        <f t="shared" si="11"/>
        <v>0.27000000000000085</v>
      </c>
      <c r="G136" s="113">
        <f t="shared" si="7"/>
        <v>0</v>
      </c>
      <c r="H136" s="113">
        <f t="shared" si="8"/>
        <v>0</v>
      </c>
      <c r="I136" s="113">
        <f t="shared" si="9"/>
        <v>1</v>
      </c>
      <c r="J136" s="104">
        <f t="shared" si="10"/>
        <v>0</v>
      </c>
    </row>
    <row r="137" spans="6:10" ht="16">
      <c r="F137" s="112">
        <f t="shared" si="11"/>
        <v>0.28000000000000086</v>
      </c>
      <c r="G137" s="113">
        <f t="shared" ref="G137:G200" si="12">IFERROR(IF(SQRT(1-(F137*F137)/($J$5*$J$5))&lt;0.05,0,SQRT(1-(F137*F137)/($J$5*$J$5))),0)</f>
        <v>0</v>
      </c>
      <c r="H137" s="113">
        <f t="shared" ref="H137:H200" si="13">CHOOSE(MATCH($J$3,degrees),IF(F137&lt;0,IFERROR(1-G137,1),0),0,0,IF(F137&gt;0,IFERROR(1-G137,1),0))</f>
        <v>0</v>
      </c>
      <c r="I137" s="113">
        <f t="shared" ref="I137:I200" si="14">CHOOSE(MATCH($J$3,degrees),IF(F137&lt;0,2*G137,2),IF(F137&lt;0,0,1-G137),IF(F137&gt;0,0,1-G137),IF(F137&gt;0,2*G137,2))</f>
        <v>1</v>
      </c>
      <c r="J137" s="104">
        <f t="shared" ref="J137:J200" si="15">CHOOSE(MATCH($J$3,degrees),IF(F137&lt;0,G137+1,2),IF(F137&lt;0,2,2*G137),IF(F137&gt;0,2,2*G137),IF(F137&gt;0,G137+1,2))</f>
        <v>0</v>
      </c>
    </row>
    <row r="138" spans="6:10" ht="16">
      <c r="F138" s="112">
        <f t="shared" ref="F138:F201" si="16">F137+$G$4</f>
        <v>0.29000000000000087</v>
      </c>
      <c r="G138" s="113">
        <f t="shared" si="12"/>
        <v>0</v>
      </c>
      <c r="H138" s="113">
        <f t="shared" si="13"/>
        <v>0</v>
      </c>
      <c r="I138" s="113">
        <f t="shared" si="14"/>
        <v>1</v>
      </c>
      <c r="J138" s="104">
        <f t="shared" si="15"/>
        <v>0</v>
      </c>
    </row>
    <row r="139" spans="6:10" ht="16">
      <c r="F139" s="112">
        <f t="shared" si="16"/>
        <v>0.30000000000000088</v>
      </c>
      <c r="G139" s="113">
        <f t="shared" si="12"/>
        <v>0</v>
      </c>
      <c r="H139" s="113">
        <f t="shared" si="13"/>
        <v>0</v>
      </c>
      <c r="I139" s="113">
        <f t="shared" si="14"/>
        <v>1</v>
      </c>
      <c r="J139" s="104">
        <f t="shared" si="15"/>
        <v>0</v>
      </c>
    </row>
    <row r="140" spans="6:10" ht="16">
      <c r="F140" s="112">
        <f t="shared" si="16"/>
        <v>0.31000000000000089</v>
      </c>
      <c r="G140" s="113">
        <f t="shared" si="12"/>
        <v>0</v>
      </c>
      <c r="H140" s="113">
        <f t="shared" si="13"/>
        <v>0</v>
      </c>
      <c r="I140" s="113">
        <f t="shared" si="14"/>
        <v>1</v>
      </c>
      <c r="J140" s="104">
        <f t="shared" si="15"/>
        <v>0</v>
      </c>
    </row>
    <row r="141" spans="6:10" ht="16">
      <c r="F141" s="112">
        <f t="shared" si="16"/>
        <v>0.32000000000000089</v>
      </c>
      <c r="G141" s="113">
        <f t="shared" si="12"/>
        <v>0</v>
      </c>
      <c r="H141" s="113">
        <f t="shared" si="13"/>
        <v>0</v>
      </c>
      <c r="I141" s="113">
        <f t="shared" si="14"/>
        <v>1</v>
      </c>
      <c r="J141" s="104">
        <f t="shared" si="15"/>
        <v>0</v>
      </c>
    </row>
    <row r="142" spans="6:10" ht="16">
      <c r="F142" s="112">
        <f t="shared" si="16"/>
        <v>0.3300000000000009</v>
      </c>
      <c r="G142" s="113">
        <f t="shared" si="12"/>
        <v>0</v>
      </c>
      <c r="H142" s="113">
        <f t="shared" si="13"/>
        <v>0</v>
      </c>
      <c r="I142" s="113">
        <f t="shared" si="14"/>
        <v>1</v>
      </c>
      <c r="J142" s="104">
        <f t="shared" si="15"/>
        <v>0</v>
      </c>
    </row>
    <row r="143" spans="6:10" ht="16">
      <c r="F143" s="112">
        <f t="shared" si="16"/>
        <v>0.34000000000000091</v>
      </c>
      <c r="G143" s="113">
        <f t="shared" si="12"/>
        <v>0</v>
      </c>
      <c r="H143" s="113">
        <f t="shared" si="13"/>
        <v>0</v>
      </c>
      <c r="I143" s="113">
        <f t="shared" si="14"/>
        <v>1</v>
      </c>
      <c r="J143" s="104">
        <f t="shared" si="15"/>
        <v>0</v>
      </c>
    </row>
    <row r="144" spans="6:10" ht="16">
      <c r="F144" s="112">
        <f t="shared" si="16"/>
        <v>0.35000000000000092</v>
      </c>
      <c r="G144" s="113">
        <f t="shared" si="12"/>
        <v>0</v>
      </c>
      <c r="H144" s="113">
        <f t="shared" si="13"/>
        <v>0</v>
      </c>
      <c r="I144" s="113">
        <f t="shared" si="14"/>
        <v>1</v>
      </c>
      <c r="J144" s="104">
        <f t="shared" si="15"/>
        <v>0</v>
      </c>
    </row>
    <row r="145" spans="6:10" ht="16">
      <c r="F145" s="112">
        <f t="shared" si="16"/>
        <v>0.36000000000000093</v>
      </c>
      <c r="G145" s="113">
        <f t="shared" si="12"/>
        <v>0</v>
      </c>
      <c r="H145" s="113">
        <f t="shared" si="13"/>
        <v>0</v>
      </c>
      <c r="I145" s="113">
        <f t="shared" si="14"/>
        <v>1</v>
      </c>
      <c r="J145" s="104">
        <f t="shared" si="15"/>
        <v>0</v>
      </c>
    </row>
    <row r="146" spans="6:10" ht="16">
      <c r="F146" s="112">
        <f t="shared" si="16"/>
        <v>0.37000000000000094</v>
      </c>
      <c r="G146" s="113">
        <f t="shared" si="12"/>
        <v>0</v>
      </c>
      <c r="H146" s="113">
        <f t="shared" si="13"/>
        <v>0</v>
      </c>
      <c r="I146" s="113">
        <f t="shared" si="14"/>
        <v>1</v>
      </c>
      <c r="J146" s="104">
        <f t="shared" si="15"/>
        <v>0</v>
      </c>
    </row>
    <row r="147" spans="6:10" ht="16">
      <c r="F147" s="112">
        <f t="shared" si="16"/>
        <v>0.38000000000000095</v>
      </c>
      <c r="G147" s="113">
        <f t="shared" si="12"/>
        <v>0</v>
      </c>
      <c r="H147" s="113">
        <f t="shared" si="13"/>
        <v>0</v>
      </c>
      <c r="I147" s="113">
        <f t="shared" si="14"/>
        <v>1</v>
      </c>
      <c r="J147" s="104">
        <f t="shared" si="15"/>
        <v>0</v>
      </c>
    </row>
    <row r="148" spans="6:10" ht="16">
      <c r="F148" s="112">
        <f t="shared" si="16"/>
        <v>0.39000000000000096</v>
      </c>
      <c r="G148" s="113">
        <f t="shared" si="12"/>
        <v>0</v>
      </c>
      <c r="H148" s="113">
        <f t="shared" si="13"/>
        <v>0</v>
      </c>
      <c r="I148" s="113">
        <f t="shared" si="14"/>
        <v>1</v>
      </c>
      <c r="J148" s="104">
        <f t="shared" si="15"/>
        <v>0</v>
      </c>
    </row>
    <row r="149" spans="6:10" ht="16">
      <c r="F149" s="112">
        <f t="shared" si="16"/>
        <v>0.40000000000000097</v>
      </c>
      <c r="G149" s="113">
        <f t="shared" si="12"/>
        <v>0</v>
      </c>
      <c r="H149" s="113">
        <f t="shared" si="13"/>
        <v>0</v>
      </c>
      <c r="I149" s="113">
        <f t="shared" si="14"/>
        <v>1</v>
      </c>
      <c r="J149" s="104">
        <f t="shared" si="15"/>
        <v>0</v>
      </c>
    </row>
    <row r="150" spans="6:10" ht="16">
      <c r="F150" s="112">
        <f t="shared" si="16"/>
        <v>0.41000000000000097</v>
      </c>
      <c r="G150" s="113">
        <f t="shared" si="12"/>
        <v>0</v>
      </c>
      <c r="H150" s="113">
        <f t="shared" si="13"/>
        <v>0</v>
      </c>
      <c r="I150" s="113">
        <f t="shared" si="14"/>
        <v>1</v>
      </c>
      <c r="J150" s="104">
        <f t="shared" si="15"/>
        <v>0</v>
      </c>
    </row>
    <row r="151" spans="6:10" ht="16">
      <c r="F151" s="112">
        <f t="shared" si="16"/>
        <v>0.42000000000000098</v>
      </c>
      <c r="G151" s="113">
        <f t="shared" si="12"/>
        <v>0</v>
      </c>
      <c r="H151" s="113">
        <f t="shared" si="13"/>
        <v>0</v>
      </c>
      <c r="I151" s="113">
        <f t="shared" si="14"/>
        <v>1</v>
      </c>
      <c r="J151" s="104">
        <f t="shared" si="15"/>
        <v>0</v>
      </c>
    </row>
    <row r="152" spans="6:10" ht="16">
      <c r="F152" s="112">
        <f t="shared" si="16"/>
        <v>0.43000000000000099</v>
      </c>
      <c r="G152" s="113">
        <f t="shared" si="12"/>
        <v>0</v>
      </c>
      <c r="H152" s="113">
        <f t="shared" si="13"/>
        <v>0</v>
      </c>
      <c r="I152" s="113">
        <f t="shared" si="14"/>
        <v>1</v>
      </c>
      <c r="J152" s="104">
        <f t="shared" si="15"/>
        <v>0</v>
      </c>
    </row>
    <row r="153" spans="6:10" ht="16">
      <c r="F153" s="112">
        <f t="shared" si="16"/>
        <v>0.440000000000001</v>
      </c>
      <c r="G153" s="113">
        <f t="shared" si="12"/>
        <v>0</v>
      </c>
      <c r="H153" s="113">
        <f t="shared" si="13"/>
        <v>0</v>
      </c>
      <c r="I153" s="113">
        <f t="shared" si="14"/>
        <v>1</v>
      </c>
      <c r="J153" s="104">
        <f t="shared" si="15"/>
        <v>0</v>
      </c>
    </row>
    <row r="154" spans="6:10" ht="16">
      <c r="F154" s="112">
        <f t="shared" si="16"/>
        <v>0.45000000000000101</v>
      </c>
      <c r="G154" s="113">
        <f t="shared" si="12"/>
        <v>0</v>
      </c>
      <c r="H154" s="113">
        <f t="shared" si="13"/>
        <v>0</v>
      </c>
      <c r="I154" s="113">
        <f t="shared" si="14"/>
        <v>1</v>
      </c>
      <c r="J154" s="104">
        <f t="shared" si="15"/>
        <v>0</v>
      </c>
    </row>
    <row r="155" spans="6:10" ht="16">
      <c r="F155" s="112">
        <f t="shared" si="16"/>
        <v>0.46000000000000102</v>
      </c>
      <c r="G155" s="113">
        <f t="shared" si="12"/>
        <v>0</v>
      </c>
      <c r="H155" s="113">
        <f t="shared" si="13"/>
        <v>0</v>
      </c>
      <c r="I155" s="113">
        <f t="shared" si="14"/>
        <v>1</v>
      </c>
      <c r="J155" s="104">
        <f t="shared" si="15"/>
        <v>0</v>
      </c>
    </row>
    <row r="156" spans="6:10" ht="16">
      <c r="F156" s="112">
        <f t="shared" si="16"/>
        <v>0.47000000000000103</v>
      </c>
      <c r="G156" s="113">
        <f t="shared" si="12"/>
        <v>0</v>
      </c>
      <c r="H156" s="113">
        <f t="shared" si="13"/>
        <v>0</v>
      </c>
      <c r="I156" s="113">
        <f t="shared" si="14"/>
        <v>1</v>
      </c>
      <c r="J156" s="104">
        <f t="shared" si="15"/>
        <v>0</v>
      </c>
    </row>
    <row r="157" spans="6:10" ht="16">
      <c r="F157" s="112">
        <f t="shared" si="16"/>
        <v>0.48000000000000104</v>
      </c>
      <c r="G157" s="113">
        <f t="shared" si="12"/>
        <v>0</v>
      </c>
      <c r="H157" s="113">
        <f t="shared" si="13"/>
        <v>0</v>
      </c>
      <c r="I157" s="113">
        <f t="shared" si="14"/>
        <v>1</v>
      </c>
      <c r="J157" s="104">
        <f t="shared" si="15"/>
        <v>0</v>
      </c>
    </row>
    <row r="158" spans="6:10" ht="16">
      <c r="F158" s="112">
        <f t="shared" si="16"/>
        <v>0.49000000000000105</v>
      </c>
      <c r="G158" s="113">
        <f t="shared" si="12"/>
        <v>0</v>
      </c>
      <c r="H158" s="113">
        <f t="shared" si="13"/>
        <v>0</v>
      </c>
      <c r="I158" s="113">
        <f t="shared" si="14"/>
        <v>1</v>
      </c>
      <c r="J158" s="104">
        <f t="shared" si="15"/>
        <v>0</v>
      </c>
    </row>
    <row r="159" spans="6:10" ht="16">
      <c r="F159" s="112">
        <f t="shared" si="16"/>
        <v>0.500000000000001</v>
      </c>
      <c r="G159" s="113">
        <f t="shared" si="12"/>
        <v>0</v>
      </c>
      <c r="H159" s="113">
        <f t="shared" si="13"/>
        <v>0</v>
      </c>
      <c r="I159" s="113">
        <f t="shared" si="14"/>
        <v>1</v>
      </c>
      <c r="J159" s="104">
        <f t="shared" si="15"/>
        <v>0</v>
      </c>
    </row>
    <row r="160" spans="6:10" ht="16">
      <c r="F160" s="112">
        <f t="shared" si="16"/>
        <v>0.51000000000000101</v>
      </c>
      <c r="G160" s="113">
        <f t="shared" si="12"/>
        <v>0</v>
      </c>
      <c r="H160" s="113">
        <f t="shared" si="13"/>
        <v>0</v>
      </c>
      <c r="I160" s="113">
        <f t="shared" si="14"/>
        <v>1</v>
      </c>
      <c r="J160" s="104">
        <f t="shared" si="15"/>
        <v>0</v>
      </c>
    </row>
    <row r="161" spans="6:10" ht="16">
      <c r="F161" s="112">
        <f t="shared" si="16"/>
        <v>0.52000000000000102</v>
      </c>
      <c r="G161" s="113">
        <f t="shared" si="12"/>
        <v>0</v>
      </c>
      <c r="H161" s="113">
        <f t="shared" si="13"/>
        <v>0</v>
      </c>
      <c r="I161" s="113">
        <f t="shared" si="14"/>
        <v>1</v>
      </c>
      <c r="J161" s="104">
        <f t="shared" si="15"/>
        <v>0</v>
      </c>
    </row>
    <row r="162" spans="6:10" ht="16">
      <c r="F162" s="112">
        <f t="shared" si="16"/>
        <v>0.53000000000000103</v>
      </c>
      <c r="G162" s="113">
        <f t="shared" si="12"/>
        <v>0</v>
      </c>
      <c r="H162" s="113">
        <f t="shared" si="13"/>
        <v>0</v>
      </c>
      <c r="I162" s="113">
        <f t="shared" si="14"/>
        <v>1</v>
      </c>
      <c r="J162" s="104">
        <f t="shared" si="15"/>
        <v>0</v>
      </c>
    </row>
    <row r="163" spans="6:10" ht="16">
      <c r="F163" s="112">
        <f t="shared" si="16"/>
        <v>0.54000000000000103</v>
      </c>
      <c r="G163" s="113">
        <f t="shared" si="12"/>
        <v>0</v>
      </c>
      <c r="H163" s="113">
        <f t="shared" si="13"/>
        <v>0</v>
      </c>
      <c r="I163" s="113">
        <f t="shared" si="14"/>
        <v>1</v>
      </c>
      <c r="J163" s="104">
        <f t="shared" si="15"/>
        <v>0</v>
      </c>
    </row>
    <row r="164" spans="6:10" ht="16">
      <c r="F164" s="112">
        <f t="shared" si="16"/>
        <v>0.55000000000000104</v>
      </c>
      <c r="G164" s="113">
        <f t="shared" si="12"/>
        <v>0</v>
      </c>
      <c r="H164" s="113">
        <f t="shared" si="13"/>
        <v>0</v>
      </c>
      <c r="I164" s="113">
        <f t="shared" si="14"/>
        <v>1</v>
      </c>
      <c r="J164" s="104">
        <f t="shared" si="15"/>
        <v>0</v>
      </c>
    </row>
    <row r="165" spans="6:10" ht="16">
      <c r="F165" s="112">
        <f t="shared" si="16"/>
        <v>0.56000000000000105</v>
      </c>
      <c r="G165" s="113">
        <f t="shared" si="12"/>
        <v>0</v>
      </c>
      <c r="H165" s="113">
        <f t="shared" si="13"/>
        <v>0</v>
      </c>
      <c r="I165" s="113">
        <f t="shared" si="14"/>
        <v>1</v>
      </c>
      <c r="J165" s="104">
        <f t="shared" si="15"/>
        <v>0</v>
      </c>
    </row>
    <row r="166" spans="6:10" ht="16">
      <c r="F166" s="112">
        <f t="shared" si="16"/>
        <v>0.57000000000000106</v>
      </c>
      <c r="G166" s="113">
        <f t="shared" si="12"/>
        <v>0</v>
      </c>
      <c r="H166" s="113">
        <f t="shared" si="13"/>
        <v>0</v>
      </c>
      <c r="I166" s="113">
        <f t="shared" si="14"/>
        <v>1</v>
      </c>
      <c r="J166" s="104">
        <f t="shared" si="15"/>
        <v>0</v>
      </c>
    </row>
    <row r="167" spans="6:10" ht="16">
      <c r="F167" s="112">
        <f t="shared" si="16"/>
        <v>0.58000000000000107</v>
      </c>
      <c r="G167" s="113">
        <f t="shared" si="12"/>
        <v>0</v>
      </c>
      <c r="H167" s="113">
        <f t="shared" si="13"/>
        <v>0</v>
      </c>
      <c r="I167" s="113">
        <f t="shared" si="14"/>
        <v>1</v>
      </c>
      <c r="J167" s="104">
        <f t="shared" si="15"/>
        <v>0</v>
      </c>
    </row>
    <row r="168" spans="6:10" ht="16">
      <c r="F168" s="112">
        <f t="shared" si="16"/>
        <v>0.59000000000000108</v>
      </c>
      <c r="G168" s="113">
        <f t="shared" si="12"/>
        <v>0</v>
      </c>
      <c r="H168" s="113">
        <f t="shared" si="13"/>
        <v>0</v>
      </c>
      <c r="I168" s="113">
        <f t="shared" si="14"/>
        <v>1</v>
      </c>
      <c r="J168" s="104">
        <f t="shared" si="15"/>
        <v>0</v>
      </c>
    </row>
    <row r="169" spans="6:10" ht="16">
      <c r="F169" s="112">
        <f t="shared" si="16"/>
        <v>0.60000000000000109</v>
      </c>
      <c r="G169" s="113">
        <f t="shared" si="12"/>
        <v>0</v>
      </c>
      <c r="H169" s="113">
        <f t="shared" si="13"/>
        <v>0</v>
      </c>
      <c r="I169" s="113">
        <f t="shared" si="14"/>
        <v>1</v>
      </c>
      <c r="J169" s="104">
        <f t="shared" si="15"/>
        <v>0</v>
      </c>
    </row>
    <row r="170" spans="6:10" ht="16">
      <c r="F170" s="112">
        <f t="shared" si="16"/>
        <v>0.6100000000000011</v>
      </c>
      <c r="G170" s="113">
        <f t="shared" si="12"/>
        <v>0</v>
      </c>
      <c r="H170" s="113">
        <f t="shared" si="13"/>
        <v>0</v>
      </c>
      <c r="I170" s="113">
        <f t="shared" si="14"/>
        <v>1</v>
      </c>
      <c r="J170" s="104">
        <f t="shared" si="15"/>
        <v>0</v>
      </c>
    </row>
    <row r="171" spans="6:10" ht="16">
      <c r="F171" s="112">
        <f t="shared" si="16"/>
        <v>0.62000000000000111</v>
      </c>
      <c r="G171" s="113">
        <f t="shared" si="12"/>
        <v>0</v>
      </c>
      <c r="H171" s="113">
        <f t="shared" si="13"/>
        <v>0</v>
      </c>
      <c r="I171" s="113">
        <f t="shared" si="14"/>
        <v>1</v>
      </c>
      <c r="J171" s="104">
        <f t="shared" si="15"/>
        <v>0</v>
      </c>
    </row>
    <row r="172" spans="6:10" ht="16">
      <c r="F172" s="112">
        <f t="shared" si="16"/>
        <v>0.63000000000000111</v>
      </c>
      <c r="G172" s="113">
        <f t="shared" si="12"/>
        <v>0</v>
      </c>
      <c r="H172" s="113">
        <f t="shared" si="13"/>
        <v>0</v>
      </c>
      <c r="I172" s="113">
        <f t="shared" si="14"/>
        <v>1</v>
      </c>
      <c r="J172" s="104">
        <f t="shared" si="15"/>
        <v>0</v>
      </c>
    </row>
    <row r="173" spans="6:10" ht="16">
      <c r="F173" s="112">
        <f t="shared" si="16"/>
        <v>0.64000000000000112</v>
      </c>
      <c r="G173" s="113">
        <f t="shared" si="12"/>
        <v>0</v>
      </c>
      <c r="H173" s="113">
        <f t="shared" si="13"/>
        <v>0</v>
      </c>
      <c r="I173" s="113">
        <f t="shared" si="14"/>
        <v>1</v>
      </c>
      <c r="J173" s="104">
        <f t="shared" si="15"/>
        <v>0</v>
      </c>
    </row>
    <row r="174" spans="6:10" ht="16">
      <c r="F174" s="112">
        <f t="shared" si="16"/>
        <v>0.65000000000000113</v>
      </c>
      <c r="G174" s="113">
        <f t="shared" si="12"/>
        <v>0</v>
      </c>
      <c r="H174" s="113">
        <f t="shared" si="13"/>
        <v>0</v>
      </c>
      <c r="I174" s="113">
        <f t="shared" si="14"/>
        <v>1</v>
      </c>
      <c r="J174" s="104">
        <f t="shared" si="15"/>
        <v>0</v>
      </c>
    </row>
    <row r="175" spans="6:10" ht="16">
      <c r="F175" s="112">
        <f t="shared" si="16"/>
        <v>0.66000000000000114</v>
      </c>
      <c r="G175" s="113">
        <f t="shared" si="12"/>
        <v>0</v>
      </c>
      <c r="H175" s="113">
        <f t="shared" si="13"/>
        <v>0</v>
      </c>
      <c r="I175" s="113">
        <f t="shared" si="14"/>
        <v>1</v>
      </c>
      <c r="J175" s="104">
        <f t="shared" si="15"/>
        <v>0</v>
      </c>
    </row>
    <row r="176" spans="6:10" ht="16">
      <c r="F176" s="112">
        <f t="shared" si="16"/>
        <v>0.67000000000000115</v>
      </c>
      <c r="G176" s="113">
        <f t="shared" si="12"/>
        <v>0</v>
      </c>
      <c r="H176" s="113">
        <f t="shared" si="13"/>
        <v>0</v>
      </c>
      <c r="I176" s="113">
        <f t="shared" si="14"/>
        <v>1</v>
      </c>
      <c r="J176" s="104">
        <f t="shared" si="15"/>
        <v>0</v>
      </c>
    </row>
    <row r="177" spans="6:10" ht="16">
      <c r="F177" s="112">
        <f t="shared" si="16"/>
        <v>0.68000000000000116</v>
      </c>
      <c r="G177" s="113">
        <f t="shared" si="12"/>
        <v>0</v>
      </c>
      <c r="H177" s="113">
        <f t="shared" si="13"/>
        <v>0</v>
      </c>
      <c r="I177" s="113">
        <f t="shared" si="14"/>
        <v>1</v>
      </c>
      <c r="J177" s="104">
        <f t="shared" si="15"/>
        <v>0</v>
      </c>
    </row>
    <row r="178" spans="6:10" ht="16">
      <c r="F178" s="112">
        <f t="shared" si="16"/>
        <v>0.69000000000000117</v>
      </c>
      <c r="G178" s="113">
        <f t="shared" si="12"/>
        <v>0</v>
      </c>
      <c r="H178" s="113">
        <f t="shared" si="13"/>
        <v>0</v>
      </c>
      <c r="I178" s="113">
        <f t="shared" si="14"/>
        <v>1</v>
      </c>
      <c r="J178" s="104">
        <f t="shared" si="15"/>
        <v>0</v>
      </c>
    </row>
    <row r="179" spans="6:10" ht="16">
      <c r="F179" s="112">
        <f t="shared" si="16"/>
        <v>0.70000000000000118</v>
      </c>
      <c r="G179" s="113">
        <f t="shared" si="12"/>
        <v>0</v>
      </c>
      <c r="H179" s="113">
        <f t="shared" si="13"/>
        <v>0</v>
      </c>
      <c r="I179" s="113">
        <f t="shared" si="14"/>
        <v>1</v>
      </c>
      <c r="J179" s="104">
        <f t="shared" si="15"/>
        <v>0</v>
      </c>
    </row>
    <row r="180" spans="6:10" ht="16">
      <c r="F180" s="112">
        <f t="shared" si="16"/>
        <v>0.71000000000000119</v>
      </c>
      <c r="G180" s="113">
        <f t="shared" si="12"/>
        <v>0</v>
      </c>
      <c r="H180" s="113">
        <f t="shared" si="13"/>
        <v>0</v>
      </c>
      <c r="I180" s="113">
        <f t="shared" si="14"/>
        <v>1</v>
      </c>
      <c r="J180" s="104">
        <f t="shared" si="15"/>
        <v>0</v>
      </c>
    </row>
    <row r="181" spans="6:10" ht="16">
      <c r="F181" s="112">
        <f t="shared" si="16"/>
        <v>0.72000000000000119</v>
      </c>
      <c r="G181" s="113">
        <f t="shared" si="12"/>
        <v>0</v>
      </c>
      <c r="H181" s="113">
        <f t="shared" si="13"/>
        <v>0</v>
      </c>
      <c r="I181" s="113">
        <f t="shared" si="14"/>
        <v>1</v>
      </c>
      <c r="J181" s="104">
        <f t="shared" si="15"/>
        <v>0</v>
      </c>
    </row>
    <row r="182" spans="6:10" ht="16">
      <c r="F182" s="112">
        <f t="shared" si="16"/>
        <v>0.7300000000000012</v>
      </c>
      <c r="G182" s="113">
        <f t="shared" si="12"/>
        <v>0</v>
      </c>
      <c r="H182" s="113">
        <f t="shared" si="13"/>
        <v>0</v>
      </c>
      <c r="I182" s="113">
        <f t="shared" si="14"/>
        <v>1</v>
      </c>
      <c r="J182" s="104">
        <f t="shared" si="15"/>
        <v>0</v>
      </c>
    </row>
    <row r="183" spans="6:10" ht="16">
      <c r="F183" s="112">
        <f t="shared" si="16"/>
        <v>0.74000000000000121</v>
      </c>
      <c r="G183" s="113">
        <f t="shared" si="12"/>
        <v>0</v>
      </c>
      <c r="H183" s="113">
        <f t="shared" si="13"/>
        <v>0</v>
      </c>
      <c r="I183" s="113">
        <f t="shared" si="14"/>
        <v>1</v>
      </c>
      <c r="J183" s="104">
        <f t="shared" si="15"/>
        <v>0</v>
      </c>
    </row>
    <row r="184" spans="6:10" ht="16">
      <c r="F184" s="112">
        <f t="shared" si="16"/>
        <v>0.75000000000000122</v>
      </c>
      <c r="G184" s="113">
        <f t="shared" si="12"/>
        <v>0</v>
      </c>
      <c r="H184" s="113">
        <f t="shared" si="13"/>
        <v>0</v>
      </c>
      <c r="I184" s="113">
        <f t="shared" si="14"/>
        <v>1</v>
      </c>
      <c r="J184" s="104">
        <f t="shared" si="15"/>
        <v>0</v>
      </c>
    </row>
    <row r="185" spans="6:10" ht="16">
      <c r="F185" s="112">
        <f t="shared" si="16"/>
        <v>0.76000000000000123</v>
      </c>
      <c r="G185" s="113">
        <f t="shared" si="12"/>
        <v>0</v>
      </c>
      <c r="H185" s="113">
        <f t="shared" si="13"/>
        <v>0</v>
      </c>
      <c r="I185" s="113">
        <f t="shared" si="14"/>
        <v>1</v>
      </c>
      <c r="J185" s="104">
        <f t="shared" si="15"/>
        <v>0</v>
      </c>
    </row>
    <row r="186" spans="6:10" ht="16">
      <c r="F186" s="112">
        <f t="shared" si="16"/>
        <v>0.77000000000000124</v>
      </c>
      <c r="G186" s="113">
        <f t="shared" si="12"/>
        <v>0</v>
      </c>
      <c r="H186" s="113">
        <f t="shared" si="13"/>
        <v>0</v>
      </c>
      <c r="I186" s="113">
        <f t="shared" si="14"/>
        <v>1</v>
      </c>
      <c r="J186" s="104">
        <f t="shared" si="15"/>
        <v>0</v>
      </c>
    </row>
    <row r="187" spans="6:10" ht="16">
      <c r="F187" s="112">
        <f t="shared" si="16"/>
        <v>0.78000000000000125</v>
      </c>
      <c r="G187" s="113">
        <f t="shared" si="12"/>
        <v>0</v>
      </c>
      <c r="H187" s="113">
        <f t="shared" si="13"/>
        <v>0</v>
      </c>
      <c r="I187" s="113">
        <f t="shared" si="14"/>
        <v>1</v>
      </c>
      <c r="J187" s="104">
        <f t="shared" si="15"/>
        <v>0</v>
      </c>
    </row>
    <row r="188" spans="6:10" ht="16">
      <c r="F188" s="112">
        <f t="shared" si="16"/>
        <v>0.79000000000000126</v>
      </c>
      <c r="G188" s="113">
        <f t="shared" si="12"/>
        <v>0</v>
      </c>
      <c r="H188" s="113">
        <f t="shared" si="13"/>
        <v>0</v>
      </c>
      <c r="I188" s="113">
        <f t="shared" si="14"/>
        <v>1</v>
      </c>
      <c r="J188" s="104">
        <f t="shared" si="15"/>
        <v>0</v>
      </c>
    </row>
    <row r="189" spans="6:10" ht="16">
      <c r="F189" s="112">
        <f t="shared" si="16"/>
        <v>0.80000000000000127</v>
      </c>
      <c r="G189" s="113">
        <f t="shared" si="12"/>
        <v>0</v>
      </c>
      <c r="H189" s="113">
        <f t="shared" si="13"/>
        <v>0</v>
      </c>
      <c r="I189" s="113">
        <f t="shared" si="14"/>
        <v>1</v>
      </c>
      <c r="J189" s="104">
        <f t="shared" si="15"/>
        <v>0</v>
      </c>
    </row>
    <row r="190" spans="6:10" ht="16">
      <c r="F190" s="112">
        <f t="shared" si="16"/>
        <v>0.81000000000000127</v>
      </c>
      <c r="G190" s="113">
        <f t="shared" si="12"/>
        <v>0</v>
      </c>
      <c r="H190" s="113">
        <f t="shared" si="13"/>
        <v>0</v>
      </c>
      <c r="I190" s="113">
        <f t="shared" si="14"/>
        <v>1</v>
      </c>
      <c r="J190" s="104">
        <f t="shared" si="15"/>
        <v>0</v>
      </c>
    </row>
    <row r="191" spans="6:10" ht="16">
      <c r="F191" s="112">
        <f t="shared" si="16"/>
        <v>0.82000000000000128</v>
      </c>
      <c r="G191" s="113">
        <f t="shared" si="12"/>
        <v>0</v>
      </c>
      <c r="H191" s="113">
        <f t="shared" si="13"/>
        <v>0</v>
      </c>
      <c r="I191" s="113">
        <f t="shared" si="14"/>
        <v>1</v>
      </c>
      <c r="J191" s="104">
        <f t="shared" si="15"/>
        <v>0</v>
      </c>
    </row>
    <row r="192" spans="6:10" ht="16">
      <c r="F192" s="112">
        <f t="shared" si="16"/>
        <v>0.83000000000000129</v>
      </c>
      <c r="G192" s="113">
        <f t="shared" si="12"/>
        <v>0</v>
      </c>
      <c r="H192" s="113">
        <f t="shared" si="13"/>
        <v>0</v>
      </c>
      <c r="I192" s="113">
        <f t="shared" si="14"/>
        <v>1</v>
      </c>
      <c r="J192" s="104">
        <f t="shared" si="15"/>
        <v>0</v>
      </c>
    </row>
    <row r="193" spans="6:10" ht="16">
      <c r="F193" s="112">
        <f t="shared" si="16"/>
        <v>0.8400000000000013</v>
      </c>
      <c r="G193" s="113">
        <f t="shared" si="12"/>
        <v>0</v>
      </c>
      <c r="H193" s="113">
        <f t="shared" si="13"/>
        <v>0</v>
      </c>
      <c r="I193" s="113">
        <f t="shared" si="14"/>
        <v>1</v>
      </c>
      <c r="J193" s="104">
        <f t="shared" si="15"/>
        <v>0</v>
      </c>
    </row>
    <row r="194" spans="6:10" ht="16">
      <c r="F194" s="112">
        <f t="shared" si="16"/>
        <v>0.85000000000000131</v>
      </c>
      <c r="G194" s="113">
        <f t="shared" si="12"/>
        <v>0</v>
      </c>
      <c r="H194" s="113">
        <f t="shared" si="13"/>
        <v>0</v>
      </c>
      <c r="I194" s="113">
        <f t="shared" si="14"/>
        <v>1</v>
      </c>
      <c r="J194" s="104">
        <f t="shared" si="15"/>
        <v>0</v>
      </c>
    </row>
    <row r="195" spans="6:10" ht="16">
      <c r="F195" s="112">
        <f t="shared" si="16"/>
        <v>0.86000000000000132</v>
      </c>
      <c r="G195" s="113">
        <f t="shared" si="12"/>
        <v>0</v>
      </c>
      <c r="H195" s="113">
        <f t="shared" si="13"/>
        <v>0</v>
      </c>
      <c r="I195" s="113">
        <f t="shared" si="14"/>
        <v>1</v>
      </c>
      <c r="J195" s="104">
        <f t="shared" si="15"/>
        <v>0</v>
      </c>
    </row>
    <row r="196" spans="6:10" ht="16">
      <c r="F196" s="112">
        <f t="shared" si="16"/>
        <v>0.87000000000000133</v>
      </c>
      <c r="G196" s="113">
        <f t="shared" si="12"/>
        <v>0</v>
      </c>
      <c r="H196" s="113">
        <f t="shared" si="13"/>
        <v>0</v>
      </c>
      <c r="I196" s="113">
        <f t="shared" si="14"/>
        <v>1</v>
      </c>
      <c r="J196" s="104">
        <f t="shared" si="15"/>
        <v>0</v>
      </c>
    </row>
    <row r="197" spans="6:10" ht="16">
      <c r="F197" s="112">
        <f t="shared" si="16"/>
        <v>0.88000000000000134</v>
      </c>
      <c r="G197" s="113">
        <f t="shared" si="12"/>
        <v>0</v>
      </c>
      <c r="H197" s="113">
        <f t="shared" si="13"/>
        <v>0</v>
      </c>
      <c r="I197" s="113">
        <f t="shared" si="14"/>
        <v>1</v>
      </c>
      <c r="J197" s="104">
        <f t="shared" si="15"/>
        <v>0</v>
      </c>
    </row>
    <row r="198" spans="6:10" ht="16">
      <c r="F198" s="112">
        <f t="shared" si="16"/>
        <v>0.89000000000000135</v>
      </c>
      <c r="G198" s="113">
        <f t="shared" si="12"/>
        <v>0</v>
      </c>
      <c r="H198" s="113">
        <f t="shared" si="13"/>
        <v>0</v>
      </c>
      <c r="I198" s="113">
        <f t="shared" si="14"/>
        <v>1</v>
      </c>
      <c r="J198" s="104">
        <f t="shared" si="15"/>
        <v>0</v>
      </c>
    </row>
    <row r="199" spans="6:10" ht="16">
      <c r="F199" s="112">
        <f t="shared" si="16"/>
        <v>0.90000000000000135</v>
      </c>
      <c r="G199" s="113">
        <f t="shared" si="12"/>
        <v>0</v>
      </c>
      <c r="H199" s="113">
        <f t="shared" si="13"/>
        <v>0</v>
      </c>
      <c r="I199" s="113">
        <f t="shared" si="14"/>
        <v>1</v>
      </c>
      <c r="J199" s="104">
        <f t="shared" si="15"/>
        <v>0</v>
      </c>
    </row>
    <row r="200" spans="6:10" ht="16">
      <c r="F200" s="112">
        <f t="shared" si="16"/>
        <v>0.91000000000000136</v>
      </c>
      <c r="G200" s="113">
        <f t="shared" si="12"/>
        <v>0</v>
      </c>
      <c r="H200" s="113">
        <f t="shared" si="13"/>
        <v>0</v>
      </c>
      <c r="I200" s="113">
        <f t="shared" si="14"/>
        <v>1</v>
      </c>
      <c r="J200" s="104">
        <f t="shared" si="15"/>
        <v>0</v>
      </c>
    </row>
    <row r="201" spans="6:10" ht="16">
      <c r="F201" s="112">
        <f t="shared" si="16"/>
        <v>0.92000000000000137</v>
      </c>
      <c r="G201" s="113">
        <f t="shared" ref="G201:G209" si="17">IFERROR(IF(SQRT(1-(F201*F201)/($J$5*$J$5))&lt;0.05,0,SQRT(1-(F201*F201)/($J$5*$J$5))),0)</f>
        <v>0</v>
      </c>
      <c r="H201" s="113">
        <f t="shared" ref="H201:H209" si="18">CHOOSE(MATCH($J$3,degrees),IF(F201&lt;0,IFERROR(1-G201,1),0),0,0,IF(F201&gt;0,IFERROR(1-G201,1),0))</f>
        <v>0</v>
      </c>
      <c r="I201" s="113">
        <f t="shared" ref="I201:I209" si="19">CHOOSE(MATCH($J$3,degrees),IF(F201&lt;0,2*G201,2),IF(F201&lt;0,0,1-G201),IF(F201&gt;0,0,1-G201),IF(F201&gt;0,2*G201,2))</f>
        <v>1</v>
      </c>
      <c r="J201" s="104">
        <f t="shared" ref="J201:J209" si="20">CHOOSE(MATCH($J$3,degrees),IF(F201&lt;0,G201+1,2),IF(F201&lt;0,2,2*G201),IF(F201&gt;0,2,2*G201),IF(F201&gt;0,G201+1,2))</f>
        <v>0</v>
      </c>
    </row>
    <row r="202" spans="6:10" ht="16">
      <c r="F202" s="112">
        <f t="shared" ref="F202:F209" si="21">F201+$G$4</f>
        <v>0.93000000000000138</v>
      </c>
      <c r="G202" s="113">
        <f t="shared" si="17"/>
        <v>0</v>
      </c>
      <c r="H202" s="113">
        <f t="shared" si="18"/>
        <v>0</v>
      </c>
      <c r="I202" s="113">
        <f t="shared" si="19"/>
        <v>1</v>
      </c>
      <c r="J202" s="104">
        <f t="shared" si="20"/>
        <v>0</v>
      </c>
    </row>
    <row r="203" spans="6:10" ht="16">
      <c r="F203" s="112">
        <f t="shared" si="21"/>
        <v>0.94000000000000139</v>
      </c>
      <c r="G203" s="113">
        <f t="shared" si="17"/>
        <v>0</v>
      </c>
      <c r="H203" s="113">
        <f t="shared" si="18"/>
        <v>0</v>
      </c>
      <c r="I203" s="113">
        <f t="shared" si="19"/>
        <v>1</v>
      </c>
      <c r="J203" s="104">
        <f t="shared" si="20"/>
        <v>0</v>
      </c>
    </row>
    <row r="204" spans="6:10" ht="16">
      <c r="F204" s="112">
        <f t="shared" si="21"/>
        <v>0.9500000000000014</v>
      </c>
      <c r="G204" s="113">
        <f t="shared" si="17"/>
        <v>0</v>
      </c>
      <c r="H204" s="113">
        <f t="shared" si="18"/>
        <v>0</v>
      </c>
      <c r="I204" s="113">
        <f t="shared" si="19"/>
        <v>1</v>
      </c>
      <c r="J204" s="104">
        <f t="shared" si="20"/>
        <v>0</v>
      </c>
    </row>
    <row r="205" spans="6:10" ht="16">
      <c r="F205" s="112">
        <f t="shared" si="21"/>
        <v>0.96000000000000141</v>
      </c>
      <c r="G205" s="113">
        <f t="shared" si="17"/>
        <v>0</v>
      </c>
      <c r="H205" s="113">
        <f t="shared" si="18"/>
        <v>0</v>
      </c>
      <c r="I205" s="113">
        <f t="shared" si="19"/>
        <v>1</v>
      </c>
      <c r="J205" s="104">
        <f t="shared" si="20"/>
        <v>0</v>
      </c>
    </row>
    <row r="206" spans="6:10" ht="16">
      <c r="F206" s="112">
        <f t="shared" si="21"/>
        <v>0.97000000000000142</v>
      </c>
      <c r="G206" s="113">
        <f t="shared" si="17"/>
        <v>0</v>
      </c>
      <c r="H206" s="113">
        <f t="shared" si="18"/>
        <v>0</v>
      </c>
      <c r="I206" s="113">
        <f t="shared" si="19"/>
        <v>1</v>
      </c>
      <c r="J206" s="104">
        <f t="shared" si="20"/>
        <v>0</v>
      </c>
    </row>
    <row r="207" spans="6:10" ht="16">
      <c r="F207" s="112">
        <f t="shared" si="21"/>
        <v>0.98000000000000143</v>
      </c>
      <c r="G207" s="113">
        <f t="shared" si="17"/>
        <v>0</v>
      </c>
      <c r="H207" s="113">
        <f t="shared" si="18"/>
        <v>0</v>
      </c>
      <c r="I207" s="113">
        <f t="shared" si="19"/>
        <v>1</v>
      </c>
      <c r="J207" s="104">
        <f t="shared" si="20"/>
        <v>0</v>
      </c>
    </row>
    <row r="208" spans="6:10" ht="16">
      <c r="F208" s="112">
        <f t="shared" si="21"/>
        <v>0.99000000000000143</v>
      </c>
      <c r="G208" s="113">
        <f t="shared" si="17"/>
        <v>0</v>
      </c>
      <c r="H208" s="113">
        <f t="shared" si="18"/>
        <v>0</v>
      </c>
      <c r="I208" s="113">
        <f t="shared" si="19"/>
        <v>1</v>
      </c>
      <c r="J208" s="104">
        <f t="shared" si="20"/>
        <v>0</v>
      </c>
    </row>
    <row r="209" spans="6:10" ht="16">
      <c r="F209" s="114">
        <f t="shared" si="21"/>
        <v>1.0000000000000013</v>
      </c>
      <c r="G209" s="115">
        <f t="shared" si="17"/>
        <v>0</v>
      </c>
      <c r="H209" s="115">
        <f t="shared" si="18"/>
        <v>0</v>
      </c>
      <c r="I209" s="115">
        <f t="shared" si="19"/>
        <v>1</v>
      </c>
      <c r="J209" s="116">
        <f t="shared" si="20"/>
        <v>0</v>
      </c>
    </row>
  </sheetData>
  <sheetProtection sheet="1" objects="1" scenarios="1"/>
  <pageMargins left="0.75" right="0.75" top="1" bottom="1" header="0.5" footer="0.5"/>
  <pageSetup paperSize="8" scale="150" orientation="landscape" horizontalDpi="300" verticalDpi="0" copies="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3031A-8C19-A948-843A-B4313A7D53D9}">
  <dimension ref="A1"/>
  <sheetViews>
    <sheetView showGridLines="0" workbookViewId="0">
      <selection activeCell="O35" sqref="O35"/>
    </sheetView>
  </sheetViews>
  <sheetFormatPr baseColWidth="10" defaultRowHeight="15"/>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Sun, Moon Position</vt:lpstr>
      <vt:lpstr>Illumination</vt:lpstr>
      <vt:lpstr>Background</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Sun, Moon Position (whole day)</dc:title>
  <dc:subject/>
  <dc:creator>Anton Viola</dc:creator>
  <cp:keywords/>
  <dc:description/>
  <cp:lastModifiedBy>Anton Viola</cp:lastModifiedBy>
  <dcterms:created xsi:type="dcterms:W3CDTF">2009-01-01T15:24:05Z</dcterms:created>
  <dcterms:modified xsi:type="dcterms:W3CDTF">2024-08-09T08:03:00Z</dcterms:modified>
  <cp:category/>
</cp:coreProperties>
</file>