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hanssassenburg/Library/CloudStorage/Dropbox/X_Private/20_Astronomy/Morsels/"/>
    </mc:Choice>
  </mc:AlternateContent>
  <xr:revisionPtr revIDLastSave="0" documentId="13_ncr:1_{B0DD203D-5AE4-144D-99C4-1E9E2FB53972}" xr6:coauthVersionLast="47" xr6:coauthVersionMax="47" xr10:uidLastSave="{00000000-0000-0000-0000-000000000000}"/>
  <bookViews>
    <workbookView xWindow="7580" yWindow="4180" windowWidth="31800" windowHeight="21600" xr2:uid="{00000000-000D-0000-FFFF-FFFF00000000}"/>
  </bookViews>
  <sheets>
    <sheet name="Introduction" sheetId="9" r:id="rId1"/>
    <sheet name="Transformations" sheetId="17" r:id="rId2"/>
    <sheet name="Background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23" i="17" l="1"/>
  <c r="L121" i="17"/>
  <c r="F123" i="17"/>
  <c r="F121" i="17"/>
  <c r="L114" i="17"/>
  <c r="F116" i="17"/>
  <c r="F114" i="17"/>
  <c r="I121" i="17"/>
  <c r="I117" i="17"/>
  <c r="I115" i="17"/>
  <c r="C123" i="17"/>
  <c r="C121" i="17"/>
  <c r="F71" i="17"/>
  <c r="F69" i="17"/>
  <c r="C117" i="17"/>
  <c r="C115" i="17"/>
  <c r="F55" i="17" l="1"/>
  <c r="F53" i="17"/>
  <c r="C75" i="17"/>
  <c r="C73" i="17"/>
  <c r="C55" i="17"/>
  <c r="C53" i="17"/>
  <c r="F88" i="17"/>
  <c r="C88" i="17"/>
  <c r="L86" i="17"/>
  <c r="I86" i="17"/>
  <c r="F86" i="17"/>
  <c r="C86" i="17"/>
  <c r="C19" i="17"/>
  <c r="C10" i="17"/>
  <c r="C11" i="17" s="1"/>
  <c r="C13" i="17" s="1"/>
  <c r="L104" i="17" l="1"/>
  <c r="L103" i="17" s="1"/>
  <c r="C71" i="17"/>
  <c r="F44" i="17"/>
  <c r="F70" i="17"/>
  <c r="F58" i="17"/>
  <c r="F54" i="17"/>
  <c r="I120" i="17"/>
  <c r="I116" i="17"/>
  <c r="F119" i="17"/>
  <c r="F118" i="17" s="1"/>
  <c r="L119" i="17"/>
  <c r="L118" i="17" s="1"/>
  <c r="C120" i="17"/>
  <c r="F74" i="17"/>
  <c r="C116" i="17"/>
  <c r="C44" i="17"/>
  <c r="C43" i="17"/>
  <c r="F43" i="17"/>
  <c r="C70" i="17"/>
  <c r="C91" i="17"/>
  <c r="C90" i="17" s="1"/>
  <c r="F91" i="17"/>
  <c r="F90" i="17" s="1"/>
  <c r="I91" i="17"/>
  <c r="I90" i="17" s="1"/>
  <c r="L91" i="17"/>
  <c r="L90" i="17" s="1"/>
  <c r="C104" i="17"/>
  <c r="C103" i="17" s="1"/>
  <c r="C20" i="17"/>
  <c r="C72" i="17" s="1"/>
  <c r="C12" i="17"/>
  <c r="F104" i="17"/>
  <c r="F103" i="17" s="1"/>
  <c r="I104" i="17"/>
  <c r="I103" i="17" s="1"/>
  <c r="F120" i="17" l="1"/>
  <c r="F68" i="17"/>
  <c r="L120" i="17"/>
  <c r="I114" i="17"/>
  <c r="I119" i="17" s="1"/>
  <c r="I126" i="17" s="1"/>
  <c r="I125" i="17" s="1"/>
  <c r="F122" i="17"/>
  <c r="C114" i="17"/>
  <c r="F125" i="17"/>
  <c r="F126" i="17"/>
  <c r="L122" i="17"/>
  <c r="L125" i="17" s="1"/>
  <c r="F73" i="17"/>
  <c r="L126" i="17"/>
  <c r="C119" i="17"/>
  <c r="F52" i="17"/>
  <c r="F57" i="17" s="1"/>
  <c r="C74" i="17"/>
  <c r="C77" i="17" s="1"/>
  <c r="C52" i="17"/>
  <c r="C22" i="17"/>
  <c r="C24" i="17"/>
  <c r="C23" i="17"/>
  <c r="C21" i="17"/>
  <c r="C26" i="17"/>
  <c r="C28" i="17" s="1"/>
  <c r="C27" i="17"/>
  <c r="C126" i="17" l="1"/>
  <c r="C125" i="17" s="1"/>
  <c r="F77" i="17"/>
  <c r="F78" i="17"/>
  <c r="C54" i="17"/>
  <c r="C25" i="17"/>
  <c r="C32" i="17" s="1"/>
  <c r="C58" i="17" l="1"/>
  <c r="C78" i="17"/>
  <c r="C57" i="17"/>
  <c r="C29" i="17"/>
</calcChain>
</file>

<file path=xl/sharedStrings.xml><?xml version="1.0" encoding="utf-8"?>
<sst xmlns="http://schemas.openxmlformats.org/spreadsheetml/2006/main" count="232" uniqueCount="90">
  <si>
    <t>Email</t>
  </si>
  <si>
    <t>All Rights Reserved:  © Astronomy Morsels.</t>
  </si>
  <si>
    <t>I'm solely responsible for the input and express no warranty.  Use at your own risk.</t>
  </si>
  <si>
    <t>Nonetheless, this spreadsheet has been carefully reviewed, and calculation results have been compared with other applications.</t>
  </si>
  <si>
    <r>
      <rPr>
        <b/>
        <sz val="14"/>
        <color theme="0"/>
        <rFont val="Calibri (Body)"/>
      </rPr>
      <t>Compiled by</t>
    </r>
    <r>
      <rPr>
        <sz val="14"/>
        <color theme="0"/>
        <rFont val="Calibri (Body)"/>
      </rPr>
      <t>: Anton Viola (Astronomy Morsels).</t>
    </r>
  </si>
  <si>
    <r>
      <rPr>
        <b/>
        <sz val="14"/>
        <color theme="0"/>
        <rFont val="Calibri (Body)"/>
      </rPr>
      <t>Latest update</t>
    </r>
    <r>
      <rPr>
        <sz val="14"/>
        <color theme="0"/>
        <rFont val="Calibri (Body)"/>
      </rPr>
      <t>: 12th May, 2024</t>
    </r>
  </si>
  <si>
    <t>V1.0</t>
  </si>
  <si>
    <t>Input</t>
  </si>
  <si>
    <t>Date</t>
  </si>
  <si>
    <t>Time</t>
  </si>
  <si>
    <t>Leap year?</t>
  </si>
  <si>
    <t>Day nr.</t>
  </si>
  <si>
    <t>Weekday</t>
  </si>
  <si>
    <t>JDE</t>
  </si>
  <si>
    <t>φ</t>
  </si>
  <si>
    <t>observer's latitude</t>
  </si>
  <si>
    <t>L</t>
  </si>
  <si>
    <t>observer's longitude</t>
  </si>
  <si>
    <t>west: -, east: +</t>
  </si>
  <si>
    <t>P</t>
  </si>
  <si>
    <t>deg -&gt; rad</t>
  </si>
  <si>
    <t>T</t>
  </si>
  <si>
    <t>M</t>
  </si>
  <si>
    <t>Ω</t>
  </si>
  <si>
    <t>longitude ascending node</t>
  </si>
  <si>
    <t>mean longitude Sun</t>
  </si>
  <si>
    <t>L'</t>
  </si>
  <si>
    <t>mean longitude Moon</t>
  </si>
  <si>
    <t>Δε</t>
  </si>
  <si>
    <t>nutation in obliquity</t>
  </si>
  <si>
    <t>U</t>
  </si>
  <si>
    <r>
      <t>ε</t>
    </r>
    <r>
      <rPr>
        <vertAlign val="subscript"/>
        <sz val="14"/>
        <color rgb="FF000000"/>
        <rFont val="Calibri"/>
        <family val="2"/>
      </rPr>
      <t>0</t>
    </r>
  </si>
  <si>
    <r>
      <rPr>
        <u/>
        <sz val="12"/>
        <rFont val="Calibri"/>
        <family val="2"/>
      </rPr>
      <t>mean</t>
    </r>
    <r>
      <rPr>
        <sz val="12"/>
        <rFont val="Calibri"/>
        <family val="2"/>
      </rPr>
      <t xml:space="preserve"> obliquity of ecliptic</t>
    </r>
  </si>
  <si>
    <r>
      <rPr>
        <u/>
        <sz val="12"/>
        <rFont val="Calibri"/>
        <family val="2"/>
      </rPr>
      <t>mean</t>
    </r>
    <r>
      <rPr>
        <sz val="12"/>
        <rFont val="Calibri"/>
        <family val="2"/>
      </rPr>
      <t xml:space="preserve"> obliquity of ecliptic (more accurate)</t>
    </r>
  </si>
  <si>
    <t>ε</t>
  </si>
  <si>
    <r>
      <rPr>
        <u/>
        <sz val="12"/>
        <rFont val="Calibri"/>
        <family val="2"/>
      </rPr>
      <t>true</t>
    </r>
    <r>
      <rPr>
        <sz val="12"/>
        <rFont val="Calibri"/>
        <family val="2"/>
      </rPr>
      <t xml:space="preserve">   obliquity of ecliptic</t>
    </r>
  </si>
  <si>
    <r>
      <t>ε</t>
    </r>
    <r>
      <rPr>
        <vertAlign val="subscript"/>
        <sz val="12"/>
        <color rgb="FF202122"/>
        <rFont val="Calibri"/>
        <family val="2"/>
      </rPr>
      <t>1950</t>
    </r>
  </si>
  <si>
    <r>
      <t>ε</t>
    </r>
    <r>
      <rPr>
        <vertAlign val="subscript"/>
        <sz val="12"/>
        <color rgb="FF202122"/>
        <rFont val="Calibri"/>
        <family val="2"/>
      </rPr>
      <t>2000</t>
    </r>
  </si>
  <si>
    <r>
      <t>ε</t>
    </r>
    <r>
      <rPr>
        <vertAlign val="subscript"/>
        <sz val="12"/>
        <color rgb="FF202122"/>
        <rFont val="Calibri"/>
        <family val="2"/>
      </rPr>
      <t>app</t>
    </r>
  </si>
  <si>
    <r>
      <t>ε</t>
    </r>
    <r>
      <rPr>
        <vertAlign val="subscript"/>
        <sz val="12"/>
        <color rgb="FF202122"/>
        <rFont val="Calibri"/>
        <family val="2"/>
      </rPr>
      <t>free</t>
    </r>
  </si>
  <si>
    <t>Equatorial -&gt; Ecliptic</t>
  </si>
  <si>
    <t>Ecliptic -&gt; Equatorial</t>
  </si>
  <si>
    <t>α</t>
  </si>
  <si>
    <t>λ</t>
  </si>
  <si>
    <t>δ</t>
  </si>
  <si>
    <t>β</t>
  </si>
  <si>
    <t>Equatorial -&gt; Horizontal</t>
  </si>
  <si>
    <t xml:space="preserve">Horizontal -&gt; Equatorial </t>
  </si>
  <si>
    <r>
      <t>θ</t>
    </r>
    <r>
      <rPr>
        <vertAlign val="subscript"/>
        <sz val="12"/>
        <rFont val="Calibri"/>
        <family val="2"/>
      </rPr>
      <t>0</t>
    </r>
  </si>
  <si>
    <t>H</t>
  </si>
  <si>
    <t>Equatorial -&gt; Galactic (B1950.0)</t>
  </si>
  <si>
    <t>Galactic (B1950.0) -&gt; Equatorial</t>
  </si>
  <si>
    <t>Equatorial -&gt; Galactic (B2000.0)</t>
  </si>
  <si>
    <t>Galactic (B2000.0) -&gt; Equatorial</t>
  </si>
  <si>
    <t>l</t>
  </si>
  <si>
    <t>b</t>
  </si>
  <si>
    <r>
      <t>δ</t>
    </r>
    <r>
      <rPr>
        <vertAlign val="subscript"/>
        <sz val="12"/>
        <rFont val="Calibri"/>
        <family val="2"/>
      </rPr>
      <t>NGP</t>
    </r>
  </si>
  <si>
    <r>
      <t>α</t>
    </r>
    <r>
      <rPr>
        <vertAlign val="subscript"/>
        <sz val="12"/>
        <rFont val="Calibri"/>
        <family val="2"/>
      </rPr>
      <t>0</t>
    </r>
  </si>
  <si>
    <r>
      <t>l</t>
    </r>
    <r>
      <rPr>
        <vertAlign val="subscript"/>
        <sz val="12"/>
        <color theme="1"/>
        <rFont val="Calibri"/>
        <family val="2"/>
      </rPr>
      <t>o</t>
    </r>
  </si>
  <si>
    <t>Ecliptic -&gt; Galactic (B1950.0)</t>
  </si>
  <si>
    <t>Galactic (B1950.0) -&gt; Ecliptic</t>
  </si>
  <si>
    <t>Ecliptic -&gt; Galactic (B2000.0)</t>
  </si>
  <si>
    <t>Galactic (B2000.0) -&gt; Ecliptic</t>
  </si>
  <si>
    <r>
      <t>λ</t>
    </r>
    <r>
      <rPr>
        <vertAlign val="subscript"/>
        <sz val="12"/>
        <rFont val="Calibri"/>
        <family val="2"/>
      </rPr>
      <t>0</t>
    </r>
  </si>
  <si>
    <r>
      <t>β</t>
    </r>
    <r>
      <rPr>
        <vertAlign val="subscript"/>
        <sz val="12"/>
        <rFont val="Calibri"/>
        <family val="2"/>
      </rPr>
      <t>NGP</t>
    </r>
  </si>
  <si>
    <r>
      <t>l</t>
    </r>
    <r>
      <rPr>
        <vertAlign val="subscript"/>
        <sz val="12"/>
        <rFont val="Calibri"/>
        <family val="2"/>
      </rPr>
      <t>1</t>
    </r>
  </si>
  <si>
    <t>In astronomy, coordinate systems are used for specifying positions of celestial objects (satellites, planets, stars, galaxies, etc.) relative to a given reference frame, based on physical reference points available to a situated observer (e.g. the true horizon and north to an observer on Earth's surface). In this spreadsheet, coordinate transformations between different coordinate systems are presented.</t>
  </si>
  <si>
    <t>Calculation of obliquity</t>
  </si>
  <si>
    <t>Julian centuries</t>
  </si>
  <si>
    <t>mean anomaly of Sun</t>
  </si>
  <si>
    <t>unit of 10'000 Julian years</t>
  </si>
  <si>
    <r>
      <rPr>
        <u/>
        <sz val="12"/>
        <color theme="1"/>
        <rFont val="Calibri"/>
        <family val="2"/>
      </rPr>
      <t>true</t>
    </r>
    <r>
      <rPr>
        <sz val="12"/>
        <color theme="1"/>
        <rFont val="Calibri"/>
        <family val="2"/>
      </rPr>
      <t xml:space="preserve"> obliquity of ecliptic  date dependent)</t>
    </r>
  </si>
  <si>
    <t>Az</t>
  </si>
  <si>
    <t>alt</t>
  </si>
  <si>
    <t>A. Equatorial (α, δ)  &lt;&gt; Ecliptic (λ, β)</t>
  </si>
  <si>
    <t>B. Equatorial (α, δ)  &lt;&gt; Horizontal (Az, alt)</t>
  </si>
  <si>
    <t>C. Ecliptic (λ, β)  &lt;&gt; Horizontal (Az, alt)</t>
  </si>
  <si>
    <t>D. Equatorial (α, δ) &lt;-&gt; Galactic (l, b)</t>
  </si>
  <si>
    <t>E. Ecliptic (λ, β) &lt;-&gt; Galactic (l, b)</t>
  </si>
  <si>
    <t>F. Horizontal (Az, alt) &lt;-&gt; Galactic (l, b)</t>
  </si>
  <si>
    <t>Convert ecliptic coordinates to equatorial coordinates, followed by the conversion from equatorial to horizontal coordinates (and vice versa).</t>
  </si>
  <si>
    <t>Convert horizontal coordinates to equatorial coordinates, followed by the conversion from equatorial to galactic coordinates (and vice versa).</t>
  </si>
  <si>
    <t>Ecliptic -&gt; Horizontal</t>
  </si>
  <si>
    <t>Horizontal -&gt; Ecliptic</t>
  </si>
  <si>
    <t>Horizontal -&gt; Galactic (B1950.0)</t>
  </si>
  <si>
    <t>Horizontal -&gt; Galactic (B2000.0)</t>
  </si>
  <si>
    <t>Galactic (B1950.0) -&gt; Horizontal</t>
  </si>
  <si>
    <t>Galactic (B2000.0) -&gt; Horizontal</t>
  </si>
  <si>
    <t>Transformations between coordinate systems are shown using an example</t>
  </si>
  <si>
    <t>Used formulaes are in the cells, can easily be found.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</si>
</sst>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#,##0.000000"/>
    <numFmt numFmtId="166" formatCode="0.000000"/>
  </numFmts>
  <fonts count="2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"/>
      <family val="2"/>
    </font>
    <font>
      <sz val="14"/>
      <color theme="0"/>
      <name val="Calibri (Body)"/>
    </font>
    <font>
      <b/>
      <sz val="14"/>
      <color theme="0"/>
      <name val="Calibri (Body)"/>
    </font>
    <font>
      <u/>
      <sz val="14"/>
      <color theme="0"/>
      <name val="Calibri"/>
      <family val="2"/>
      <scheme val="minor"/>
    </font>
    <font>
      <u/>
      <sz val="14"/>
      <color theme="0"/>
      <name val="Calibri (Body)"/>
    </font>
    <font>
      <u/>
      <sz val="12"/>
      <color theme="0"/>
      <name val="Calibri"/>
      <family val="2"/>
    </font>
    <font>
      <sz val="9"/>
      <color theme="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ＭＳ Ｐゴシック"/>
      <family val="2"/>
      <charset val="128"/>
    </font>
    <font>
      <sz val="12"/>
      <name val="Calibri"/>
      <family val="2"/>
    </font>
    <font>
      <b/>
      <sz val="12"/>
      <name val="Calibri"/>
      <family val="2"/>
    </font>
    <font>
      <sz val="12"/>
      <color rgb="FF202122"/>
      <name val="Calibri"/>
      <family val="2"/>
    </font>
    <font>
      <vertAlign val="subscript"/>
      <sz val="14"/>
      <color rgb="FF000000"/>
      <name val="Calibri"/>
      <family val="2"/>
    </font>
    <font>
      <u/>
      <sz val="12"/>
      <name val="Calibri"/>
      <family val="2"/>
    </font>
    <font>
      <vertAlign val="subscript"/>
      <sz val="12"/>
      <color rgb="FF202122"/>
      <name val="Calibri"/>
      <family val="2"/>
    </font>
    <font>
      <u/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rgb="FF000000"/>
      <name val="Calibri"/>
      <family val="2"/>
    </font>
    <font>
      <vertAlign val="subscript"/>
      <sz val="12"/>
      <name val="Calibri"/>
      <family val="2"/>
    </font>
    <font>
      <vertAlign val="subscript"/>
      <sz val="12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0" fontId="1" fillId="0" borderId="0"/>
    <xf numFmtId="0" fontId="15" fillId="0" borderId="0"/>
  </cellStyleXfs>
  <cellXfs count="93">
    <xf numFmtId="0" fontId="0" fillId="0" borderId="0" xfId="0"/>
    <xf numFmtId="0" fontId="7" fillId="3" borderId="1" xfId="41" applyFont="1" applyFill="1" applyBorder="1" applyAlignment="1">
      <alignment horizontal="left"/>
    </xf>
    <xf numFmtId="0" fontId="7" fillId="3" borderId="2" xfId="41" applyFont="1" applyFill="1" applyBorder="1" applyAlignment="1">
      <alignment horizontal="center"/>
    </xf>
    <xf numFmtId="0" fontId="7" fillId="3" borderId="2" xfId="41" applyFont="1" applyFill="1" applyBorder="1"/>
    <xf numFmtId="0" fontId="9" fillId="3" borderId="3" xfId="42" applyFont="1" applyFill="1" applyBorder="1" applyAlignment="1">
      <alignment horizontal="center"/>
    </xf>
    <xf numFmtId="0" fontId="10" fillId="3" borderId="4" xfId="42" applyFont="1" applyFill="1" applyBorder="1" applyAlignment="1">
      <alignment horizontal="left"/>
    </xf>
    <xf numFmtId="0" fontId="7" fillId="3" borderId="0" xfId="41" applyFont="1" applyFill="1" applyAlignment="1">
      <alignment horizontal="center"/>
    </xf>
    <xf numFmtId="0" fontId="7" fillId="3" borderId="0" xfId="41" applyFont="1" applyFill="1"/>
    <xf numFmtId="0" fontId="7" fillId="3" borderId="5" xfId="41" applyFont="1" applyFill="1" applyBorder="1" applyAlignment="1">
      <alignment horizontal="center"/>
    </xf>
    <xf numFmtId="0" fontId="7" fillId="3" borderId="6" xfId="42" applyFont="1" applyFill="1" applyBorder="1" applyAlignment="1">
      <alignment horizontal="left"/>
    </xf>
    <xf numFmtId="0" fontId="7" fillId="3" borderId="8" xfId="42" applyFont="1" applyFill="1" applyBorder="1" applyAlignment="1">
      <alignment horizontal="left"/>
    </xf>
    <xf numFmtId="0" fontId="7" fillId="3" borderId="8" xfId="41" applyFont="1" applyFill="1" applyBorder="1"/>
    <xf numFmtId="0" fontId="8" fillId="3" borderId="7" xfId="41" applyFont="1" applyFill="1" applyBorder="1" applyAlignment="1">
      <alignment horizontal="center"/>
    </xf>
    <xf numFmtId="0" fontId="13" fillId="0" borderId="0" xfId="43" applyFont="1"/>
    <xf numFmtId="0" fontId="14" fillId="4" borderId="0" xfId="43" applyFont="1" applyFill="1" applyAlignment="1">
      <alignment horizontal="center"/>
    </xf>
    <xf numFmtId="0" fontId="13" fillId="0" borderId="12" xfId="43" applyFont="1" applyBorder="1"/>
    <xf numFmtId="14" fontId="14" fillId="4" borderId="12" xfId="43" applyNumberFormat="1" applyFont="1" applyFill="1" applyBorder="1" applyAlignment="1" applyProtection="1">
      <alignment horizontal="center"/>
      <protection locked="0"/>
    </xf>
    <xf numFmtId="0" fontId="16" fillId="0" borderId="12" xfId="44" applyFont="1" applyBorder="1" applyAlignment="1">
      <alignment vertical="center"/>
    </xf>
    <xf numFmtId="21" fontId="17" fillId="4" borderId="12" xfId="44" applyNumberFormat="1" applyFont="1" applyFill="1" applyBorder="1" applyAlignment="1" applyProtection="1">
      <alignment horizontal="center" vertical="center"/>
      <protection locked="0"/>
    </xf>
    <xf numFmtId="0" fontId="13" fillId="0" borderId="12" xfId="43" applyFont="1" applyBorder="1" applyAlignment="1">
      <alignment horizontal="center"/>
    </xf>
    <xf numFmtId="1" fontId="13" fillId="0" borderId="12" xfId="43" applyNumberFormat="1" applyFont="1" applyBorder="1" applyAlignment="1">
      <alignment horizontal="center"/>
    </xf>
    <xf numFmtId="164" fontId="13" fillId="0" borderId="12" xfId="43" applyNumberFormat="1" applyFont="1" applyBorder="1" applyAlignment="1">
      <alignment horizontal="center"/>
    </xf>
    <xf numFmtId="0" fontId="18" fillId="0" borderId="12" xfId="43" applyFont="1" applyBorder="1" applyAlignment="1">
      <alignment vertical="center"/>
    </xf>
    <xf numFmtId="0" fontId="13" fillId="5" borderId="12" xfId="43" applyFont="1" applyFill="1" applyBorder="1"/>
    <xf numFmtId="165" fontId="13" fillId="5" borderId="12" xfId="43" applyNumberFormat="1" applyFont="1" applyFill="1" applyBorder="1"/>
    <xf numFmtId="0" fontId="1" fillId="0" borderId="0" xfId="43"/>
    <xf numFmtId="0" fontId="16" fillId="6" borderId="12" xfId="43" applyFont="1" applyFill="1" applyBorder="1" applyAlignment="1">
      <alignment vertical="center"/>
    </xf>
    <xf numFmtId="165" fontId="16" fillId="6" borderId="12" xfId="43" applyNumberFormat="1" applyFont="1" applyFill="1" applyBorder="1" applyAlignment="1">
      <alignment vertical="center"/>
    </xf>
    <xf numFmtId="0" fontId="16" fillId="5" borderId="12" xfId="44" applyFont="1" applyFill="1" applyBorder="1" applyAlignment="1">
      <alignment vertical="center"/>
    </xf>
    <xf numFmtId="165" fontId="16" fillId="5" borderId="12" xfId="44" applyNumberFormat="1" applyFont="1" applyFill="1" applyBorder="1" applyAlignment="1">
      <alignment vertical="center"/>
    </xf>
    <xf numFmtId="0" fontId="16" fillId="0" borderId="0" xfId="44" applyFont="1" applyAlignment="1">
      <alignment vertical="center"/>
    </xf>
    <xf numFmtId="0" fontId="18" fillId="6" borderId="12" xfId="43" applyFont="1" applyFill="1" applyBorder="1"/>
    <xf numFmtId="0" fontId="16" fillId="5" borderId="12" xfId="44" applyFont="1" applyFill="1" applyBorder="1"/>
    <xf numFmtId="0" fontId="18" fillId="7" borderId="12" xfId="43" applyFont="1" applyFill="1" applyBorder="1" applyAlignment="1">
      <alignment vertical="center"/>
    </xf>
    <xf numFmtId="0" fontId="23" fillId="0" borderId="0" xfId="43" applyFont="1"/>
    <xf numFmtId="0" fontId="24" fillId="0" borderId="0" xfId="43" applyFont="1"/>
    <xf numFmtId="0" fontId="13" fillId="0" borderId="4" xfId="43" applyFont="1" applyBorder="1"/>
    <xf numFmtId="0" fontId="13" fillId="0" borderId="5" xfId="43" applyFont="1" applyBorder="1"/>
    <xf numFmtId="0" fontId="16" fillId="0" borderId="4" xfId="44" applyFont="1" applyBorder="1" applyAlignment="1">
      <alignment vertical="center"/>
    </xf>
    <xf numFmtId="165" fontId="14" fillId="4" borderId="5" xfId="43" applyNumberFormat="1" applyFont="1" applyFill="1" applyBorder="1" applyProtection="1">
      <protection locked="0"/>
    </xf>
    <xf numFmtId="165" fontId="13" fillId="2" borderId="5" xfId="43" applyNumberFormat="1" applyFont="1" applyFill="1" applyBorder="1"/>
    <xf numFmtId="165" fontId="13" fillId="0" borderId="0" xfId="43" applyNumberFormat="1" applyFont="1"/>
    <xf numFmtId="0" fontId="16" fillId="0" borderId="6" xfId="44" applyFont="1" applyBorder="1" applyAlignment="1">
      <alignment vertical="center"/>
    </xf>
    <xf numFmtId="165" fontId="13" fillId="2" borderId="7" xfId="43" applyNumberFormat="1" applyFont="1" applyFill="1" applyBorder="1"/>
    <xf numFmtId="0" fontId="16" fillId="0" borderId="4" xfId="44" applyFont="1" applyBorder="1" applyAlignment="1">
      <alignment horizontal="left" vertical="center"/>
    </xf>
    <xf numFmtId="165" fontId="13" fillId="0" borderId="5" xfId="43" applyNumberFormat="1" applyFont="1" applyBorder="1"/>
    <xf numFmtId="0" fontId="18" fillId="0" borderId="4" xfId="43" applyFont="1" applyBorder="1" applyAlignment="1">
      <alignment vertical="center"/>
    </xf>
    <xf numFmtId="166" fontId="13" fillId="0" borderId="5" xfId="43" applyNumberFormat="1" applyFont="1" applyBorder="1"/>
    <xf numFmtId="0" fontId="14" fillId="4" borderId="13" xfId="43" applyFont="1" applyFill="1" applyBorder="1" applyAlignment="1" applyProtection="1">
      <alignment horizontal="center"/>
      <protection locked="0"/>
    </xf>
    <xf numFmtId="0" fontId="13" fillId="0" borderId="3" xfId="43" applyFont="1" applyBorder="1"/>
    <xf numFmtId="0" fontId="13" fillId="0" borderId="7" xfId="43" applyFont="1" applyBorder="1"/>
    <xf numFmtId="165" fontId="13" fillId="0" borderId="13" xfId="43" applyNumberFormat="1" applyFont="1" applyBorder="1"/>
    <xf numFmtId="165" fontId="14" fillId="4" borderId="13" xfId="43" applyNumberFormat="1" applyFont="1" applyFill="1" applyBorder="1" applyProtection="1">
      <protection locked="0"/>
    </xf>
    <xf numFmtId="0" fontId="13" fillId="0" borderId="1" xfId="43" applyFont="1" applyBorder="1"/>
    <xf numFmtId="0" fontId="13" fillId="0" borderId="2" xfId="43" applyFont="1" applyBorder="1"/>
    <xf numFmtId="0" fontId="16" fillId="0" borderId="4" xfId="43" applyFont="1" applyBorder="1" applyAlignment="1">
      <alignment vertical="center"/>
    </xf>
    <xf numFmtId="0" fontId="13" fillId="0" borderId="8" xfId="43" applyFont="1" applyBorder="1"/>
    <xf numFmtId="165" fontId="13" fillId="9" borderId="5" xfId="43" applyNumberFormat="1" applyFont="1" applyFill="1" applyBorder="1"/>
    <xf numFmtId="0" fontId="2" fillId="3" borderId="0" xfId="41" applyFill="1"/>
    <xf numFmtId="0" fontId="0" fillId="3" borderId="0" xfId="0" applyFill="1"/>
    <xf numFmtId="0" fontId="6" fillId="3" borderId="0" xfId="41" applyFont="1" applyFill="1" applyAlignment="1">
      <alignment horizontal="center" vertical="center" wrapText="1"/>
    </xf>
    <xf numFmtId="0" fontId="11" fillId="3" borderId="1" xfId="42" applyFont="1" applyFill="1" applyBorder="1" applyAlignment="1">
      <alignment horizontal="center"/>
    </xf>
    <xf numFmtId="0" fontId="11" fillId="3" borderId="2" xfId="42" applyFont="1" applyFill="1" applyBorder="1" applyAlignment="1">
      <alignment horizontal="center"/>
    </xf>
    <xf numFmtId="0" fontId="11" fillId="3" borderId="9" xfId="42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3" fillId="8" borderId="1" xfId="43" applyFont="1" applyFill="1" applyBorder="1" applyAlignment="1">
      <alignment horizontal="center"/>
    </xf>
    <xf numFmtId="0" fontId="13" fillId="8" borderId="3" xfId="43" applyFont="1" applyFill="1" applyBorder="1" applyAlignment="1">
      <alignment horizontal="center"/>
    </xf>
    <xf numFmtId="0" fontId="13" fillId="0" borderId="1" xfId="43" applyFont="1" applyBorder="1" applyAlignment="1">
      <alignment horizontal="left"/>
    </xf>
    <xf numFmtId="0" fontId="13" fillId="0" borderId="2" xfId="43" applyFont="1" applyBorder="1" applyAlignment="1">
      <alignment horizontal="left"/>
    </xf>
    <xf numFmtId="0" fontId="13" fillId="0" borderId="6" xfId="43" applyFont="1" applyBorder="1" applyAlignment="1">
      <alignment horizontal="left"/>
    </xf>
    <xf numFmtId="0" fontId="13" fillId="0" borderId="8" xfId="43" applyFont="1" applyBorder="1" applyAlignment="1">
      <alignment horizontal="left"/>
    </xf>
    <xf numFmtId="0" fontId="13" fillId="0" borderId="1" xfId="43" applyFont="1" applyBorder="1" applyAlignment="1">
      <alignment horizontal="center" vertical="center" wrapText="1"/>
    </xf>
    <xf numFmtId="0" fontId="13" fillId="0" borderId="2" xfId="43" applyFont="1" applyBorder="1" applyAlignment="1">
      <alignment horizontal="center" vertical="center" wrapText="1"/>
    </xf>
    <xf numFmtId="0" fontId="13" fillId="0" borderId="4" xfId="43" applyFont="1" applyBorder="1" applyAlignment="1">
      <alignment horizontal="center" vertical="center" wrapText="1"/>
    </xf>
    <xf numFmtId="0" fontId="13" fillId="0" borderId="0" xfId="43" applyFont="1" applyAlignment="1">
      <alignment horizontal="center" vertical="center" wrapText="1"/>
    </xf>
    <xf numFmtId="0" fontId="13" fillId="0" borderId="6" xfId="43" applyFont="1" applyBorder="1" applyAlignment="1">
      <alignment horizontal="center" vertical="center" wrapText="1"/>
    </xf>
    <xf numFmtId="0" fontId="13" fillId="0" borderId="8" xfId="43" applyFont="1" applyBorder="1" applyAlignment="1">
      <alignment horizontal="center" vertical="center" wrapText="1"/>
    </xf>
    <xf numFmtId="0" fontId="13" fillId="0" borderId="0" xfId="43" applyFont="1" applyBorder="1"/>
    <xf numFmtId="0" fontId="13" fillId="0" borderId="0" xfId="43" applyFont="1" applyBorder="1" applyAlignment="1"/>
    <xf numFmtId="0" fontId="13" fillId="10" borderId="1" xfId="43" applyFont="1" applyFill="1" applyBorder="1" applyAlignment="1">
      <alignment horizontal="center"/>
    </xf>
    <xf numFmtId="0" fontId="13" fillId="10" borderId="2" xfId="43" applyFont="1" applyFill="1" applyBorder="1" applyAlignment="1">
      <alignment horizontal="center"/>
    </xf>
    <xf numFmtId="0" fontId="13" fillId="10" borderId="3" xfId="43" applyFont="1" applyFill="1" applyBorder="1" applyAlignment="1">
      <alignment horizontal="center"/>
    </xf>
    <xf numFmtId="0" fontId="13" fillId="10" borderId="4" xfId="43" applyFont="1" applyFill="1" applyBorder="1"/>
    <xf numFmtId="0" fontId="13" fillId="10" borderId="0" xfId="43" applyFont="1" applyFill="1" applyBorder="1"/>
    <xf numFmtId="0" fontId="13" fillId="10" borderId="5" xfId="43" applyFont="1" applyFill="1" applyBorder="1"/>
    <xf numFmtId="0" fontId="13" fillId="10" borderId="6" xfId="43" applyFont="1" applyFill="1" applyBorder="1" applyAlignment="1">
      <alignment horizontal="center"/>
    </xf>
    <xf numFmtId="0" fontId="13" fillId="10" borderId="8" xfId="43" applyFont="1" applyFill="1" applyBorder="1" applyAlignment="1">
      <alignment horizontal="center"/>
    </xf>
    <xf numFmtId="0" fontId="13" fillId="10" borderId="7" xfId="43" applyFont="1" applyFill="1" applyBorder="1" applyAlignment="1">
      <alignment horizontal="center"/>
    </xf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 2" xfId="42" xr:uid="{C380AA0A-E10B-1C43-9286-02819B081BC7}"/>
    <cellStyle name="Normal" xfId="0" builtinId="0"/>
    <cellStyle name="Normal 2" xfId="41" xr:uid="{0D0AB34C-A1A9-7D42-A14C-E95ACB658DC4}"/>
    <cellStyle name="Normal 3" xfId="43" xr:uid="{659E8333-AE5A-8E41-860A-E1B6E98A0CAD}"/>
    <cellStyle name="Normal 3 2" xfId="44" xr:uid="{F44E51CB-6E74-3642-B8B9-A2F32DB4B84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hyperlink" Target="https://www.astronomy-morsels.ch/morsels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596900</xdr:colOff>
      <xdr:row>44</xdr:row>
      <xdr:rowOff>114300</xdr:rowOff>
    </xdr:from>
    <xdr:to>
      <xdr:col>9</xdr:col>
      <xdr:colOff>215900</xdr:colOff>
      <xdr:row>54</xdr:row>
      <xdr:rowOff>25400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6149BC-8520-4C4B-E9DC-263481011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" y="9969500"/>
          <a:ext cx="5397500" cy="1943100"/>
        </a:xfrm>
        <a:prstGeom prst="rect">
          <a:avLst/>
        </a:prstGeom>
      </xdr:spPr>
    </xdr:pic>
    <xdr:clientData/>
  </xdr:twoCellAnchor>
  <xdr:twoCellAnchor editAs="oneCell">
    <xdr:from>
      <xdr:col>3</xdr:col>
      <xdr:colOff>444500</xdr:colOff>
      <xdr:row>17</xdr:row>
      <xdr:rowOff>38100</xdr:rowOff>
    </xdr:from>
    <xdr:to>
      <xdr:col>8</xdr:col>
      <xdr:colOff>495300</xdr:colOff>
      <xdr:row>37</xdr:row>
      <xdr:rowOff>152400</xdr:rowOff>
    </xdr:to>
    <xdr:pic>
      <xdr:nvPicPr>
        <xdr:cNvPr id="2" name="Picture 1" descr="Ecliptic coordinate system - Wikipedia">
          <a:extLst>
            <a:ext uri="{FF2B5EF4-FFF2-40B4-BE49-F238E27FC236}">
              <a16:creationId xmlns:a16="http://schemas.microsoft.com/office/drawing/2014/main" id="{CD87843F-3D57-28E3-1C99-D93F40D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0" y="3594100"/>
          <a:ext cx="4178300" cy="417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787400</xdr:colOff>
      <xdr:row>1</xdr:row>
      <xdr:rowOff>25400</xdr:rowOff>
    </xdr:from>
    <xdr:to>
      <xdr:col>9</xdr:col>
      <xdr:colOff>230170</xdr:colOff>
      <xdr:row>53</xdr:row>
      <xdr:rowOff>177800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D70EF0-F7E2-81E7-55AE-700E228CD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215900"/>
          <a:ext cx="687227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812800</xdr:colOff>
      <xdr:row>1</xdr:row>
      <xdr:rowOff>0</xdr:rowOff>
    </xdr:from>
    <xdr:to>
      <xdr:col>9</xdr:col>
      <xdr:colOff>255570</xdr:colOff>
      <xdr:row>53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4186C9-D689-57B5-9752-57C4418B5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0" y="190500"/>
          <a:ext cx="6872270" cy="100584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astronomy-morsels.ch/" TargetMode="External"/><Relationship Id="rId1" Type="http://schemas.openxmlformats.org/officeDocument/2006/relationships/hyperlink" Target="mailto:anton@astronomy-morsels.ch?subject=Eclipse%20Dat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940F-4CFD-5843-94DF-BBFEAA1B2116}">
  <sheetPr codeName="Sheet4"/>
  <dimension ref="A2:Q45"/>
  <sheetViews>
    <sheetView showGridLines="0" tabSelected="1" workbookViewId="0">
      <selection activeCell="C28" sqref="A1:XFD1048576"/>
    </sheetView>
  </sheetViews>
  <sheetFormatPr baseColWidth="10" defaultRowHeight="16"/>
  <cols>
    <col min="1" max="16384" width="10.83203125" style="58"/>
  </cols>
  <sheetData>
    <row r="2" spans="2:11" ht="15" customHeight="1"/>
    <row r="3" spans="2:11" ht="16" customHeight="1">
      <c r="B3" s="60" t="s">
        <v>66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16" customHeight="1"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2:11" ht="16" customHeight="1"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2:11" ht="16" customHeight="1"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2:11" ht="16" customHeight="1"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2:11" ht="16" customHeight="1"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2:11" ht="16" customHeight="1">
      <c r="B9" s="60"/>
      <c r="C9" s="60"/>
      <c r="D9" s="60"/>
      <c r="E9" s="60"/>
      <c r="F9" s="60"/>
      <c r="G9" s="60"/>
      <c r="H9" s="60"/>
      <c r="I9" s="60"/>
      <c r="J9" s="60"/>
      <c r="K9" s="60"/>
    </row>
    <row r="13" spans="2:11" ht="19">
      <c r="D13" s="1" t="s">
        <v>4</v>
      </c>
      <c r="E13" s="2"/>
      <c r="F13" s="3"/>
      <c r="G13" s="3"/>
      <c r="H13" s="3"/>
      <c r="I13" s="4" t="s">
        <v>0</v>
      </c>
    </row>
    <row r="14" spans="2:11" ht="19">
      <c r="D14" s="5"/>
      <c r="E14" s="6"/>
      <c r="F14" s="7"/>
      <c r="G14" s="7"/>
      <c r="H14" s="7"/>
      <c r="I14" s="8"/>
    </row>
    <row r="15" spans="2:11" ht="19">
      <c r="D15" s="9" t="s">
        <v>5</v>
      </c>
      <c r="E15" s="10"/>
      <c r="F15" s="11"/>
      <c r="G15" s="11"/>
      <c r="H15" s="11"/>
      <c r="I15" s="12" t="s">
        <v>6</v>
      </c>
    </row>
    <row r="27" spans="3:16">
      <c r="C27" s="59"/>
    </row>
    <row r="30" spans="3:16">
      <c r="D30" s="59"/>
      <c r="P30" s="59"/>
    </row>
    <row r="39" spans="1:17">
      <c r="Q39" s="59"/>
    </row>
    <row r="40" spans="1:17">
      <c r="A40" s="59"/>
    </row>
    <row r="41" spans="1:17">
      <c r="B41" s="61" t="s">
        <v>1</v>
      </c>
      <c r="C41" s="62"/>
      <c r="D41" s="62"/>
      <c r="E41" s="62"/>
      <c r="F41" s="62"/>
      <c r="G41" s="62"/>
      <c r="H41" s="62"/>
      <c r="I41" s="62"/>
      <c r="J41" s="62"/>
      <c r="K41" s="63"/>
    </row>
    <row r="42" spans="1:17">
      <c r="B42" s="64" t="s">
        <v>2</v>
      </c>
      <c r="C42" s="65"/>
      <c r="D42" s="65"/>
      <c r="E42" s="65"/>
      <c r="F42" s="65"/>
      <c r="G42" s="65"/>
      <c r="H42" s="65"/>
      <c r="I42" s="65"/>
      <c r="J42" s="65"/>
      <c r="K42" s="66"/>
    </row>
    <row r="43" spans="1:17">
      <c r="B43" s="67" t="s">
        <v>3</v>
      </c>
      <c r="C43" s="68"/>
      <c r="D43" s="68"/>
      <c r="E43" s="68"/>
      <c r="F43" s="68"/>
      <c r="G43" s="68"/>
      <c r="H43" s="68"/>
      <c r="I43" s="68"/>
      <c r="J43" s="68"/>
      <c r="K43" s="69"/>
    </row>
    <row r="45" spans="1:17">
      <c r="Q45" s="59"/>
    </row>
  </sheetData>
  <sheetProtection sheet="1" objects="1" scenarios="1"/>
  <mergeCells count="4">
    <mergeCell ref="B3:K9"/>
    <mergeCell ref="B41:K41"/>
    <mergeCell ref="B42:K42"/>
    <mergeCell ref="B43:K43"/>
  </mergeCells>
  <hyperlinks>
    <hyperlink ref="I13" r:id="rId1" xr:uid="{60E68FAD-CE54-204D-BE8F-AA8992F34899}"/>
    <hyperlink ref="B41" r:id="rId2" display="http://www.astronomy-morsels.ch/" xr:uid="{658673F1-EC19-9849-A093-CD89D563BEA6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B089F-0C08-4A4E-B4DC-ABD929B5A156}">
  <sheetPr codeName="Sheet3"/>
  <dimension ref="B2:Z126"/>
  <sheetViews>
    <sheetView showGridLines="0" workbookViewId="0">
      <selection activeCell="H10" sqref="H10"/>
    </sheetView>
  </sheetViews>
  <sheetFormatPr baseColWidth="10" defaultRowHeight="16"/>
  <cols>
    <col min="1" max="1" width="10.83203125" style="25"/>
    <col min="2" max="2" width="10.83203125" style="13"/>
    <col min="3" max="3" width="15.83203125" style="13" customWidth="1"/>
    <col min="4" max="5" width="10.83203125" style="13"/>
    <col min="6" max="6" width="15.83203125" style="13" customWidth="1"/>
    <col min="7" max="8" width="10.83203125" style="13"/>
    <col min="9" max="9" width="15.83203125" style="13" customWidth="1"/>
    <col min="10" max="11" width="10.83203125" style="13"/>
    <col min="12" max="12" width="15.83203125" style="13" customWidth="1"/>
    <col min="13" max="14" width="10.83203125" style="13"/>
    <col min="15" max="15" width="10.83203125" style="13" customWidth="1"/>
    <col min="16" max="16" width="15.83203125" style="13" customWidth="1"/>
    <col min="17" max="17" width="13.33203125" style="13" customWidth="1"/>
    <col min="18" max="18" width="15.83203125" style="13" customWidth="1"/>
    <col min="19" max="26" width="10.83203125" style="13"/>
    <col min="27" max="16384" width="10.83203125" style="25"/>
  </cols>
  <sheetData>
    <row r="2" spans="2:8">
      <c r="B2" s="84" t="s">
        <v>88</v>
      </c>
      <c r="C2" s="85"/>
      <c r="D2" s="85"/>
      <c r="E2" s="85"/>
      <c r="F2" s="86"/>
      <c r="G2" s="83"/>
      <c r="H2" s="83"/>
    </row>
    <row r="3" spans="2:8">
      <c r="B3" s="87"/>
      <c r="C3" s="88"/>
      <c r="D3" s="88"/>
      <c r="E3" s="88"/>
      <c r="F3" s="89"/>
      <c r="G3" s="82"/>
      <c r="H3" s="82"/>
    </row>
    <row r="4" spans="2:8">
      <c r="B4" s="90" t="s">
        <v>89</v>
      </c>
      <c r="C4" s="91"/>
      <c r="D4" s="91"/>
      <c r="E4" s="91"/>
      <c r="F4" s="92"/>
      <c r="G4" s="83"/>
      <c r="H4" s="83"/>
    </row>
    <row r="7" spans="2:8">
      <c r="C7" s="14" t="s">
        <v>7</v>
      </c>
    </row>
    <row r="8" spans="2:8">
      <c r="B8" s="15" t="s">
        <v>8</v>
      </c>
      <c r="C8" s="16">
        <v>31877</v>
      </c>
    </row>
    <row r="9" spans="2:8">
      <c r="B9" s="17" t="s">
        <v>9</v>
      </c>
      <c r="C9" s="18">
        <v>0</v>
      </c>
    </row>
    <row r="10" spans="2:8">
      <c r="B10" s="15" t="s">
        <v>10</v>
      </c>
      <c r="C10" s="19" t="str">
        <f>IF(OR(MOD(YEAR(C8),400)=0,AND(MOD(YEAR(C8),4)=0,MOD(YEAR(C8),100)&lt;&gt;0)),"Y", "N")</f>
        <v>N</v>
      </c>
    </row>
    <row r="11" spans="2:8">
      <c r="B11" s="15" t="s">
        <v>11</v>
      </c>
      <c r="C11" s="20">
        <f>INT(275*MONTH(C8)/9)-IF(C10="Y",1,2)*INT((MONTH(C8)+9)/12)+DAY(C8)-30</f>
        <v>100</v>
      </c>
    </row>
    <row r="12" spans="2:8">
      <c r="B12" s="15" t="s">
        <v>12</v>
      </c>
      <c r="C12" s="20" t="str">
        <f>IF(INT(MOD(C13+1.5,7))=1,"Monday",IF(INT(MOD(C13+1.5,7))=2,"Tuesday",IF(INT(MOD(C13+1.5,7))=3,"Wednesday",IF(INT(MOD(C13+1.5,7))=4,"Thursday",IF(INT(MOD(C13+1.5,7))=5,"Friday",IF(INT(MOD(C13+1.5,7))=6,"Saturday","Sunday"))))))</f>
        <v>Friday</v>
      </c>
    </row>
    <row r="13" spans="2:8">
      <c r="B13" s="15" t="s">
        <v>13</v>
      </c>
      <c r="C13" s="21">
        <f>367*YEAR(C8)-INT(7/4*YEAR(C8))-INT(3*(INT((YEAR(C8)-8/7)/100)+1)/4)+1721059.5-1+C11+(3600*HOUR(C9)+60*MINUTE(C9)+SECOND(C9))/(24*3600)</f>
        <v>2446895.5</v>
      </c>
    </row>
    <row r="14" spans="2:8">
      <c r="B14" s="22" t="s">
        <v>14</v>
      </c>
      <c r="C14" s="48">
        <v>38.921388890000003</v>
      </c>
      <c r="D14" s="72" t="s">
        <v>15</v>
      </c>
      <c r="E14" s="73"/>
      <c r="F14" s="49"/>
    </row>
    <row r="15" spans="2:8">
      <c r="B15" s="15" t="s">
        <v>16</v>
      </c>
      <c r="C15" s="48">
        <v>-77.065555560000007</v>
      </c>
      <c r="D15" s="74" t="s">
        <v>17</v>
      </c>
      <c r="E15" s="75"/>
      <c r="F15" s="50" t="s">
        <v>18</v>
      </c>
    </row>
    <row r="17" spans="2:6" ht="19">
      <c r="B17" s="34" t="s">
        <v>67</v>
      </c>
    </row>
    <row r="19" spans="2:6" s="13" customFormat="1">
      <c r="B19" s="23" t="s">
        <v>19</v>
      </c>
      <c r="C19" s="24">
        <f>PI()/180</f>
        <v>1.7453292519943295E-2</v>
      </c>
      <c r="D19" s="53" t="s">
        <v>20</v>
      </c>
      <c r="E19" s="54"/>
      <c r="F19" s="49"/>
    </row>
    <row r="20" spans="2:6" s="13" customFormat="1" ht="16" customHeight="1">
      <c r="B20" s="23" t="s">
        <v>21</v>
      </c>
      <c r="C20" s="24">
        <f>(C13-2451545)/36525</f>
        <v>-0.12729637234770705</v>
      </c>
      <c r="D20" s="36" t="s">
        <v>68</v>
      </c>
      <c r="F20" s="37"/>
    </row>
    <row r="21" spans="2:6" s="13" customFormat="1">
      <c r="B21" s="23" t="s">
        <v>22</v>
      </c>
      <c r="C21" s="24">
        <f>MOD(357.52722+35999.05034*C20-0.0001603*POWER(C20,2)-(POWER(C20,3)/300000),360)</f>
        <v>94.978701164825907</v>
      </c>
      <c r="D21" s="36" t="s">
        <v>69</v>
      </c>
      <c r="F21" s="37"/>
    </row>
    <row r="22" spans="2:6">
      <c r="B22" s="26" t="s">
        <v>23</v>
      </c>
      <c r="C22" s="27">
        <f>MOD(125.04452-1934.136261*C20+0.0020708*POWER(C20,2)+POWER(C20,3)/327270,360)</f>
        <v>11.253083201156983</v>
      </c>
      <c r="D22" s="55" t="s">
        <v>24</v>
      </c>
      <c r="F22" s="37"/>
    </row>
    <row r="23" spans="2:6">
      <c r="B23" s="28" t="s">
        <v>16</v>
      </c>
      <c r="C23" s="29">
        <f>MOD(280.4665+36000.7698*C20,360)</f>
        <v>17.699102735112319</v>
      </c>
      <c r="D23" s="38" t="s">
        <v>25</v>
      </c>
      <c r="F23" s="37"/>
    </row>
    <row r="24" spans="2:6">
      <c r="B24" s="28" t="s">
        <v>26</v>
      </c>
      <c r="C24" s="29">
        <f>MOD(218.3165+481267.8813*C20,360)</f>
        <v>154.66108304312365</v>
      </c>
      <c r="D24" s="38" t="s">
        <v>27</v>
      </c>
      <c r="F24" s="37"/>
    </row>
    <row r="25" spans="2:6">
      <c r="B25" s="31" t="s">
        <v>28</v>
      </c>
      <c r="C25" s="27">
        <f>(9.2*COS(C19*C22)+0.57*COS(C19*2*C23)+0.1*COS(C19*2*C24)-0.09*COS(C19*2*C22))/3600</f>
        <v>2.6299954826906357E-3</v>
      </c>
      <c r="D25" s="55" t="s">
        <v>29</v>
      </c>
      <c r="F25" s="37"/>
    </row>
    <row r="26" spans="2:6">
      <c r="B26" s="28" t="s">
        <v>30</v>
      </c>
      <c r="C26" s="29">
        <f>C20/100</f>
        <v>-1.2729637234770706E-3</v>
      </c>
      <c r="D26" s="55" t="s">
        <v>70</v>
      </c>
      <c r="F26" s="37"/>
    </row>
    <row r="27" spans="2:6" ht="19">
      <c r="B27" s="32" t="s">
        <v>31</v>
      </c>
      <c r="C27" s="24">
        <f>23+(26/60)+(21.448/3600)-(46.815/3600)*C20-(0.00059/3600)*POWER(C20,2)+(0.001813/3600)*POWER(C20,3)</f>
        <v>23.440946490658639</v>
      </c>
      <c r="D27" s="38" t="s">
        <v>32</v>
      </c>
      <c r="F27" s="37"/>
    </row>
    <row r="28" spans="2:6" ht="19">
      <c r="B28" s="32" t="s">
        <v>31</v>
      </c>
      <c r="C28" s="24">
        <f>23+(26/60)+(21.448/3600)-(4680.93/3600)*C26-1.55*POWER(C26,2)+1999.25*POWER(C26,3)-51.38*POWER(C26,4)-249.67*POWER(C26,5)-39.05*POWER(C26,6)+7.12*POWER(C26,7)+27.87*POWER(C26,8)+5.79*POWER(C26,9)+2.245*POWER(C26,10)</f>
        <v>23.440939657022668</v>
      </c>
      <c r="D28" s="38" t="s">
        <v>33</v>
      </c>
      <c r="F28" s="37"/>
    </row>
    <row r="29" spans="2:6">
      <c r="B29" s="32" t="s">
        <v>34</v>
      </c>
      <c r="C29" s="24">
        <f>C28+C25</f>
        <v>23.443569652505357</v>
      </c>
      <c r="D29" s="42" t="s">
        <v>35</v>
      </c>
      <c r="E29" s="56"/>
      <c r="F29" s="50"/>
    </row>
    <row r="30" spans="2:6" ht="18" customHeight="1">
      <c r="B30" s="33" t="s">
        <v>36</v>
      </c>
      <c r="C30" s="51">
        <v>23.4457889</v>
      </c>
      <c r="D30" s="76" t="s">
        <v>71</v>
      </c>
      <c r="E30" s="77"/>
      <c r="F30" s="49"/>
    </row>
    <row r="31" spans="2:6" ht="18">
      <c r="B31" s="33" t="s">
        <v>37</v>
      </c>
      <c r="C31" s="51">
        <v>23.439291099999998</v>
      </c>
      <c r="D31" s="78"/>
      <c r="E31" s="79"/>
      <c r="F31" s="37"/>
    </row>
    <row r="32" spans="2:6" ht="18">
      <c r="B32" s="33" t="s">
        <v>38</v>
      </c>
      <c r="C32" s="51">
        <f>C28+C25</f>
        <v>23.443569652505357</v>
      </c>
      <c r="D32" s="78"/>
      <c r="E32" s="79"/>
      <c r="F32" s="37"/>
    </row>
    <row r="33" spans="2:6" ht="18">
      <c r="B33" s="33" t="s">
        <v>39</v>
      </c>
      <c r="C33" s="52">
        <v>23.44</v>
      </c>
      <c r="D33" s="80"/>
      <c r="E33" s="81"/>
      <c r="F33" s="50"/>
    </row>
    <row r="34" spans="2:6">
      <c r="D34" s="30"/>
    </row>
    <row r="35" spans="2:6" ht="19">
      <c r="B35" s="34" t="s">
        <v>74</v>
      </c>
      <c r="D35" s="30"/>
    </row>
    <row r="36" spans="2:6">
      <c r="D36" s="30"/>
    </row>
    <row r="37" spans="2:6">
      <c r="B37" s="70" t="s">
        <v>40</v>
      </c>
      <c r="C37" s="71"/>
      <c r="D37" s="35"/>
      <c r="E37" s="70" t="s">
        <v>41</v>
      </c>
      <c r="F37" s="71"/>
    </row>
    <row r="38" spans="2:6">
      <c r="B38" s="36"/>
      <c r="C38" s="37"/>
      <c r="E38" s="36"/>
      <c r="F38" s="37"/>
    </row>
    <row r="39" spans="2:6">
      <c r="B39" s="38" t="s">
        <v>42</v>
      </c>
      <c r="C39" s="39">
        <v>116.328942</v>
      </c>
      <c r="E39" s="38" t="s">
        <v>43</v>
      </c>
      <c r="F39" s="39">
        <v>113.21543200000001</v>
      </c>
    </row>
    <row r="40" spans="2:6">
      <c r="B40" s="38" t="s">
        <v>44</v>
      </c>
      <c r="C40" s="39">
        <v>28.026183</v>
      </c>
      <c r="E40" s="38" t="s">
        <v>45</v>
      </c>
      <c r="F40" s="39">
        <v>6.6802339999999996</v>
      </c>
    </row>
    <row r="41" spans="2:6">
      <c r="B41" s="38" t="s">
        <v>34</v>
      </c>
      <c r="C41" s="39">
        <v>23.443573722508486</v>
      </c>
      <c r="E41" s="38" t="s">
        <v>34</v>
      </c>
      <c r="F41" s="39">
        <v>23.443573722508486</v>
      </c>
    </row>
    <row r="42" spans="2:6">
      <c r="B42" s="36"/>
      <c r="C42" s="37"/>
      <c r="E42" s="36"/>
      <c r="F42" s="37"/>
    </row>
    <row r="43" spans="2:6">
      <c r="B43" s="38" t="s">
        <v>43</v>
      </c>
      <c r="C43" s="40">
        <f>ATAN2(COS($C$19*C39),SIN($C$19*C39)*COS($C$19*C41)+TAN($C$19*C40)*SIN($C$19*C41))/$C$19</f>
        <v>113.21543179580794</v>
      </c>
      <c r="D43" s="41"/>
      <c r="E43" s="38" t="s">
        <v>42</v>
      </c>
      <c r="F43" s="40">
        <f>ATAN2(COS($C$19*F39),SIN($C$19*F39)*COS($C$19*F41)-TAN($C$19*F40)*SIN($C$19*F41))/$C$19</f>
        <v>116.32894223735508</v>
      </c>
    </row>
    <row r="44" spans="2:6">
      <c r="B44" s="42" t="s">
        <v>45</v>
      </c>
      <c r="C44" s="43">
        <f>ASIN(SIN($C$19*C40)*COS($C$19*C41)-COS($C$19*C40)*SIN($C$19*C41)*SIN($C$19*C39))/$C$19</f>
        <v>6.6802339440412037</v>
      </c>
      <c r="D44" s="41"/>
      <c r="E44" s="42" t="s">
        <v>44</v>
      </c>
      <c r="F44" s="43">
        <f>ASIN(SIN($C$19*F40)*COS($C$19*F41)+COS($C$19*F40)*SIN($C$19*F41)*SIN($C$19*F39))/$C$19</f>
        <v>28.026183019038054</v>
      </c>
    </row>
    <row r="46" spans="2:6" ht="19">
      <c r="B46" s="34" t="s">
        <v>75</v>
      </c>
    </row>
    <row r="48" spans="2:6">
      <c r="B48" s="70" t="s">
        <v>46</v>
      </c>
      <c r="C48" s="71"/>
      <c r="E48" s="70" t="s">
        <v>47</v>
      </c>
      <c r="F48" s="71"/>
    </row>
    <row r="49" spans="2:16">
      <c r="B49" s="36"/>
      <c r="C49" s="37"/>
      <c r="E49" s="36"/>
      <c r="F49" s="37"/>
    </row>
    <row r="50" spans="2:16">
      <c r="B50" s="38" t="s">
        <v>42</v>
      </c>
      <c r="C50" s="39">
        <v>116.328942</v>
      </c>
      <c r="E50" s="38" t="s">
        <v>72</v>
      </c>
      <c r="F50" s="39">
        <v>13.055127000000001</v>
      </c>
    </row>
    <row r="51" spans="2:16">
      <c r="B51" s="38" t="s">
        <v>44</v>
      </c>
      <c r="C51" s="39">
        <v>21.293745000000001</v>
      </c>
      <c r="E51" s="38" t="s">
        <v>73</v>
      </c>
      <c r="F51" s="39">
        <v>71.990528999999995</v>
      </c>
    </row>
    <row r="52" spans="2:16" ht="18">
      <c r="B52" s="44" t="s">
        <v>48</v>
      </c>
      <c r="C52" s="45">
        <f>MOD(280.46061837+360.98564736629*($C$13-2451545)+0.000387933*POWER($C$20,2)-(POWER($C$20,3)/38710000),360)</f>
        <v>197.69319509086199</v>
      </c>
      <c r="E52" s="44" t="s">
        <v>48</v>
      </c>
      <c r="F52" s="45">
        <f>MOD(280.46061837+360.98564736629*($C$13-2451545)+0.000387933*POWER($C$20,2)-(POWER($C$20,3)/38710000),360)</f>
        <v>197.69319509086199</v>
      </c>
    </row>
    <row r="53" spans="2:16">
      <c r="B53" s="44" t="s">
        <v>16</v>
      </c>
      <c r="C53" s="45">
        <f>$C$15</f>
        <v>-77.065555560000007</v>
      </c>
      <c r="E53" s="44" t="s">
        <v>16</v>
      </c>
      <c r="F53" s="45">
        <f>$C$15</f>
        <v>-77.065555560000007</v>
      </c>
    </row>
    <row r="54" spans="2:16">
      <c r="B54" s="44" t="s">
        <v>49</v>
      </c>
      <c r="C54" s="45">
        <f>MOD(C52+C53-C50,360)</f>
        <v>4.2986975308619861</v>
      </c>
      <c r="E54" s="36" t="s">
        <v>49</v>
      </c>
      <c r="F54" s="45">
        <f>ATAN2(COS($C$19*F50)*SIN($C$19*F55)+TAN($C$19*F51)*COS($C$19*F55),SIN($C$19*F50))/$C$19</f>
        <v>4.2986977059359104</v>
      </c>
    </row>
    <row r="55" spans="2:16">
      <c r="B55" s="46" t="s">
        <v>14</v>
      </c>
      <c r="C55" s="45">
        <f>$C$14</f>
        <v>38.921388890000003</v>
      </c>
      <c r="E55" s="46" t="s">
        <v>14</v>
      </c>
      <c r="F55" s="45">
        <f>$C$14</f>
        <v>38.921388890000003</v>
      </c>
    </row>
    <row r="56" spans="2:16">
      <c r="B56" s="36"/>
      <c r="C56" s="37"/>
      <c r="E56" s="44"/>
      <c r="F56" s="45"/>
    </row>
    <row r="57" spans="2:16">
      <c r="B57" s="38" t="s">
        <v>72</v>
      </c>
      <c r="C57" s="40">
        <f>ATAN2(COS($C$19*C54)*SIN($C$19*C55)-TAN($C$19*C51)*COS($C$19*C55),SIN($C$19*C54))/$C$19</f>
        <v>13.055126598049167</v>
      </c>
      <c r="D57" s="41"/>
      <c r="E57" s="38" t="s">
        <v>42</v>
      </c>
      <c r="F57" s="40">
        <f>MOD(F52+F53-F54,360)</f>
        <v>116.32894182492608</v>
      </c>
    </row>
    <row r="58" spans="2:16">
      <c r="B58" s="42" t="s">
        <v>73</v>
      </c>
      <c r="C58" s="43">
        <f>ASIN(SIN($C$19*$C$55)*SIN($C$19*C51)+COS($C$19*C55)*COS($C$19*C51)*COS($C$19*C54))/$C$19</f>
        <v>71.990529217790368</v>
      </c>
      <c r="D58" s="41"/>
      <c r="E58" s="42" t="s">
        <v>44</v>
      </c>
      <c r="F58" s="43">
        <f>ASIN(SIN($C$19*F55)*SIN($C$19*F51)-COS($C$19*F55)*COS($C$19*F51)*COS($C$19*F50))/$C$19</f>
        <v>21.293744809559307</v>
      </c>
    </row>
    <row r="59" spans="2:16">
      <c r="B59" s="30"/>
      <c r="C59" s="41"/>
      <c r="D59" s="41"/>
      <c r="E59" s="30"/>
      <c r="F59" s="41"/>
    </row>
    <row r="60" spans="2:16" ht="19">
      <c r="B60" s="34" t="s">
        <v>76</v>
      </c>
      <c r="C60" s="41"/>
      <c r="D60" s="41"/>
      <c r="E60" s="30"/>
      <c r="F60" s="41"/>
    </row>
    <row r="61" spans="2:16">
      <c r="B61" s="30"/>
      <c r="C61" s="41"/>
      <c r="D61" s="41"/>
      <c r="E61" s="30"/>
      <c r="F61" s="41"/>
    </row>
    <row r="62" spans="2:16">
      <c r="B62" s="30" t="s">
        <v>80</v>
      </c>
      <c r="C62" s="41"/>
      <c r="D62" s="41"/>
      <c r="E62" s="30"/>
      <c r="F62" s="41"/>
      <c r="O62" s="25"/>
      <c r="P62" s="25"/>
    </row>
    <row r="63" spans="2:16">
      <c r="B63" s="30"/>
      <c r="C63" s="41"/>
      <c r="D63" s="41"/>
      <c r="E63" s="30"/>
      <c r="F63" s="41"/>
    </row>
    <row r="64" spans="2:16">
      <c r="B64" s="70" t="s">
        <v>82</v>
      </c>
      <c r="C64" s="71"/>
      <c r="D64" s="41"/>
      <c r="E64" s="70" t="s">
        <v>83</v>
      </c>
      <c r="F64" s="71"/>
    </row>
    <row r="65" spans="2:16">
      <c r="B65" s="36"/>
      <c r="C65" s="37"/>
      <c r="D65" s="41"/>
      <c r="E65" s="36"/>
      <c r="F65" s="37"/>
    </row>
    <row r="66" spans="2:16">
      <c r="B66" s="38" t="s">
        <v>43</v>
      </c>
      <c r="C66" s="39">
        <v>113.21543200000001</v>
      </c>
      <c r="D66" s="41"/>
      <c r="E66" s="38" t="s">
        <v>72</v>
      </c>
      <c r="F66" s="39">
        <v>19.441731999999998</v>
      </c>
    </row>
    <row r="67" spans="2:16">
      <c r="B67" s="38" t="s">
        <v>45</v>
      </c>
      <c r="C67" s="39">
        <v>6.6802339999999996</v>
      </c>
      <c r="D67" s="41"/>
      <c r="E67" s="38" t="s">
        <v>73</v>
      </c>
      <c r="F67" s="39">
        <v>78.533908999999994</v>
      </c>
    </row>
    <row r="68" spans="2:16" ht="18">
      <c r="B68" s="38" t="s">
        <v>34</v>
      </c>
      <c r="C68" s="39">
        <v>23.443573722508486</v>
      </c>
      <c r="D68" s="41"/>
      <c r="E68" s="44" t="s">
        <v>48</v>
      </c>
      <c r="F68" s="45">
        <f>MOD(280.46061837+360.98564736629*($C$13-2451545)+0.000387933*POWER($C$20,2)-(POWER($C$20,3)/38710000),360)</f>
        <v>197.69319509086199</v>
      </c>
    </row>
    <row r="69" spans="2:16">
      <c r="B69" s="36"/>
      <c r="C69" s="37"/>
      <c r="D69" s="41"/>
      <c r="E69" s="44" t="s">
        <v>16</v>
      </c>
      <c r="F69" s="45">
        <f>$C$15</f>
        <v>-77.065555560000007</v>
      </c>
    </row>
    <row r="70" spans="2:16">
      <c r="B70" s="38" t="s">
        <v>42</v>
      </c>
      <c r="C70" s="57">
        <f>ATAN2(COS($C$19*C66),SIN($C$19*C66)*COS($C$19*C68)-TAN($C$19*C67)*SIN($C$19*C68))/$C$19</f>
        <v>116.32894223735508</v>
      </c>
      <c r="D70" s="41"/>
      <c r="E70" s="36" t="s">
        <v>49</v>
      </c>
      <c r="F70" s="45">
        <f>ATAN2(COS($C$19*F66)*SIN($C$19*F71)+TAN($C$19*F67)*COS($C$19*F71),SIN($C$19*F66))/$C$19</f>
        <v>4.2986975397303624</v>
      </c>
    </row>
    <row r="71" spans="2:16">
      <c r="B71" s="38" t="s">
        <v>44</v>
      </c>
      <c r="C71" s="57">
        <f>ASIN(SIN($C$19*C67)*COS($C$19*C68)+COS($C$19*C67)*SIN($C$19*C68)*SIN($C$19*C66))/$C$19</f>
        <v>28.026183019038054</v>
      </c>
      <c r="D71" s="41"/>
      <c r="E71" s="46" t="s">
        <v>14</v>
      </c>
      <c r="F71" s="45">
        <f>$C$14</f>
        <v>38.921388890000003</v>
      </c>
    </row>
    <row r="72" spans="2:16" ht="18">
      <c r="B72" s="44" t="s">
        <v>48</v>
      </c>
      <c r="C72" s="57">
        <f>MOD(280.46061837+360.98564736629*($C$13-2451545)+0.000387933*POWER($C$20,2)-(POWER($C$20,3)/38710000),360)</f>
        <v>197.69319509086199</v>
      </c>
      <c r="D72" s="41"/>
      <c r="E72" s="44"/>
      <c r="F72" s="45"/>
    </row>
    <row r="73" spans="2:16">
      <c r="B73" s="44" t="s">
        <v>16</v>
      </c>
      <c r="C73" s="57">
        <f>$C$15</f>
        <v>-77.065555560000007</v>
      </c>
      <c r="D73" s="41"/>
      <c r="E73" s="38" t="s">
        <v>42</v>
      </c>
      <c r="F73" s="57">
        <f>MOD(F68+F69-F70,360)</f>
        <v>116.32894199113161</v>
      </c>
    </row>
    <row r="74" spans="2:16">
      <c r="B74" s="44" t="s">
        <v>49</v>
      </c>
      <c r="C74" s="57">
        <f>MOD(C72+C73-C70,360)</f>
        <v>4.2986972935069048</v>
      </c>
      <c r="D74" s="41"/>
      <c r="E74" s="38" t="s">
        <v>44</v>
      </c>
      <c r="F74" s="57">
        <f>ASIN(SIN($C$19*F71)*SIN($C$19*F67)-COS($C$19*F71)*COS($C$19*F67)*COS($C$19*F66))/$C$19</f>
        <v>28.026182598396304</v>
      </c>
    </row>
    <row r="75" spans="2:16">
      <c r="B75" s="46" t="s">
        <v>14</v>
      </c>
      <c r="C75" s="57">
        <f>$C$14</f>
        <v>38.921388890000003</v>
      </c>
      <c r="D75" s="41"/>
      <c r="E75" s="38" t="s">
        <v>34</v>
      </c>
      <c r="F75" s="39">
        <v>23.443573722508486</v>
      </c>
    </row>
    <row r="76" spans="2:16">
      <c r="B76" s="36"/>
      <c r="C76" s="37"/>
      <c r="D76" s="41"/>
      <c r="E76" s="36"/>
      <c r="F76" s="37"/>
    </row>
    <row r="77" spans="2:16">
      <c r="B77" s="38" t="s">
        <v>72</v>
      </c>
      <c r="C77" s="40">
        <f>ATAN2(COS($C$19*C74)*SIN($C$19*C75)-TAN($C$19*C71)*COS($C$19*C75),SIN($C$19*C74))/$C$19</f>
        <v>19.441731575491918</v>
      </c>
      <c r="D77" s="41"/>
      <c r="E77" s="38" t="s">
        <v>43</v>
      </c>
      <c r="F77" s="40">
        <f>ATAN2(COS($C$19*F73),SIN($C$19*F73)*COS($C$19*F75)+TAN($C$19*F74)*SIN($C$19*F75))/$C$19</f>
        <v>113.21543185988816</v>
      </c>
    </row>
    <row r="78" spans="2:16">
      <c r="B78" s="42" t="s">
        <v>73</v>
      </c>
      <c r="C78" s="43">
        <f>ASIN(SIN($C$19*C75)*SIN($C$19*C71)+COS($C$19*C75)*COS($C$19*C71)*COS($C$19*$C$54))/$C$19</f>
        <v>78.533909404430858</v>
      </c>
      <c r="D78" s="41"/>
      <c r="E78" s="42" t="s">
        <v>45</v>
      </c>
      <c r="F78" s="43">
        <f>ASIN(SIN($C$19*F74)*COS($C$19*F75)-COS($C$19*F74)*SIN($C$19*F75)*SIN($C$19*F73))/$C$19</f>
        <v>6.6802335474354777</v>
      </c>
    </row>
    <row r="79" spans="2:16">
      <c r="B79" s="30"/>
      <c r="C79" s="41"/>
      <c r="D79" s="41"/>
      <c r="E79" s="30"/>
      <c r="F79" s="41"/>
    </row>
    <row r="80" spans="2:16" ht="19">
      <c r="B80" s="34" t="s">
        <v>77</v>
      </c>
      <c r="O80" s="25"/>
      <c r="P80" s="25"/>
    </row>
    <row r="81" spans="2:26">
      <c r="O81" s="25"/>
      <c r="P81" s="25"/>
    </row>
    <row r="82" spans="2:26" ht="16" customHeight="1">
      <c r="B82" s="70" t="s">
        <v>50</v>
      </c>
      <c r="C82" s="71"/>
      <c r="E82" s="70" t="s">
        <v>51</v>
      </c>
      <c r="F82" s="71"/>
      <c r="H82" s="70" t="s">
        <v>52</v>
      </c>
      <c r="I82" s="71"/>
      <c r="K82" s="70" t="s">
        <v>53</v>
      </c>
      <c r="L82" s="71"/>
      <c r="O82" s="25"/>
      <c r="P82" s="25"/>
    </row>
    <row r="83" spans="2:26">
      <c r="B83" s="36"/>
      <c r="C83" s="37"/>
      <c r="E83" s="36"/>
      <c r="F83" s="37"/>
      <c r="H83" s="36"/>
      <c r="I83" s="37"/>
      <c r="K83" s="36"/>
      <c r="L83" s="37"/>
      <c r="O83" s="25"/>
      <c r="P83" s="25"/>
    </row>
    <row r="84" spans="2:26">
      <c r="B84" s="38" t="s">
        <v>42</v>
      </c>
      <c r="C84" s="39">
        <v>267.25</v>
      </c>
      <c r="E84" s="38" t="s">
        <v>54</v>
      </c>
      <c r="F84" s="39">
        <v>72.231309999999993</v>
      </c>
      <c r="H84" s="38" t="s">
        <v>42</v>
      </c>
      <c r="I84" s="39">
        <v>267.25</v>
      </c>
      <c r="K84" s="38" t="s">
        <v>54</v>
      </c>
      <c r="L84" s="39">
        <v>70.914748000000003</v>
      </c>
      <c r="O84" s="25"/>
      <c r="P84" s="25"/>
    </row>
    <row r="85" spans="2:26">
      <c r="B85" s="38" t="s">
        <v>44</v>
      </c>
      <c r="C85" s="39">
        <v>-14.717000000000001</v>
      </c>
      <c r="E85" s="38" t="s">
        <v>55</v>
      </c>
      <c r="F85" s="39">
        <v>-71.145206999999999</v>
      </c>
      <c r="H85" s="38" t="s">
        <v>44</v>
      </c>
      <c r="I85" s="39">
        <v>-14.717000000000001</v>
      </c>
      <c r="K85" s="38" t="s">
        <v>55</v>
      </c>
      <c r="L85" s="39">
        <v>-70.726039</v>
      </c>
      <c r="O85" s="25"/>
      <c r="P85" s="25"/>
      <c r="S85" s="25"/>
      <c r="T85" s="25"/>
      <c r="U85" s="25"/>
      <c r="V85" s="25"/>
      <c r="W85" s="25"/>
      <c r="X85" s="25"/>
      <c r="Y85" s="25"/>
      <c r="Z85" s="25"/>
    </row>
    <row r="86" spans="2:26" ht="18">
      <c r="B86" s="38" t="s">
        <v>56</v>
      </c>
      <c r="C86" s="47">
        <f>27.4</f>
        <v>27.4</v>
      </c>
      <c r="E86" s="38" t="s">
        <v>56</v>
      </c>
      <c r="F86" s="47">
        <f>27.4</f>
        <v>27.4</v>
      </c>
      <c r="H86" s="38" t="s">
        <v>56</v>
      </c>
      <c r="I86" s="47">
        <f>27.4</f>
        <v>27.4</v>
      </c>
      <c r="K86" s="38" t="s">
        <v>56</v>
      </c>
      <c r="L86" s="47">
        <f>27.4</f>
        <v>27.4</v>
      </c>
      <c r="O86" s="25"/>
      <c r="P86" s="25"/>
      <c r="S86" s="25"/>
      <c r="T86" s="25"/>
      <c r="U86" s="25"/>
      <c r="V86" s="25"/>
      <c r="W86" s="25"/>
      <c r="X86" s="25"/>
      <c r="Y86" s="25"/>
      <c r="Z86" s="25"/>
    </row>
    <row r="87" spans="2:26" ht="18">
      <c r="B87" s="38" t="s">
        <v>57</v>
      </c>
      <c r="C87" s="47">
        <v>192.25</v>
      </c>
      <c r="E87" s="38" t="s">
        <v>57</v>
      </c>
      <c r="F87" s="47">
        <v>192.25</v>
      </c>
      <c r="H87" s="38" t="s">
        <v>57</v>
      </c>
      <c r="I87" s="47">
        <v>192.85416699999999</v>
      </c>
      <c r="K87" s="38" t="s">
        <v>57</v>
      </c>
      <c r="L87" s="47">
        <v>192.85416699999999</v>
      </c>
      <c r="O87" s="25"/>
      <c r="P87" s="25"/>
      <c r="S87" s="25"/>
      <c r="T87" s="25"/>
      <c r="U87" s="25"/>
      <c r="V87" s="25"/>
      <c r="W87" s="25"/>
      <c r="X87" s="25"/>
      <c r="Y87" s="25"/>
      <c r="Z87" s="25"/>
    </row>
    <row r="88" spans="2:26" ht="18">
      <c r="B88" s="36" t="s">
        <v>58</v>
      </c>
      <c r="C88" s="47">
        <f>33+(0/60)+(0/3600)</f>
        <v>33</v>
      </c>
      <c r="E88" s="36" t="s">
        <v>58</v>
      </c>
      <c r="F88" s="47">
        <f>33+(0/60)+(0/3600)</f>
        <v>33</v>
      </c>
      <c r="H88" s="36" t="s">
        <v>58</v>
      </c>
      <c r="I88" s="47">
        <v>32.93</v>
      </c>
      <c r="K88" s="36" t="s">
        <v>58</v>
      </c>
      <c r="L88" s="47">
        <v>32.93</v>
      </c>
      <c r="O88" s="25"/>
      <c r="P88" s="25"/>
      <c r="S88" s="25"/>
      <c r="T88" s="25"/>
      <c r="U88" s="25"/>
      <c r="V88" s="25"/>
      <c r="W88" s="25"/>
      <c r="X88" s="25"/>
      <c r="Y88" s="25"/>
      <c r="Z88" s="25"/>
    </row>
    <row r="89" spans="2:26">
      <c r="B89" s="36"/>
      <c r="C89" s="37"/>
      <c r="E89" s="36"/>
      <c r="F89" s="37"/>
      <c r="H89" s="36"/>
      <c r="I89" s="37"/>
      <c r="K89" s="36"/>
      <c r="L89" s="37"/>
      <c r="O89" s="25"/>
      <c r="P89" s="25"/>
      <c r="S89" s="25"/>
      <c r="T89" s="25"/>
      <c r="U89" s="25"/>
      <c r="V89" s="25"/>
      <c r="W89" s="25"/>
      <c r="X89" s="25"/>
      <c r="Y89" s="25"/>
      <c r="Z89" s="25"/>
    </row>
    <row r="90" spans="2:26">
      <c r="B90" s="38" t="s">
        <v>54</v>
      </c>
      <c r="C90" s="40">
        <f>(ACOS(COS($C$19*(C84-C87))*COS($C$19*C85)/COS($C$19*C91))/$C$19)+C88</f>
        <v>72.231309811256182</v>
      </c>
      <c r="D90" s="41"/>
      <c r="E90" s="38" t="s">
        <v>42</v>
      </c>
      <c r="F90" s="40">
        <f>(ACOS(COS($C$19*(F84-F88))*COS($C$19*F85)/COS($C$19*F91))/$C$19)+F87</f>
        <v>267.2500003910892</v>
      </c>
      <c r="H90" s="38" t="s">
        <v>54</v>
      </c>
      <c r="I90" s="40">
        <f>(ACOS(COS($C$19*(I84-I87))*COS($C$19*I85)/COS($C$19*I91))/$C$19)+I88</f>
        <v>70.914747530245037</v>
      </c>
      <c r="J90" s="41"/>
      <c r="K90" s="38" t="s">
        <v>42</v>
      </c>
      <c r="L90" s="40">
        <f>(ACOS(COS($C$19*(L84-L88))*COS($C$19*L85)/COS($C$19*L91))/$C$19)+L87</f>
        <v>267.25000020256198</v>
      </c>
      <c r="O90" s="25"/>
      <c r="P90" s="25"/>
      <c r="S90" s="25"/>
      <c r="T90" s="25"/>
      <c r="U90" s="25"/>
      <c r="V90" s="25"/>
      <c r="W90" s="25"/>
      <c r="X90" s="25"/>
      <c r="Y90" s="25"/>
      <c r="Z90" s="25"/>
    </row>
    <row r="91" spans="2:26">
      <c r="B91" s="42" t="s">
        <v>55</v>
      </c>
      <c r="C91" s="43">
        <f>ASIN(SIN($C$19*C85)*SIN($C$19*C86)-COS($C$19*C85)*COS($C$19*C86)*SIN($C$19*(C84-C87)))/$C$19</f>
        <v>-71.145206528333631</v>
      </c>
      <c r="D91" s="41"/>
      <c r="E91" s="42" t="s">
        <v>44</v>
      </c>
      <c r="F91" s="43">
        <f>ASIN(SIN($C$19*F85)*SIN($C$19*F86)+COS($C$19*F85)*COS($C$19*F86)*SIN($C$19*(F84-F88)))/$C$19</f>
        <v>-14.717000288288467</v>
      </c>
      <c r="H91" s="42" t="s">
        <v>55</v>
      </c>
      <c r="I91" s="43">
        <f>ASIN(SIN($C$19*I85)*SIN($C$19*I86)-COS($C$19*I85)*COS($C$19*I86)*SIN($C$19*(I84-I87)))/$C$19</f>
        <v>-70.726038877159937</v>
      </c>
      <c r="J91" s="41"/>
      <c r="K91" s="42" t="s">
        <v>44</v>
      </c>
      <c r="L91" s="43">
        <f>ASIN(SIN($C$19*L85)*SIN($C$19*L86)+COS($C$19*L85)*COS($C$19*L86)*SIN($C$19*(L84-L88)))/$C$19</f>
        <v>-14.716999972617099</v>
      </c>
      <c r="O91" s="25"/>
      <c r="P91" s="25"/>
      <c r="S91" s="25"/>
      <c r="T91" s="25"/>
      <c r="U91" s="25"/>
      <c r="V91" s="25"/>
      <c r="W91" s="25"/>
      <c r="X91" s="25"/>
      <c r="Y91" s="25"/>
      <c r="Z91" s="25"/>
    </row>
    <row r="93" spans="2:26" ht="19">
      <c r="B93" s="34" t="s">
        <v>78</v>
      </c>
    </row>
    <row r="95" spans="2:26">
      <c r="B95" s="70" t="s">
        <v>59</v>
      </c>
      <c r="C95" s="71"/>
      <c r="E95" s="70" t="s">
        <v>60</v>
      </c>
      <c r="F95" s="71"/>
      <c r="G95" s="25"/>
      <c r="H95" s="70" t="s">
        <v>61</v>
      </c>
      <c r="I95" s="71"/>
      <c r="K95" s="70" t="s">
        <v>62</v>
      </c>
      <c r="L95" s="71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2:26">
      <c r="B96" s="36"/>
      <c r="C96" s="37"/>
      <c r="E96" s="36"/>
      <c r="F96" s="37"/>
      <c r="G96" s="25"/>
      <c r="H96" s="36"/>
      <c r="I96" s="37"/>
      <c r="K96" s="36"/>
      <c r="L96" s="37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2:26">
      <c r="B97" s="38" t="s">
        <v>43</v>
      </c>
      <c r="C97" s="39">
        <v>267.25</v>
      </c>
      <c r="E97" s="38" t="s">
        <v>54</v>
      </c>
      <c r="F97" s="39">
        <v>88.729287999999997</v>
      </c>
      <c r="G97" s="25"/>
      <c r="H97" s="38" t="s">
        <v>43</v>
      </c>
      <c r="I97" s="39">
        <v>267.25</v>
      </c>
      <c r="K97" s="38" t="s">
        <v>54</v>
      </c>
      <c r="L97" s="39">
        <v>86.181826000000001</v>
      </c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2:26">
      <c r="B98" s="38" t="s">
        <v>45</v>
      </c>
      <c r="C98" s="39">
        <v>-14.717000000000001</v>
      </c>
      <c r="E98" s="38" t="s">
        <v>55</v>
      </c>
      <c r="F98" s="39">
        <v>-74.786963999999998</v>
      </c>
      <c r="G98" s="25"/>
      <c r="H98" s="38" t="s">
        <v>45</v>
      </c>
      <c r="I98" s="39">
        <v>-14.717000000000001</v>
      </c>
      <c r="K98" s="38" t="s">
        <v>55</v>
      </c>
      <c r="L98" s="39">
        <v>-74.692723000000001</v>
      </c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2:26" ht="18">
      <c r="B99" s="38" t="s">
        <v>63</v>
      </c>
      <c r="C99" s="47">
        <v>179.32</v>
      </c>
      <c r="E99" s="38" t="s">
        <v>63</v>
      </c>
      <c r="F99" s="47">
        <v>179.32</v>
      </c>
      <c r="H99" s="38" t="s">
        <v>63</v>
      </c>
      <c r="I99" s="47">
        <v>180.02</v>
      </c>
      <c r="K99" s="38" t="s">
        <v>63</v>
      </c>
      <c r="L99" s="47">
        <v>180.02</v>
      </c>
    </row>
    <row r="100" spans="2:26" ht="18">
      <c r="B100" s="38" t="s">
        <v>64</v>
      </c>
      <c r="C100" s="47">
        <v>29.81</v>
      </c>
      <c r="E100" s="38" t="s">
        <v>64</v>
      </c>
      <c r="F100" s="47">
        <v>29.81</v>
      </c>
      <c r="H100" s="38" t="s">
        <v>64</v>
      </c>
      <c r="I100" s="47">
        <v>29.81</v>
      </c>
      <c r="K100" s="38" t="s">
        <v>64</v>
      </c>
      <c r="L100" s="47">
        <v>29.81</v>
      </c>
    </row>
    <row r="101" spans="2:26" ht="18">
      <c r="B101" s="38" t="s">
        <v>65</v>
      </c>
      <c r="C101" s="47">
        <v>6.38</v>
      </c>
      <c r="E101" s="38" t="s">
        <v>65</v>
      </c>
      <c r="F101" s="47">
        <v>6.38</v>
      </c>
      <c r="H101" s="38" t="s">
        <v>65</v>
      </c>
      <c r="I101" s="47">
        <v>6.38</v>
      </c>
      <c r="K101" s="38" t="s">
        <v>65</v>
      </c>
      <c r="L101" s="47">
        <v>6.38</v>
      </c>
    </row>
    <row r="102" spans="2:26">
      <c r="B102" s="36"/>
      <c r="C102" s="37"/>
      <c r="E102" s="36"/>
      <c r="F102" s="37"/>
      <c r="H102" s="36"/>
      <c r="I102" s="37"/>
      <c r="K102" s="36"/>
      <c r="L102" s="37"/>
    </row>
    <row r="103" spans="2:26">
      <c r="B103" s="38" t="s">
        <v>54</v>
      </c>
      <c r="C103" s="40">
        <f>(ACOS(COS($C$19*(C97-C99))*COS($C$19*C98)/COS($C$19*C104))/$C$19)+C101</f>
        <v>88.7292883317741</v>
      </c>
      <c r="D103" s="41"/>
      <c r="E103" s="38" t="s">
        <v>43</v>
      </c>
      <c r="F103" s="40">
        <f>(ACOS(COS($C$19*(F97-F101))*COS($C$19*F98)/COS($C$19*F104))/$C$19)+F99</f>
        <v>267.24999988696885</v>
      </c>
      <c r="H103" s="38" t="s">
        <v>54</v>
      </c>
      <c r="I103" s="40">
        <f>(ACOS(COS($C$19*(I97-I99))*COS($C$19*I98)/COS($C$19*I104))/$C$19)+I101</f>
        <v>86.181825896197978</v>
      </c>
      <c r="J103" s="41"/>
      <c r="K103" s="38" t="s">
        <v>43</v>
      </c>
      <c r="L103" s="40">
        <f>(ACOS(COS($C$19*(L97-L101))*COS($C$19*L98)/COS($C$19*L104))/$C$19)+L99</f>
        <v>267.25000004474958</v>
      </c>
    </row>
    <row r="104" spans="2:26">
      <c r="B104" s="42" t="s">
        <v>55</v>
      </c>
      <c r="C104" s="43">
        <f>ASIN(SIN($C$19*C98)*SIN($C$19*C100)-COS($C$19*C98)*COS($C$19*C100)*SIN($C$19*(C97-C99)))/$C$19</f>
        <v>-74.786964191614857</v>
      </c>
      <c r="D104" s="41"/>
      <c r="E104" s="42" t="s">
        <v>45</v>
      </c>
      <c r="F104" s="43">
        <f>ASIN(SIN($C$19*F98)*SIN($C$19*F100)+COS($C$19*F98)*COS($C$19*F100)*SIN($C$19*(F97-F101)))/$C$19</f>
        <v>-14.716999820154886</v>
      </c>
      <c r="H104" s="42" t="s">
        <v>55</v>
      </c>
      <c r="I104" s="43">
        <f>ASIN(SIN($C$19*I98)*SIN($C$19*I100)-COS($C$19*I98)*COS($C$19*I100)*SIN($C$19*(I97-I99)))/$C$19</f>
        <v>-74.692722897844249</v>
      </c>
      <c r="J104" s="41"/>
      <c r="K104" s="42" t="s">
        <v>45</v>
      </c>
      <c r="L104" s="43">
        <f>ASIN(SIN($C$19*L98)*SIN($C$19*L100)+COS($C$19*L98)*COS($C$19*L100)*SIN($C$19*(L97-L101)))/$C$19</f>
        <v>-14.717000096506281</v>
      </c>
    </row>
    <row r="106" spans="2:26" ht="19">
      <c r="B106" s="34" t="s">
        <v>79</v>
      </c>
    </row>
    <row r="108" spans="2:26">
      <c r="B108" s="30" t="s">
        <v>81</v>
      </c>
    </row>
    <row r="110" spans="2:26">
      <c r="B110" s="70" t="s">
        <v>84</v>
      </c>
      <c r="C110" s="71"/>
      <c r="E110" s="70" t="s">
        <v>86</v>
      </c>
      <c r="F110" s="71"/>
      <c r="H110" s="70" t="s">
        <v>85</v>
      </c>
      <c r="I110" s="71"/>
      <c r="K110" s="70" t="s">
        <v>87</v>
      </c>
      <c r="L110" s="71"/>
    </row>
    <row r="111" spans="2:26">
      <c r="B111" s="36"/>
      <c r="C111" s="37"/>
      <c r="E111" s="36"/>
      <c r="F111" s="37"/>
      <c r="H111" s="36"/>
      <c r="I111" s="37"/>
      <c r="K111" s="36"/>
      <c r="L111" s="37"/>
    </row>
    <row r="112" spans="2:26">
      <c r="B112" s="38" t="s">
        <v>72</v>
      </c>
      <c r="C112" s="39">
        <v>136.51468</v>
      </c>
      <c r="E112" s="38" t="s">
        <v>54</v>
      </c>
      <c r="F112" s="39">
        <v>198.03897900000001</v>
      </c>
      <c r="H112" s="38" t="s">
        <v>72</v>
      </c>
      <c r="I112" s="39">
        <v>115</v>
      </c>
      <c r="K112" s="38" t="s">
        <v>54</v>
      </c>
      <c r="L112" s="39">
        <v>206.95380499999999</v>
      </c>
    </row>
    <row r="113" spans="2:12">
      <c r="B113" s="38" t="s">
        <v>73</v>
      </c>
      <c r="C113" s="39">
        <v>-53.804186999999999</v>
      </c>
      <c r="E113" s="38" t="s">
        <v>55</v>
      </c>
      <c r="F113" s="39">
        <v>-46.215811000000002</v>
      </c>
      <c r="H113" s="38" t="s">
        <v>73</v>
      </c>
      <c r="I113" s="39">
        <v>-37</v>
      </c>
      <c r="K113" s="38" t="s">
        <v>55</v>
      </c>
      <c r="L113" s="39">
        <v>-25.601984000000002</v>
      </c>
    </row>
    <row r="114" spans="2:12" ht="18">
      <c r="B114" s="44" t="s">
        <v>48</v>
      </c>
      <c r="C114" s="45">
        <f>MOD(280.46061837+360.98564736629*($C$13-2451545)+0.000387933*POWER($C$20,2)-(POWER($C$20,3)/38710000),360)</f>
        <v>197.69319509086199</v>
      </c>
      <c r="E114" s="38" t="s">
        <v>56</v>
      </c>
      <c r="F114" s="47">
        <f>27.4</f>
        <v>27.4</v>
      </c>
      <c r="H114" s="44" t="s">
        <v>48</v>
      </c>
      <c r="I114" s="45">
        <f>MOD(280.46061837+360.98564736629*($C$13-2451545)+0.000387933*POWER($C$20,2)-(POWER($C$20,3)/38710000),360)</f>
        <v>197.69319509086199</v>
      </c>
      <c r="K114" s="38" t="s">
        <v>56</v>
      </c>
      <c r="L114" s="47">
        <f>27.4</f>
        <v>27.4</v>
      </c>
    </row>
    <row r="115" spans="2:12" ht="18">
      <c r="B115" s="44" t="s">
        <v>16</v>
      </c>
      <c r="C115" s="45">
        <f>$C$15</f>
        <v>-77.065555560000007</v>
      </c>
      <c r="E115" s="38" t="s">
        <v>57</v>
      </c>
      <c r="F115" s="47">
        <v>192.25</v>
      </c>
      <c r="H115" s="44" t="s">
        <v>16</v>
      </c>
      <c r="I115" s="45">
        <f>$C$15</f>
        <v>-77.065555560000007</v>
      </c>
      <c r="K115" s="38" t="s">
        <v>57</v>
      </c>
      <c r="L115" s="47">
        <v>192.85416699999999</v>
      </c>
    </row>
    <row r="116" spans="2:12" ht="18">
      <c r="B116" s="36" t="s">
        <v>49</v>
      </c>
      <c r="C116" s="45">
        <f>ATAN2(COS($C$19*C112)*SIN($C$19*C117)+TAN($C$19*C113)*COS($C$19*C117),SIN($C$19*C112))/$C$19</f>
        <v>155.62763980182055</v>
      </c>
      <c r="E116" s="36" t="s">
        <v>58</v>
      </c>
      <c r="F116" s="47">
        <f>33+(0/60)+(0/3600)</f>
        <v>33</v>
      </c>
      <c r="H116" s="36" t="s">
        <v>49</v>
      </c>
      <c r="I116" s="45">
        <f>ATAN2(COS($C$19*I112)*SIN($C$19*I117)+TAN($C$19*I113)*COS($C$19*I117),SIN($C$19*I112))/$C$19</f>
        <v>133.22361907138756</v>
      </c>
      <c r="K116" s="36" t="s">
        <v>58</v>
      </c>
      <c r="L116" s="47">
        <v>32.93</v>
      </c>
    </row>
    <row r="117" spans="2:12">
      <c r="B117" s="46" t="s">
        <v>14</v>
      </c>
      <c r="C117" s="45">
        <f>$C$14</f>
        <v>38.921388890000003</v>
      </c>
      <c r="E117" s="36"/>
      <c r="F117" s="37"/>
      <c r="H117" s="46" t="s">
        <v>14</v>
      </c>
      <c r="I117" s="45">
        <f>$C$14</f>
        <v>38.921388890000003</v>
      </c>
      <c r="K117" s="36"/>
      <c r="L117" s="37"/>
    </row>
    <row r="118" spans="2:12">
      <c r="B118" s="44"/>
      <c r="C118" s="45"/>
      <c r="E118" s="38" t="s">
        <v>42</v>
      </c>
      <c r="F118" s="57">
        <f>(ACOS(COS($C$19*(F112-F116))*COS($C$19*F113)/COS($C$19*F119))/$C$19)+F115</f>
        <v>325.00000003834458</v>
      </c>
      <c r="H118" s="44"/>
      <c r="I118" s="45"/>
      <c r="K118" s="38" t="s">
        <v>42</v>
      </c>
      <c r="L118" s="57">
        <f>(ACOS(COS($C$19*(L112-L116))*COS($C$19*L113)/COS($C$19*L119))/$C$19)+L115</f>
        <v>347.40401999081791</v>
      </c>
    </row>
    <row r="119" spans="2:12">
      <c r="B119" s="38" t="s">
        <v>42</v>
      </c>
      <c r="C119" s="57">
        <f>MOD(C114+C115-C116,360)</f>
        <v>324.99999972904141</v>
      </c>
      <c r="E119" s="38" t="s">
        <v>44</v>
      </c>
      <c r="F119" s="57">
        <f>ASIN(SIN($C$19*F113)*SIN($C$19*F114)+COS($C$19*F113)*COS($C$19*F114)*SIN($C$19*(F112-F116)))/$C$19</f>
        <v>-10.000000259858892</v>
      </c>
      <c r="H119" s="38" t="s">
        <v>42</v>
      </c>
      <c r="I119" s="57">
        <f>MOD(I114+I115-I116,360)</f>
        <v>347.4040204594744</v>
      </c>
      <c r="K119" s="38" t="s">
        <v>44</v>
      </c>
      <c r="L119" s="57">
        <f>ASIN(SIN($C$19*L113)*SIN($C$19*L114)+COS($C$19*L113)*COS($C$19*L114)*SIN($C$19*(L112-L116)))/$C$19</f>
        <v>-6.6324951358971465</v>
      </c>
    </row>
    <row r="120" spans="2:12" ht="18">
      <c r="B120" s="38" t="s">
        <v>44</v>
      </c>
      <c r="C120" s="57">
        <f>ASIN(SIN($C$19*C117)*SIN($C$19*C113)-COS($C$19*C117)*COS($C$19*C113)*COS($C$19*C112))/$C$19</f>
        <v>-10.00000026519384</v>
      </c>
      <c r="E120" s="44" t="s">
        <v>48</v>
      </c>
      <c r="F120" s="57">
        <f>MOD(280.46061837+360.98564736629*($C$13-2451545)+0.000387933*POWER($C$20,2)-(POWER($C$20,3)/38710000),360)</f>
        <v>197.69319509086199</v>
      </c>
      <c r="H120" s="38" t="s">
        <v>44</v>
      </c>
      <c r="I120" s="57">
        <f>ASIN(SIN($C$19*I117)*SIN($C$19*I113)-COS($C$19*I117)*COS($C$19*I113)*COS($C$19*I112))/$C$19</f>
        <v>-6.6324953566672127</v>
      </c>
      <c r="K120" s="44" t="s">
        <v>48</v>
      </c>
      <c r="L120" s="57">
        <f>MOD(280.46061837+360.98564736629*($C$13-2451545)+0.000387933*POWER($C$20,2)-(POWER($C$20,3)/38710000),360)</f>
        <v>197.69319509086199</v>
      </c>
    </row>
    <row r="121" spans="2:12" ht="18">
      <c r="B121" s="38" t="s">
        <v>56</v>
      </c>
      <c r="C121" s="57">
        <f>27.4</f>
        <v>27.4</v>
      </c>
      <c r="E121" s="44" t="s">
        <v>16</v>
      </c>
      <c r="F121" s="57">
        <f>$C$15</f>
        <v>-77.065555560000007</v>
      </c>
      <c r="H121" s="38" t="s">
        <v>56</v>
      </c>
      <c r="I121" s="57">
        <f>27.4</f>
        <v>27.4</v>
      </c>
      <c r="K121" s="44" t="s">
        <v>16</v>
      </c>
      <c r="L121" s="57">
        <f>$C$15</f>
        <v>-77.065555560000007</v>
      </c>
    </row>
    <row r="122" spans="2:12" ht="18">
      <c r="B122" s="38" t="s">
        <v>57</v>
      </c>
      <c r="C122" s="57">
        <v>192.25</v>
      </c>
      <c r="E122" s="44" t="s">
        <v>49</v>
      </c>
      <c r="F122" s="57">
        <f>MOD(F120+F121-F118,360)</f>
        <v>155.6276394925174</v>
      </c>
      <c r="H122" s="38" t="s">
        <v>57</v>
      </c>
      <c r="I122" s="57">
        <v>192.85416699999999</v>
      </c>
      <c r="K122" s="44" t="s">
        <v>49</v>
      </c>
      <c r="L122" s="57">
        <f>MOD(L120+L121-L118,360)</f>
        <v>133.22361954004407</v>
      </c>
    </row>
    <row r="123" spans="2:12" ht="18">
      <c r="B123" s="36" t="s">
        <v>58</v>
      </c>
      <c r="C123" s="57">
        <f>33+(0/60)+(0/3600)</f>
        <v>33</v>
      </c>
      <c r="E123" s="46" t="s">
        <v>14</v>
      </c>
      <c r="F123" s="57">
        <f>$C$14</f>
        <v>38.921388890000003</v>
      </c>
      <c r="H123" s="36" t="s">
        <v>58</v>
      </c>
      <c r="I123" s="57">
        <v>32.93</v>
      </c>
      <c r="K123" s="46" t="s">
        <v>14</v>
      </c>
      <c r="L123" s="57">
        <f>$C$14</f>
        <v>38.921388890000003</v>
      </c>
    </row>
    <row r="124" spans="2:12">
      <c r="B124" s="36"/>
      <c r="C124" s="37"/>
      <c r="E124" s="36"/>
      <c r="F124" s="37"/>
      <c r="H124" s="36"/>
      <c r="I124" s="37"/>
      <c r="K124" s="36"/>
      <c r="L124" s="37"/>
    </row>
    <row r="125" spans="2:12">
      <c r="B125" s="38" t="s">
        <v>54</v>
      </c>
      <c r="C125" s="40">
        <f>(ACOS(COS($C$19*(C119-C122))*COS($C$19*C120)/COS($C$19*C126))/$C$19)+C123</f>
        <v>198.03897879040727</v>
      </c>
      <c r="E125" s="38" t="s">
        <v>72</v>
      </c>
      <c r="F125" s="40">
        <f>ATAN2(COS($C$19*F122)*SIN($C$19*F123)-TAN($C$19*F119)*COS($C$19*F123),SIN($C$19*F122))/$C$19</f>
        <v>136.51467957199759</v>
      </c>
      <c r="H125" s="38" t="s">
        <v>54</v>
      </c>
      <c r="I125" s="40">
        <f>(ACOS(COS($C$19*(I119-I122))*COS($C$19*I120)/COS($C$19*I126))/$C$19)+I123</f>
        <v>206.95380545405067</v>
      </c>
      <c r="K125" s="38" t="s">
        <v>72</v>
      </c>
      <c r="L125" s="40">
        <f>ATAN2(COS($C$19*L122)*SIN($C$19*L123)-TAN($C$19*L119)*COS($C$19*L123),SIN($C$19*L122))/$C$19</f>
        <v>115.00000060678489</v>
      </c>
    </row>
    <row r="126" spans="2:12">
      <c r="B126" s="42" t="s">
        <v>55</v>
      </c>
      <c r="C126" s="43">
        <f>ASIN(SIN($C$19*C120)*SIN($C$19*C121)-COS($C$19*C120)*COS($C$19*C121)*SIN($C$19*(C119-C122)))/$C$19</f>
        <v>-46.215811267916912</v>
      </c>
      <c r="E126" s="42" t="s">
        <v>73</v>
      </c>
      <c r="F126" s="43">
        <f>ASIN(SIN($C$19*F123)*SIN($C$19*F119)+COS($C$19*F123)*COS($C$19*F119)*COS($C$19*F122))/$C$19</f>
        <v>-53.804186829921072</v>
      </c>
      <c r="H126" s="42" t="s">
        <v>55</v>
      </c>
      <c r="I126" s="43">
        <f>ASIN(SIN($C$19*I120)*SIN($C$19*I121)-COS($C$19*I120)*COS($C$19*I121)*SIN($C$19*(I119-I122)))/$C$19</f>
        <v>-25.601983687298926</v>
      </c>
      <c r="K126" s="42" t="s">
        <v>73</v>
      </c>
      <c r="L126" s="43">
        <f>ASIN(SIN($C$19*L123)*SIN($C$19*L119)+COS($C$19*L123)*COS($C$19*L119)*COS($C$19*L122))/$C$19</f>
        <v>-37.000000174960448</v>
      </c>
    </row>
  </sheetData>
  <sheetProtection sheet="1" objects="1" scenarios="1"/>
  <mergeCells count="23">
    <mergeCell ref="B2:F2"/>
    <mergeCell ref="B4:F4"/>
    <mergeCell ref="K110:L110"/>
    <mergeCell ref="H95:I95"/>
    <mergeCell ref="K95:L95"/>
    <mergeCell ref="B82:C82"/>
    <mergeCell ref="E82:F82"/>
    <mergeCell ref="H82:I82"/>
    <mergeCell ref="K82:L82"/>
    <mergeCell ref="H110:I110"/>
    <mergeCell ref="B64:C64"/>
    <mergeCell ref="B110:C110"/>
    <mergeCell ref="B48:C48"/>
    <mergeCell ref="E48:F48"/>
    <mergeCell ref="D14:E14"/>
    <mergeCell ref="D15:E15"/>
    <mergeCell ref="D30:E33"/>
    <mergeCell ref="B37:C37"/>
    <mergeCell ref="E37:F37"/>
    <mergeCell ref="B95:C95"/>
    <mergeCell ref="E95:F95"/>
    <mergeCell ref="E64:F64"/>
    <mergeCell ref="E110:F110"/>
  </mergeCells>
  <dataValidations disablePrompts="1" count="1">
    <dataValidation type="list" allowBlank="1" showInputMessage="1" showErrorMessage="1" sqref="C41 F75 C68 F41" xr:uid="{8DC827B7-7FA8-1640-AFF3-8C66E9A88070}">
      <formula1>$C$30:$C$33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255AB-9C7A-9E4C-A7EC-3031E6A59013}">
  <sheetPr codeName="Sheet1"/>
  <dimension ref="A1"/>
  <sheetViews>
    <sheetView showGridLines="0" workbookViewId="0">
      <selection activeCell="M18" sqref="M18"/>
    </sheetView>
  </sheetViews>
  <sheetFormatPr baseColWidth="10" defaultRowHeight="15"/>
  <sheetData/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Transformations</vt:lpstr>
      <vt:lpstr>Background</vt:lpstr>
    </vt:vector>
  </TitlesOfParts>
  <Manager/>
  <Company>Astronomy Morsels</Company>
  <LinksUpToDate>false</LinksUpToDate>
  <SharedDoc>false</SharedDoc>
  <HyperlinkBase>www.astronomy-morsels.ch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Coordinate Transformations</dc:title>
  <dc:subject/>
  <dc:creator>Anton Viola</dc:creator>
  <cp:keywords/>
  <dc:description/>
  <cp:lastModifiedBy>Anton Viola</cp:lastModifiedBy>
  <dcterms:created xsi:type="dcterms:W3CDTF">2009-01-01T15:24:05Z</dcterms:created>
  <dcterms:modified xsi:type="dcterms:W3CDTF">2024-05-17T09:56:53Z</dcterms:modified>
  <cp:category/>
</cp:coreProperties>
</file>