
<file path=[Content_Types].xml><?xml version="1.0" encoding="utf-8"?>
<Types xmlns="http://schemas.openxmlformats.org/package/2006/content-type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14"/>
  <workbookPr codeName="ThisWorkbook" autoCompressPictures="0"/>
  <mc:AlternateContent xmlns:mc="http://schemas.openxmlformats.org/markup-compatibility/2006">
    <mc:Choice Requires="x15">
      <x15ac:absPath xmlns:x15ac="http://schemas.microsoft.com/office/spreadsheetml/2010/11/ac" url="/Users/hanssassenburg/Library/CloudStorage/Dropbox/X_Private/20_Astronomy/Morsels/"/>
    </mc:Choice>
  </mc:AlternateContent>
  <xr:revisionPtr revIDLastSave="0" documentId="13_ncr:1_{12AD7589-A84D-5E49-B2F8-F65F712C8E5A}" xr6:coauthVersionLast="47" xr6:coauthVersionMax="47" xr10:uidLastSave="{00000000-0000-0000-0000-000000000000}"/>
  <bookViews>
    <workbookView xWindow="1760" yWindow="3540" windowWidth="30780" windowHeight="21720" xr2:uid="{00000000-000D-0000-FFFF-FFFF00000000}"/>
  </bookViews>
  <sheets>
    <sheet name="Introduction" sheetId="9" r:id="rId1"/>
    <sheet name="Monthly Highlights" sheetId="13" r:id="rId2"/>
    <sheet name="Visibility" sheetId="22" r:id="rId3"/>
    <sheet name="Illumination" sheetId="23" r:id="rId4"/>
    <sheet name="Types" sheetId="19" r:id="rId5"/>
    <sheet name="Constellations" sheetId="18" r:id="rId6"/>
    <sheet name="Background" sheetId="20" r:id="rId7"/>
  </sheets>
  <definedNames>
    <definedName name="_xlnm._FilterDatabase" localSheetId="5" hidden="1">Constellations!$B$2:$J$2</definedName>
    <definedName name="degrees">{0;90;180;270}</definedName>
    <definedName name="_xlnm.Print_Area" localSheetId="2">Visibility!$Q$2:$X$103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20" i="23" l="1"/>
  <c r="E9" i="22"/>
  <c r="E10" i="22"/>
  <c r="E11" i="22"/>
  <c r="E12" i="22"/>
  <c r="E14" i="22"/>
  <c r="E15" i="22"/>
  <c r="E16" i="22"/>
  <c r="E17" i="22"/>
  <c r="E18" i="22"/>
  <c r="E19" i="22"/>
  <c r="E20" i="22"/>
  <c r="E21" i="22"/>
  <c r="E22" i="22"/>
  <c r="E23" i="22"/>
  <c r="E24" i="22"/>
  <c r="E25" i="22"/>
  <c r="E26" i="22"/>
  <c r="E27" i="22"/>
  <c r="E28" i="22"/>
  <c r="E29" i="22"/>
  <c r="E30" i="22"/>
  <c r="E31" i="22"/>
  <c r="E32" i="22"/>
  <c r="E33" i="22"/>
  <c r="E34" i="22"/>
  <c r="E35" i="22"/>
  <c r="E36" i="22"/>
  <c r="E37" i="22"/>
  <c r="E38" i="22"/>
  <c r="E39" i="22"/>
  <c r="E40" i="22"/>
  <c r="E41" i="22"/>
  <c r="E42" i="22"/>
  <c r="E43" i="22"/>
  <c r="E44" i="22"/>
  <c r="E45" i="22"/>
  <c r="E46" i="22"/>
  <c r="E47" i="22"/>
  <c r="E48" i="22"/>
  <c r="E49" i="22"/>
  <c r="E50" i="22"/>
  <c r="E51" i="22"/>
  <c r="E52" i="22"/>
  <c r="E53" i="22"/>
  <c r="E54" i="22"/>
  <c r="E55" i="22"/>
  <c r="E56" i="22"/>
  <c r="E57" i="22"/>
  <c r="E58" i="22"/>
  <c r="E59" i="22"/>
  <c r="E60" i="22"/>
  <c r="E61" i="22"/>
  <c r="E62" i="22"/>
  <c r="E63" i="22"/>
  <c r="E64" i="22"/>
  <c r="E65" i="22"/>
  <c r="E66" i="22"/>
  <c r="E67" i="22"/>
  <c r="E68" i="22"/>
  <c r="E69" i="22"/>
  <c r="E70" i="22"/>
  <c r="E71" i="22"/>
  <c r="E72" i="22"/>
  <c r="E73" i="22"/>
  <c r="E74" i="22"/>
  <c r="E75" i="22"/>
  <c r="E76" i="22"/>
  <c r="E77" i="22"/>
  <c r="E78" i="22"/>
  <c r="E79" i="22"/>
  <c r="E80" i="22"/>
  <c r="E81" i="22"/>
  <c r="E82" i="22"/>
  <c r="E83" i="22"/>
  <c r="E84" i="22"/>
  <c r="E85" i="22"/>
  <c r="E86" i="22"/>
  <c r="E87" i="22"/>
  <c r="E88" i="22"/>
  <c r="E89" i="22"/>
  <c r="E90" i="22"/>
  <c r="E91" i="22"/>
  <c r="E92" i="22"/>
  <c r="E93" i="22"/>
  <c r="E94" i="22"/>
  <c r="E95" i="22"/>
  <c r="E96" i="22"/>
  <c r="E97" i="22"/>
  <c r="E98" i="22"/>
  <c r="E99" i="22"/>
  <c r="E100" i="22"/>
  <c r="E101" i="22"/>
  <c r="E102" i="22"/>
  <c r="E103" i="22"/>
  <c r="E8" i="22"/>
  <c r="C29" i="23"/>
  <c r="B27" i="23"/>
  <c r="B28" i="23" s="1"/>
  <c r="B29" i="23" s="1"/>
  <c r="B30" i="23" s="1"/>
  <c r="C25" i="23"/>
  <c r="B25" i="23"/>
  <c r="B26" i="23" s="1"/>
  <c r="C26" i="23" s="1"/>
  <c r="B24" i="23"/>
  <c r="C24" i="23" s="1"/>
  <c r="F13" i="23"/>
  <c r="F14" i="23" s="1"/>
  <c r="F10" i="23"/>
  <c r="F11" i="23" s="1"/>
  <c r="F12" i="23" s="1"/>
  <c r="G4" i="23"/>
  <c r="C2" i="23"/>
  <c r="C14" i="22"/>
  <c r="C13" i="22"/>
  <c r="F15" i="23" l="1"/>
  <c r="B31" i="23"/>
  <c r="C31" i="23" s="1"/>
  <c r="C30" i="23"/>
  <c r="C28" i="23"/>
  <c r="C27" i="23"/>
  <c r="N105" i="22"/>
  <c r="C15" i="22"/>
  <c r="F9" i="22"/>
  <c r="F10" i="22" s="1"/>
  <c r="F11" i="22" s="1"/>
  <c r="F12" i="22" s="1"/>
  <c r="F13" i="22" s="1"/>
  <c r="F14" i="22" s="1"/>
  <c r="F15" i="22" s="1"/>
  <c r="F16" i="22" s="1"/>
  <c r="F17" i="22" s="1"/>
  <c r="F18" i="22" s="1"/>
  <c r="F19" i="22" s="1"/>
  <c r="F20" i="22" s="1"/>
  <c r="F21" i="22" s="1"/>
  <c r="F22" i="22" s="1"/>
  <c r="F23" i="22" s="1"/>
  <c r="F24" i="22" s="1"/>
  <c r="F25" i="22" s="1"/>
  <c r="F26" i="22" s="1"/>
  <c r="F27" i="22" s="1"/>
  <c r="F28" i="22" s="1"/>
  <c r="F29" i="22" s="1"/>
  <c r="F30" i="22" s="1"/>
  <c r="F31" i="22" s="1"/>
  <c r="F32" i="22" s="1"/>
  <c r="F33" i="22" s="1"/>
  <c r="F34" i="22" s="1"/>
  <c r="F35" i="22" s="1"/>
  <c r="F36" i="22" s="1"/>
  <c r="F37" i="22" s="1"/>
  <c r="F38" i="22" s="1"/>
  <c r="F39" i="22" s="1"/>
  <c r="F40" i="22" s="1"/>
  <c r="F41" i="22" s="1"/>
  <c r="F42" i="22" s="1"/>
  <c r="F43" i="22" s="1"/>
  <c r="F44" i="22" s="1"/>
  <c r="F45" i="22" s="1"/>
  <c r="F46" i="22" s="1"/>
  <c r="F47" i="22" s="1"/>
  <c r="F48" i="22" s="1"/>
  <c r="F49" i="22" s="1"/>
  <c r="F50" i="22" s="1"/>
  <c r="F51" i="22" s="1"/>
  <c r="F52" i="22" s="1"/>
  <c r="F53" i="22" s="1"/>
  <c r="F54" i="22" s="1"/>
  <c r="F55" i="22" s="1"/>
  <c r="F56" i="22" s="1"/>
  <c r="F57" i="22" s="1"/>
  <c r="F58" i="22" s="1"/>
  <c r="F59" i="22" s="1"/>
  <c r="F60" i="22" s="1"/>
  <c r="F61" i="22" s="1"/>
  <c r="F62" i="22" s="1"/>
  <c r="F63" i="22" s="1"/>
  <c r="F64" i="22" s="1"/>
  <c r="F65" i="22" s="1"/>
  <c r="F66" i="22" s="1"/>
  <c r="F67" i="22" s="1"/>
  <c r="F68" i="22" s="1"/>
  <c r="F69" i="22" s="1"/>
  <c r="F70" i="22" s="1"/>
  <c r="F71" i="22" s="1"/>
  <c r="F72" i="22" s="1"/>
  <c r="F73" i="22" s="1"/>
  <c r="F74" i="22" s="1"/>
  <c r="F75" i="22" s="1"/>
  <c r="F76" i="22" s="1"/>
  <c r="F77" i="22" s="1"/>
  <c r="F78" i="22" s="1"/>
  <c r="F79" i="22" s="1"/>
  <c r="F80" i="22" s="1"/>
  <c r="F81" i="22" s="1"/>
  <c r="F82" i="22" s="1"/>
  <c r="F83" i="22" s="1"/>
  <c r="F84" i="22" s="1"/>
  <c r="F85" i="22" s="1"/>
  <c r="F86" i="22" s="1"/>
  <c r="F87" i="22" s="1"/>
  <c r="F88" i="22" s="1"/>
  <c r="F89" i="22" s="1"/>
  <c r="F90" i="22" s="1"/>
  <c r="F91" i="22" s="1"/>
  <c r="F92" i="22" s="1"/>
  <c r="F93" i="22" s="1"/>
  <c r="F94" i="22" s="1"/>
  <c r="F95" i="22" s="1"/>
  <c r="F96" i="22" s="1"/>
  <c r="F97" i="22" s="1"/>
  <c r="F98" i="22" s="1"/>
  <c r="F99" i="22" s="1"/>
  <c r="F100" i="22" s="1"/>
  <c r="F101" i="22" s="1"/>
  <c r="F102" i="22" s="1"/>
  <c r="F103" i="22" s="1"/>
  <c r="R7" i="22"/>
  <c r="G7" i="22"/>
  <c r="C7" i="22"/>
  <c r="C8" i="22" s="1"/>
  <c r="C10" i="22" s="1"/>
  <c r="Q5" i="22"/>
  <c r="Q4" i="22"/>
  <c r="Q3" i="22"/>
  <c r="D20" i="23" l="1"/>
  <c r="C3" i="23"/>
  <c r="F16" i="23"/>
  <c r="C11" i="22"/>
  <c r="C16" i="22" s="1"/>
  <c r="C9" i="22"/>
  <c r="C4" i="23" l="1"/>
  <c r="C6" i="23"/>
  <c r="C5" i="23"/>
  <c r="F17" i="23"/>
  <c r="N97" i="22"/>
  <c r="N81" i="22"/>
  <c r="N65" i="22"/>
  <c r="N49" i="22"/>
  <c r="N33" i="22"/>
  <c r="N17" i="22"/>
  <c r="N11" i="22"/>
  <c r="N61" i="22"/>
  <c r="N45" i="22"/>
  <c r="N8" i="22"/>
  <c r="N80" i="22"/>
  <c r="N64" i="22"/>
  <c r="N48" i="22"/>
  <c r="N32" i="22"/>
  <c r="N16" i="22"/>
  <c r="N99" i="22"/>
  <c r="N83" i="22"/>
  <c r="N67" i="22"/>
  <c r="N51" i="22"/>
  <c r="N35" i="22"/>
  <c r="N19" i="22"/>
  <c r="N100" i="22"/>
  <c r="N84" i="22"/>
  <c r="N68" i="22"/>
  <c r="N52" i="22"/>
  <c r="N36" i="22"/>
  <c r="N20" i="22"/>
  <c r="N14" i="22"/>
  <c r="N39" i="22"/>
  <c r="N23" i="22"/>
  <c r="N42" i="22"/>
  <c r="N26" i="22"/>
  <c r="N77" i="22"/>
  <c r="N96" i="22"/>
  <c r="N103" i="22"/>
  <c r="N87" i="22"/>
  <c r="N71" i="22"/>
  <c r="N55" i="22"/>
  <c r="N58" i="22"/>
  <c r="N90" i="22"/>
  <c r="N74" i="22"/>
  <c r="N93" i="22"/>
  <c r="N29" i="22"/>
  <c r="N91" i="22"/>
  <c r="N85" i="22"/>
  <c r="N79" i="22"/>
  <c r="N73" i="22"/>
  <c r="N12" i="22"/>
  <c r="N62" i="22"/>
  <c r="N56" i="22"/>
  <c r="N50" i="22"/>
  <c r="N44" i="22"/>
  <c r="N38" i="22"/>
  <c r="N101" i="22"/>
  <c r="N95" i="22"/>
  <c r="N89" i="22"/>
  <c r="N21" i="22"/>
  <c r="N78" i="22"/>
  <c r="N72" i="22"/>
  <c r="N60" i="22"/>
  <c r="N54" i="22"/>
  <c r="N15" i="22"/>
  <c r="N27" i="22"/>
  <c r="N98" i="22"/>
  <c r="N66" i="22"/>
  <c r="N10" i="22"/>
  <c r="N31" i="22"/>
  <c r="N53" i="22"/>
  <c r="N41" i="22"/>
  <c r="N13" i="22"/>
  <c r="N57" i="22"/>
  <c r="N43" i="22"/>
  <c r="N59" i="22"/>
  <c r="N18" i="22"/>
  <c r="N69" i="22"/>
  <c r="N28" i="22"/>
  <c r="N37" i="22"/>
  <c r="N47" i="22"/>
  <c r="N30" i="22"/>
  <c r="N63" i="22"/>
  <c r="N102" i="22"/>
  <c r="N34" i="22"/>
  <c r="N25" i="22"/>
  <c r="N92" i="22"/>
  <c r="N9" i="22"/>
  <c r="N40" i="22"/>
  <c r="N94" i="22"/>
  <c r="N88" i="22"/>
  <c r="N82" i="22"/>
  <c r="N76" i="22"/>
  <c r="N70" i="22"/>
  <c r="N86" i="22"/>
  <c r="N24" i="22"/>
  <c r="N46" i="22"/>
  <c r="N75" i="22"/>
  <c r="N22" i="22"/>
  <c r="I88" i="22" l="1"/>
  <c r="I39" i="22"/>
  <c r="I69" i="22"/>
  <c r="I44" i="22"/>
  <c r="I35" i="22"/>
  <c r="C7" i="23"/>
  <c r="C8" i="23" s="1"/>
  <c r="F18" i="23"/>
  <c r="J38" i="22"/>
  <c r="I38" i="22" s="1"/>
  <c r="J23" i="22"/>
  <c r="I23" i="22" s="1"/>
  <c r="J80" i="22"/>
  <c r="I80" i="22" s="1"/>
  <c r="J39" i="22"/>
  <c r="J44" i="22"/>
  <c r="J32" i="22"/>
  <c r="I32" i="22" s="1"/>
  <c r="J10" i="22"/>
  <c r="I10" i="22" s="1"/>
  <c r="J95" i="22"/>
  <c r="I95" i="22" s="1"/>
  <c r="J93" i="22"/>
  <c r="I93" i="22" s="1"/>
  <c r="J63" i="22"/>
  <c r="I63" i="22" s="1"/>
  <c r="J45" i="22"/>
  <c r="I45" i="22" s="1"/>
  <c r="J25" i="22"/>
  <c r="I25" i="22" s="1"/>
  <c r="J29" i="22"/>
  <c r="I29" i="22" s="1"/>
  <c r="J101" i="22"/>
  <c r="I101" i="22" s="1"/>
  <c r="J20" i="22"/>
  <c r="I20" i="22" s="1"/>
  <c r="J75" i="22"/>
  <c r="I75" i="22" s="1"/>
  <c r="J98" i="22"/>
  <c r="I98" i="22" s="1"/>
  <c r="J13" i="22"/>
  <c r="J34" i="22"/>
  <c r="I34" i="22" s="1"/>
  <c r="J102" i="22"/>
  <c r="I102" i="22" s="1"/>
  <c r="J22" i="22"/>
  <c r="I22" i="22" s="1"/>
  <c r="J74" i="22"/>
  <c r="I74" i="22" s="1"/>
  <c r="J31" i="22"/>
  <c r="I31" i="22" s="1"/>
  <c r="J46" i="22"/>
  <c r="I46" i="22" s="1"/>
  <c r="J8" i="22"/>
  <c r="I8" i="22" s="1"/>
  <c r="J50" i="22"/>
  <c r="I50" i="22" s="1"/>
  <c r="J37" i="22"/>
  <c r="I37" i="22" s="1"/>
  <c r="J61" i="22"/>
  <c r="I61" i="22" s="1"/>
  <c r="J27" i="22"/>
  <c r="I27" i="22" s="1"/>
  <c r="J100" i="22"/>
  <c r="I100" i="22" s="1"/>
  <c r="J12" i="22"/>
  <c r="I12" i="22" s="1"/>
  <c r="J82" i="22"/>
  <c r="I82" i="22" s="1"/>
  <c r="J103" i="22"/>
  <c r="I103" i="22" s="1"/>
  <c r="J81" i="22"/>
  <c r="I81" i="22" s="1"/>
  <c r="J89" i="22"/>
  <c r="I89" i="22" s="1"/>
  <c r="J14" i="22"/>
  <c r="I14" i="22" s="1"/>
  <c r="J30" i="22"/>
  <c r="I30" i="22" s="1"/>
  <c r="J36" i="22"/>
  <c r="I36" i="22" s="1"/>
  <c r="J47" i="22"/>
  <c r="I47" i="22" s="1"/>
  <c r="J68" i="22"/>
  <c r="I68" i="22" s="1"/>
  <c r="J55" i="22"/>
  <c r="I55" i="22" s="1"/>
  <c r="J70" i="22"/>
  <c r="I70" i="22" s="1"/>
  <c r="J71" i="22"/>
  <c r="I71" i="22" s="1"/>
  <c r="J28" i="22"/>
  <c r="I28" i="22" s="1"/>
  <c r="J73" i="22"/>
  <c r="I73" i="22" s="1"/>
  <c r="J97" i="22"/>
  <c r="I97" i="22" s="1"/>
  <c r="J16" i="22"/>
  <c r="I16" i="22" s="1"/>
  <c r="J41" i="22"/>
  <c r="I41" i="22" s="1"/>
  <c r="J48" i="22"/>
  <c r="I48" i="22" s="1"/>
  <c r="J53" i="22"/>
  <c r="I53" i="22" s="1"/>
  <c r="J64" i="22"/>
  <c r="I64" i="22" s="1"/>
  <c r="J90" i="22"/>
  <c r="I90" i="22" s="1"/>
  <c r="J52" i="22"/>
  <c r="I52" i="22" s="1"/>
  <c r="J24" i="22"/>
  <c r="I24" i="22" s="1"/>
  <c r="J66" i="22"/>
  <c r="I66" i="22" s="1"/>
  <c r="J58" i="22"/>
  <c r="I58" i="22" s="1"/>
  <c r="J86" i="22"/>
  <c r="I86" i="22" s="1"/>
  <c r="J56" i="22"/>
  <c r="I56" i="22" s="1"/>
  <c r="J84" i="22"/>
  <c r="I84" i="22" s="1"/>
  <c r="J62" i="22"/>
  <c r="I62" i="22" s="1"/>
  <c r="J11" i="22"/>
  <c r="I11" i="22" s="1"/>
  <c r="J76" i="22"/>
  <c r="I76" i="22" s="1"/>
  <c r="J15" i="22"/>
  <c r="I15" i="22" s="1"/>
  <c r="J87" i="22"/>
  <c r="I87" i="22" s="1"/>
  <c r="J17" i="22"/>
  <c r="I17" i="22" s="1"/>
  <c r="J19" i="22"/>
  <c r="I19" i="22" s="1"/>
  <c r="J33" i="22"/>
  <c r="I33" i="22" s="1"/>
  <c r="J88" i="22"/>
  <c r="J69" i="22"/>
  <c r="J54" i="22"/>
  <c r="I54" i="22" s="1"/>
  <c r="J79" i="22"/>
  <c r="I79" i="22" s="1"/>
  <c r="J96" i="22"/>
  <c r="I96" i="22" s="1"/>
  <c r="J35" i="22"/>
  <c r="J49" i="22"/>
  <c r="I49" i="22" s="1"/>
  <c r="J94" i="22"/>
  <c r="I94" i="22" s="1"/>
  <c r="J18" i="22"/>
  <c r="I18" i="22" s="1"/>
  <c r="J60" i="22"/>
  <c r="I60" i="22" s="1"/>
  <c r="J85" i="22"/>
  <c r="I85" i="22" s="1"/>
  <c r="J77" i="22"/>
  <c r="I77" i="22" s="1"/>
  <c r="J51" i="22"/>
  <c r="I51" i="22" s="1"/>
  <c r="J65" i="22"/>
  <c r="I65" i="22" s="1"/>
  <c r="J40" i="22"/>
  <c r="I40" i="22" s="1"/>
  <c r="J59" i="22"/>
  <c r="I59" i="22" s="1"/>
  <c r="J72" i="22"/>
  <c r="I72" i="22" s="1"/>
  <c r="J91" i="22"/>
  <c r="I91" i="22" s="1"/>
  <c r="J67" i="22"/>
  <c r="I67" i="22" s="1"/>
  <c r="J9" i="22"/>
  <c r="I9" i="22" s="1"/>
  <c r="J43" i="22"/>
  <c r="I43" i="22" s="1"/>
  <c r="J78" i="22"/>
  <c r="I78" i="22" s="1"/>
  <c r="J26" i="22"/>
  <c r="I26" i="22" s="1"/>
  <c r="J83" i="22"/>
  <c r="I83" i="22" s="1"/>
  <c r="J92" i="22"/>
  <c r="I92" i="22" s="1"/>
  <c r="J57" i="22"/>
  <c r="I57" i="22" s="1"/>
  <c r="J21" i="22"/>
  <c r="I21" i="22" s="1"/>
  <c r="J42" i="22"/>
  <c r="I42" i="22" s="1"/>
  <c r="J99" i="22"/>
  <c r="I99" i="22" s="1"/>
  <c r="I13" i="22" l="1"/>
  <c r="E13" i="22"/>
  <c r="U4" i="22" s="1"/>
  <c r="U3" i="22"/>
  <c r="C21" i="23"/>
  <c r="G2" i="23" s="1"/>
  <c r="J3" i="23" s="1"/>
  <c r="B36" i="22"/>
  <c r="F19" i="23"/>
  <c r="I18" i="23"/>
  <c r="H18" i="23"/>
  <c r="J18" i="23"/>
  <c r="H14" i="23" l="1"/>
  <c r="H12" i="23"/>
  <c r="H15" i="23"/>
  <c r="H9" i="23"/>
  <c r="H10" i="23"/>
  <c r="H11" i="23"/>
  <c r="J4" i="23"/>
  <c r="J5" i="23" s="1"/>
  <c r="H13" i="23"/>
  <c r="I15" i="23"/>
  <c r="H16" i="23"/>
  <c r="J17" i="23"/>
  <c r="J9" i="23"/>
  <c r="I11" i="23"/>
  <c r="H17" i="23"/>
  <c r="J11" i="23"/>
  <c r="J12" i="23"/>
  <c r="I12" i="23"/>
  <c r="I14" i="23"/>
  <c r="J14" i="23"/>
  <c r="I9" i="23"/>
  <c r="I13" i="23"/>
  <c r="J13" i="23"/>
  <c r="I16" i="23"/>
  <c r="J10" i="23"/>
  <c r="I10" i="23"/>
  <c r="F20" i="23"/>
  <c r="G19" i="23"/>
  <c r="J19" i="23"/>
  <c r="I19" i="23"/>
  <c r="H19" i="23"/>
  <c r="P8" i="22" a="1"/>
  <c r="P8" i="22" l="1"/>
  <c r="U5" i="22"/>
  <c r="G15" i="23"/>
  <c r="J15" i="23" s="1"/>
  <c r="G11" i="23"/>
  <c r="G9" i="23"/>
  <c r="G13" i="23"/>
  <c r="G14" i="23"/>
  <c r="G10" i="23"/>
  <c r="G16" i="23"/>
  <c r="J16" i="23" s="1"/>
  <c r="G12" i="23"/>
  <c r="G17" i="23"/>
  <c r="I17" i="23" s="1"/>
  <c r="G18" i="23"/>
  <c r="F21" i="23"/>
  <c r="G20" i="23"/>
  <c r="J20" i="23"/>
  <c r="I20" i="23"/>
  <c r="H20" i="23"/>
  <c r="G21" i="23" l="1"/>
  <c r="F22" i="23"/>
  <c r="H21" i="23"/>
  <c r="J21" i="23"/>
  <c r="I21" i="23"/>
  <c r="F23" i="23" l="1"/>
  <c r="G22" i="23"/>
  <c r="J22" i="23"/>
  <c r="H22" i="23"/>
  <c r="I22" i="23"/>
  <c r="F24" i="23" l="1"/>
  <c r="G23" i="23"/>
  <c r="J23" i="23"/>
  <c r="H23" i="23"/>
  <c r="I23" i="23"/>
  <c r="G24" i="23" l="1"/>
  <c r="F25" i="23"/>
  <c r="H24" i="23"/>
  <c r="J24" i="23"/>
  <c r="I24" i="23"/>
  <c r="F26" i="23" l="1"/>
  <c r="G25" i="23"/>
  <c r="I25" i="23"/>
  <c r="J25" i="23"/>
  <c r="H25" i="23"/>
  <c r="G26" i="23" l="1"/>
  <c r="F27" i="23"/>
  <c r="H26" i="23"/>
  <c r="J26" i="23"/>
  <c r="I26" i="23"/>
  <c r="G27" i="23" l="1"/>
  <c r="F28" i="23"/>
  <c r="H27" i="23"/>
  <c r="J27" i="23"/>
  <c r="I27" i="23"/>
  <c r="G28" i="23" l="1"/>
  <c r="F29" i="23"/>
  <c r="J28" i="23"/>
  <c r="I28" i="23"/>
  <c r="H28" i="23"/>
  <c r="F30" i="23" l="1"/>
  <c r="G29" i="23"/>
  <c r="H29" i="23"/>
  <c r="I29" i="23"/>
  <c r="J29" i="23"/>
  <c r="F31" i="23" l="1"/>
  <c r="G30" i="23"/>
  <c r="H30" i="23"/>
  <c r="I30" i="23"/>
  <c r="J30" i="23"/>
  <c r="G31" i="23" l="1"/>
  <c r="F32" i="23"/>
  <c r="I31" i="23"/>
  <c r="J31" i="23"/>
  <c r="H31" i="23"/>
  <c r="F33" i="23" l="1"/>
  <c r="G32" i="23"/>
  <c r="I32" i="23"/>
  <c r="H32" i="23"/>
  <c r="J32" i="23"/>
  <c r="F34" i="23" l="1"/>
  <c r="G33" i="23"/>
  <c r="J33" i="23"/>
  <c r="I33" i="23"/>
  <c r="H33" i="23"/>
  <c r="G34" i="23" l="1"/>
  <c r="F35" i="23"/>
  <c r="J34" i="23"/>
  <c r="I34" i="23"/>
  <c r="H34" i="23"/>
  <c r="G35" i="23" l="1"/>
  <c r="F36" i="23"/>
  <c r="J35" i="23"/>
  <c r="I35" i="23"/>
  <c r="H35" i="23"/>
  <c r="F37" i="23" l="1"/>
  <c r="G36" i="23"/>
  <c r="J36" i="23"/>
  <c r="I36" i="23"/>
  <c r="H36" i="23"/>
  <c r="F38" i="23" l="1"/>
  <c r="G37" i="23"/>
  <c r="H37" i="23"/>
  <c r="I37" i="23"/>
  <c r="J37" i="23"/>
  <c r="F39" i="23" l="1"/>
  <c r="G38" i="23"/>
  <c r="I38" i="23"/>
  <c r="J38" i="23"/>
  <c r="H38" i="23"/>
  <c r="F40" i="23" l="1"/>
  <c r="G39" i="23"/>
  <c r="J39" i="23"/>
  <c r="I39" i="23"/>
  <c r="H39" i="23"/>
  <c r="G40" i="23" l="1"/>
  <c r="F41" i="23"/>
  <c r="H40" i="23"/>
  <c r="I40" i="23"/>
  <c r="J40" i="23"/>
  <c r="G41" i="23" l="1"/>
  <c r="F42" i="23"/>
  <c r="J41" i="23"/>
  <c r="I41" i="23"/>
  <c r="H41" i="23"/>
  <c r="F43" i="23" l="1"/>
  <c r="G42" i="23"/>
  <c r="I42" i="23"/>
  <c r="H42" i="23"/>
  <c r="J42" i="23"/>
  <c r="F44" i="23" l="1"/>
  <c r="G43" i="23"/>
  <c r="H43" i="23"/>
  <c r="J43" i="23"/>
  <c r="I43" i="23"/>
  <c r="G44" i="23" l="1"/>
  <c r="F45" i="23"/>
  <c r="H44" i="23"/>
  <c r="J44" i="23"/>
  <c r="I44" i="23"/>
  <c r="G45" i="23" l="1"/>
  <c r="F46" i="23"/>
  <c r="J45" i="23"/>
  <c r="I45" i="23"/>
  <c r="H45" i="23"/>
  <c r="F47" i="23" l="1"/>
  <c r="G46" i="23"/>
  <c r="H46" i="23"/>
  <c r="J46" i="23"/>
  <c r="I46" i="23"/>
  <c r="F48" i="23" l="1"/>
  <c r="G47" i="23"/>
  <c r="J47" i="23"/>
  <c r="I47" i="23"/>
  <c r="H47" i="23"/>
  <c r="G48" i="23" l="1"/>
  <c r="F49" i="23"/>
  <c r="H48" i="23"/>
  <c r="I48" i="23"/>
  <c r="J48" i="23"/>
  <c r="G49" i="23" l="1"/>
  <c r="F50" i="23"/>
  <c r="H49" i="23"/>
  <c r="I49" i="23"/>
  <c r="J49" i="23"/>
  <c r="F51" i="23" l="1"/>
  <c r="G50" i="23"/>
  <c r="H50" i="23"/>
  <c r="J50" i="23"/>
  <c r="I50" i="23"/>
  <c r="G51" i="23" l="1"/>
  <c r="F52" i="23"/>
  <c r="J51" i="23"/>
  <c r="I51" i="23"/>
  <c r="H51" i="23"/>
  <c r="F53" i="23" l="1"/>
  <c r="G52" i="23"/>
  <c r="I52" i="23"/>
  <c r="J52" i="23"/>
  <c r="H52" i="23"/>
  <c r="G53" i="23" l="1"/>
  <c r="F54" i="23"/>
  <c r="J53" i="23"/>
  <c r="I53" i="23"/>
  <c r="H53" i="23"/>
  <c r="F55" i="23" l="1"/>
  <c r="G54" i="23"/>
  <c r="I54" i="23"/>
  <c r="H54" i="23"/>
  <c r="J54" i="23"/>
  <c r="F56" i="23" l="1"/>
  <c r="G55" i="23"/>
  <c r="I55" i="23"/>
  <c r="J55" i="23"/>
  <c r="H55" i="23"/>
  <c r="G56" i="23" l="1"/>
  <c r="F57" i="23"/>
  <c r="I56" i="23"/>
  <c r="H56" i="23"/>
  <c r="J56" i="23"/>
  <c r="F58" i="23" l="1"/>
  <c r="G57" i="23"/>
  <c r="J57" i="23"/>
  <c r="I57" i="23"/>
  <c r="H57" i="23"/>
  <c r="G58" i="23" l="1"/>
  <c r="F59" i="23"/>
  <c r="I58" i="23"/>
  <c r="H58" i="23"/>
  <c r="J58" i="23"/>
  <c r="F60" i="23" l="1"/>
  <c r="G59" i="23"/>
  <c r="J59" i="23"/>
  <c r="I59" i="23"/>
  <c r="H59" i="23"/>
  <c r="F61" i="23" l="1"/>
  <c r="G60" i="23"/>
  <c r="I60" i="23"/>
  <c r="J60" i="23"/>
  <c r="H60" i="23"/>
  <c r="G61" i="23" l="1"/>
  <c r="F62" i="23"/>
  <c r="J61" i="23"/>
  <c r="I61" i="23"/>
  <c r="H61" i="23"/>
  <c r="F63" i="23" l="1"/>
  <c r="G62" i="23"/>
  <c r="J62" i="23"/>
  <c r="I62" i="23"/>
  <c r="H62" i="23"/>
  <c r="G63" i="23" l="1"/>
  <c r="F64" i="23"/>
  <c r="I63" i="23"/>
  <c r="H63" i="23"/>
  <c r="J63" i="23"/>
  <c r="F65" i="23" l="1"/>
  <c r="G64" i="23"/>
  <c r="H64" i="23"/>
  <c r="J64" i="23"/>
  <c r="I64" i="23"/>
  <c r="G65" i="23" l="1"/>
  <c r="F66" i="23"/>
  <c r="I65" i="23"/>
  <c r="H65" i="23"/>
  <c r="J65" i="23"/>
  <c r="F67" i="23" l="1"/>
  <c r="G66" i="23"/>
  <c r="I66" i="23"/>
  <c r="J66" i="23"/>
  <c r="H66" i="23"/>
  <c r="F68" i="23" l="1"/>
  <c r="G67" i="23"/>
  <c r="H67" i="23"/>
  <c r="J67" i="23"/>
  <c r="I67" i="23"/>
  <c r="F69" i="23" l="1"/>
  <c r="G68" i="23"/>
  <c r="J68" i="23"/>
  <c r="H68" i="23"/>
  <c r="I68" i="23"/>
  <c r="F70" i="23" l="1"/>
  <c r="G69" i="23"/>
  <c r="I69" i="23"/>
  <c r="H69" i="23"/>
  <c r="J69" i="23"/>
  <c r="F71" i="23" l="1"/>
  <c r="G70" i="23"/>
  <c r="J70" i="23"/>
  <c r="H70" i="23"/>
  <c r="I70" i="23"/>
  <c r="F72" i="23" l="1"/>
  <c r="G71" i="23"/>
  <c r="H71" i="23"/>
  <c r="J71" i="23"/>
  <c r="I71" i="23"/>
  <c r="G72" i="23" l="1"/>
  <c r="F73" i="23"/>
  <c r="J72" i="23"/>
  <c r="I72" i="23"/>
  <c r="H72" i="23"/>
  <c r="F74" i="23" l="1"/>
  <c r="G73" i="23"/>
  <c r="H73" i="23"/>
  <c r="J73" i="23"/>
  <c r="I73" i="23"/>
  <c r="F75" i="23" l="1"/>
  <c r="G74" i="23"/>
  <c r="J74" i="23"/>
  <c r="I74" i="23"/>
  <c r="H74" i="23"/>
  <c r="G75" i="23" l="1"/>
  <c r="F76" i="23"/>
  <c r="I75" i="23"/>
  <c r="J75" i="23"/>
  <c r="H75" i="23"/>
  <c r="F77" i="23" l="1"/>
  <c r="G76" i="23"/>
  <c r="H76" i="23"/>
  <c r="I76" i="23"/>
  <c r="J76" i="23"/>
  <c r="F78" i="23" l="1"/>
  <c r="G77" i="23"/>
  <c r="I77" i="23"/>
  <c r="J77" i="23"/>
  <c r="H77" i="23"/>
  <c r="F79" i="23" l="1"/>
  <c r="G78" i="23"/>
  <c r="H78" i="23"/>
  <c r="J78" i="23"/>
  <c r="I78" i="23"/>
  <c r="F80" i="23" l="1"/>
  <c r="G79" i="23"/>
  <c r="I79" i="23"/>
  <c r="H79" i="23"/>
  <c r="J79" i="23"/>
  <c r="F81" i="23" l="1"/>
  <c r="G80" i="23"/>
  <c r="H80" i="23"/>
  <c r="J80" i="23"/>
  <c r="I80" i="23"/>
  <c r="F82" i="23" l="1"/>
  <c r="G81" i="23"/>
  <c r="H81" i="23"/>
  <c r="J81" i="23"/>
  <c r="I81" i="23"/>
  <c r="G82" i="23" l="1"/>
  <c r="F83" i="23"/>
  <c r="J82" i="23"/>
  <c r="H82" i="23"/>
  <c r="I82" i="23"/>
  <c r="F84" i="23" l="1"/>
  <c r="G83" i="23"/>
  <c r="I83" i="23"/>
  <c r="H83" i="23"/>
  <c r="J83" i="23"/>
  <c r="F85" i="23" l="1"/>
  <c r="G84" i="23"/>
  <c r="J84" i="23"/>
  <c r="I84" i="23"/>
  <c r="H84" i="23"/>
  <c r="G85" i="23" l="1"/>
  <c r="F86" i="23"/>
  <c r="J85" i="23"/>
  <c r="I85" i="23"/>
  <c r="H85" i="23"/>
  <c r="F87" i="23" l="1"/>
  <c r="G86" i="23"/>
  <c r="I86" i="23"/>
  <c r="J86" i="23"/>
  <c r="H86" i="23"/>
  <c r="G87" i="23" l="1"/>
  <c r="F88" i="23"/>
  <c r="J87" i="23"/>
  <c r="I87" i="23"/>
  <c r="H87" i="23"/>
  <c r="G88" i="23" l="1"/>
  <c r="F89" i="23"/>
  <c r="J88" i="23"/>
  <c r="H88" i="23"/>
  <c r="I88" i="23"/>
  <c r="G89" i="23" l="1"/>
  <c r="F90" i="23"/>
  <c r="I89" i="23"/>
  <c r="H89" i="23"/>
  <c r="J89" i="23"/>
  <c r="F91" i="23" l="1"/>
  <c r="G90" i="23"/>
  <c r="H90" i="23"/>
  <c r="J90" i="23"/>
  <c r="I90" i="23"/>
  <c r="F92" i="23" l="1"/>
  <c r="G91" i="23"/>
  <c r="J91" i="23"/>
  <c r="I91" i="23"/>
  <c r="H91" i="23"/>
  <c r="G92" i="23" l="1"/>
  <c r="F93" i="23"/>
  <c r="J92" i="23"/>
  <c r="I92" i="23"/>
  <c r="H92" i="23"/>
  <c r="G93" i="23" l="1"/>
  <c r="F94" i="23"/>
  <c r="I93" i="23"/>
  <c r="H93" i="23"/>
  <c r="J93" i="23"/>
  <c r="G94" i="23" l="1"/>
  <c r="F95" i="23"/>
  <c r="I94" i="23"/>
  <c r="J94" i="23"/>
  <c r="H94" i="23"/>
  <c r="F96" i="23" l="1"/>
  <c r="G95" i="23"/>
  <c r="H95" i="23"/>
  <c r="J95" i="23"/>
  <c r="I95" i="23"/>
  <c r="F97" i="23" l="1"/>
  <c r="G96" i="23"/>
  <c r="I96" i="23"/>
  <c r="J96" i="23"/>
  <c r="H96" i="23"/>
  <c r="G97" i="23" l="1"/>
  <c r="F98" i="23"/>
  <c r="J97" i="23"/>
  <c r="I97" i="23"/>
  <c r="H97" i="23"/>
  <c r="F99" i="23" l="1"/>
  <c r="G98" i="23"/>
  <c r="J98" i="23"/>
  <c r="H98" i="23"/>
  <c r="I98" i="23"/>
  <c r="G99" i="23" l="1"/>
  <c r="F100" i="23"/>
  <c r="J99" i="23"/>
  <c r="I99" i="23"/>
  <c r="H99" i="23"/>
  <c r="F101" i="23" l="1"/>
  <c r="G100" i="23"/>
  <c r="H100" i="23"/>
  <c r="I100" i="23"/>
  <c r="J100" i="23"/>
  <c r="F102" i="23" l="1"/>
  <c r="G101" i="23"/>
  <c r="J101" i="23"/>
  <c r="H101" i="23"/>
  <c r="I101" i="23"/>
  <c r="G102" i="23" l="1"/>
  <c r="F103" i="23"/>
  <c r="H102" i="23"/>
  <c r="J102" i="23"/>
  <c r="I102" i="23"/>
  <c r="G103" i="23" l="1"/>
  <c r="F104" i="23"/>
  <c r="J103" i="23"/>
  <c r="I103" i="23"/>
  <c r="H103" i="23"/>
  <c r="G104" i="23" l="1"/>
  <c r="F105" i="23"/>
  <c r="J104" i="23"/>
  <c r="I104" i="23"/>
  <c r="H104" i="23"/>
  <c r="F106" i="23" l="1"/>
  <c r="G105" i="23"/>
  <c r="I105" i="23"/>
  <c r="J105" i="23"/>
  <c r="H105" i="23"/>
  <c r="G106" i="23" l="1"/>
  <c r="F107" i="23"/>
  <c r="I106" i="23"/>
  <c r="H106" i="23"/>
  <c r="J106" i="23"/>
  <c r="F108" i="23" l="1"/>
  <c r="G107" i="23"/>
  <c r="H107" i="23"/>
  <c r="J107" i="23"/>
  <c r="I107" i="23"/>
  <c r="F109" i="23" l="1"/>
  <c r="G108" i="23"/>
  <c r="H108" i="23"/>
  <c r="I108" i="23"/>
  <c r="J108" i="23"/>
  <c r="G109" i="23" l="1"/>
  <c r="F110" i="23"/>
  <c r="I109" i="23"/>
  <c r="H109" i="23"/>
  <c r="J109" i="23"/>
  <c r="F111" i="23" l="1"/>
  <c r="G110" i="23"/>
  <c r="H110" i="23"/>
  <c r="I110" i="23"/>
  <c r="J110" i="23"/>
  <c r="F112" i="23" l="1"/>
  <c r="G111" i="23"/>
  <c r="H111" i="23"/>
  <c r="I111" i="23"/>
  <c r="J111" i="23"/>
  <c r="F113" i="23" l="1"/>
  <c r="G112" i="23"/>
  <c r="I112" i="23"/>
  <c r="J112" i="23"/>
  <c r="H112" i="23"/>
  <c r="F114" i="23" l="1"/>
  <c r="G113" i="23"/>
  <c r="J113" i="23"/>
  <c r="I113" i="23"/>
  <c r="H113" i="23"/>
  <c r="G114" i="23" l="1"/>
  <c r="F115" i="23"/>
  <c r="I114" i="23"/>
  <c r="J114" i="23"/>
  <c r="H114" i="23"/>
  <c r="F116" i="23" l="1"/>
  <c r="G115" i="23"/>
  <c r="I115" i="23" s="1"/>
  <c r="H115" i="23"/>
  <c r="J115" i="23"/>
  <c r="F117" i="23" l="1"/>
  <c r="G116" i="23"/>
  <c r="H116" i="23"/>
  <c r="J116" i="23"/>
  <c r="I116" i="23"/>
  <c r="F118" i="23" l="1"/>
  <c r="G117" i="23"/>
  <c r="I117" i="23"/>
  <c r="J117" i="23"/>
  <c r="H117" i="23"/>
  <c r="F119" i="23" l="1"/>
  <c r="G118" i="23"/>
  <c r="I118" i="23"/>
  <c r="H118" i="23"/>
  <c r="J118" i="23"/>
  <c r="G119" i="23" l="1"/>
  <c r="F120" i="23"/>
  <c r="J119" i="23"/>
  <c r="I119" i="23"/>
  <c r="H119" i="23"/>
  <c r="G120" i="23" l="1"/>
  <c r="F121" i="23"/>
  <c r="H120" i="23"/>
  <c r="I120" i="23"/>
  <c r="J120" i="23"/>
  <c r="F122" i="23" l="1"/>
  <c r="G121" i="23"/>
  <c r="I121" i="23" s="1"/>
  <c r="H121" i="23"/>
  <c r="J121" i="23"/>
  <c r="F123" i="23" l="1"/>
  <c r="G122" i="23"/>
  <c r="H122" i="23"/>
  <c r="J122" i="23"/>
  <c r="I122" i="23"/>
  <c r="G123" i="23" l="1"/>
  <c r="F124" i="23"/>
  <c r="H123" i="23"/>
  <c r="I123" i="23"/>
  <c r="J123" i="23"/>
  <c r="G124" i="23" l="1"/>
  <c r="F125" i="23"/>
  <c r="H124" i="23"/>
  <c r="J124" i="23"/>
  <c r="I124" i="23"/>
  <c r="F126" i="23" l="1"/>
  <c r="G125" i="23"/>
  <c r="J125" i="23"/>
  <c r="I125" i="23"/>
  <c r="H125" i="23"/>
  <c r="G126" i="23" l="1"/>
  <c r="F127" i="23"/>
  <c r="I126" i="23"/>
  <c r="H126" i="23"/>
  <c r="J126" i="23"/>
  <c r="F128" i="23" l="1"/>
  <c r="G127" i="23"/>
  <c r="H127" i="23"/>
  <c r="I127" i="23"/>
  <c r="J127" i="23"/>
  <c r="F129" i="23" l="1"/>
  <c r="G128" i="23"/>
  <c r="H128" i="23"/>
  <c r="J128" i="23"/>
  <c r="I128" i="23"/>
  <c r="F130" i="23" l="1"/>
  <c r="G129" i="23"/>
  <c r="H129" i="23"/>
  <c r="I129" i="23"/>
  <c r="J129" i="23"/>
  <c r="G130" i="23" l="1"/>
  <c r="F131" i="23"/>
  <c r="H130" i="23"/>
  <c r="J130" i="23"/>
  <c r="I130" i="23"/>
  <c r="F132" i="23" l="1"/>
  <c r="G131" i="23"/>
  <c r="J131" i="23"/>
  <c r="I131" i="23"/>
  <c r="H131" i="23"/>
  <c r="F133" i="23" l="1"/>
  <c r="G132" i="23"/>
  <c r="I132" i="23"/>
  <c r="H132" i="23"/>
  <c r="J132" i="23"/>
  <c r="G133" i="23" l="1"/>
  <c r="F134" i="23"/>
  <c r="J133" i="23"/>
  <c r="I133" i="23"/>
  <c r="H133" i="23"/>
  <c r="F135" i="23" l="1"/>
  <c r="G134" i="23"/>
  <c r="I134" i="23"/>
  <c r="J134" i="23"/>
  <c r="H134" i="23"/>
  <c r="F136" i="23" l="1"/>
  <c r="G135" i="23"/>
  <c r="J135" i="23"/>
  <c r="H135" i="23"/>
  <c r="I135" i="23"/>
  <c r="G136" i="23" l="1"/>
  <c r="F137" i="23"/>
  <c r="I136" i="23"/>
  <c r="H136" i="23"/>
  <c r="J136" i="23"/>
  <c r="F138" i="23" l="1"/>
  <c r="G137" i="23"/>
  <c r="H137" i="23"/>
  <c r="J137" i="23"/>
  <c r="I137" i="23"/>
  <c r="F139" i="23" l="1"/>
  <c r="G138" i="23"/>
  <c r="H138" i="23"/>
  <c r="J138" i="23"/>
  <c r="I138" i="23"/>
  <c r="F140" i="23" l="1"/>
  <c r="G139" i="23"/>
  <c r="J139" i="23"/>
  <c r="I139" i="23"/>
  <c r="H139" i="23"/>
  <c r="G140" i="23" l="1"/>
  <c r="F141" i="23"/>
  <c r="I140" i="23"/>
  <c r="J140" i="23"/>
  <c r="H140" i="23"/>
  <c r="G141" i="23" l="1"/>
  <c r="F142" i="23"/>
  <c r="I141" i="23"/>
  <c r="H141" i="23"/>
  <c r="J141" i="23"/>
  <c r="F143" i="23" l="1"/>
  <c r="G142" i="23"/>
  <c r="J142" i="23"/>
  <c r="H142" i="23"/>
  <c r="I142" i="23"/>
  <c r="G143" i="23" l="1"/>
  <c r="F144" i="23"/>
  <c r="J143" i="23"/>
  <c r="I143" i="23"/>
  <c r="H143" i="23"/>
  <c r="G144" i="23" l="1"/>
  <c r="F145" i="23"/>
  <c r="H144" i="23"/>
  <c r="J144" i="23"/>
  <c r="I144" i="23"/>
  <c r="F146" i="23" l="1"/>
  <c r="G145" i="23"/>
  <c r="H145" i="23"/>
  <c r="J145" i="23"/>
  <c r="I145" i="23"/>
  <c r="F147" i="23" l="1"/>
  <c r="G146" i="23"/>
  <c r="I146" i="23"/>
  <c r="J146" i="23"/>
  <c r="H146" i="23"/>
  <c r="G147" i="23" l="1"/>
  <c r="F148" i="23"/>
  <c r="I147" i="23"/>
  <c r="J147" i="23"/>
  <c r="H147" i="23"/>
  <c r="F149" i="23" l="1"/>
  <c r="G148" i="23"/>
  <c r="H148" i="23"/>
  <c r="I148" i="23"/>
  <c r="J148" i="23"/>
  <c r="F150" i="23" l="1"/>
  <c r="G149" i="23"/>
  <c r="I149" i="23"/>
  <c r="J149" i="23"/>
  <c r="H149" i="23"/>
  <c r="F151" i="23" l="1"/>
  <c r="G150" i="23"/>
  <c r="H150" i="23"/>
  <c r="J150" i="23"/>
  <c r="I150" i="23"/>
  <c r="F152" i="23" l="1"/>
  <c r="G151" i="23"/>
  <c r="I151" i="23"/>
  <c r="H151" i="23"/>
  <c r="J151" i="23"/>
  <c r="G152" i="23" l="1"/>
  <c r="F153" i="23"/>
  <c r="H152" i="23"/>
  <c r="J152" i="23"/>
  <c r="I152" i="23"/>
  <c r="F154" i="23" l="1"/>
  <c r="G153" i="23"/>
  <c r="J153" i="23"/>
  <c r="H153" i="23"/>
  <c r="I153" i="23"/>
  <c r="G154" i="23" l="1"/>
  <c r="F155" i="23"/>
  <c r="J154" i="23"/>
  <c r="I154" i="23"/>
  <c r="H154" i="23"/>
  <c r="G155" i="23" l="1"/>
  <c r="F156" i="23"/>
  <c r="I155" i="23"/>
  <c r="J155" i="23"/>
  <c r="H155" i="23"/>
  <c r="F157" i="23" l="1"/>
  <c r="G156" i="23"/>
  <c r="J156" i="23"/>
  <c r="I156" i="23"/>
  <c r="H156" i="23"/>
  <c r="F158" i="23" l="1"/>
  <c r="G157" i="23"/>
  <c r="I157" i="23"/>
  <c r="J157" i="23"/>
  <c r="H157" i="23"/>
  <c r="G158" i="23" l="1"/>
  <c r="F159" i="23"/>
  <c r="J158" i="23"/>
  <c r="I158" i="23"/>
  <c r="H158" i="23"/>
  <c r="G159" i="23" l="1"/>
  <c r="F160" i="23"/>
  <c r="H159" i="23"/>
  <c r="J159" i="23"/>
  <c r="I159" i="23"/>
  <c r="F161" i="23" l="1"/>
  <c r="G160" i="23"/>
  <c r="I160" i="23"/>
  <c r="H160" i="23"/>
  <c r="J160" i="23"/>
  <c r="F162" i="23" l="1"/>
  <c r="G161" i="23"/>
  <c r="J161" i="23"/>
  <c r="H161" i="23"/>
  <c r="I161" i="23"/>
  <c r="G162" i="23" l="1"/>
  <c r="F163" i="23"/>
  <c r="H162" i="23"/>
  <c r="J162" i="23"/>
  <c r="I162" i="23"/>
  <c r="F164" i="23" l="1"/>
  <c r="G163" i="23"/>
  <c r="H163" i="23"/>
  <c r="J163" i="23"/>
  <c r="I163" i="23"/>
  <c r="F165" i="23" l="1"/>
  <c r="G164" i="23"/>
  <c r="J164" i="23"/>
  <c r="H164" i="23"/>
  <c r="I164" i="23"/>
  <c r="G165" i="23" l="1"/>
  <c r="J165" i="23" s="1"/>
  <c r="F166" i="23"/>
  <c r="H165" i="23"/>
  <c r="I165" i="23"/>
  <c r="F167" i="23" l="1"/>
  <c r="G166" i="23"/>
  <c r="H166" i="23"/>
  <c r="I166" i="23"/>
  <c r="J166" i="23"/>
  <c r="F168" i="23" l="1"/>
  <c r="G167" i="23"/>
  <c r="I167" i="23"/>
  <c r="J167" i="23"/>
  <c r="H167" i="23"/>
  <c r="G168" i="23" l="1"/>
  <c r="F169" i="23"/>
  <c r="J168" i="23"/>
  <c r="H168" i="23"/>
  <c r="I168" i="23"/>
  <c r="G169" i="23" l="1"/>
  <c r="F170" i="23"/>
  <c r="J169" i="23"/>
  <c r="H169" i="23"/>
  <c r="I169" i="23"/>
  <c r="G170" i="23" l="1"/>
  <c r="F171" i="23"/>
  <c r="J170" i="23"/>
  <c r="I170" i="23"/>
  <c r="H170" i="23"/>
  <c r="G171" i="23" l="1"/>
  <c r="F172" i="23"/>
  <c r="I171" i="23"/>
  <c r="J171" i="23"/>
  <c r="H171" i="23"/>
  <c r="F173" i="23" l="1"/>
  <c r="G172" i="23"/>
  <c r="H172" i="23"/>
  <c r="I172" i="23"/>
  <c r="J172" i="23"/>
  <c r="G173" i="23" l="1"/>
  <c r="F174" i="23"/>
  <c r="I173" i="23"/>
  <c r="J173" i="23"/>
  <c r="H173" i="23"/>
  <c r="F175" i="23" l="1"/>
  <c r="G174" i="23"/>
  <c r="I174" i="23"/>
  <c r="H174" i="23"/>
  <c r="J174" i="23"/>
  <c r="F176" i="23" l="1"/>
  <c r="G175" i="23"/>
  <c r="I175" i="23"/>
  <c r="H175" i="23"/>
  <c r="J175" i="23"/>
  <c r="G176" i="23" l="1"/>
  <c r="F177" i="23"/>
  <c r="J176" i="23"/>
  <c r="I176" i="23"/>
  <c r="H176" i="23"/>
  <c r="F178" i="23" l="1"/>
  <c r="G177" i="23"/>
  <c r="H177" i="23"/>
  <c r="J177" i="23"/>
  <c r="I177" i="23"/>
  <c r="F179" i="23" l="1"/>
  <c r="G178" i="23"/>
  <c r="J178" i="23"/>
  <c r="H178" i="23"/>
  <c r="I178" i="23"/>
  <c r="F180" i="23" l="1"/>
  <c r="G179" i="23"/>
  <c r="I179" i="23"/>
  <c r="J179" i="23"/>
  <c r="H179" i="23"/>
  <c r="F181" i="23" l="1"/>
  <c r="G180" i="23"/>
  <c r="I180" i="23"/>
  <c r="J180" i="23"/>
  <c r="H180" i="23"/>
  <c r="F182" i="23" l="1"/>
  <c r="G181" i="23"/>
  <c r="H181" i="23"/>
  <c r="J181" i="23"/>
  <c r="I181" i="23"/>
  <c r="F183" i="23" l="1"/>
  <c r="G182" i="23"/>
  <c r="H182" i="23"/>
  <c r="J182" i="23"/>
  <c r="I182" i="23"/>
  <c r="F184" i="23" l="1"/>
  <c r="G183" i="23"/>
  <c r="J183" i="23"/>
  <c r="I183" i="23"/>
  <c r="H183" i="23"/>
  <c r="G184" i="23" l="1"/>
  <c r="F185" i="23"/>
  <c r="I184" i="23"/>
  <c r="H184" i="23"/>
  <c r="J184" i="23"/>
  <c r="F186" i="23" l="1"/>
  <c r="G185" i="23"/>
  <c r="I185" i="23"/>
  <c r="H185" i="23"/>
  <c r="J185" i="23"/>
  <c r="F187" i="23" l="1"/>
  <c r="G186" i="23"/>
  <c r="J186" i="23"/>
  <c r="H186" i="23"/>
  <c r="I186" i="23"/>
  <c r="G187" i="23" l="1"/>
  <c r="F188" i="23"/>
  <c r="H187" i="23"/>
  <c r="J187" i="23"/>
  <c r="I187" i="23"/>
  <c r="G188" i="23" l="1"/>
  <c r="F189" i="23"/>
  <c r="I188" i="23"/>
  <c r="J188" i="23"/>
  <c r="H188" i="23"/>
  <c r="F190" i="23" l="1"/>
  <c r="G189" i="23"/>
  <c r="I189" i="23"/>
  <c r="J189" i="23"/>
  <c r="H189" i="23"/>
  <c r="F191" i="23" l="1"/>
  <c r="G190" i="23"/>
  <c r="J190" i="23" s="1"/>
  <c r="I190" i="23"/>
  <c r="H190" i="23"/>
  <c r="G191" i="23" l="1"/>
  <c r="F192" i="23"/>
  <c r="H191" i="23"/>
  <c r="I191" i="23"/>
  <c r="J191" i="23"/>
  <c r="F193" i="23" l="1"/>
  <c r="G192" i="23"/>
  <c r="I192" i="23"/>
  <c r="J192" i="23"/>
  <c r="H192" i="23"/>
  <c r="F194" i="23" l="1"/>
  <c r="G193" i="23"/>
  <c r="J193" i="23"/>
  <c r="I193" i="23"/>
  <c r="H193" i="23"/>
  <c r="F195" i="23" l="1"/>
  <c r="G194" i="23"/>
  <c r="H194" i="23"/>
  <c r="J194" i="23"/>
  <c r="I194" i="23"/>
  <c r="G195" i="23" l="1"/>
  <c r="F196" i="23"/>
  <c r="H195" i="23"/>
  <c r="J195" i="23"/>
  <c r="I195" i="23"/>
  <c r="F197" i="23" l="1"/>
  <c r="G196" i="23"/>
  <c r="I196" i="23"/>
  <c r="J196" i="23"/>
  <c r="H196" i="23"/>
  <c r="F198" i="23" l="1"/>
  <c r="G197" i="23"/>
  <c r="I197" i="23"/>
  <c r="J197" i="23"/>
  <c r="H197" i="23"/>
  <c r="G198" i="23" l="1"/>
  <c r="F199" i="23"/>
  <c r="I198" i="23"/>
  <c r="H198" i="23"/>
  <c r="J198" i="23"/>
  <c r="F200" i="23" l="1"/>
  <c r="G199" i="23"/>
  <c r="I199" i="23"/>
  <c r="J199" i="23"/>
  <c r="H199" i="23"/>
  <c r="G200" i="23" l="1"/>
  <c r="F201" i="23"/>
  <c r="H200" i="23"/>
  <c r="I200" i="23"/>
  <c r="J200" i="23"/>
  <c r="F202" i="23" l="1"/>
  <c r="G201" i="23"/>
  <c r="I201" i="23"/>
  <c r="J201" i="23"/>
  <c r="H201" i="23"/>
  <c r="G202" i="23" l="1"/>
  <c r="F203" i="23"/>
  <c r="H202" i="23"/>
  <c r="J202" i="23"/>
  <c r="I202" i="23"/>
  <c r="G203" i="23" l="1"/>
  <c r="F204" i="23"/>
  <c r="H203" i="23"/>
  <c r="I203" i="23"/>
  <c r="J203" i="23"/>
  <c r="F205" i="23" l="1"/>
  <c r="G204" i="23"/>
  <c r="J204" i="23"/>
  <c r="H204" i="23"/>
  <c r="I204" i="23"/>
  <c r="G205" i="23" l="1"/>
  <c r="F206" i="23"/>
  <c r="J205" i="23"/>
  <c r="I205" i="23"/>
  <c r="H205" i="23"/>
  <c r="F207" i="23" l="1"/>
  <c r="G206" i="23"/>
  <c r="H206" i="23"/>
  <c r="I206" i="23"/>
  <c r="J206" i="23"/>
  <c r="F208" i="23" l="1"/>
  <c r="G207" i="23"/>
  <c r="I207" i="23" s="1"/>
  <c r="H207" i="23"/>
  <c r="J207" i="23" l="1"/>
  <c r="F209" i="23"/>
  <c r="G208" i="23"/>
  <c r="I208" i="23" s="1"/>
  <c r="H208" i="23"/>
  <c r="J208" i="23" l="1"/>
  <c r="G209" i="23"/>
  <c r="J209" i="23" s="1"/>
  <c r="H209" i="23"/>
  <c r="I209" i="2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<sst xmlns="http://schemas.openxmlformats.org/spreadsheetml/2006/main" count="2009" uniqueCount="839">
  <si>
    <t>Email</t>
  </si>
  <si>
    <t>All Rights Reserved:  © Astronomy Morsels.</t>
  </si>
  <si>
    <t>I'm solely responsible for the input and express no warranty.  Use at your own risk.</t>
  </si>
  <si>
    <t>Nonetheless, this spreadsheet has been carefully reviewed, and calculation results have been compared with other applications.</t>
  </si>
  <si>
    <r>
      <rPr>
        <b/>
        <sz val="14"/>
        <color theme="0"/>
        <rFont val="Calibri (Body)"/>
      </rPr>
      <t>Compiled by</t>
    </r>
    <r>
      <rPr>
        <sz val="14"/>
        <color theme="0"/>
        <rFont val="Calibri (Body)"/>
      </rPr>
      <t>: Anton Viola (Astronomy Morsels).</t>
    </r>
  </si>
  <si>
    <t>Name</t>
  </si>
  <si>
    <t>Sirius</t>
  </si>
  <si>
    <t>Canopus</t>
  </si>
  <si>
    <t>Arcturus</t>
  </si>
  <si>
    <t>Vega</t>
  </si>
  <si>
    <t>Capella</t>
  </si>
  <si>
    <t>Rigel</t>
  </si>
  <si>
    <t>Procyon</t>
  </si>
  <si>
    <t>Achernar</t>
  </si>
  <si>
    <t>Altair</t>
  </si>
  <si>
    <t>Acrux</t>
  </si>
  <si>
    <t>Aldebaran</t>
  </si>
  <si>
    <t>Spica</t>
  </si>
  <si>
    <t>Antares</t>
  </si>
  <si>
    <t>Pollux</t>
  </si>
  <si>
    <t>Fomalhaut</t>
  </si>
  <si>
    <t>Deneb</t>
  </si>
  <si>
    <t>Regulus</t>
  </si>
  <si>
    <t>Type</t>
  </si>
  <si>
    <t>January</t>
  </si>
  <si>
    <t>February</t>
  </si>
  <si>
    <t>March</t>
  </si>
  <si>
    <t>April</t>
  </si>
  <si>
    <t>May</t>
  </si>
  <si>
    <t>Object</t>
  </si>
  <si>
    <t>June</t>
  </si>
  <si>
    <t>July</t>
  </si>
  <si>
    <t>August</t>
  </si>
  <si>
    <t>September</t>
  </si>
  <si>
    <t>October</t>
  </si>
  <si>
    <t>November</t>
  </si>
  <si>
    <t>December</t>
  </si>
  <si>
    <t>Constellation</t>
  </si>
  <si>
    <t>M31</t>
  </si>
  <si>
    <t>M33</t>
  </si>
  <si>
    <t>M42</t>
  </si>
  <si>
    <t>NGC 891</t>
  </si>
  <si>
    <t>Almach</t>
  </si>
  <si>
    <t>Iota Cas</t>
  </si>
  <si>
    <t>Gamma Ari</t>
  </si>
  <si>
    <t>M74</t>
  </si>
  <si>
    <t>M77</t>
  </si>
  <si>
    <t>M76</t>
  </si>
  <si>
    <t>NGC 1514</t>
  </si>
  <si>
    <t>NGC 1535</t>
  </si>
  <si>
    <t>M37</t>
  </si>
  <si>
    <t>M1</t>
  </si>
  <si>
    <t>M78</t>
  </si>
  <si>
    <t>G</t>
  </si>
  <si>
    <t>N</t>
  </si>
  <si>
    <t>DS</t>
  </si>
  <si>
    <t>PN</t>
  </si>
  <si>
    <t>SR</t>
  </si>
  <si>
    <t>And</t>
  </si>
  <si>
    <t>Tri</t>
  </si>
  <si>
    <t>Cas</t>
  </si>
  <si>
    <t>Ari</t>
  </si>
  <si>
    <t>Psc</t>
  </si>
  <si>
    <t>Cet</t>
  </si>
  <si>
    <t>Per</t>
  </si>
  <si>
    <t>Ori</t>
  </si>
  <si>
    <t>Tau</t>
  </si>
  <si>
    <t>Eri</t>
  </si>
  <si>
    <t>Aur</t>
  </si>
  <si>
    <t>SNo</t>
  </si>
  <si>
    <t>IAU abbreviation</t>
  </si>
  <si>
    <t>Other abbreviation</t>
  </si>
  <si>
    <t>Genitive</t>
  </si>
  <si>
    <t>Family</t>
  </si>
  <si>
    <t>Origin</t>
  </si>
  <si>
    <t>Meaning</t>
  </si>
  <si>
    <t>Brightest star</t>
  </si>
  <si>
    <t>Andromeda</t>
  </si>
  <si>
    <t>Andr</t>
  </si>
  <si>
    <t>Andromedae</t>
  </si>
  <si>
    <t>Perseus</t>
  </si>
  <si>
    <t>ancient (Ptolemy)</t>
  </si>
  <si>
    <t>Andromeda (The chained lady or the Princess)</t>
  </si>
  <si>
    <t>Alpheratz</t>
  </si>
  <si>
    <t>Antlia</t>
  </si>
  <si>
    <t>Ant</t>
  </si>
  <si>
    <t>Antl</t>
  </si>
  <si>
    <t>Antliae</t>
  </si>
  <si>
    <t>La Caille</t>
  </si>
  <si>
    <t>1763, Lacaille</t>
  </si>
  <si>
    <t>air pump</t>
  </si>
  <si>
    <t>α Antliae</t>
  </si>
  <si>
    <t>Apus</t>
  </si>
  <si>
    <t>Aps</t>
  </si>
  <si>
    <t>Apodis</t>
  </si>
  <si>
    <t>Bayer</t>
  </si>
  <si>
    <t>1603, , created by Keyser and de Houtman</t>
  </si>
  <si>
    <t>Bird-of-paradise</t>
  </si>
  <si>
    <t>α Apodis</t>
  </si>
  <si>
    <t>Aquarius</t>
  </si>
  <si>
    <t>Aqr</t>
  </si>
  <si>
    <t>Aqar</t>
  </si>
  <si>
    <t>Aquarii</t>
  </si>
  <si>
    <t>Zodiac</t>
  </si>
  <si>
    <t>water-bearer</t>
  </si>
  <si>
    <t>Sadalsuud</t>
  </si>
  <si>
    <t>Aquila</t>
  </si>
  <si>
    <t>Aql</t>
  </si>
  <si>
    <t>Aqil</t>
  </si>
  <si>
    <t>Aquilae</t>
  </si>
  <si>
    <t>Hercules</t>
  </si>
  <si>
    <t>eagle</t>
  </si>
  <si>
    <t>Ara</t>
  </si>
  <si>
    <t>Arae</t>
  </si>
  <si>
    <t>altar</t>
  </si>
  <si>
    <t>β Arae</t>
  </si>
  <si>
    <t>Aries</t>
  </si>
  <si>
    <t>Arie</t>
  </si>
  <si>
    <t>Arietis</t>
  </si>
  <si>
    <t>ram</t>
  </si>
  <si>
    <t>Hamal</t>
  </si>
  <si>
    <t>Auriga</t>
  </si>
  <si>
    <t>Auri</t>
  </si>
  <si>
    <t>Aurigae</t>
  </si>
  <si>
    <t>charioteer</t>
  </si>
  <si>
    <t>Boötes</t>
  </si>
  <si>
    <t>Boo</t>
  </si>
  <si>
    <t>Boot</t>
  </si>
  <si>
    <t>Boötis</t>
  </si>
  <si>
    <t>Ursa Major</t>
  </si>
  <si>
    <t>herdsman</t>
  </si>
  <si>
    <t>Caelum</t>
  </si>
  <si>
    <t>Cae</t>
  </si>
  <si>
    <t>Cael</t>
  </si>
  <si>
    <t>Caeli</t>
  </si>
  <si>
    <t>chisel</t>
  </si>
  <si>
    <t>α Caeli</t>
  </si>
  <si>
    <t>Camelopardalis</t>
  </si>
  <si>
    <t>Cam</t>
  </si>
  <si>
    <t>Caml</t>
  </si>
  <si>
    <t>1613, Plancius</t>
  </si>
  <si>
    <t>giraffe</t>
  </si>
  <si>
    <t>β Camelopardalis</t>
  </si>
  <si>
    <t>Cancer</t>
  </si>
  <si>
    <t>Cnc</t>
  </si>
  <si>
    <t>Canc</t>
  </si>
  <si>
    <t>Cancri</t>
  </si>
  <si>
    <t>crab</t>
  </si>
  <si>
    <t>Tarf</t>
  </si>
  <si>
    <t>Canes Venatici</t>
  </si>
  <si>
    <t>CVn</t>
  </si>
  <si>
    <t>CVen</t>
  </si>
  <si>
    <t>Canum Venaticorum</t>
  </si>
  <si>
    <t>1690, , Hevelius</t>
  </si>
  <si>
    <t>hunting dogs</t>
  </si>
  <si>
    <t>Cor Caroli</t>
  </si>
  <si>
    <t>Canis Major</t>
  </si>
  <si>
    <t>CMa</t>
  </si>
  <si>
    <t>CMaj</t>
  </si>
  <si>
    <t>Canis Majoris</t>
  </si>
  <si>
    <t>Orion</t>
  </si>
  <si>
    <t>greater dog</t>
  </si>
  <si>
    <t>Canis Minor</t>
  </si>
  <si>
    <t>CMi</t>
  </si>
  <si>
    <t>CMin</t>
  </si>
  <si>
    <t>Canis Minoris</t>
  </si>
  <si>
    <t>lesser dog</t>
  </si>
  <si>
    <t>Capricornus</t>
  </si>
  <si>
    <t>Cap</t>
  </si>
  <si>
    <t>Capr</t>
  </si>
  <si>
    <t>Capricorni</t>
  </si>
  <si>
    <t>sea goat</t>
  </si>
  <si>
    <t>Deneb Algiedi</t>
  </si>
  <si>
    <t>Carina</t>
  </si>
  <si>
    <t>Car</t>
  </si>
  <si>
    <t>Cari</t>
  </si>
  <si>
    <t>Carinae</t>
  </si>
  <si>
    <t>Heavenly Waters</t>
  </si>
  <si>
    <t>1763, Lacaille, split from Argo Navis</t>
  </si>
  <si>
    <t>keel</t>
  </si>
  <si>
    <t>Cassiopeia</t>
  </si>
  <si>
    <t>Cass</t>
  </si>
  <si>
    <t>Cassiopeiae</t>
  </si>
  <si>
    <t>Cassiopeia (mythological character)</t>
  </si>
  <si>
    <t>Shedir</t>
  </si>
  <si>
    <t>Centaurus</t>
  </si>
  <si>
    <t>Cen</t>
  </si>
  <si>
    <t>Cent</t>
  </si>
  <si>
    <t>Centauri</t>
  </si>
  <si>
    <t>centaur</t>
  </si>
  <si>
    <t>Alpha Centauri</t>
  </si>
  <si>
    <t>Cepheus</t>
  </si>
  <si>
    <t>Cep</t>
  </si>
  <si>
    <t>Ceph</t>
  </si>
  <si>
    <t>Cephei</t>
  </si>
  <si>
    <t>Cepheus (mythological character)</t>
  </si>
  <si>
    <t>Alderamin</t>
  </si>
  <si>
    <t>Cetus</t>
  </si>
  <si>
    <t>Ceti</t>
  </si>
  <si>
    <t>sea monster (later interpreted as a whale)</t>
  </si>
  <si>
    <t>Deneb Kaitos</t>
  </si>
  <si>
    <t>Chamaeleon</t>
  </si>
  <si>
    <t>Cha</t>
  </si>
  <si>
    <t>Cham</t>
  </si>
  <si>
    <t>Chamaeleontis</t>
  </si>
  <si>
    <t>chameleon</t>
  </si>
  <si>
    <t>α Chamaeleontis</t>
  </si>
  <si>
    <t>Circinus</t>
  </si>
  <si>
    <t>Cir</t>
  </si>
  <si>
    <t>Circ</t>
  </si>
  <si>
    <t>Circini</t>
  </si>
  <si>
    <t>compass (drawing tool)</t>
  </si>
  <si>
    <t>α Circini</t>
  </si>
  <si>
    <t>Columba</t>
  </si>
  <si>
    <t>Col</t>
  </si>
  <si>
    <t>Colm</t>
  </si>
  <si>
    <t>Columbae</t>
  </si>
  <si>
    <t>1592, Plancius, split from Canis Major</t>
  </si>
  <si>
    <t>dove</t>
  </si>
  <si>
    <t>Phact</t>
  </si>
  <si>
    <t>Coma Berenices</t>
  </si>
  <si>
    <t>Com</t>
  </si>
  <si>
    <t>Coma</t>
  </si>
  <si>
    <t>Comae Berenices</t>
  </si>
  <si>
    <t>1603, , split from Leo</t>
  </si>
  <si>
    <t>Berenice's hair</t>
  </si>
  <si>
    <t>β Comae Berenices</t>
  </si>
  <si>
    <t>Corona Australis</t>
  </si>
  <si>
    <t>CrA</t>
  </si>
  <si>
    <t>CorA</t>
  </si>
  <si>
    <t>Coronae Australis</t>
  </si>
  <si>
    <t>southern crown</t>
  </si>
  <si>
    <t>Alphekka Meridiana</t>
  </si>
  <si>
    <t>Corona Borealis</t>
  </si>
  <si>
    <t>CrB</t>
  </si>
  <si>
    <t>CorB</t>
  </si>
  <si>
    <t>Coronae Borealis</t>
  </si>
  <si>
    <t>northern crown</t>
  </si>
  <si>
    <t>Alphecca</t>
  </si>
  <si>
    <t>Corvus</t>
  </si>
  <si>
    <t>Crv</t>
  </si>
  <si>
    <t>Corv</t>
  </si>
  <si>
    <t>Corvi</t>
  </si>
  <si>
    <t>crow</t>
  </si>
  <si>
    <t>Gienah</t>
  </si>
  <si>
    <t>Crater</t>
  </si>
  <si>
    <t>Crt</t>
  </si>
  <si>
    <t>Crat</t>
  </si>
  <si>
    <t>Crateris</t>
  </si>
  <si>
    <t>cup</t>
  </si>
  <si>
    <t>Labrum</t>
  </si>
  <si>
    <t>Crux</t>
  </si>
  <si>
    <t>Cru</t>
  </si>
  <si>
    <t>Cruc</t>
  </si>
  <si>
    <t>Crucis</t>
  </si>
  <si>
    <t>1603, , split from Centaurus</t>
  </si>
  <si>
    <t>southern cross</t>
  </si>
  <si>
    <t>Cygnus</t>
  </si>
  <si>
    <t>Cyg</t>
  </si>
  <si>
    <t>Cygn</t>
  </si>
  <si>
    <t>Cygni</t>
  </si>
  <si>
    <t>swan or Northern Cross</t>
  </si>
  <si>
    <t>Delphinus</t>
  </si>
  <si>
    <t>Del</t>
  </si>
  <si>
    <t>Dlph</t>
  </si>
  <si>
    <t>Delphini</t>
  </si>
  <si>
    <t>dolphin</t>
  </si>
  <si>
    <t>Rotanev</t>
  </si>
  <si>
    <t>Dorado</t>
  </si>
  <si>
    <t>Dor</t>
  </si>
  <si>
    <t>Dora</t>
  </si>
  <si>
    <t>Doradus</t>
  </si>
  <si>
    <t>goldfish</t>
  </si>
  <si>
    <t>α Doradus</t>
  </si>
  <si>
    <t>Draco</t>
  </si>
  <si>
    <t>Dra</t>
  </si>
  <si>
    <t>Drac</t>
  </si>
  <si>
    <t>Draconis</t>
  </si>
  <si>
    <t>dragon</t>
  </si>
  <si>
    <t>Etamin</t>
  </si>
  <si>
    <t>Equuleus</t>
  </si>
  <si>
    <t>Equ</t>
  </si>
  <si>
    <t>Equl</t>
  </si>
  <si>
    <t>Equulei</t>
  </si>
  <si>
    <t>pony</t>
  </si>
  <si>
    <t>Kitalpha</t>
  </si>
  <si>
    <t>Eridanus</t>
  </si>
  <si>
    <t>Erid</t>
  </si>
  <si>
    <t>Eridani</t>
  </si>
  <si>
    <t>river Eridanus (mythology)</t>
  </si>
  <si>
    <t>Fornax</t>
  </si>
  <si>
    <t>For</t>
  </si>
  <si>
    <t>Forn</t>
  </si>
  <si>
    <t>Fornacis</t>
  </si>
  <si>
    <t>chemical furnace</t>
  </si>
  <si>
    <t>Gemini</t>
  </si>
  <si>
    <t>Gem</t>
  </si>
  <si>
    <t>Gemi</t>
  </si>
  <si>
    <t>Geminorum</t>
  </si>
  <si>
    <t>twins</t>
  </si>
  <si>
    <t>Grus</t>
  </si>
  <si>
    <t>Gru</t>
  </si>
  <si>
    <t>Gruis</t>
  </si>
  <si>
    <t>Crane</t>
  </si>
  <si>
    <t>Alnair</t>
  </si>
  <si>
    <t>Her</t>
  </si>
  <si>
    <t>Herc</t>
  </si>
  <si>
    <t>Herculis</t>
  </si>
  <si>
    <t>Hercules (mythological character)</t>
  </si>
  <si>
    <t>Kornephoros</t>
  </si>
  <si>
    <t>Horologium</t>
  </si>
  <si>
    <t>Hor</t>
  </si>
  <si>
    <t>Horo</t>
  </si>
  <si>
    <t>Horologii</t>
  </si>
  <si>
    <t>pendulum clock</t>
  </si>
  <si>
    <t>α Horologii</t>
  </si>
  <si>
    <t>Hydra</t>
  </si>
  <si>
    <t>Hya</t>
  </si>
  <si>
    <t>Hyda</t>
  </si>
  <si>
    <t>Hydrae</t>
  </si>
  <si>
    <t>Hydra (mythological creature)</t>
  </si>
  <si>
    <t>Alphard</t>
  </si>
  <si>
    <t>Hydrus</t>
  </si>
  <si>
    <t>Hyi</t>
  </si>
  <si>
    <t>Hydi</t>
  </si>
  <si>
    <t>Hydri</t>
  </si>
  <si>
    <t>lesser water snake</t>
  </si>
  <si>
    <t>β Hydri</t>
  </si>
  <si>
    <t>Indus</t>
  </si>
  <si>
    <t>Ind</t>
  </si>
  <si>
    <t>Indi</t>
  </si>
  <si>
    <t>Indian (American indigenous)</t>
  </si>
  <si>
    <t>The Persian</t>
  </si>
  <si>
    <t>Lacerta</t>
  </si>
  <si>
    <t>Lac</t>
  </si>
  <si>
    <t>Lacr</t>
  </si>
  <si>
    <t>Lacertae</t>
  </si>
  <si>
    <t>lizard</t>
  </si>
  <si>
    <t>α Lacertae</t>
  </si>
  <si>
    <t>Leo</t>
  </si>
  <si>
    <t>Leon</t>
  </si>
  <si>
    <t>Leonis</t>
  </si>
  <si>
    <t>lion</t>
  </si>
  <si>
    <t>Leo Minor</t>
  </si>
  <si>
    <t>LMi</t>
  </si>
  <si>
    <t>LMin</t>
  </si>
  <si>
    <t>Leonis Minoris</t>
  </si>
  <si>
    <t>lesser lion</t>
  </si>
  <si>
    <t>Praecipua</t>
  </si>
  <si>
    <t>Lepus</t>
  </si>
  <si>
    <t>Lep</t>
  </si>
  <si>
    <t>Leps</t>
  </si>
  <si>
    <t>Leporis</t>
  </si>
  <si>
    <t>hare</t>
  </si>
  <si>
    <t>Arneb</t>
  </si>
  <si>
    <t>Libra</t>
  </si>
  <si>
    <t>Lib</t>
  </si>
  <si>
    <t>Libr</t>
  </si>
  <si>
    <t>Librae</t>
  </si>
  <si>
    <t>balance</t>
  </si>
  <si>
    <t>Zubeneshamali</t>
  </si>
  <si>
    <t>Lupus</t>
  </si>
  <si>
    <t>Lup</t>
  </si>
  <si>
    <t>Lupi</t>
  </si>
  <si>
    <t>wolf</t>
  </si>
  <si>
    <t>Men</t>
  </si>
  <si>
    <t>Lynx</t>
  </si>
  <si>
    <t>Lyn</t>
  </si>
  <si>
    <t>Lync</t>
  </si>
  <si>
    <t>Lyncis</t>
  </si>
  <si>
    <t>lynx</t>
  </si>
  <si>
    <t>Elvashak</t>
  </si>
  <si>
    <t>Lyra</t>
  </si>
  <si>
    <t>Lyr</t>
  </si>
  <si>
    <t>Lyrae</t>
  </si>
  <si>
    <t>lyre / harp</t>
  </si>
  <si>
    <t>Mensa</t>
  </si>
  <si>
    <t>Mens</t>
  </si>
  <si>
    <t>Mensae</t>
  </si>
  <si>
    <t>Table Mountain (South Africa)</t>
  </si>
  <si>
    <t>α Mensae</t>
  </si>
  <si>
    <t>Microscopium</t>
  </si>
  <si>
    <t>Mic</t>
  </si>
  <si>
    <t>Micr</t>
  </si>
  <si>
    <t>Microscopii</t>
  </si>
  <si>
    <t>microscope</t>
  </si>
  <si>
    <t>γ Microscopii</t>
  </si>
  <si>
    <t>Monoceros</t>
  </si>
  <si>
    <t>Mon</t>
  </si>
  <si>
    <t>Mono</t>
  </si>
  <si>
    <t>Monocerotis</t>
  </si>
  <si>
    <t>unicorn</t>
  </si>
  <si>
    <t>β Monocerotis</t>
  </si>
  <si>
    <t>Musca</t>
  </si>
  <si>
    <t>Mus</t>
  </si>
  <si>
    <t>Musc</t>
  </si>
  <si>
    <t>Muscae</t>
  </si>
  <si>
    <t>fly</t>
  </si>
  <si>
    <t>α Muscae</t>
  </si>
  <si>
    <t>Norma</t>
  </si>
  <si>
    <t>Nor</t>
  </si>
  <si>
    <t>Norm</t>
  </si>
  <si>
    <t>Normae</t>
  </si>
  <si>
    <t>carpenter's level</t>
  </si>
  <si>
    <r>
      <t>γ</t>
    </r>
    <r>
      <rPr>
        <vertAlign val="subscript"/>
        <sz val="11"/>
        <color indexed="8"/>
        <rFont val="Calibri"/>
        <family val="2"/>
      </rPr>
      <t>2</t>
    </r>
    <r>
      <rPr>
        <sz val="11"/>
        <color theme="1"/>
        <rFont val="Calibri"/>
        <family val="2"/>
        <scheme val="minor"/>
      </rPr>
      <t xml:space="preserve"> Normae</t>
    </r>
  </si>
  <si>
    <t>Octans</t>
  </si>
  <si>
    <t>Oct</t>
  </si>
  <si>
    <t>Octn</t>
  </si>
  <si>
    <t>Octantis</t>
  </si>
  <si>
    <t>octant (instrument)</t>
  </si>
  <si>
    <t>ν Oct</t>
  </si>
  <si>
    <t>Ophiuchus</t>
  </si>
  <si>
    <t>Oph</t>
  </si>
  <si>
    <t>Ophi</t>
  </si>
  <si>
    <t>Ophiuchi</t>
  </si>
  <si>
    <t>serpent-bearer</t>
  </si>
  <si>
    <t>Ras Alhague</t>
  </si>
  <si>
    <t>Orio</t>
  </si>
  <si>
    <t>Orionis</t>
  </si>
  <si>
    <t>Orion (mythological character)</t>
  </si>
  <si>
    <t>Pavo</t>
  </si>
  <si>
    <t>Pav</t>
  </si>
  <si>
    <t>Pavonis</t>
  </si>
  <si>
    <t>peacock</t>
  </si>
  <si>
    <t>Peacock</t>
  </si>
  <si>
    <t>Pegasus</t>
  </si>
  <si>
    <t>Peg</t>
  </si>
  <si>
    <t>Pegs</t>
  </si>
  <si>
    <t>Pegasi</t>
  </si>
  <si>
    <t>Pegasus (mythological winged horse)</t>
  </si>
  <si>
    <t>Enif</t>
  </si>
  <si>
    <t>Pers</t>
  </si>
  <si>
    <t>Persei</t>
  </si>
  <si>
    <t>Perseus (mythological character)</t>
  </si>
  <si>
    <t>Mirfak</t>
  </si>
  <si>
    <t>Phoenix</t>
  </si>
  <si>
    <t>Phe</t>
  </si>
  <si>
    <t>Phoe</t>
  </si>
  <si>
    <t>Phoenicis</t>
  </si>
  <si>
    <t>phoenix</t>
  </si>
  <si>
    <t>Ankaa</t>
  </si>
  <si>
    <t>Pictor</t>
  </si>
  <si>
    <t>Pic</t>
  </si>
  <si>
    <t>Pict</t>
  </si>
  <si>
    <t>Pictoris</t>
  </si>
  <si>
    <t>easel</t>
  </si>
  <si>
    <t>α Pictoris</t>
  </si>
  <si>
    <t>Pisces</t>
  </si>
  <si>
    <t>Pisc</t>
  </si>
  <si>
    <t>Piscium</t>
  </si>
  <si>
    <t>fishes</t>
  </si>
  <si>
    <t>Alpherg</t>
  </si>
  <si>
    <t>Piscis Austrinus</t>
  </si>
  <si>
    <t>PsA</t>
  </si>
  <si>
    <t>PscA</t>
  </si>
  <si>
    <t>Piscis Austrini</t>
  </si>
  <si>
    <t>southern fish</t>
  </si>
  <si>
    <t>Puppis</t>
  </si>
  <si>
    <t>Pup</t>
  </si>
  <si>
    <t>Pupp</t>
  </si>
  <si>
    <t>poop deck</t>
  </si>
  <si>
    <t>Naos</t>
  </si>
  <si>
    <t>Pyxis</t>
  </si>
  <si>
    <t>Pyx</t>
  </si>
  <si>
    <t>Pyxi</t>
  </si>
  <si>
    <t>Pyxidis</t>
  </si>
  <si>
    <t>mariner's compass</t>
  </si>
  <si>
    <t>α Pyxidis</t>
  </si>
  <si>
    <t>Reticulum</t>
  </si>
  <si>
    <t>Ret</t>
  </si>
  <si>
    <t>Reti</t>
  </si>
  <si>
    <t>Reticuli</t>
  </si>
  <si>
    <t>eyepiece graticule</t>
  </si>
  <si>
    <t>α Reticuli</t>
  </si>
  <si>
    <t>Sagitta</t>
  </si>
  <si>
    <t>Sge</t>
  </si>
  <si>
    <t>Sgte</t>
  </si>
  <si>
    <t>Sagittae</t>
  </si>
  <si>
    <t>arrow</t>
  </si>
  <si>
    <t>γ Sagittae</t>
  </si>
  <si>
    <t>Sagittarius</t>
  </si>
  <si>
    <t>Sgr</t>
  </si>
  <si>
    <t>Sgtr</t>
  </si>
  <si>
    <t>Sagittarii</t>
  </si>
  <si>
    <t>archer</t>
  </si>
  <si>
    <t>Kaus Australis</t>
  </si>
  <si>
    <t>Scorpius</t>
  </si>
  <si>
    <t>Sco</t>
  </si>
  <si>
    <t>Scor</t>
  </si>
  <si>
    <t>Scorpii</t>
  </si>
  <si>
    <t>scorpion</t>
  </si>
  <si>
    <t>Sculptor</t>
  </si>
  <si>
    <t>Scl</t>
  </si>
  <si>
    <t>Scul</t>
  </si>
  <si>
    <t>Sculptoris</t>
  </si>
  <si>
    <t>sculptor</t>
  </si>
  <si>
    <t>α Sculptoris</t>
  </si>
  <si>
    <t>Scutum</t>
  </si>
  <si>
    <t>Sct</t>
  </si>
  <si>
    <t>Scut</t>
  </si>
  <si>
    <t>Scuti</t>
  </si>
  <si>
    <t>shield (of Sobieski)</t>
  </si>
  <si>
    <t>α Scuti</t>
  </si>
  <si>
    <t>Serpens</t>
  </si>
  <si>
    <t>Ser</t>
  </si>
  <si>
    <t>Serp</t>
  </si>
  <si>
    <t>Serpentis</t>
  </si>
  <si>
    <t>snake</t>
  </si>
  <si>
    <t>Unukalhai</t>
  </si>
  <si>
    <t>Sextans</t>
  </si>
  <si>
    <t>Sex</t>
  </si>
  <si>
    <t>Sext</t>
  </si>
  <si>
    <t>Sextantis</t>
  </si>
  <si>
    <t>sextant</t>
  </si>
  <si>
    <t>α Sextantis</t>
  </si>
  <si>
    <t>Taurus</t>
  </si>
  <si>
    <t>Taur</t>
  </si>
  <si>
    <t>Tauri</t>
  </si>
  <si>
    <t>bull</t>
  </si>
  <si>
    <t>Telescopium</t>
  </si>
  <si>
    <t>Tel</t>
  </si>
  <si>
    <t>Tele</t>
  </si>
  <si>
    <t>Telescopii</t>
  </si>
  <si>
    <t>telescope</t>
  </si>
  <si>
    <t>α Telescopii</t>
  </si>
  <si>
    <t>Triangulum</t>
  </si>
  <si>
    <t>Tria</t>
  </si>
  <si>
    <t>Trianguli</t>
  </si>
  <si>
    <t>triangle</t>
  </si>
  <si>
    <t>β Trianguli</t>
  </si>
  <si>
    <t>Triangulum Australe</t>
  </si>
  <si>
    <t>TrA</t>
  </si>
  <si>
    <t>TrAu</t>
  </si>
  <si>
    <t>Trianguli Australis</t>
  </si>
  <si>
    <t>1603 , created by Keyser and de Houtman</t>
  </si>
  <si>
    <t>southern triangle</t>
  </si>
  <si>
    <t>Atria</t>
  </si>
  <si>
    <t>Tucana</t>
  </si>
  <si>
    <t>Tuc</t>
  </si>
  <si>
    <t>Tucn</t>
  </si>
  <si>
    <t>Tucanae</t>
  </si>
  <si>
    <t>toucan</t>
  </si>
  <si>
    <t>α Tucanae</t>
  </si>
  <si>
    <t>UMa</t>
  </si>
  <si>
    <t>UMaj</t>
  </si>
  <si>
    <t>Ursae Majoris</t>
  </si>
  <si>
    <t>great bear</t>
  </si>
  <si>
    <t>Alioth</t>
  </si>
  <si>
    <t>Ursa Minor</t>
  </si>
  <si>
    <t>UMi</t>
  </si>
  <si>
    <t>UMin</t>
  </si>
  <si>
    <t>Ursae Minoris</t>
  </si>
  <si>
    <t>lesser bear</t>
  </si>
  <si>
    <t>Polaris</t>
  </si>
  <si>
    <t>Vela</t>
  </si>
  <si>
    <t>Vel</t>
  </si>
  <si>
    <t>Velr</t>
  </si>
  <si>
    <t>Velorum</t>
  </si>
  <si>
    <t>sails</t>
  </si>
  <si>
    <t>Regor</t>
  </si>
  <si>
    <t>Virgo</t>
  </si>
  <si>
    <t>Vir</t>
  </si>
  <si>
    <t>Virg</t>
  </si>
  <si>
    <t>Virginis</t>
  </si>
  <si>
    <t>virgin or maiden</t>
  </si>
  <si>
    <t>Volans</t>
  </si>
  <si>
    <t>Vol</t>
  </si>
  <si>
    <t>Voln</t>
  </si>
  <si>
    <t>Volantis</t>
  </si>
  <si>
    <t>flying fish</t>
  </si>
  <si>
    <t>β Volantis</t>
  </si>
  <si>
    <t>Vulpecula</t>
  </si>
  <si>
    <t>Vul</t>
  </si>
  <si>
    <t>Vulp</t>
  </si>
  <si>
    <t>Vulpeculae</t>
  </si>
  <si>
    <t>fox</t>
  </si>
  <si>
    <t>Anser</t>
  </si>
  <si>
    <r>
      <rPr>
        <b/>
        <sz val="14"/>
        <color theme="0"/>
        <rFont val="Calibri (Body)"/>
      </rPr>
      <t>Latest update</t>
    </r>
    <r>
      <rPr>
        <sz val="14"/>
        <color theme="0"/>
        <rFont val="Calibri (Body)"/>
      </rPr>
      <t>: 19th May, 2024.</t>
    </r>
  </si>
  <si>
    <t>Double Star</t>
  </si>
  <si>
    <t>Planetary Nebulae</t>
  </si>
  <si>
    <t>Galaxy</t>
  </si>
  <si>
    <t>Abbreviation</t>
  </si>
  <si>
    <t>Description</t>
  </si>
  <si>
    <t>SNR</t>
  </si>
  <si>
    <t>In observational astronomy, a double star or visual double is a pair of stars that appear close to each other as viewed from Earth, especially with the aid of optical telescopes. This occurs because the pair either forms a binary star (i.e. a binary system of stars in mutual orbit, gravitationally bound to each other) or is an optical double, a chance line-of-sight alignment of two stars at different distances from the observer. Binary stars are important to stellar astronomers as knowledge of their motions allows direct calculation of stellar mass and other stellar parameters. The only (possible) case of "binary star" whose two components are separately visible to the naked eye is the case of Mizar and Alcor (though actually a multiple-star system), but it is not known for certain whether Mizar and Alcor are gravitationally bound.</t>
  </si>
  <si>
    <t>A planetary nebula is a type of emission nebula consisting of an expanding, glowing shell of ionized gas ejected from red giant stars late in their lives. The term "planetary nebula" is a misnomer because they are unrelated to planets. The term originates from the planet-like round shape of these nebulae observed by astronomers through early telescopes. The first usage may have occurred during the 1780s with the English astronomer William Herschel who described these nebulae as resembling planets; however, as early as January 1779, the French astronomer Antoine Darquier de Pellepoix described in his observations of the Ring Nebula, "very dim but perfectly outlined; it is as large as Jupiter and resembles a fading planet". Though the modern interpretation is different, the old term is still used.</t>
  </si>
  <si>
    <t>A galaxy is a system of stars, stellar remnants, interstellar gas, dust, and dark matter bound together by gravity. The word is derived from the Greek galaxias (γαλαξίας), literally 'milky', a reference to the Milky Way galaxy that contains the Solar System. Galaxies, averaging an estimated 100 million stars, range in size from dwarfs with less than a thousand stars, to the largest galaxies known – supergiants with one hundred trillion stars, each orbiting its galaxy's center of mass. Most of the mass in a typical galaxy is in the form of dark matter, with only a few percent of that mass visible in the form of stars and nebulae. Supermassive black holes are a common feature at the centres of galaxies.</t>
  </si>
  <si>
    <t>M79</t>
  </si>
  <si>
    <t>NGC 2438</t>
  </si>
  <si>
    <t>Beta Mon</t>
  </si>
  <si>
    <t>M50</t>
  </si>
  <si>
    <t>NGC 2244</t>
  </si>
  <si>
    <t>NGC 2261</t>
  </si>
  <si>
    <t>NGC 2359</t>
  </si>
  <si>
    <t>NGC 2392</t>
  </si>
  <si>
    <t>Cma</t>
  </si>
  <si>
    <t>tau</t>
  </si>
  <si>
    <t>OC</t>
  </si>
  <si>
    <t>Open Cluster</t>
  </si>
  <si>
    <t>An open cluster is a type of star cluster made of tens to a few thousand stars that were formed from the same giant molecular cloud and have roughly the same age. More than 1'100 open clusters have been discovered within the Milky Way galaxy, and many more are thought to exist. Each one is loosely bound by mutual gravitational attraction and becomes disrupted by close encounters with other clusters and clouds of gas as they orbit the Galactic Center. This can result in a loss of cluster members through internal close encounters and a dispersion into the main body of the galaxy. Open clusters generally survive for a few hundred million years, with the most massive ones surviving for a few billion years. In contrast, the more massive globular clusters of stars exert a stronger gravitational attraction on their members, and can survive for longer. Open clusters have been found only in spiral and irregular galaxies, in which active star formation is occurring.</t>
  </si>
  <si>
    <t>Supernova-Remnant</t>
  </si>
  <si>
    <t>An emission nebula is a nebula formed of ionized gases that emit light of various wavelengths. The most common source of ionization is high-energy ultraviolet photons emitted from a nearby hot star. Among the several different types of emission nebulae are H II regions, in which star formation is taking place and young, massive stars are the source of the ionizing photons; and planetary nebulae, in which a dying star has thrown off its outer layers, with the exposed hot core then ionizing them</t>
  </si>
  <si>
    <t>EN</t>
  </si>
  <si>
    <t>Emmison Nebula</t>
  </si>
  <si>
    <t>Global Cluster</t>
  </si>
  <si>
    <t>A globular cluster is a spheroidal conglomeration of stars that is bound together by gravity, with a higher concentration of stars towards their centers. They can contain anywhere from tens of thousands to many millions of member stars, all orbiting in a stable, compact formation. Globular clusters are similar in form to dwarf spheroidal galaxies, and the distinction between the two is not always clear. Their name is derived from Latin globulus (small sphere). Globular clusters are occasionally known simply as "globulars".</t>
  </si>
  <si>
    <t>GC</t>
  </si>
  <si>
    <t xml:space="preserve">Moving from month to month, it is interesting to know what astronomy highlights to expect. This is especially important when introducing nights skies to observatory visitors. This spreadsheet gives an example of the highlights of the observatory SIRIUS in Bernese Oberland (Switzerland). </t>
  </si>
  <si>
    <t xml:space="preserve"> </t>
  </si>
  <si>
    <t>M82</t>
  </si>
  <si>
    <t>Castor</t>
  </si>
  <si>
    <t>M81</t>
  </si>
  <si>
    <t>M108</t>
  </si>
  <si>
    <t>M67</t>
  </si>
  <si>
    <t>M97</t>
  </si>
  <si>
    <t>NGC 3242</t>
  </si>
  <si>
    <t>NGC 3115</t>
  </si>
  <si>
    <t>NGC 2903</t>
  </si>
  <si>
    <t>NGC 3190</t>
  </si>
  <si>
    <t>M65 / M66</t>
  </si>
  <si>
    <t>NGC 3628</t>
  </si>
  <si>
    <t>Uma</t>
  </si>
  <si>
    <t>Day: 15, Time: 20:00 CET</t>
  </si>
  <si>
    <t>Day: 15, Time: 22:00 CET</t>
  </si>
  <si>
    <t>Day: 15, Time: 23:00 CET</t>
  </si>
  <si>
    <t>Day: 15, Time: 21:00 CET</t>
  </si>
  <si>
    <t>Day: 15, Time: 19:00 CET</t>
  </si>
  <si>
    <t>Gamma Leo</t>
  </si>
  <si>
    <t>M106</t>
  </si>
  <si>
    <t>M51</t>
  </si>
  <si>
    <t>M63</t>
  </si>
  <si>
    <t>M3</t>
  </si>
  <si>
    <t>M109</t>
  </si>
  <si>
    <t>M64</t>
  </si>
  <si>
    <t>NGC 4565</t>
  </si>
  <si>
    <t>M104</t>
  </si>
  <si>
    <t>Mizar</t>
  </si>
  <si>
    <t>M101</t>
  </si>
  <si>
    <t>M94</t>
  </si>
  <si>
    <t>M87</t>
  </si>
  <si>
    <t>NGC 4361</t>
  </si>
  <si>
    <t>M13</t>
  </si>
  <si>
    <t>Izar</t>
  </si>
  <si>
    <t>M92</t>
  </si>
  <si>
    <t>NGC 6210</t>
  </si>
  <si>
    <t>NGC 6543</t>
  </si>
  <si>
    <t>M57</t>
  </si>
  <si>
    <t>Albireo</t>
  </si>
  <si>
    <t>Ras Algethi</t>
  </si>
  <si>
    <t>NGC 5907</t>
  </si>
  <si>
    <t>NGC 5866</t>
  </si>
  <si>
    <t>NGC 6826</t>
  </si>
  <si>
    <t>M9</t>
  </si>
  <si>
    <t>M10</t>
  </si>
  <si>
    <t>M12</t>
  </si>
  <si>
    <t>M80</t>
  </si>
  <si>
    <t>M11</t>
  </si>
  <si>
    <t>M27</t>
  </si>
  <si>
    <t>M8</t>
  </si>
  <si>
    <t>M16</t>
  </si>
  <si>
    <t>M17</t>
  </si>
  <si>
    <t>M20</t>
  </si>
  <si>
    <t>M4</t>
  </si>
  <si>
    <t>M22</t>
  </si>
  <si>
    <t>M56</t>
  </si>
  <si>
    <t>NGC 6309</t>
  </si>
  <si>
    <t>NGC 6781</t>
  </si>
  <si>
    <t>Agl</t>
  </si>
  <si>
    <t>NGC 6992</t>
  </si>
  <si>
    <t>NGC 6207</t>
  </si>
  <si>
    <t>NGC 6503</t>
  </si>
  <si>
    <t>M15</t>
  </si>
  <si>
    <t>M110</t>
  </si>
  <si>
    <t>Gamma Del</t>
  </si>
  <si>
    <t>M30</t>
  </si>
  <si>
    <t>NGC 7009</t>
  </si>
  <si>
    <t>NGC 7662</t>
  </si>
  <si>
    <t>M32</t>
  </si>
  <si>
    <t>M52</t>
  </si>
  <si>
    <t>M103</t>
  </si>
  <si>
    <t>NGC 7331</t>
  </si>
  <si>
    <t>NGC 7479</t>
  </si>
  <si>
    <t>NGC 246</t>
  </si>
  <si>
    <t>NGC 253</t>
  </si>
  <si>
    <t>NGC 404</t>
  </si>
  <si>
    <t>NGC 869</t>
  </si>
  <si>
    <t>NGC 884</t>
  </si>
  <si>
    <t>Location:</t>
  </si>
  <si>
    <t>Observatory Sigriswil</t>
  </si>
  <si>
    <t>Longitude:</t>
  </si>
  <si>
    <t>Latitude:</t>
  </si>
  <si>
    <t>46.7393° N</t>
  </si>
  <si>
    <t>7.7262° E</t>
  </si>
  <si>
    <t>M5</t>
  </si>
  <si>
    <t>DN</t>
  </si>
  <si>
    <t>With observation times of 2 hours later, the objects of the next month can be observed (24 hours divided by 12 months!).</t>
  </si>
  <si>
    <t>RA</t>
  </si>
  <si>
    <t>Dec</t>
  </si>
  <si>
    <t>Blue Oyster Nebula</t>
  </si>
  <si>
    <t>Green Lifesaver Nebula</t>
  </si>
  <si>
    <t>Cotton Candy Planetary</t>
  </si>
  <si>
    <t>Eye of the Charioteer</t>
  </si>
  <si>
    <t>Faint Ring Nebula</t>
  </si>
  <si>
    <t>Common Name</t>
  </si>
  <si>
    <t>Crab Nebula</t>
  </si>
  <si>
    <t>Spider Globular</t>
  </si>
  <si>
    <t>Rose Cluster</t>
  </si>
  <si>
    <t>Wild Duck Cluster</t>
  </si>
  <si>
    <t>Gumball Globular</t>
  </si>
  <si>
    <t>(Great) Hercules Globular Cluster</t>
  </si>
  <si>
    <t>Great Pegasus Cluster</t>
  </si>
  <si>
    <t>Eagle Nebula Cluster</t>
  </si>
  <si>
    <t>Omega, Swan, Horseshoe, Lobster Nebula</t>
  </si>
  <si>
    <t>Trifid Nebula</t>
  </si>
  <si>
    <t>(Great) Sagittarius Cluster</t>
  </si>
  <si>
    <t>Dumbbell Nebula, Apple Core Nebula</t>
  </si>
  <si>
    <t>Jellyfish Cluster</t>
  </si>
  <si>
    <t>Andromeda Galaxy</t>
  </si>
  <si>
    <t>"Le Gentil" (Satellite of M31)</t>
  </si>
  <si>
    <t>Triangulum/Pinwheel Galaxy</t>
  </si>
  <si>
    <t>Salt and Pepper Cluster</t>
  </si>
  <si>
    <t>(Great) Orion Nebula</t>
  </si>
  <si>
    <t>Heart-Shaped Cluster</t>
  </si>
  <si>
    <t>Whirlpool Galaxy</t>
  </si>
  <si>
    <t>Scorpion Cluster (Cassiopeia Salt-and-Pepper)</t>
  </si>
  <si>
    <t>Ring Nebula</t>
  </si>
  <si>
    <t>Sunflower Galaxy</t>
  </si>
  <si>
    <t>Black Eye Galaxy</t>
  </si>
  <si>
    <t>Leo Triplet</t>
  </si>
  <si>
    <t>King Cobra Cluster</t>
  </si>
  <si>
    <t>Phantom Nebula/Cluster/Galaxy</t>
  </si>
  <si>
    <t>Little Dumbbell, Cork, Butterfly Nebula</t>
  </si>
  <si>
    <t>Cetus A, Squid Galaxy</t>
  </si>
  <si>
    <t>Casper (the Friendly) Ghost Nebula</t>
  </si>
  <si>
    <t/>
  </si>
  <si>
    <t>Bode's Galaxy</t>
  </si>
  <si>
    <t>Cigar Galaxy</t>
  </si>
  <si>
    <t>Virgo A, Smoking Gun Galaxy</t>
  </si>
  <si>
    <t>Cat's (Crocodile's) Eye Galaxy</t>
  </si>
  <si>
    <t>Pinwheel Galaxy</t>
  </si>
  <si>
    <t>Sombrero Galaxy</t>
  </si>
  <si>
    <t>Surfboard Galaxy</t>
  </si>
  <si>
    <t>Vacuum Cleaner Galaxy</t>
  </si>
  <si>
    <t>Edward Young Star (Satellite of M31)</t>
  </si>
  <si>
    <t>Sculptor Galaxy</t>
  </si>
  <si>
    <t>Magnitude</t>
  </si>
  <si>
    <t>Crystal Ball, Butterfly Nebula</t>
  </si>
  <si>
    <t>Hubble's Variable Nebula</t>
  </si>
  <si>
    <t>Thor's Helmut (Duck head) Nebula</t>
  </si>
  <si>
    <t>Lost in Space Galaxy</t>
  </si>
  <si>
    <t>Turtle Nebula</t>
  </si>
  <si>
    <t>Box, Fetus Nebula</t>
  </si>
  <si>
    <t>Spindle Galaxy/Nebula</t>
  </si>
  <si>
    <t>Eye of the Charioteer, Eskimo Nebula</t>
  </si>
  <si>
    <t>Cat's Eye Nebula</t>
  </si>
  <si>
    <t>Eastern Viel Nebula</t>
  </si>
  <si>
    <t>Saturn Nebula</t>
  </si>
  <si>
    <t>Caldwell 30</t>
  </si>
  <si>
    <t>Beta Cygni</t>
  </si>
  <si>
    <t>Gamma Andromedae</t>
  </si>
  <si>
    <t>Beta Monocerotis (triple star)</t>
  </si>
  <si>
    <t>Gamma Arietis (or Mesarthim)</t>
  </si>
  <si>
    <t>Gamma Delphini</t>
  </si>
  <si>
    <t>Gamma Leonis</t>
  </si>
  <si>
    <t>Iota Cassiopeiae</t>
  </si>
  <si>
    <t>Epsilon Boötis</t>
  </si>
  <si>
    <t>Alpha Herculis</t>
  </si>
  <si>
    <t>Date, time, location</t>
  </si>
  <si>
    <t>Field of view limits (azimuth, altitude)</t>
  </si>
  <si>
    <t>Visible objects (based on criteria)</t>
  </si>
  <si>
    <t>Inputs</t>
  </si>
  <si>
    <t>min</t>
  </si>
  <si>
    <t>Date</t>
  </si>
  <si>
    <t>Time</t>
  </si>
  <si>
    <t>max</t>
  </si>
  <si>
    <t>Timezone</t>
  </si>
  <si>
    <t>Leap year?</t>
  </si>
  <si>
    <t>Azimuth</t>
  </si>
  <si>
    <t>Altitude</t>
  </si>
  <si>
    <t>Decl</t>
  </si>
  <si>
    <t>HA</t>
  </si>
  <si>
    <t>Day nr.</t>
  </si>
  <si>
    <t>-</t>
  </si>
  <si>
    <t>Weekday</t>
  </si>
  <si>
    <t>JDE</t>
  </si>
  <si>
    <t>Delta days</t>
  </si>
  <si>
    <t>Location</t>
  </si>
  <si>
    <t>φ    (latitude)</t>
  </si>
  <si>
    <t>L     (longitude)</t>
  </si>
  <si>
    <t>UT  (hours)</t>
  </si>
  <si>
    <t>LST (degrees)</t>
  </si>
  <si>
    <t>Marker name</t>
  </si>
  <si>
    <t>Observed?</t>
  </si>
  <si>
    <t>values</t>
  </si>
  <si>
    <t>Can for instance be used to indicate whether an object is of special interest</t>
  </si>
  <si>
    <t>x</t>
  </si>
  <si>
    <t>Id.</t>
  </si>
  <si>
    <t>Ghost of Jupiter Nebula, Cotton Candy Planetary</t>
  </si>
  <si>
    <t>Hamburger, Sarah's Galaxy</t>
  </si>
  <si>
    <t>Smoke Ring in M46</t>
  </si>
  <si>
    <t>Blue Snowball, Babies Foot Nebula</t>
  </si>
  <si>
    <t>A supernova remnant (SR or SNR) is the structure resulting from the explosion of a star in a supernova. The supernova remnant is bounded by an expanding shock wave, and consists of ejected material expanding from the explosion, and the interstellar material it sweeps up and shocks along the way. There are two common routes to a supernova: either a massive star may run out of fuel, ceasing to generate fusion energy in its core, and collapsing inward under the force of its own gravity to form a neutron star or a black hole; or a white dwarf star may accrete material from a companion star until it reaches a critical mass and undergoes a thermonuclear explosion.</t>
  </si>
  <si>
    <t>Locations</t>
  </si>
  <si>
    <t>φ (latitude)</t>
  </si>
  <si>
    <t>L (longitude)</t>
  </si>
  <si>
    <t>DtoR</t>
  </si>
  <si>
    <t>Angle</t>
  </si>
  <si>
    <t>T</t>
  </si>
  <si>
    <t># points</t>
  </si>
  <si>
    <t>dgr</t>
  </si>
  <si>
    <t>D</t>
  </si>
  <si>
    <t>stepsize</t>
  </si>
  <si>
    <t>cos</t>
  </si>
  <si>
    <t>M</t>
  </si>
  <si>
    <t>minor semi axis</t>
  </si>
  <si>
    <t>M'</t>
  </si>
  <si>
    <t>major semi axis</t>
  </si>
  <si>
    <t>i</t>
  </si>
  <si>
    <t>k</t>
  </si>
  <si>
    <t>ellipse</t>
  </si>
  <si>
    <t>black bottom</t>
  </si>
  <si>
    <t>transparent</t>
  </si>
  <si>
    <t>black top</t>
  </si>
  <si>
    <r>
      <t>JDE</t>
    </r>
    <r>
      <rPr>
        <vertAlign val="subscript"/>
        <sz val="12"/>
        <rFont val="Calibri"/>
        <family val="2"/>
      </rPr>
      <t>new moon</t>
    </r>
  </si>
  <si>
    <t>reference date (08.05.2024)</t>
  </si>
  <si>
    <t>delta</t>
  </si>
  <si>
    <t>angle</t>
  </si>
  <si>
    <t>New moon</t>
  </si>
  <si>
    <t>Waxing crescent</t>
  </si>
  <si>
    <t>First quarter</t>
  </si>
  <si>
    <t>Waxing gibbous</t>
  </si>
  <si>
    <t>Full moon</t>
  </si>
  <si>
    <t>Waning gibbous</t>
  </si>
  <si>
    <t>Last quarter</t>
  </si>
  <si>
    <t>Waning crescent</t>
  </si>
  <si>
    <t>include?</t>
  </si>
  <si>
    <t>yes</t>
  </si>
  <si>
    <t>no</t>
  </si>
  <si>
    <t>V1.2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</si>
</sst>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hh:mm;@" x16r2:formatCode16="[$-en-CH,1]hh:mm;@"/>
    <numFmt numFmtId="166" formatCode="0.00000"/>
    <numFmt numFmtId="167" formatCode="#,##0.000"/>
    <numFmt numFmtId="168" formatCode="0.0000"/>
  </numFmts>
  <fonts count="48">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2"/>
      <color theme="1"/>
      <name val="Calibri"/>
      <family val="2"/>
      <scheme val="minor"/>
    </font>
    <font>
      <u/>
      <sz val="11"/>
      <color theme="10"/>
      <name val="Calibri"/>
      <family val="2"/>
      <scheme val="minor"/>
    </font>
    <font>
      <u/>
      <sz val="11"/>
      <color theme="11"/>
      <name val="Calibri"/>
      <family val="2"/>
      <scheme val="minor"/>
    </font>
    <font>
      <u/>
      <sz val="12"/>
      <color theme="10"/>
      <name val="Calibri"/>
      <family val="2"/>
      <scheme val="minor"/>
    </font>
    <font>
      <i/>
      <sz val="14"/>
      <color theme="0"/>
      <name val="Calibri"/>
      <family val="2"/>
    </font>
    <font>
      <sz val="14"/>
      <color theme="0"/>
      <name val="Calibri (Body)"/>
    </font>
    <font>
      <b/>
      <sz val="14"/>
      <color theme="0"/>
      <name val="Calibri (Body)"/>
    </font>
    <font>
      <u/>
      <sz val="14"/>
      <color theme="0"/>
      <name val="Calibri"/>
      <family val="2"/>
      <scheme val="minor"/>
    </font>
    <font>
      <u/>
      <sz val="14"/>
      <color theme="0"/>
      <name val="Calibri (Body)"/>
    </font>
    <font>
      <u/>
      <sz val="12"/>
      <color theme="0"/>
      <name val="Calibri"/>
      <family val="2"/>
    </font>
    <font>
      <sz val="9"/>
      <color theme="0"/>
      <name val="Calibri"/>
      <family val="2"/>
    </font>
    <font>
      <b/>
      <sz val="11"/>
      <color theme="0"/>
      <name val="Calibri"/>
      <family val="2"/>
      <scheme val="minor"/>
    </font>
    <font>
      <vertAlign val="subscript"/>
      <sz val="11"/>
      <color indexed="8"/>
      <name val="Calibri"/>
      <family val="2"/>
    </font>
    <font>
      <u/>
      <sz val="11"/>
      <color theme="10"/>
      <name val="Calibri"/>
      <family val="2"/>
    </font>
    <font>
      <b/>
      <sz val="12"/>
      <color theme="0"/>
      <name val="Calibri"/>
      <family val="2"/>
      <scheme val="minor"/>
    </font>
    <font>
      <u/>
      <sz val="12"/>
      <color theme="1"/>
      <name val="Calibri"/>
      <family val="2"/>
      <scheme val="minor"/>
    </font>
    <font>
      <sz val="12"/>
      <color rgb="FF000000"/>
      <name val="Calibri"/>
      <family val="2"/>
    </font>
    <font>
      <sz val="12"/>
      <color theme="1"/>
      <name val="Calibri"/>
      <family val="2"/>
    </font>
    <font>
      <sz val="10"/>
      <color indexed="8"/>
      <name val="Arial"/>
      <family val="2"/>
    </font>
    <font>
      <sz val="12"/>
      <color indexed="8"/>
      <name val="Calibri"/>
      <family val="2"/>
    </font>
    <font>
      <sz val="12"/>
      <color rgb="FF000000"/>
      <name val="Calibri"/>
      <family val="2"/>
      <scheme val="minor"/>
    </font>
    <font>
      <b/>
      <sz val="14"/>
      <color theme="1"/>
      <name val="Calibri"/>
      <family val="2"/>
      <scheme val="minor"/>
    </font>
    <font>
      <b/>
      <sz val="12"/>
      <color theme="1"/>
      <name val="Calibri"/>
      <family val="2"/>
    </font>
    <font>
      <sz val="11"/>
      <name val="ＭＳ Ｐゴシック"/>
      <family val="2"/>
      <charset val="128"/>
    </font>
    <font>
      <sz val="12"/>
      <name val="Calibri"/>
      <family val="2"/>
    </font>
    <font>
      <b/>
      <sz val="12"/>
      <name val="Calibri"/>
      <family val="2"/>
    </font>
    <font>
      <sz val="12"/>
      <color theme="0"/>
      <name val="Calibri (Body)"/>
    </font>
    <font>
      <sz val="12"/>
      <color theme="1"/>
      <name val="Calibri (Body)"/>
    </font>
    <font>
      <sz val="12"/>
      <color rgb="FFFFFFFF"/>
      <name val="Calibri (Body)"/>
    </font>
    <font>
      <sz val="14"/>
      <color rgb="FFFFFFFF"/>
      <name val="Calibri"/>
      <family val="2"/>
      <scheme val="minor"/>
    </font>
    <font>
      <sz val="12"/>
      <color rgb="FF202122"/>
      <name val="Calibri"/>
      <family val="2"/>
    </font>
    <font>
      <sz val="10"/>
      <color rgb="FF000000"/>
      <name val="Calibri"/>
      <family val="2"/>
      <scheme val="minor"/>
    </font>
    <font>
      <sz val="10"/>
      <name val="Arial"/>
      <family val="2"/>
    </font>
    <font>
      <sz val="9"/>
      <color theme="1"/>
      <name val="Calibri"/>
      <family val="2"/>
      <scheme val="minor"/>
    </font>
    <font>
      <sz val="11"/>
      <color theme="1"/>
      <name val="Calibri"/>
      <family val="2"/>
      <charset val="238"/>
      <scheme val="minor"/>
    </font>
    <font>
      <sz val="10"/>
      <color theme="1"/>
      <name val="Calibri"/>
      <family val="2"/>
      <scheme val="minor"/>
    </font>
    <font>
      <vertAlign val="subscript"/>
      <sz val="12"/>
      <name val="Calibri"/>
      <family val="2"/>
    </font>
    <font>
      <sz val="12"/>
      <color theme="0"/>
      <name val="Calibri"/>
      <family val="2"/>
      <scheme val="minor"/>
    </font>
  </fonts>
  <fills count="12">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002060"/>
        <bgColor indexed="64"/>
      </patternFill>
    </fill>
    <fill>
      <patternFill patternType="solid">
        <fgColor rgb="FF00B0F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rgb="FFFFC000"/>
        <bgColor indexed="64"/>
      </patternFill>
    </fill>
    <fill>
      <patternFill patternType="solid">
        <fgColor rgb="FF002060"/>
        <bgColor rgb="FF000000"/>
      </patternFill>
    </fill>
  </fills>
  <borders count="2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rgb="FF000000"/>
      </bottom>
      <diagonal/>
    </border>
    <border>
      <left style="thin">
        <color indexed="64"/>
      </left>
      <right style="thin">
        <color indexed="64"/>
      </right>
      <top/>
      <bottom style="thin">
        <color indexed="64"/>
      </bottom>
      <diagonal/>
    </border>
  </borders>
  <cellStyleXfs count="52">
    <xf numFmtId="0" fontId="0"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9" fillId="0" borderId="0"/>
    <xf numFmtId="0" fontId="13" fillId="0" borderId="0" applyNumberFormat="0" applyFill="0" applyBorder="0" applyAlignment="0" applyProtection="0"/>
    <xf numFmtId="0" fontId="23" fillId="0" borderId="0" applyNumberFormat="0" applyFill="0" applyBorder="0" applyAlignment="0" applyProtection="0">
      <alignment vertical="top"/>
      <protection locked="0"/>
    </xf>
    <xf numFmtId="0" fontId="5" fillId="0" borderId="0"/>
    <xf numFmtId="0" fontId="28" fillId="0" borderId="0"/>
    <xf numFmtId="0" fontId="33" fillId="0" borderId="0"/>
    <xf numFmtId="0" fontId="42" fillId="0" borderId="0"/>
    <xf numFmtId="0" fontId="43" fillId="0" borderId="0"/>
    <xf numFmtId="0" fontId="1" fillId="0" borderId="0"/>
    <xf numFmtId="0" fontId="44" fillId="0" borderId="0"/>
  </cellStyleXfs>
  <cellXfs count="224">
    <xf numFmtId="0" fontId="0" fillId="0" borderId="0" xfId="0"/>
    <xf numFmtId="0" fontId="15" fillId="3" borderId="1" xfId="42" applyFont="1" applyFill="1" applyBorder="1" applyAlignment="1">
      <alignment horizontal="left"/>
    </xf>
    <xf numFmtId="0" fontId="15" fillId="3" borderId="2" xfId="42" applyFont="1" applyFill="1" applyBorder="1" applyAlignment="1">
      <alignment horizontal="center"/>
    </xf>
    <xf numFmtId="0" fontId="15" fillId="3" borderId="2" xfId="42" applyFont="1" applyFill="1" applyBorder="1"/>
    <xf numFmtId="0" fontId="17" fillId="3" borderId="3" xfId="43" applyFont="1" applyFill="1" applyBorder="1" applyAlignment="1">
      <alignment horizontal="center"/>
    </xf>
    <xf numFmtId="0" fontId="18" fillId="3" borderId="4" xfId="43" applyFont="1" applyFill="1" applyBorder="1" applyAlignment="1">
      <alignment horizontal="left"/>
    </xf>
    <xf numFmtId="0" fontId="15" fillId="3" borderId="0" xfId="42" applyFont="1" applyFill="1" applyAlignment="1">
      <alignment horizontal="center"/>
    </xf>
    <xf numFmtId="0" fontId="15" fillId="3" borderId="0" xfId="42" applyFont="1" applyFill="1"/>
    <xf numFmtId="0" fontId="15" fillId="3" borderId="5" xfId="42" applyFont="1" applyFill="1" applyBorder="1" applyAlignment="1">
      <alignment horizontal="center"/>
    </xf>
    <xf numFmtId="0" fontId="15" fillId="3" borderId="7" xfId="43" applyFont="1" applyFill="1" applyBorder="1" applyAlignment="1">
      <alignment horizontal="left"/>
    </xf>
    <xf numFmtId="0" fontId="15" fillId="3" borderId="9" xfId="43" applyFont="1" applyFill="1" applyBorder="1" applyAlignment="1">
      <alignment horizontal="left"/>
    </xf>
    <xf numFmtId="0" fontId="15" fillId="3" borderId="9" xfId="42" applyFont="1" applyFill="1" applyBorder="1"/>
    <xf numFmtId="0" fontId="16" fillId="3" borderId="8" xfId="42" applyFont="1" applyFill="1" applyBorder="1" applyAlignment="1">
      <alignment horizontal="center"/>
    </xf>
    <xf numFmtId="0" fontId="9" fillId="3" borderId="0" xfId="42" applyFill="1"/>
    <xf numFmtId="0" fontId="0" fillId="3" borderId="0" xfId="0" applyFill="1"/>
    <xf numFmtId="0" fontId="0" fillId="0" borderId="0" xfId="0" applyAlignment="1">
      <alignment horizontal="center"/>
    </xf>
    <xf numFmtId="0" fontId="8" fillId="2" borderId="6" xfId="0" applyFont="1" applyFill="1" applyBorder="1" applyAlignment="1">
      <alignment horizontal="center" wrapText="1"/>
    </xf>
    <xf numFmtId="0" fontId="0" fillId="2" borderId="6" xfId="0" applyFill="1" applyBorder="1" applyAlignment="1">
      <alignment horizontal="center" wrapText="1"/>
    </xf>
    <xf numFmtId="0" fontId="7" fillId="0" borderId="0" xfId="0" applyFont="1"/>
    <xf numFmtId="0" fontId="7" fillId="5" borderId="6" xfId="0" applyFont="1" applyFill="1" applyBorder="1" applyAlignment="1">
      <alignment horizontal="left"/>
    </xf>
    <xf numFmtId="0" fontId="7" fillId="5" borderId="6" xfId="0" applyFont="1" applyFill="1" applyBorder="1" applyAlignment="1">
      <alignment horizontal="center"/>
    </xf>
    <xf numFmtId="0" fontId="7" fillId="5" borderId="6" xfId="0" applyFont="1" applyFill="1" applyBorder="1" applyAlignment="1">
      <alignment horizontal="right"/>
    </xf>
    <xf numFmtId="0" fontId="10" fillId="6" borderId="6" xfId="0" applyFont="1" applyFill="1" applyBorder="1"/>
    <xf numFmtId="0" fontId="10" fillId="6" borderId="6" xfId="0" applyFont="1" applyFill="1" applyBorder="1" applyAlignment="1">
      <alignment horizontal="center"/>
    </xf>
    <xf numFmtId="0" fontId="10" fillId="0" borderId="0" xfId="0" applyFont="1" applyAlignment="1">
      <alignment horizontal="center" vertical="center" wrapText="1"/>
    </xf>
    <xf numFmtId="0" fontId="7" fillId="2" borderId="6" xfId="0" applyFont="1" applyFill="1" applyBorder="1"/>
    <xf numFmtId="0" fontId="7" fillId="2" borderId="6" xfId="0" applyFont="1" applyFill="1" applyBorder="1" applyAlignment="1">
      <alignment horizontal="center"/>
    </xf>
    <xf numFmtId="0" fontId="24" fillId="4" borderId="6" xfId="0" applyFont="1" applyFill="1" applyBorder="1" applyAlignment="1">
      <alignment horizontal="center"/>
    </xf>
    <xf numFmtId="0" fontId="7" fillId="8" borderId="1" xfId="0" applyFont="1" applyFill="1" applyBorder="1"/>
    <xf numFmtId="0" fontId="25" fillId="8" borderId="2" xfId="41" applyFont="1" applyFill="1" applyBorder="1"/>
    <xf numFmtId="0" fontId="7" fillId="8" borderId="3" xfId="0" applyFont="1" applyFill="1" applyBorder="1"/>
    <xf numFmtId="0" fontId="7" fillId="8" borderId="4" xfId="0" applyFont="1" applyFill="1" applyBorder="1"/>
    <xf numFmtId="0" fontId="7" fillId="8" borderId="0" xfId="0" applyFont="1" applyFill="1"/>
    <xf numFmtId="0" fontId="7" fillId="8" borderId="5" xfId="0" applyFont="1" applyFill="1" applyBorder="1"/>
    <xf numFmtId="0" fontId="7" fillId="8" borderId="0" xfId="0" applyFont="1" applyFill="1" applyAlignment="1">
      <alignment horizontal="right"/>
    </xf>
    <xf numFmtId="0" fontId="7" fillId="8" borderId="7" xfId="0" applyFont="1" applyFill="1" applyBorder="1"/>
    <xf numFmtId="0" fontId="7" fillId="8" borderId="9" xfId="0" applyFont="1" applyFill="1" applyBorder="1" applyAlignment="1">
      <alignment horizontal="right"/>
    </xf>
    <xf numFmtId="0" fontId="7" fillId="8" borderId="8" xfId="0" applyFont="1" applyFill="1" applyBorder="1"/>
    <xf numFmtId="0" fontId="24" fillId="4" borderId="6" xfId="0" applyFont="1" applyFill="1" applyBorder="1" applyAlignment="1">
      <alignment horizontal="center" vertical="center" wrapText="1"/>
    </xf>
    <xf numFmtId="0" fontId="21" fillId="4" borderId="6" xfId="0" applyFont="1" applyFill="1" applyBorder="1" applyAlignment="1">
      <alignment horizontal="center" vertical="center" wrapText="1"/>
    </xf>
    <xf numFmtId="0" fontId="5" fillId="0" borderId="0" xfId="0" applyFont="1"/>
    <xf numFmtId="0" fontId="5" fillId="2" borderId="6" xfId="0" applyFont="1" applyFill="1" applyBorder="1"/>
    <xf numFmtId="0" fontId="7" fillId="0" borderId="0" xfId="0" applyFont="1" applyAlignment="1">
      <alignment horizontal="center"/>
    </xf>
    <xf numFmtId="0" fontId="5" fillId="0" borderId="0" xfId="0" applyFont="1" applyAlignment="1">
      <alignment horizontal="center"/>
    </xf>
    <xf numFmtId="0" fontId="7" fillId="0" borderId="0" xfId="0" applyFont="1" applyAlignment="1">
      <alignment horizontal="right"/>
    </xf>
    <xf numFmtId="0" fontId="0" fillId="0" borderId="0" xfId="0" applyAlignment="1">
      <alignment horizontal="right"/>
    </xf>
    <xf numFmtId="0" fontId="5" fillId="2" borderId="6" xfId="0" applyFont="1" applyFill="1" applyBorder="1" applyAlignment="1">
      <alignment horizontal="center"/>
    </xf>
    <xf numFmtId="0" fontId="5" fillId="0" borderId="6" xfId="0" applyFont="1" applyBorder="1" applyAlignment="1">
      <alignment horizontal="center"/>
    </xf>
    <xf numFmtId="0" fontId="7" fillId="0" borderId="6" xfId="0" applyFont="1" applyBorder="1" applyAlignment="1">
      <alignment horizontal="center"/>
    </xf>
    <xf numFmtId="0" fontId="24" fillId="4" borderId="0" xfId="0" applyFont="1" applyFill="1" applyAlignment="1">
      <alignment horizontal="center"/>
    </xf>
    <xf numFmtId="0" fontId="24" fillId="4" borderId="0" xfId="0" applyFont="1" applyFill="1" applyAlignment="1">
      <alignment horizontal="right"/>
    </xf>
    <xf numFmtId="2" fontId="7" fillId="2" borderId="6" xfId="0" applyNumberFormat="1" applyFont="1" applyFill="1" applyBorder="1" applyAlignment="1">
      <alignment horizontal="right"/>
    </xf>
    <xf numFmtId="0" fontId="24" fillId="4" borderId="6" xfId="0" applyFont="1" applyFill="1" applyBorder="1"/>
    <xf numFmtId="0" fontId="5" fillId="2" borderId="6" xfId="0" applyFont="1" applyFill="1" applyBorder="1" applyAlignment="1">
      <alignment horizontal="center" vertical="center"/>
    </xf>
    <xf numFmtId="0" fontId="5" fillId="2" borderId="6" xfId="0" applyFont="1" applyFill="1" applyBorder="1" applyAlignment="1">
      <alignment horizontal="justify" vertical="center" wrapText="1"/>
    </xf>
    <xf numFmtId="0" fontId="27" fillId="0" borderId="6" xfId="0" applyFont="1" applyBorder="1" applyAlignment="1">
      <alignment horizontal="center"/>
    </xf>
    <xf numFmtId="0" fontId="30" fillId="0" borderId="6" xfId="0" applyFont="1" applyBorder="1" applyAlignment="1">
      <alignment horizontal="center"/>
    </xf>
    <xf numFmtId="2" fontId="7" fillId="2" borderId="13" xfId="0" applyNumberFormat="1" applyFont="1" applyFill="1" applyBorder="1" applyAlignment="1">
      <alignment horizontal="right"/>
    </xf>
    <xf numFmtId="0" fontId="24" fillId="4" borderId="6" xfId="0" applyFont="1" applyFill="1" applyBorder="1" applyAlignment="1">
      <alignment horizontal="right"/>
    </xf>
    <xf numFmtId="0" fontId="30" fillId="0" borderId="6" xfId="45" applyFont="1" applyBorder="1" applyAlignment="1">
      <alignment horizontal="center"/>
    </xf>
    <xf numFmtId="0" fontId="29" fillId="0" borderId="6" xfId="46" applyFont="1" applyBorder="1" applyAlignment="1">
      <alignment horizontal="center" wrapText="1"/>
    </xf>
    <xf numFmtId="2" fontId="7" fillId="0" borderId="13" xfId="0" applyNumberFormat="1" applyFont="1" applyBorder="1" applyAlignment="1">
      <alignment horizontal="right"/>
    </xf>
    <xf numFmtId="2" fontId="7" fillId="0" borderId="6" xfId="0" applyNumberFormat="1" applyFont="1" applyBorder="1" applyAlignment="1">
      <alignment horizontal="right"/>
    </xf>
    <xf numFmtId="164" fontId="7" fillId="0" borderId="6" xfId="0" applyNumberFormat="1" applyFont="1" applyBorder="1"/>
    <xf numFmtId="164" fontId="26" fillId="0" borderId="6" xfId="0" applyNumberFormat="1" applyFont="1" applyBorder="1" applyAlignment="1">
      <alignment horizontal="right"/>
    </xf>
    <xf numFmtId="0" fontId="5" fillId="0" borderId="0" xfId="45"/>
    <xf numFmtId="0" fontId="31" fillId="9" borderId="14" xfId="45" applyFont="1" applyFill="1" applyBorder="1"/>
    <xf numFmtId="0" fontId="5" fillId="0" borderId="4" xfId="45" applyBorder="1"/>
    <xf numFmtId="0" fontId="5" fillId="6" borderId="4" xfId="45" applyFill="1" applyBorder="1"/>
    <xf numFmtId="0" fontId="5" fillId="6" borderId="0" xfId="45" applyFill="1"/>
    <xf numFmtId="0" fontId="5" fillId="6" borderId="0" xfId="45" applyFill="1" applyAlignment="1">
      <alignment horizontal="center"/>
    </xf>
    <xf numFmtId="0" fontId="5" fillId="6" borderId="5" xfId="45" applyFill="1" applyBorder="1"/>
    <xf numFmtId="0" fontId="10" fillId="6" borderId="0" xfId="45" applyFont="1" applyFill="1" applyAlignment="1">
      <alignment horizontal="right"/>
    </xf>
    <xf numFmtId="0" fontId="5" fillId="0" borderId="5" xfId="45" applyBorder="1"/>
    <xf numFmtId="0" fontId="27" fillId="6" borderId="7" xfId="45" applyFont="1" applyFill="1" applyBorder="1"/>
    <xf numFmtId="0" fontId="32" fillId="10" borderId="8" xfId="45" applyFont="1" applyFill="1" applyBorder="1" applyAlignment="1">
      <alignment horizontal="right"/>
    </xf>
    <xf numFmtId="0" fontId="27" fillId="0" borderId="0" xfId="45" applyFont="1"/>
    <xf numFmtId="0" fontId="27" fillId="6" borderId="4" xfId="45" applyFont="1" applyFill="1" applyBorder="1"/>
    <xf numFmtId="0" fontId="27" fillId="6" borderId="0" xfId="45" applyFont="1" applyFill="1"/>
    <xf numFmtId="0" fontId="27" fillId="0" borderId="13" xfId="45" applyFont="1" applyBorder="1" applyAlignment="1">
      <alignment horizontal="right"/>
    </xf>
    <xf numFmtId="0" fontId="27" fillId="0" borderId="15" xfId="45" applyFont="1" applyBorder="1" applyAlignment="1">
      <alignment horizontal="right"/>
    </xf>
    <xf numFmtId="14" fontId="5" fillId="6" borderId="0" xfId="45" applyNumberFormat="1" applyFill="1"/>
    <xf numFmtId="0" fontId="27" fillId="0" borderId="6" xfId="45" applyFont="1" applyBorder="1"/>
    <xf numFmtId="14" fontId="32" fillId="10" borderId="6" xfId="45" applyNumberFormat="1" applyFont="1" applyFill="1" applyBorder="1" applyAlignment="1" applyProtection="1">
      <alignment horizontal="right"/>
      <protection locked="0"/>
    </xf>
    <xf numFmtId="2" fontId="32" fillId="10" borderId="13" xfId="45" applyNumberFormat="1" applyFont="1" applyFill="1" applyBorder="1" applyAlignment="1" applyProtection="1">
      <alignment horizontal="right"/>
      <protection locked="0"/>
    </xf>
    <xf numFmtId="2" fontId="32" fillId="10" borderId="15" xfId="45" applyNumberFormat="1" applyFont="1" applyFill="1" applyBorder="1" applyAlignment="1" applyProtection="1">
      <alignment horizontal="right"/>
      <protection locked="0"/>
    </xf>
    <xf numFmtId="21" fontId="5" fillId="6" borderId="0" xfId="45" applyNumberFormat="1" applyFill="1"/>
    <xf numFmtId="0" fontId="34" fillId="0" borderId="6" xfId="47" applyFont="1" applyBorder="1" applyAlignment="1">
      <alignment vertical="center"/>
    </xf>
    <xf numFmtId="165" fontId="35" fillId="10" borderId="6" xfId="47" applyNumberFormat="1" applyFont="1" applyFill="1" applyBorder="1" applyAlignment="1" applyProtection="1">
      <alignment horizontal="right" vertical="center"/>
      <protection locked="0"/>
    </xf>
    <xf numFmtId="1" fontId="5" fillId="6" borderId="0" xfId="45" applyNumberFormat="1" applyFill="1"/>
    <xf numFmtId="1" fontId="35" fillId="10" borderId="6" xfId="47" applyNumberFormat="1" applyFont="1" applyFill="1" applyBorder="1" applyAlignment="1" applyProtection="1">
      <alignment horizontal="right" vertical="center"/>
      <protection locked="0"/>
    </xf>
    <xf numFmtId="0" fontId="27" fillId="6" borderId="9" xfId="45" applyFont="1" applyFill="1" applyBorder="1"/>
    <xf numFmtId="0" fontId="5" fillId="6" borderId="9" xfId="45" applyFill="1" applyBorder="1"/>
    <xf numFmtId="0" fontId="5" fillId="6" borderId="9" xfId="45" applyFill="1" applyBorder="1" applyAlignment="1">
      <alignment horizontal="center"/>
    </xf>
    <xf numFmtId="0" fontId="5" fillId="6" borderId="8" xfId="45" applyFill="1" applyBorder="1"/>
    <xf numFmtId="0" fontId="5" fillId="6" borderId="7" xfId="45" applyFill="1" applyBorder="1" applyAlignment="1">
      <alignment horizontal="center"/>
    </xf>
    <xf numFmtId="0" fontId="5" fillId="0" borderId="9" xfId="45" applyBorder="1"/>
    <xf numFmtId="0" fontId="5" fillId="0" borderId="8" xfId="45" applyBorder="1"/>
    <xf numFmtId="0" fontId="27" fillId="0" borderId="6" xfId="45" applyFont="1" applyBorder="1" applyAlignment="1">
      <alignment horizontal="right"/>
    </xf>
    <xf numFmtId="0" fontId="36" fillId="4" borderId="6" xfId="45" applyFont="1" applyFill="1" applyBorder="1" applyAlignment="1">
      <alignment horizontal="right" vertical="center"/>
    </xf>
    <xf numFmtId="0" fontId="36" fillId="4" borderId="6" xfId="45" applyFont="1" applyFill="1" applyBorder="1" applyAlignment="1">
      <alignment horizontal="center" vertical="center"/>
    </xf>
    <xf numFmtId="0" fontId="37" fillId="0" borderId="0" xfId="45" applyFont="1"/>
    <xf numFmtId="0" fontId="38" fillId="11" borderId="6" xfId="0" applyFont="1" applyFill="1" applyBorder="1" applyAlignment="1">
      <alignment horizontal="center" vertical="center"/>
    </xf>
    <xf numFmtId="0" fontId="38" fillId="11" borderId="15" xfId="0" applyFont="1" applyFill="1" applyBorder="1" applyAlignment="1">
      <alignment horizontal="center" vertical="center"/>
    </xf>
    <xf numFmtId="0" fontId="38" fillId="11" borderId="15" xfId="0" applyFont="1" applyFill="1" applyBorder="1" applyAlignment="1">
      <alignment horizontal="right" vertical="center"/>
    </xf>
    <xf numFmtId="0" fontId="39" fillId="11" borderId="15" xfId="0" applyFont="1" applyFill="1" applyBorder="1" applyAlignment="1">
      <alignment horizontal="center" vertical="center"/>
    </xf>
    <xf numFmtId="0" fontId="39" fillId="11" borderId="15" xfId="0" applyFont="1" applyFill="1" applyBorder="1" applyAlignment="1">
      <alignment horizontal="right" vertical="center"/>
    </xf>
    <xf numFmtId="1" fontId="27" fillId="0" borderId="6" xfId="45" applyNumberFormat="1" applyFont="1" applyBorder="1" applyAlignment="1">
      <alignment horizontal="right"/>
    </xf>
    <xf numFmtId="0" fontId="27" fillId="0" borderId="0" xfId="45" applyFont="1" applyAlignment="1">
      <alignment horizontal="right"/>
    </xf>
    <xf numFmtId="0" fontId="27" fillId="0" borderId="6" xfId="0" applyFont="1" applyBorder="1" applyAlignment="1" applyProtection="1">
      <alignment horizontal="center"/>
      <protection locked="0"/>
    </xf>
    <xf numFmtId="2" fontId="5" fillId="0" borderId="6" xfId="45" applyNumberFormat="1" applyBorder="1"/>
    <xf numFmtId="0" fontId="5" fillId="0" borderId="1" xfId="45" applyBorder="1" applyAlignment="1">
      <alignment horizontal="center"/>
    </xf>
    <xf numFmtId="0" fontId="5" fillId="0" borderId="2" xfId="45" applyBorder="1" applyAlignment="1">
      <alignment horizontal="center"/>
    </xf>
    <xf numFmtId="2" fontId="5" fillId="0" borderId="2" xfId="45" applyNumberFormat="1" applyBorder="1"/>
    <xf numFmtId="2" fontId="5" fillId="0" borderId="3" xfId="45" applyNumberFormat="1" applyBorder="1"/>
    <xf numFmtId="0" fontId="5" fillId="0" borderId="4" xfId="45" applyBorder="1" applyAlignment="1">
      <alignment horizontal="center"/>
    </xf>
    <xf numFmtId="0" fontId="5" fillId="0" borderId="0" xfId="45" applyAlignment="1">
      <alignment horizontal="center"/>
    </xf>
    <xf numFmtId="2" fontId="5" fillId="0" borderId="0" xfId="45" applyNumberFormat="1"/>
    <xf numFmtId="2" fontId="5" fillId="0" borderId="5" xfId="45" applyNumberFormat="1" applyBorder="1"/>
    <xf numFmtId="4" fontId="27" fillId="0" borderId="6" xfId="45" applyNumberFormat="1" applyFont="1" applyBorder="1" applyAlignment="1">
      <alignment horizontal="right"/>
    </xf>
    <xf numFmtId="0" fontId="27" fillId="0" borderId="6" xfId="0" applyFont="1" applyBorder="1"/>
    <xf numFmtId="0" fontId="32" fillId="10" borderId="15" xfId="0" applyFont="1" applyFill="1" applyBorder="1" applyAlignment="1" applyProtection="1">
      <alignment horizontal="right"/>
      <protection locked="0"/>
    </xf>
    <xf numFmtId="0" fontId="40" fillId="0" borderId="6" xfId="45" applyFont="1" applyBorder="1" applyAlignment="1">
      <alignment vertical="center"/>
    </xf>
    <xf numFmtId="2" fontId="5" fillId="0" borderId="6" xfId="45" applyNumberFormat="1" applyBorder="1" applyAlignment="1">
      <alignment horizontal="right"/>
    </xf>
    <xf numFmtId="0" fontId="32" fillId="10" borderId="6" xfId="0" applyFont="1" applyFill="1" applyBorder="1" applyAlignment="1" applyProtection="1">
      <alignment horizontal="center"/>
      <protection locked="0"/>
    </xf>
    <xf numFmtId="0" fontId="32" fillId="10" borderId="17" xfId="0" applyFont="1" applyFill="1" applyBorder="1" applyAlignment="1" applyProtection="1">
      <alignment horizontal="center"/>
      <protection locked="0"/>
    </xf>
    <xf numFmtId="0" fontId="32" fillId="10" borderId="16" xfId="0" applyFont="1" applyFill="1" applyBorder="1" applyAlignment="1" applyProtection="1">
      <alignment horizontal="center"/>
      <protection locked="0"/>
    </xf>
    <xf numFmtId="0" fontId="32" fillId="10" borderId="19" xfId="0" applyFont="1" applyFill="1" applyBorder="1" applyAlignment="1" applyProtection="1">
      <alignment horizontal="center"/>
      <protection locked="0"/>
    </xf>
    <xf numFmtId="0" fontId="5" fillId="0" borderId="7" xfId="45" applyBorder="1" applyAlignment="1">
      <alignment horizontal="center"/>
    </xf>
    <xf numFmtId="0" fontId="5" fillId="0" borderId="9" xfId="45" applyBorder="1" applyAlignment="1">
      <alignment horizontal="center"/>
    </xf>
    <xf numFmtId="2" fontId="5" fillId="0" borderId="9" xfId="45" applyNumberFormat="1" applyBorder="1"/>
    <xf numFmtId="2" fontId="5" fillId="0" borderId="8" xfId="45" applyNumberFormat="1" applyBorder="1"/>
    <xf numFmtId="166" fontId="5" fillId="0" borderId="6" xfId="45" applyNumberFormat="1" applyBorder="1" applyAlignment="1">
      <alignment horizontal="right"/>
    </xf>
    <xf numFmtId="0" fontId="4" fillId="0" borderId="6" xfId="0" applyFont="1" applyBorder="1" applyAlignment="1">
      <alignment horizontal="center"/>
    </xf>
    <xf numFmtId="0" fontId="3" fillId="2" borderId="6" xfId="0" applyFont="1" applyFill="1" applyBorder="1" applyAlignment="1">
      <alignment horizontal="justify" vertical="center" wrapText="1"/>
    </xf>
    <xf numFmtId="0" fontId="31" fillId="0" borderId="0" xfId="45" applyFont="1" applyAlignment="1">
      <alignment horizontal="center"/>
    </xf>
    <xf numFmtId="0" fontId="32" fillId="0" borderId="0" xfId="45" applyFont="1" applyAlignment="1">
      <alignment horizontal="right"/>
    </xf>
    <xf numFmtId="14" fontId="32" fillId="0" borderId="0" xfId="45" applyNumberFormat="1" applyFont="1" applyAlignment="1" applyProtection="1">
      <alignment horizontal="right"/>
      <protection locked="0"/>
    </xf>
    <xf numFmtId="165" fontId="35" fillId="0" borderId="0" xfId="47" applyNumberFormat="1" applyFont="1" applyAlignment="1" applyProtection="1">
      <alignment horizontal="right" vertical="center"/>
      <protection locked="0"/>
    </xf>
    <xf numFmtId="1" fontId="35" fillId="0" borderId="0" xfId="47" applyNumberFormat="1" applyFont="1" applyAlignment="1" applyProtection="1">
      <alignment horizontal="right" vertical="center"/>
      <protection locked="0"/>
    </xf>
    <xf numFmtId="1" fontId="27" fillId="0" borderId="0" xfId="45" applyNumberFormat="1" applyFont="1" applyAlignment="1">
      <alignment horizontal="right"/>
    </xf>
    <xf numFmtId="4" fontId="27" fillId="0" borderId="0" xfId="45" applyNumberFormat="1" applyFont="1" applyAlignment="1">
      <alignment horizontal="right"/>
    </xf>
    <xf numFmtId="0" fontId="32" fillId="0" borderId="0" xfId="0" applyFont="1" applyAlignment="1" applyProtection="1">
      <alignment horizontal="right"/>
      <protection locked="0"/>
    </xf>
    <xf numFmtId="2" fontId="32" fillId="0" borderId="0" xfId="45" applyNumberFormat="1" applyFont="1" applyAlignment="1" applyProtection="1">
      <alignment horizontal="right"/>
      <protection locked="0"/>
    </xf>
    <xf numFmtId="2" fontId="5" fillId="0" borderId="0" xfId="45" applyNumberFormat="1" applyAlignment="1">
      <alignment horizontal="right"/>
    </xf>
    <xf numFmtId="0" fontId="32" fillId="0" borderId="0" xfId="0" applyFont="1" applyAlignment="1" applyProtection="1">
      <alignment horizontal="center"/>
      <protection locked="0"/>
    </xf>
    <xf numFmtId="0" fontId="2" fillId="0" borderId="6" xfId="45" applyFont="1" applyBorder="1" applyAlignment="1">
      <alignment vertical="center"/>
    </xf>
    <xf numFmtId="0" fontId="40" fillId="0" borderId="6" xfId="45" applyFont="1" applyBorder="1" applyAlignment="1">
      <alignment horizontal="right" vertical="center"/>
    </xf>
    <xf numFmtId="0" fontId="27" fillId="0" borderId="6" xfId="45" applyFont="1" applyBorder="1" applyAlignment="1">
      <alignment horizontal="right" vertical="center"/>
    </xf>
    <xf numFmtId="0" fontId="10" fillId="10" borderId="6" xfId="45" applyFont="1" applyFill="1" applyBorder="1" applyAlignment="1" applyProtection="1">
      <alignment vertical="center"/>
      <protection locked="0"/>
    </xf>
    <xf numFmtId="0" fontId="27" fillId="0" borderId="6" xfId="45" applyFont="1" applyBorder="1" applyAlignment="1">
      <alignment horizontal="center"/>
    </xf>
    <xf numFmtId="0" fontId="34" fillId="0" borderId="0" xfId="48" applyFont="1"/>
    <xf numFmtId="0" fontId="1" fillId="2" borderId="1" xfId="49" applyFont="1" applyFill="1" applyBorder="1"/>
    <xf numFmtId="0" fontId="1" fillId="2" borderId="3" xfId="49" applyFont="1" applyFill="1" applyBorder="1"/>
    <xf numFmtId="0" fontId="32" fillId="2" borderId="1" xfId="50" applyFont="1" applyFill="1" applyBorder="1" applyAlignment="1">
      <alignment horizontal="left"/>
    </xf>
    <xf numFmtId="167" fontId="27" fillId="2" borderId="2" xfId="50" applyNumberFormat="1" applyFont="1" applyFill="1" applyBorder="1"/>
    <xf numFmtId="0" fontId="27" fillId="2" borderId="2" xfId="51" applyFont="1" applyFill="1" applyBorder="1"/>
    <xf numFmtId="0" fontId="27" fillId="2" borderId="2" xfId="50" applyFont="1" applyFill="1" applyBorder="1"/>
    <xf numFmtId="0" fontId="27" fillId="2" borderId="3" xfId="51" applyFont="1" applyFill="1" applyBorder="1"/>
    <xf numFmtId="0" fontId="1" fillId="2" borderId="4" xfId="49" applyFont="1" applyFill="1" applyBorder="1"/>
    <xf numFmtId="0" fontId="1" fillId="2" borderId="5" xfId="49" applyFont="1" applyFill="1" applyBorder="1"/>
    <xf numFmtId="0" fontId="27" fillId="2" borderId="4" xfId="51" applyFont="1" applyFill="1" applyBorder="1"/>
    <xf numFmtId="0" fontId="27" fillId="2" borderId="0" xfId="51" applyFont="1" applyFill="1"/>
    <xf numFmtId="167" fontId="27" fillId="2" borderId="5" xfId="51" applyNumberFormat="1" applyFont="1" applyFill="1" applyBorder="1"/>
    <xf numFmtId="2" fontId="27" fillId="2" borderId="5" xfId="51" applyNumberFormat="1" applyFont="1" applyFill="1" applyBorder="1"/>
    <xf numFmtId="0" fontId="27" fillId="2" borderId="5" xfId="51" applyFont="1" applyFill="1" applyBorder="1"/>
    <xf numFmtId="0" fontId="27" fillId="2" borderId="7" xfId="51" applyFont="1" applyFill="1" applyBorder="1"/>
    <xf numFmtId="0" fontId="27" fillId="2" borderId="9" xfId="51" applyFont="1" applyFill="1" applyBorder="1"/>
    <xf numFmtId="0" fontId="27" fillId="2" borderId="8" xfId="51" applyFont="1" applyFill="1" applyBorder="1"/>
    <xf numFmtId="0" fontId="1" fillId="2" borderId="7" xfId="49" applyFont="1" applyFill="1" applyBorder="1"/>
    <xf numFmtId="0" fontId="1" fillId="2" borderId="8" xfId="49" applyFont="1" applyFill="1" applyBorder="1"/>
    <xf numFmtId="0" fontId="32" fillId="2" borderId="4" xfId="51" applyFont="1" applyFill="1" applyBorder="1" applyAlignment="1">
      <alignment horizontal="right"/>
    </xf>
    <xf numFmtId="0" fontId="32" fillId="2" borderId="0" xfId="51" applyFont="1" applyFill="1" applyAlignment="1">
      <alignment horizontal="right"/>
    </xf>
    <xf numFmtId="0" fontId="32" fillId="2" borderId="5" xfId="51" applyFont="1" applyFill="1" applyBorder="1" applyAlignment="1">
      <alignment horizontal="right"/>
    </xf>
    <xf numFmtId="2" fontId="27" fillId="2" borderId="4" xfId="51" applyNumberFormat="1" applyFont="1" applyFill="1" applyBorder="1"/>
    <xf numFmtId="2" fontId="27" fillId="2" borderId="0" xfId="51" applyNumberFormat="1" applyFont="1" applyFill="1"/>
    <xf numFmtId="0" fontId="45" fillId="0" borderId="0" xfId="0" applyFont="1"/>
    <xf numFmtId="0" fontId="34" fillId="2" borderId="1" xfId="48" applyFont="1" applyFill="1" applyBorder="1"/>
    <xf numFmtId="4" fontId="34" fillId="2" borderId="3" xfId="48" applyNumberFormat="1" applyFont="1" applyFill="1" applyBorder="1"/>
    <xf numFmtId="0" fontId="34" fillId="2" borderId="4" xfId="48" applyFont="1" applyFill="1" applyBorder="1"/>
    <xf numFmtId="0" fontId="34" fillId="2" borderId="5" xfId="48" applyFont="1" applyFill="1" applyBorder="1"/>
    <xf numFmtId="0" fontId="1" fillId="2" borderId="8" xfId="49" applyFont="1" applyFill="1" applyBorder="1" applyAlignment="1">
      <alignment horizontal="right"/>
    </xf>
    <xf numFmtId="0" fontId="1" fillId="2" borderId="1" xfId="0" applyFont="1" applyFill="1" applyBorder="1"/>
    <xf numFmtId="0" fontId="1" fillId="2" borderId="2" xfId="0" applyFont="1" applyFill="1" applyBorder="1"/>
    <xf numFmtId="0" fontId="1" fillId="2" borderId="3" xfId="0" applyFont="1" applyFill="1" applyBorder="1"/>
    <xf numFmtId="0" fontId="1" fillId="2" borderId="4" xfId="0" applyFont="1" applyFill="1" applyBorder="1"/>
    <xf numFmtId="0" fontId="1" fillId="2" borderId="0" xfId="0" applyFont="1" applyFill="1"/>
    <xf numFmtId="0" fontId="1" fillId="2" borderId="5" xfId="0" applyFont="1" applyFill="1" applyBorder="1"/>
    <xf numFmtId="0" fontId="1" fillId="2" borderId="7" xfId="0" applyFont="1" applyFill="1" applyBorder="1"/>
    <xf numFmtId="0" fontId="1" fillId="2" borderId="9" xfId="0" applyFont="1" applyFill="1" applyBorder="1"/>
    <xf numFmtId="0" fontId="1" fillId="2" borderId="8" xfId="0" applyFont="1" applyFill="1" applyBorder="1"/>
    <xf numFmtId="0" fontId="42" fillId="0" borderId="0" xfId="48"/>
    <xf numFmtId="2" fontId="27" fillId="2" borderId="7" xfId="51" applyNumberFormat="1" applyFont="1" applyFill="1" applyBorder="1"/>
    <xf numFmtId="2" fontId="27" fillId="2" borderId="9" xfId="51" applyNumberFormat="1" applyFont="1" applyFill="1" applyBorder="1"/>
    <xf numFmtId="2" fontId="27" fillId="2" borderId="8" xfId="51" applyNumberFormat="1" applyFont="1" applyFill="1" applyBorder="1"/>
    <xf numFmtId="0" fontId="5" fillId="6" borderId="4" xfId="45" applyFill="1" applyBorder="1" applyAlignment="1">
      <alignment horizontal="left"/>
    </xf>
    <xf numFmtId="0" fontId="27" fillId="0" borderId="7" xfId="45" applyFont="1" applyBorder="1"/>
    <xf numFmtId="168" fontId="10" fillId="10" borderId="6" xfId="45" applyNumberFormat="1" applyFont="1" applyFill="1" applyBorder="1" applyAlignment="1" applyProtection="1">
      <alignment vertical="center"/>
      <protection locked="0"/>
    </xf>
    <xf numFmtId="168" fontId="27" fillId="0" borderId="6" xfId="45" applyNumberFormat="1" applyFont="1" applyBorder="1" applyAlignment="1">
      <alignment horizontal="right" vertical="center"/>
    </xf>
    <xf numFmtId="0" fontId="47" fillId="0" borderId="0" xfId="45" applyFont="1"/>
    <xf numFmtId="0" fontId="14" fillId="3" borderId="0" xfId="42" applyFont="1" applyFill="1" applyAlignment="1">
      <alignment horizontal="center" vertical="center" wrapText="1"/>
    </xf>
    <xf numFmtId="0" fontId="19" fillId="3" borderId="1" xfId="43" applyFont="1" applyFill="1" applyBorder="1" applyAlignment="1">
      <alignment horizontal="center"/>
    </xf>
    <xf numFmtId="0" fontId="19" fillId="3" borderId="2" xfId="43" applyFont="1" applyFill="1" applyBorder="1" applyAlignment="1">
      <alignment horizontal="center"/>
    </xf>
    <xf numFmtId="0" fontId="19" fillId="3" borderId="10" xfId="43" applyFont="1" applyFill="1" applyBorder="1" applyAlignment="1">
      <alignment horizontal="center"/>
    </xf>
    <xf numFmtId="0" fontId="20" fillId="3" borderId="4" xfId="0" applyFont="1" applyFill="1" applyBorder="1" applyAlignment="1">
      <alignment horizontal="center"/>
    </xf>
    <xf numFmtId="0" fontId="20" fillId="3" borderId="0" xfId="0" applyFont="1" applyFill="1" applyAlignment="1">
      <alignment horizontal="center"/>
    </xf>
    <xf numFmtId="0" fontId="20" fillId="3" borderId="11" xfId="0" applyFont="1" applyFill="1" applyBorder="1" applyAlignment="1">
      <alignment horizontal="center"/>
    </xf>
    <xf numFmtId="0" fontId="20" fillId="3" borderId="7" xfId="0" applyFont="1" applyFill="1" applyBorder="1" applyAlignment="1">
      <alignment horizontal="center"/>
    </xf>
    <xf numFmtId="0" fontId="20" fillId="3" borderId="9" xfId="0" applyFont="1" applyFill="1" applyBorder="1" applyAlignment="1">
      <alignment horizontal="center"/>
    </xf>
    <xf numFmtId="0" fontId="20" fillId="3" borderId="12" xfId="0" applyFont="1" applyFill="1" applyBorder="1" applyAlignment="1">
      <alignment horizontal="center"/>
    </xf>
    <xf numFmtId="0" fontId="6" fillId="8" borderId="13" xfId="0" applyFont="1" applyFill="1" applyBorder="1" applyAlignment="1">
      <alignment horizontal="center"/>
    </xf>
    <xf numFmtId="0" fontId="7" fillId="8" borderId="14" xfId="0" applyFont="1" applyFill="1" applyBorder="1" applyAlignment="1">
      <alignment horizontal="center"/>
    </xf>
    <xf numFmtId="0" fontId="7" fillId="8" borderId="15" xfId="0" applyFont="1" applyFill="1" applyBorder="1" applyAlignment="1">
      <alignment horizontal="center"/>
    </xf>
    <xf numFmtId="0" fontId="24" fillId="4" borderId="6" xfId="0" applyFont="1" applyFill="1" applyBorder="1" applyAlignment="1">
      <alignment horizontal="center"/>
    </xf>
    <xf numFmtId="0" fontId="7" fillId="7" borderId="6" xfId="0" applyFont="1" applyFill="1" applyBorder="1" applyAlignment="1">
      <alignment horizontal="center"/>
    </xf>
    <xf numFmtId="0" fontId="27" fillId="0" borderId="13" xfId="45" applyFont="1" applyBorder="1" applyAlignment="1">
      <alignment horizontal="center"/>
    </xf>
    <xf numFmtId="0" fontId="27" fillId="0" borderId="14" xfId="45" applyFont="1" applyBorder="1" applyAlignment="1">
      <alignment horizontal="center"/>
    </xf>
    <xf numFmtId="0" fontId="27" fillId="0" borderId="15" xfId="45" applyFont="1" applyBorder="1" applyAlignment="1">
      <alignment horizontal="center"/>
    </xf>
    <xf numFmtId="0" fontId="31" fillId="9" borderId="13" xfId="45" applyFont="1" applyFill="1" applyBorder="1" applyAlignment="1">
      <alignment horizontal="center"/>
    </xf>
    <xf numFmtId="0" fontId="31" fillId="9" borderId="15" xfId="45" applyFont="1" applyFill="1" applyBorder="1" applyAlignment="1">
      <alignment horizontal="center"/>
    </xf>
    <xf numFmtId="0" fontId="31" fillId="9" borderId="14" xfId="45" applyFont="1" applyFill="1" applyBorder="1" applyAlignment="1">
      <alignment horizontal="center"/>
    </xf>
    <xf numFmtId="0" fontId="41" fillId="0" borderId="16" xfId="0" applyFont="1" applyBorder="1" applyAlignment="1">
      <alignment horizontal="center" vertical="center" wrapText="1"/>
    </xf>
    <xf numFmtId="0" fontId="41" fillId="0" borderId="18" xfId="0" applyFont="1" applyBorder="1" applyAlignment="1">
      <alignment horizontal="center" vertical="center" wrapText="1"/>
    </xf>
    <xf numFmtId="0" fontId="2" fillId="0" borderId="0" xfId="45" applyFont="1" applyAlignment="1">
      <alignment horizontal="center" vertical="center"/>
    </xf>
  </cellXfs>
  <cellStyles count="52">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cellStyle name="Hyperlink 2" xfId="43" xr:uid="{C380AA0A-E10B-1C43-9286-02819B081BC7}"/>
    <cellStyle name="Hyperlink 3" xfId="44" xr:uid="{57FF19BF-A785-794D-B517-6D5C3704B9CE}"/>
    <cellStyle name="Normal" xfId="0" builtinId="0"/>
    <cellStyle name="Normal 2" xfId="42" xr:uid="{0D0AB34C-A1A9-7D42-A14C-E95ACB658DC4}"/>
    <cellStyle name="Normal 3" xfId="45" xr:uid="{934401D9-1772-E94B-9738-27030F0423BC}"/>
    <cellStyle name="Normal 3 2" xfId="47" xr:uid="{9F9D0568-A42E-794E-9B51-A8DE23760DAC}"/>
    <cellStyle name="Normal 3 3" xfId="51" xr:uid="{26954825-941C-444A-808D-A9F110534172}"/>
    <cellStyle name="Normal 5 2" xfId="49" xr:uid="{917EFDD8-6D65-434E-BBD5-24036177A80A}"/>
    <cellStyle name="Normal 6 2" xfId="48" xr:uid="{E702E35E-D46C-AA40-9EFB-FF790912A33B}"/>
    <cellStyle name="Normal 7" xfId="50" xr:uid="{D09EE3DE-A284-6A48-BD2E-83867EA18F6F}"/>
    <cellStyle name="Normal_Sheet1" xfId="46" xr:uid="{49C789AB-A2E5-3D41-B8A4-436CFC62F697}"/>
  </cellStyles>
  <dxfs count="3">
    <dxf>
      <font>
        <color rgb="FF006100"/>
      </font>
      <fill>
        <patternFill>
          <bgColor rgb="FFC6EFCE"/>
        </patternFill>
      </fill>
    </dxf>
    <dxf>
      <font>
        <color rgb="FF006100"/>
      </font>
      <fill>
        <patternFill>
          <bgColor rgb="FFC6EFCE"/>
        </patternFill>
      </fill>
    </dxf>
    <dxf>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image" Target="../media/image3.jpg"/><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8011282171818074E-2"/>
          <c:y val="5.8632036667058407E-3"/>
          <c:w val="0.97273465049997587"/>
          <c:h val="0.98626932728264161"/>
        </c:manualLayout>
      </c:layout>
      <c:areaChart>
        <c:grouping val="stacked"/>
        <c:varyColors val="0"/>
        <c:ser>
          <c:idx val="2"/>
          <c:order val="0"/>
          <c:tx>
            <c:strRef>
              <c:f>Illumination!$H$8</c:f>
              <c:strCache>
                <c:ptCount val="1"/>
                <c:pt idx="0">
                  <c:v>black bottom</c:v>
                </c:pt>
              </c:strCache>
            </c:strRef>
          </c:tx>
          <c:spPr>
            <a:solidFill>
              <a:schemeClr val="tx1"/>
            </a:solidFill>
            <a:ln w="9525">
              <a:solidFill>
                <a:schemeClr val="tx1"/>
              </a:solidFill>
            </a:ln>
            <a:effectLst/>
          </c:spPr>
          <c:val>
            <c:numRef>
              <c:f>Illumination!$H$9:$H$209</c:f>
              <c:numCache>
                <c:formatCode>0.00</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0-0232-A14F-A3E7-3A0B5BA1E658}"/>
            </c:ext>
          </c:extLst>
        </c:ser>
        <c:ser>
          <c:idx val="0"/>
          <c:order val="1"/>
          <c:tx>
            <c:strRef>
              <c:f>Illumination!$I$8</c:f>
              <c:strCache>
                <c:ptCount val="1"/>
                <c:pt idx="0">
                  <c:v>transparent</c:v>
                </c:pt>
              </c:strCache>
            </c:strRef>
          </c:tx>
          <c:spPr>
            <a:noFill/>
            <a:ln w="25400">
              <a:noFill/>
            </a:ln>
            <a:effectLst/>
          </c:spPr>
          <c:val>
            <c:numRef>
              <c:f>Illumination!$I$9:$I$209</c:f>
              <c:numCache>
                <c:formatCode>0.00</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3.3212313869768195E-4</c:v>
                </c:pt>
                <c:pt idx="102">
                  <c:v>1.3291552700980258E-3</c:v>
                </c:pt>
                <c:pt idx="103">
                  <c:v>2.9930911696468554E-3</c:v>
                </c:pt>
                <c:pt idx="104">
                  <c:v>5.3272777168640317E-3</c:v>
                </c:pt>
                <c:pt idx="105">
                  <c:v>8.3364478263804331E-3</c:v>
                </c:pt>
                <c:pt idx="106">
                  <c:v>1.2026769076294408E-2</c:v>
                </c:pt>
                <c:pt idx="107">
                  <c:v>1.640590821679988E-2</c:v>
                </c:pt>
                <c:pt idx="108">
                  <c:v>2.1483113167391932E-2</c:v>
                </c:pt>
                <c:pt idx="109">
                  <c:v>2.7269314610098183E-2</c:v>
                </c:pt>
                <c:pt idx="110">
                  <c:v>3.3777249885718619E-2</c:v>
                </c:pt>
                <c:pt idx="111">
                  <c:v>4.1021612634325133E-2</c:v>
                </c:pt>
                <c:pt idx="112">
                  <c:v>4.9019232535534529E-2</c:v>
                </c:pt>
                <c:pt idx="113">
                  <c:v>5.7789290658981529E-2</c:v>
                </c:pt>
                <c:pt idx="114">
                  <c:v>6.7353577413565291E-2</c:v>
                </c:pt>
                <c:pt idx="115">
                  <c:v>7.7736801999335858E-2</c:v>
                </c:pt>
                <c:pt idx="116">
                  <c:v>8.8966964777721036E-2</c:v>
                </c:pt>
                <c:pt idx="117">
                  <c:v>0.10107580731020926</c:v>
                </c:pt>
                <c:pt idx="118">
                  <c:v>0.11409935929787596</c:v>
                </c:pt>
                <c:pt idx="119">
                  <c:v>0.12807860775948143</c:v>
                </c:pt>
                <c:pt idx="120">
                  <c:v>0.14306032222003962</c:v>
                </c:pt>
                <c:pt idx="121">
                  <c:v>0.15909808151166127</c:v>
                </c:pt>
                <c:pt idx="122">
                  <c:v>0.17625356465846642</c:v>
                </c:pt>
                <c:pt idx="123">
                  <c:v>0.19459819281605417</c:v>
                </c:pt>
                <c:pt idx="124">
                  <c:v>0.21421524553525684</c:v>
                </c:pt>
                <c:pt idx="125">
                  <c:v>0.23520262962008331</c:v>
                </c:pt>
                <c:pt idx="126">
                  <c:v>0.25767656430123231</c:v>
                </c:pt>
                <c:pt idx="127">
                  <c:v>0.28177658302448982</c:v>
                </c:pt>
                <c:pt idx="128">
                  <c:v>0.30767247761402639</c:v>
                </c:pt>
                <c:pt idx="129">
                  <c:v>0.33557419686544976</c:v>
                </c:pt>
                <c:pt idx="130">
                  <c:v>0.36574640281220983</c:v>
                </c:pt>
                <c:pt idx="131">
                  <c:v>0.39853068966315564</c:v>
                </c:pt>
                <c:pt idx="132">
                  <c:v>0.43438107787550562</c:v>
                </c:pt>
                <c:pt idx="133">
                  <c:v>0.47392402933583944</c:v>
                </c:pt>
                <c:pt idx="134">
                  <c:v>0.51806762215849134</c:v>
                </c:pt>
                <c:pt idx="135">
                  <c:v>0.5682206179419047</c:v>
                </c:pt>
                <c:pt idx="136">
                  <c:v>0.62679793571613374</c:v>
                </c:pt>
                <c:pt idx="137">
                  <c:v>0.69867317600688905</c:v>
                </c:pt>
                <c:pt idx="138">
                  <c:v>0.79754591388025853</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numCache>
            </c:numRef>
          </c:val>
          <c:extLst>
            <c:ext xmlns:c16="http://schemas.microsoft.com/office/drawing/2014/chart" uri="{C3380CC4-5D6E-409C-BE32-E72D297353CC}">
              <c16:uniqueId val="{00000001-0232-A14F-A3E7-3A0B5BA1E658}"/>
            </c:ext>
          </c:extLst>
        </c:ser>
        <c:ser>
          <c:idx val="3"/>
          <c:order val="2"/>
          <c:tx>
            <c:strRef>
              <c:f>Illumination!$J$8</c:f>
              <c:strCache>
                <c:ptCount val="1"/>
                <c:pt idx="0">
                  <c:v>black top</c:v>
                </c:pt>
              </c:strCache>
            </c:strRef>
          </c:tx>
          <c:spPr>
            <a:solidFill>
              <a:schemeClr val="tx1"/>
            </a:solidFill>
            <a:ln w="9525">
              <a:noFill/>
            </a:ln>
            <a:effectLst/>
          </c:spPr>
          <c:val>
            <c:numRef>
              <c:f>Illumination!$J$9:$J$209</c:f>
              <c:numCache>
                <c:formatCode>0.00</c:formatCode>
                <c:ptCount val="201"/>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pt idx="25">
                  <c:v>2</c:v>
                </c:pt>
                <c:pt idx="26">
                  <c:v>2</c:v>
                </c:pt>
                <c:pt idx="27">
                  <c:v>2</c:v>
                </c:pt>
                <c:pt idx="28">
                  <c:v>2</c:v>
                </c:pt>
                <c:pt idx="29">
                  <c:v>2</c:v>
                </c:pt>
                <c:pt idx="30">
                  <c:v>2</c:v>
                </c:pt>
                <c:pt idx="31">
                  <c:v>2</c:v>
                </c:pt>
                <c:pt idx="32">
                  <c:v>2</c:v>
                </c:pt>
                <c:pt idx="33">
                  <c:v>2</c:v>
                </c:pt>
                <c:pt idx="34">
                  <c:v>2</c:v>
                </c:pt>
                <c:pt idx="35">
                  <c:v>2</c:v>
                </c:pt>
                <c:pt idx="36">
                  <c:v>2</c:v>
                </c:pt>
                <c:pt idx="37">
                  <c:v>2</c:v>
                </c:pt>
                <c:pt idx="38">
                  <c:v>2</c:v>
                </c:pt>
                <c:pt idx="39">
                  <c:v>2</c:v>
                </c:pt>
                <c:pt idx="40">
                  <c:v>2</c:v>
                </c:pt>
                <c:pt idx="41">
                  <c:v>2</c:v>
                </c:pt>
                <c:pt idx="42">
                  <c:v>2</c:v>
                </c:pt>
                <c:pt idx="43">
                  <c:v>2</c:v>
                </c:pt>
                <c:pt idx="44">
                  <c:v>2</c:v>
                </c:pt>
                <c:pt idx="45">
                  <c:v>2</c:v>
                </c:pt>
                <c:pt idx="46">
                  <c:v>2</c:v>
                </c:pt>
                <c:pt idx="47">
                  <c:v>2</c:v>
                </c:pt>
                <c:pt idx="48">
                  <c:v>2</c:v>
                </c:pt>
                <c:pt idx="49">
                  <c:v>2</c:v>
                </c:pt>
                <c:pt idx="50">
                  <c:v>2</c:v>
                </c:pt>
                <c:pt idx="51">
                  <c:v>2</c:v>
                </c:pt>
                <c:pt idx="52">
                  <c:v>2</c:v>
                </c:pt>
                <c:pt idx="53">
                  <c:v>2</c:v>
                </c:pt>
                <c:pt idx="54">
                  <c:v>2</c:v>
                </c:pt>
                <c:pt idx="55">
                  <c:v>2</c:v>
                </c:pt>
                <c:pt idx="56">
                  <c:v>2</c:v>
                </c:pt>
                <c:pt idx="57">
                  <c:v>2</c:v>
                </c:pt>
                <c:pt idx="58">
                  <c:v>2</c:v>
                </c:pt>
                <c:pt idx="59">
                  <c:v>2</c:v>
                </c:pt>
                <c:pt idx="60">
                  <c:v>2</c:v>
                </c:pt>
                <c:pt idx="61">
                  <c:v>2</c:v>
                </c:pt>
                <c:pt idx="62">
                  <c:v>2</c:v>
                </c:pt>
                <c:pt idx="63">
                  <c:v>2</c:v>
                </c:pt>
                <c:pt idx="64">
                  <c:v>2</c:v>
                </c:pt>
                <c:pt idx="65">
                  <c:v>2</c:v>
                </c:pt>
                <c:pt idx="66">
                  <c:v>2</c:v>
                </c:pt>
                <c:pt idx="67">
                  <c:v>2</c:v>
                </c:pt>
                <c:pt idx="68">
                  <c:v>2</c:v>
                </c:pt>
                <c:pt idx="69">
                  <c:v>2</c:v>
                </c:pt>
                <c:pt idx="70">
                  <c:v>2</c:v>
                </c:pt>
                <c:pt idx="71">
                  <c:v>2</c:v>
                </c:pt>
                <c:pt idx="72">
                  <c:v>2</c:v>
                </c:pt>
                <c:pt idx="73">
                  <c:v>2</c:v>
                </c:pt>
                <c:pt idx="74">
                  <c:v>2</c:v>
                </c:pt>
                <c:pt idx="75">
                  <c:v>2</c:v>
                </c:pt>
                <c:pt idx="76">
                  <c:v>2</c:v>
                </c:pt>
                <c:pt idx="77">
                  <c:v>2</c:v>
                </c:pt>
                <c:pt idx="78">
                  <c:v>2</c:v>
                </c:pt>
                <c:pt idx="79">
                  <c:v>2</c:v>
                </c:pt>
                <c:pt idx="80">
                  <c:v>2</c:v>
                </c:pt>
                <c:pt idx="81">
                  <c:v>2</c:v>
                </c:pt>
                <c:pt idx="82">
                  <c:v>2</c:v>
                </c:pt>
                <c:pt idx="83">
                  <c:v>2</c:v>
                </c:pt>
                <c:pt idx="84">
                  <c:v>2</c:v>
                </c:pt>
                <c:pt idx="85">
                  <c:v>2</c:v>
                </c:pt>
                <c:pt idx="86">
                  <c:v>2</c:v>
                </c:pt>
                <c:pt idx="87">
                  <c:v>2</c:v>
                </c:pt>
                <c:pt idx="88">
                  <c:v>2</c:v>
                </c:pt>
                <c:pt idx="89">
                  <c:v>2</c:v>
                </c:pt>
                <c:pt idx="90">
                  <c:v>2</c:v>
                </c:pt>
                <c:pt idx="91">
                  <c:v>2</c:v>
                </c:pt>
                <c:pt idx="92">
                  <c:v>2</c:v>
                </c:pt>
                <c:pt idx="93">
                  <c:v>2</c:v>
                </c:pt>
                <c:pt idx="94">
                  <c:v>2</c:v>
                </c:pt>
                <c:pt idx="95">
                  <c:v>2</c:v>
                </c:pt>
                <c:pt idx="96">
                  <c:v>2</c:v>
                </c:pt>
                <c:pt idx="97">
                  <c:v>2</c:v>
                </c:pt>
                <c:pt idx="98">
                  <c:v>2</c:v>
                </c:pt>
                <c:pt idx="99">
                  <c:v>2</c:v>
                </c:pt>
                <c:pt idx="100">
                  <c:v>2</c:v>
                </c:pt>
                <c:pt idx="101">
                  <c:v>1.9993357537226046</c:v>
                </c:pt>
                <c:pt idx="102">
                  <c:v>1.9973416894598039</c:v>
                </c:pt>
                <c:pt idx="103">
                  <c:v>1.9940138176607063</c:v>
                </c:pt>
                <c:pt idx="104">
                  <c:v>1.9893454445662719</c:v>
                </c:pt>
                <c:pt idx="105">
                  <c:v>1.9833271043472391</c:v>
                </c:pt>
                <c:pt idx="106">
                  <c:v>1.9759464618474112</c:v>
                </c:pt>
                <c:pt idx="107">
                  <c:v>1.9671881835664002</c:v>
                </c:pt>
                <c:pt idx="108">
                  <c:v>1.9570337736652161</c:v>
                </c:pt>
                <c:pt idx="109">
                  <c:v>1.9454613707798036</c:v>
                </c:pt>
                <c:pt idx="110">
                  <c:v>1.9324455002285628</c:v>
                </c:pt>
                <c:pt idx="111">
                  <c:v>1.9179567747313497</c:v>
                </c:pt>
                <c:pt idx="112">
                  <c:v>1.9019615349289309</c:v>
                </c:pt>
                <c:pt idx="113">
                  <c:v>1.8844214186820369</c:v>
                </c:pt>
                <c:pt idx="114">
                  <c:v>1.8652928451728694</c:v>
                </c:pt>
                <c:pt idx="115">
                  <c:v>1.8445263960013283</c:v>
                </c:pt>
                <c:pt idx="116">
                  <c:v>1.8220660704445579</c:v>
                </c:pt>
                <c:pt idx="117">
                  <c:v>1.7978483853795815</c:v>
                </c:pt>
                <c:pt idx="118">
                  <c:v>1.7718012814042481</c:v>
                </c:pt>
                <c:pt idx="119">
                  <c:v>1.7438427844810371</c:v>
                </c:pt>
                <c:pt idx="120">
                  <c:v>1.7138793555599208</c:v>
                </c:pt>
                <c:pt idx="121">
                  <c:v>1.6818038369766775</c:v>
                </c:pt>
                <c:pt idx="122">
                  <c:v>1.6474928706830672</c:v>
                </c:pt>
                <c:pt idx="123">
                  <c:v>1.6108036143678917</c:v>
                </c:pt>
                <c:pt idx="124">
                  <c:v>1.5715695089294863</c:v>
                </c:pt>
                <c:pt idx="125">
                  <c:v>1.5295947407598334</c:v>
                </c:pt>
                <c:pt idx="126">
                  <c:v>1.4846468713975354</c:v>
                </c:pt>
                <c:pt idx="127">
                  <c:v>1.4364468339510204</c:v>
                </c:pt>
                <c:pt idx="128">
                  <c:v>1.3846550447719472</c:v>
                </c:pt>
                <c:pt idx="129">
                  <c:v>1.3288516062691005</c:v>
                </c:pt>
                <c:pt idx="130">
                  <c:v>1.2685071943755803</c:v>
                </c:pt>
                <c:pt idx="131">
                  <c:v>1.2029386206736887</c:v>
                </c:pt>
                <c:pt idx="132">
                  <c:v>1.1312378442489888</c:v>
                </c:pt>
                <c:pt idx="133">
                  <c:v>1.0521519413283211</c:v>
                </c:pt>
                <c:pt idx="134">
                  <c:v>0.96386475568301733</c:v>
                </c:pt>
                <c:pt idx="135">
                  <c:v>0.8635587641161907</c:v>
                </c:pt>
                <c:pt idx="136">
                  <c:v>0.74640412856773242</c:v>
                </c:pt>
                <c:pt idx="137">
                  <c:v>0.6026536479862219</c:v>
                </c:pt>
                <c:pt idx="138">
                  <c:v>0.40490817223948289</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2-0232-A14F-A3E7-3A0B5BA1E658}"/>
            </c:ext>
          </c:extLst>
        </c:ser>
        <c:dLbls>
          <c:showLegendKey val="0"/>
          <c:showVal val="0"/>
          <c:showCatName val="0"/>
          <c:showSerName val="0"/>
          <c:showPercent val="0"/>
          <c:showBubbleSize val="0"/>
        </c:dLbls>
        <c:axId val="239354064"/>
        <c:axId val="239352496"/>
      </c:areaChart>
      <c:catAx>
        <c:axId val="239354064"/>
        <c:scaling>
          <c:orientation val="minMax"/>
        </c:scaling>
        <c:delete val="1"/>
        <c:axPos val="b"/>
        <c:majorTickMark val="none"/>
        <c:minorTickMark val="none"/>
        <c:tickLblPos val="nextTo"/>
        <c:crossAx val="239352496"/>
        <c:crosses val="autoZero"/>
        <c:auto val="1"/>
        <c:lblAlgn val="ctr"/>
        <c:lblOffset val="100"/>
        <c:noMultiLvlLbl val="0"/>
      </c:catAx>
      <c:valAx>
        <c:axId val="239352496"/>
        <c:scaling>
          <c:orientation val="minMax"/>
          <c:max val="2"/>
          <c:min val="0"/>
        </c:scaling>
        <c:delete val="1"/>
        <c:axPos val="l"/>
        <c:numFmt formatCode="0.00" sourceLinked="1"/>
        <c:majorTickMark val="out"/>
        <c:minorTickMark val="none"/>
        <c:tickLblPos val="nextTo"/>
        <c:crossAx val="239354064"/>
        <c:crosses val="autoZero"/>
        <c:crossBetween val="midCat"/>
      </c:valAx>
      <c:spPr>
        <a:blipFill>
          <a:blip xmlns:r="http://schemas.openxmlformats.org/officeDocument/2006/relationships" r:embed="rId3"/>
          <a:stretch>
            <a:fillRect/>
          </a:stretch>
        </a:blipFill>
        <a:ln>
          <a:noFill/>
        </a:ln>
        <a:effectLst/>
      </c:spPr>
    </c:plotArea>
    <c:plotVisOnly val="0"/>
    <c:dispBlanksAs val="gap"/>
    <c:showDLblsOverMax val="0"/>
  </c:chart>
  <c:spPr>
    <a:solidFill>
      <a:schemeClr val="tx1"/>
    </a:solidFill>
    <a:ln w="9525" cap="flat" cmpd="sng" algn="ctr">
      <a:noFill/>
      <a:round/>
    </a:ln>
    <a:effectLst/>
  </c:spPr>
  <c:txPr>
    <a:bodyPr/>
    <a:lstStyle/>
    <a:p>
      <a:pPr>
        <a:defRPr/>
      </a:pPr>
      <a:endParaRPr lang="en-CH"/>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g"/><Relationship Id="rId1" Type="http://schemas.openxmlformats.org/officeDocument/2006/relationships/hyperlink" Target="https://www.astronomy-morsels.ch/morsels" TargetMode="Externa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jpeg"/><Relationship Id="rId1" Type="http://schemas.openxmlformats.org/officeDocument/2006/relationships/image" Target="../media/image4.jpeg"/><Relationship Id="rId5" Type="http://schemas.openxmlformats.org/officeDocument/2006/relationships/image" Target="../media/image8.jpg"/><Relationship Id="rId4" Type="http://schemas.openxmlformats.org/officeDocument/2006/relationships/image" Target="../media/image7.jpeg"/></Relationships>
</file>

<file path=xl/drawings/_rels/drawing4.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image" Target="../media/image10.jpeg"/><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2</xdr:col>
      <xdr:colOff>596900</xdr:colOff>
      <xdr:row>39</xdr:row>
      <xdr:rowOff>114300</xdr:rowOff>
    </xdr:from>
    <xdr:to>
      <xdr:col>9</xdr:col>
      <xdr:colOff>215900</xdr:colOff>
      <xdr:row>49</xdr:row>
      <xdr:rowOff>25400</xdr:rowOff>
    </xdr:to>
    <xdr:pic>
      <xdr:nvPicPr>
        <xdr:cNvPr id="3" name="Picture 2">
          <a:hlinkClick xmlns:r="http://schemas.openxmlformats.org/officeDocument/2006/relationships" r:id="rId1"/>
          <a:extLst>
            <a:ext uri="{FF2B5EF4-FFF2-40B4-BE49-F238E27FC236}">
              <a16:creationId xmlns:a16="http://schemas.microsoft.com/office/drawing/2014/main" id="{986149BC-8520-4C4B-E9DC-263481011423}"/>
            </a:ext>
          </a:extLst>
        </xdr:cNvPr>
        <xdr:cNvPicPr>
          <a:picLocks noChangeAspect="1"/>
        </xdr:cNvPicPr>
      </xdr:nvPicPr>
      <xdr:blipFill>
        <a:blip xmlns:r="http://schemas.openxmlformats.org/officeDocument/2006/relationships" r:embed="rId2"/>
        <a:stretch>
          <a:fillRect/>
        </a:stretch>
      </xdr:blipFill>
      <xdr:spPr>
        <a:xfrm>
          <a:off x="2247900" y="9969500"/>
          <a:ext cx="5397500" cy="1943100"/>
        </a:xfrm>
        <a:prstGeom prst="rect">
          <a:avLst/>
        </a:prstGeom>
      </xdr:spPr>
    </xdr:pic>
    <xdr:clientData/>
  </xdr:twoCellAnchor>
  <xdr:twoCellAnchor editAs="oneCell">
    <xdr:from>
      <xdr:col>2</xdr:col>
      <xdr:colOff>660400</xdr:colOff>
      <xdr:row>16</xdr:row>
      <xdr:rowOff>110414</xdr:rowOff>
    </xdr:from>
    <xdr:to>
      <xdr:col>9</xdr:col>
      <xdr:colOff>166920</xdr:colOff>
      <xdr:row>33</xdr:row>
      <xdr:rowOff>101600</xdr:rowOff>
    </xdr:to>
    <xdr:pic>
      <xdr:nvPicPr>
        <xdr:cNvPr id="4" name="Picture 3" descr="Sternwarte Planetarium SIRIUS – Blick ins Weltall">
          <a:extLst>
            <a:ext uri="{FF2B5EF4-FFF2-40B4-BE49-F238E27FC236}">
              <a16:creationId xmlns:a16="http://schemas.microsoft.com/office/drawing/2014/main" id="{7A196498-DA71-8E37-86E5-51CADE94BE6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11400" y="3463214"/>
          <a:ext cx="5285020" cy="34455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36</xdr:row>
      <xdr:rowOff>0</xdr:rowOff>
    </xdr:from>
    <xdr:to>
      <xdr:col>4</xdr:col>
      <xdr:colOff>0</xdr:colOff>
      <xdr:row>48</xdr:row>
      <xdr:rowOff>152400</xdr:rowOff>
    </xdr:to>
    <xdr:graphicFrame macro="">
      <xdr:nvGraphicFramePr>
        <xdr:cNvPr id="2" name="Chart 1">
          <a:extLst>
            <a:ext uri="{FF2B5EF4-FFF2-40B4-BE49-F238E27FC236}">
              <a16:creationId xmlns:a16="http://schemas.microsoft.com/office/drawing/2014/main" id="{5E26E6EA-9E34-F64A-AC7E-172BDACCDB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8</xdr:row>
      <xdr:rowOff>101600</xdr:rowOff>
    </xdr:from>
    <xdr:to>
      <xdr:col>0</xdr:col>
      <xdr:colOff>635000</xdr:colOff>
      <xdr:row>10</xdr:row>
      <xdr:rowOff>184896</xdr:rowOff>
    </xdr:to>
    <xdr:pic>
      <xdr:nvPicPr>
        <xdr:cNvPr id="2" name="Picture 1" hidden="1">
          <a:extLst>
            <a:ext uri="{FF2B5EF4-FFF2-40B4-BE49-F238E27FC236}">
              <a16:creationId xmlns:a16="http://schemas.microsoft.com/office/drawing/2014/main" id="{990B3394-5DEF-D248-8678-AC4637570C9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524000"/>
          <a:ext cx="635000" cy="438896"/>
        </a:xfrm>
        <a:prstGeom prst="rect">
          <a:avLst/>
        </a:prstGeom>
        <a:noFill/>
      </xdr:spPr>
    </xdr:pic>
    <xdr:clientData/>
  </xdr:twoCellAnchor>
  <xdr:twoCellAnchor editAs="oneCell">
    <xdr:from>
      <xdr:col>0</xdr:col>
      <xdr:colOff>0</xdr:colOff>
      <xdr:row>6</xdr:row>
      <xdr:rowOff>38100</xdr:rowOff>
    </xdr:from>
    <xdr:to>
      <xdr:col>0</xdr:col>
      <xdr:colOff>622426</xdr:colOff>
      <xdr:row>9</xdr:row>
      <xdr:rowOff>69850</xdr:rowOff>
    </xdr:to>
    <xdr:pic>
      <xdr:nvPicPr>
        <xdr:cNvPr id="3" name="Picture 2" hidden="1">
          <a:extLst>
            <a:ext uri="{FF2B5EF4-FFF2-40B4-BE49-F238E27FC236}">
              <a16:creationId xmlns:a16="http://schemas.microsoft.com/office/drawing/2014/main" id="{BA7FE422-73A1-8542-9610-26C0D77DC51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1104900"/>
          <a:ext cx="622426" cy="565150"/>
        </a:xfrm>
        <a:prstGeom prst="rect">
          <a:avLst/>
        </a:prstGeom>
        <a:noFill/>
      </xdr:spPr>
    </xdr:pic>
    <xdr:clientData/>
  </xdr:twoCellAnchor>
  <xdr:twoCellAnchor editAs="oneCell">
    <xdr:from>
      <xdr:col>0</xdr:col>
      <xdr:colOff>0</xdr:colOff>
      <xdr:row>6</xdr:row>
      <xdr:rowOff>38100</xdr:rowOff>
    </xdr:from>
    <xdr:to>
      <xdr:col>0</xdr:col>
      <xdr:colOff>624417</xdr:colOff>
      <xdr:row>9</xdr:row>
      <xdr:rowOff>3175</xdr:rowOff>
    </xdr:to>
    <xdr:pic>
      <xdr:nvPicPr>
        <xdr:cNvPr id="4" name="Picture 3" hidden="1">
          <a:extLst>
            <a:ext uri="{FF2B5EF4-FFF2-40B4-BE49-F238E27FC236}">
              <a16:creationId xmlns:a16="http://schemas.microsoft.com/office/drawing/2014/main" id="{86848FBF-9635-F243-B02B-2D992BD7B102}"/>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0" y="1104900"/>
          <a:ext cx="624417" cy="498475"/>
        </a:xfrm>
        <a:prstGeom prst="rect">
          <a:avLst/>
        </a:prstGeom>
        <a:noFill/>
      </xdr:spPr>
    </xdr:pic>
    <xdr:clientData/>
  </xdr:twoCellAnchor>
  <xdr:twoCellAnchor editAs="oneCell">
    <xdr:from>
      <xdr:col>0</xdr:col>
      <xdr:colOff>0</xdr:colOff>
      <xdr:row>5</xdr:row>
      <xdr:rowOff>0</xdr:rowOff>
    </xdr:from>
    <xdr:to>
      <xdr:col>1</xdr:col>
      <xdr:colOff>932329</xdr:colOff>
      <xdr:row>11</xdr:row>
      <xdr:rowOff>23906</xdr:rowOff>
    </xdr:to>
    <xdr:pic>
      <xdr:nvPicPr>
        <xdr:cNvPr id="5" name="Picture 4" hidden="1">
          <a:extLst>
            <a:ext uri="{FF2B5EF4-FFF2-40B4-BE49-F238E27FC236}">
              <a16:creationId xmlns:a16="http://schemas.microsoft.com/office/drawing/2014/main" id="{13CB0F77-CCD0-AE40-890E-544BA963DF6B}"/>
            </a:ext>
          </a:extLst>
        </xdr:cNvPr>
        <xdr:cNvPicPr>
          <a:picLocks noChangeAspect="1"/>
        </xdr:cNvPicPr>
      </xdr:nvPicPr>
      <xdr:blipFill>
        <a:blip xmlns:r="http://schemas.openxmlformats.org/officeDocument/2006/relationships" r:embed="rId4" cstate="print"/>
        <a:stretch>
          <a:fillRect/>
        </a:stretch>
      </xdr:blipFill>
      <xdr:spPr>
        <a:xfrm>
          <a:off x="0" y="889000"/>
          <a:ext cx="1757829" cy="1116106"/>
        </a:xfrm>
        <a:prstGeom prst="rect">
          <a:avLst/>
        </a:prstGeom>
      </xdr:spPr>
    </xdr:pic>
    <xdr:clientData/>
  </xdr:twoCellAnchor>
  <xdr:twoCellAnchor editAs="oneCell">
    <xdr:from>
      <xdr:col>1</xdr:col>
      <xdr:colOff>0</xdr:colOff>
      <xdr:row>9</xdr:row>
      <xdr:rowOff>50800</xdr:rowOff>
    </xdr:from>
    <xdr:to>
      <xdr:col>4</xdr:col>
      <xdr:colOff>317500</xdr:colOff>
      <xdr:row>17</xdr:row>
      <xdr:rowOff>8829</xdr:rowOff>
    </xdr:to>
    <xdr:pic>
      <xdr:nvPicPr>
        <xdr:cNvPr id="6" name="Picture 5">
          <a:extLst>
            <a:ext uri="{FF2B5EF4-FFF2-40B4-BE49-F238E27FC236}">
              <a16:creationId xmlns:a16="http://schemas.microsoft.com/office/drawing/2014/main" id="{E239EE92-8D69-2141-90E0-B15A7739786D}"/>
            </a:ext>
          </a:extLst>
        </xdr:cNvPr>
        <xdr:cNvPicPr>
          <a:picLocks noChangeAspect="1"/>
        </xdr:cNvPicPr>
      </xdr:nvPicPr>
      <xdr:blipFill>
        <a:blip xmlns:r="http://schemas.openxmlformats.org/officeDocument/2006/relationships" r:embed="rId5"/>
        <a:stretch>
          <a:fillRect/>
        </a:stretch>
      </xdr:blipFill>
      <xdr:spPr>
        <a:xfrm>
          <a:off x="825500" y="1651000"/>
          <a:ext cx="3746500" cy="1558229"/>
        </a:xfrm>
        <a:prstGeom prst="rect">
          <a:avLst/>
        </a:prstGeom>
        <a:ln>
          <a:solidFill>
            <a:schemeClr val="tx1"/>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12699</xdr:colOff>
      <xdr:row>40</xdr:row>
      <xdr:rowOff>76200</xdr:rowOff>
    </xdr:from>
    <xdr:to>
      <xdr:col>17</xdr:col>
      <xdr:colOff>816576</xdr:colOff>
      <xdr:row>87</xdr:row>
      <xdr:rowOff>38100</xdr:rowOff>
    </xdr:to>
    <xdr:pic>
      <xdr:nvPicPr>
        <xdr:cNvPr id="2" name="Picture 1" descr="Sternwarte - Sternwarte Planetarium SIRIUS">
          <a:extLst>
            <a:ext uri="{FF2B5EF4-FFF2-40B4-BE49-F238E27FC236}">
              <a16:creationId xmlns:a16="http://schemas.microsoft.com/office/drawing/2014/main" id="{AD4291C6-4464-604B-8504-E1A249327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199" y="7696200"/>
          <a:ext cx="14011877" cy="8915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825499</xdr:colOff>
      <xdr:row>1</xdr:row>
      <xdr:rowOff>0</xdr:rowOff>
    </xdr:from>
    <xdr:to>
      <xdr:col>17</xdr:col>
      <xdr:colOff>812800</xdr:colOff>
      <xdr:row>39</xdr:row>
      <xdr:rowOff>63500</xdr:rowOff>
    </xdr:to>
    <xdr:pic>
      <xdr:nvPicPr>
        <xdr:cNvPr id="3" name="Picture 2" descr="Über uns - Sternwarte Planetarium SIRIUS">
          <a:extLst>
            <a:ext uri="{FF2B5EF4-FFF2-40B4-BE49-F238E27FC236}">
              <a16:creationId xmlns:a16="http://schemas.microsoft.com/office/drawing/2014/main" id="{A1884A17-BA0B-448C-046F-5E3DD4FEFA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5499" y="190500"/>
          <a:ext cx="14020801" cy="730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88</xdr:row>
      <xdr:rowOff>76200</xdr:rowOff>
    </xdr:from>
    <xdr:to>
      <xdr:col>18</xdr:col>
      <xdr:colOff>6350</xdr:colOff>
      <xdr:row>137</xdr:row>
      <xdr:rowOff>101600</xdr:rowOff>
    </xdr:to>
    <xdr:pic>
      <xdr:nvPicPr>
        <xdr:cNvPr id="4" name="Picture 3" descr="Sternwarte Planetarium SIRIUS – Blick ins Weltall">
          <a:extLst>
            <a:ext uri="{FF2B5EF4-FFF2-40B4-BE49-F238E27FC236}">
              <a16:creationId xmlns:a16="http://schemas.microsoft.com/office/drawing/2014/main" id="{62C22877-8A04-0212-6139-9B7351F0320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25500" y="16840200"/>
          <a:ext cx="14039850" cy="9359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astronomy-morsels.ch/" TargetMode="External"/><Relationship Id="rId1" Type="http://schemas.openxmlformats.org/officeDocument/2006/relationships/hyperlink" Target="mailto:anton@astronomy-morsels.ch?subject=Eclipse%20Data"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sternwarte-planetarium.ch/veranstaltungen/"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B940F-4CFD-5843-94DF-BBFEAA1B2116}">
  <sheetPr codeName="Sheet4"/>
  <dimension ref="A2:K38"/>
  <sheetViews>
    <sheetView showGridLines="0" tabSelected="1" topLeftCell="A10" workbookViewId="0">
      <selection activeCell="I16" sqref="I16"/>
    </sheetView>
  </sheetViews>
  <sheetFormatPr baseColWidth="10" defaultRowHeight="16"/>
  <cols>
    <col min="1" max="16384" width="10.83203125" style="13"/>
  </cols>
  <sheetData>
    <row r="2" spans="2:11" ht="15" customHeight="1"/>
    <row r="3" spans="2:11" ht="16" customHeight="1">
      <c r="B3" s="200" t="s">
        <v>607</v>
      </c>
      <c r="C3" s="200"/>
      <c r="D3" s="200"/>
      <c r="E3" s="200"/>
      <c r="F3" s="200"/>
      <c r="G3" s="200"/>
      <c r="H3" s="200"/>
      <c r="I3" s="200"/>
      <c r="J3" s="200"/>
      <c r="K3" s="200"/>
    </row>
    <row r="4" spans="2:11" ht="16" customHeight="1">
      <c r="B4" s="200"/>
      <c r="C4" s="200"/>
      <c r="D4" s="200"/>
      <c r="E4" s="200"/>
      <c r="F4" s="200"/>
      <c r="G4" s="200"/>
      <c r="H4" s="200"/>
      <c r="I4" s="200"/>
      <c r="J4" s="200"/>
      <c r="K4" s="200"/>
    </row>
    <row r="5" spans="2:11" ht="16" customHeight="1">
      <c r="B5" s="200"/>
      <c r="C5" s="200"/>
      <c r="D5" s="200"/>
      <c r="E5" s="200"/>
      <c r="F5" s="200"/>
      <c r="G5" s="200"/>
      <c r="H5" s="200"/>
      <c r="I5" s="200"/>
      <c r="J5" s="200"/>
      <c r="K5" s="200"/>
    </row>
    <row r="6" spans="2:11" ht="16" customHeight="1">
      <c r="B6" s="200"/>
      <c r="C6" s="200"/>
      <c r="D6" s="200"/>
      <c r="E6" s="200"/>
      <c r="F6" s="200"/>
      <c r="G6" s="200"/>
      <c r="H6" s="200"/>
      <c r="I6" s="200"/>
      <c r="J6" s="200"/>
      <c r="K6" s="200"/>
    </row>
    <row r="7" spans="2:11" ht="16" customHeight="1">
      <c r="B7" s="200"/>
      <c r="C7" s="200"/>
      <c r="D7" s="200"/>
      <c r="E7" s="200"/>
      <c r="F7" s="200"/>
      <c r="G7" s="200"/>
      <c r="H7" s="200"/>
      <c r="I7" s="200"/>
      <c r="J7" s="200"/>
      <c r="K7" s="200"/>
    </row>
    <row r="8" spans="2:11" ht="16" customHeight="1">
      <c r="B8" s="200"/>
      <c r="C8" s="200"/>
      <c r="D8" s="200"/>
      <c r="E8" s="200"/>
      <c r="F8" s="200"/>
      <c r="G8" s="200"/>
      <c r="H8" s="200"/>
      <c r="I8" s="200"/>
      <c r="J8" s="200"/>
      <c r="K8" s="200"/>
    </row>
    <row r="9" spans="2:11" ht="16" customHeight="1">
      <c r="B9" s="200"/>
      <c r="C9" s="200"/>
      <c r="D9" s="200"/>
      <c r="E9" s="200"/>
      <c r="F9" s="200"/>
      <c r="G9" s="200"/>
      <c r="H9" s="200"/>
      <c r="I9" s="200"/>
      <c r="J9" s="200"/>
      <c r="K9" s="200"/>
    </row>
    <row r="13" spans="2:11" ht="19">
      <c r="D13" s="1" t="s">
        <v>4</v>
      </c>
      <c r="E13" s="2"/>
      <c r="F13" s="3"/>
      <c r="G13" s="3"/>
      <c r="H13" s="3"/>
      <c r="I13" s="4" t="s">
        <v>0</v>
      </c>
    </row>
    <row r="14" spans="2:11" ht="19">
      <c r="D14" s="5"/>
      <c r="E14" s="6"/>
      <c r="F14" s="7"/>
      <c r="G14" s="7"/>
      <c r="H14" s="7"/>
      <c r="I14" s="8"/>
    </row>
    <row r="15" spans="2:11" ht="19">
      <c r="D15" s="9" t="s">
        <v>577</v>
      </c>
      <c r="E15" s="10"/>
      <c r="F15" s="11"/>
      <c r="G15" s="11"/>
      <c r="H15" s="11"/>
      <c r="I15" s="12" t="s">
        <v>838</v>
      </c>
    </row>
    <row r="21" spans="3:7">
      <c r="C21" s="14"/>
    </row>
    <row r="23" spans="3:7">
      <c r="G23" s="14"/>
    </row>
    <row r="24" spans="3:7">
      <c r="D24" s="14"/>
    </row>
    <row r="35" spans="1:11">
      <c r="A35" s="14"/>
    </row>
    <row r="36" spans="1:11">
      <c r="B36" s="201" t="s">
        <v>1</v>
      </c>
      <c r="C36" s="202"/>
      <c r="D36" s="202"/>
      <c r="E36" s="202"/>
      <c r="F36" s="202"/>
      <c r="G36" s="202"/>
      <c r="H36" s="202"/>
      <c r="I36" s="202"/>
      <c r="J36" s="202"/>
      <c r="K36" s="203"/>
    </row>
    <row r="37" spans="1:11">
      <c r="B37" s="204" t="s">
        <v>2</v>
      </c>
      <c r="C37" s="205"/>
      <c r="D37" s="205"/>
      <c r="E37" s="205"/>
      <c r="F37" s="205"/>
      <c r="G37" s="205"/>
      <c r="H37" s="205"/>
      <c r="I37" s="205"/>
      <c r="J37" s="205"/>
      <c r="K37" s="206"/>
    </row>
    <row r="38" spans="1:11">
      <c r="B38" s="207" t="s">
        <v>3</v>
      </c>
      <c r="C38" s="208"/>
      <c r="D38" s="208"/>
      <c r="E38" s="208"/>
      <c r="F38" s="208"/>
      <c r="G38" s="208"/>
      <c r="H38" s="208"/>
      <c r="I38" s="208"/>
      <c r="J38" s="208"/>
      <c r="K38" s="209"/>
    </row>
  </sheetData>
  <sheetProtection sheet="1" objects="1" scenarios="1"/>
  <mergeCells count="4">
    <mergeCell ref="B3:K9"/>
    <mergeCell ref="B36:K36"/>
    <mergeCell ref="B37:K37"/>
    <mergeCell ref="B38:K38"/>
  </mergeCells>
  <hyperlinks>
    <hyperlink ref="I13" r:id="rId1" xr:uid="{60E68FAD-CE54-204D-BE8F-AA8992F34899}"/>
    <hyperlink ref="B36" r:id="rId2" display="http://www.astronomy-morsels.ch/" xr:uid="{658673F1-EC19-9849-A093-CD89D563BEA6}"/>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C9C28-6BB3-FB4B-AA7F-57563878545B}">
  <dimension ref="A1:S293"/>
  <sheetViews>
    <sheetView showGridLines="0" workbookViewId="0">
      <selection activeCell="R103" sqref="R103"/>
    </sheetView>
  </sheetViews>
  <sheetFormatPr baseColWidth="10" defaultRowHeight="15"/>
  <cols>
    <col min="2" max="4" width="11.83203125" customWidth="1"/>
    <col min="6" max="8" width="11.83203125" customWidth="1"/>
    <col min="10" max="12" width="11.83203125" customWidth="1"/>
    <col min="14" max="15" width="10.83203125" style="15"/>
    <col min="16" max="17" width="10.83203125" style="45"/>
    <col min="18" max="18" width="40.83203125" style="15" customWidth="1"/>
  </cols>
  <sheetData>
    <row r="1" spans="1:19" s="18" customFormat="1" ht="16" customHeight="1">
      <c r="N1" s="42"/>
      <c r="O1" s="42"/>
      <c r="P1" s="44"/>
      <c r="Q1" s="44"/>
      <c r="R1" s="42"/>
    </row>
    <row r="2" spans="1:19" s="18" customFormat="1" ht="16" customHeight="1">
      <c r="B2" s="28" t="s">
        <v>687</v>
      </c>
      <c r="C2" s="29" t="s">
        <v>688</v>
      </c>
      <c r="D2" s="30"/>
      <c r="N2" s="42"/>
      <c r="O2" s="42"/>
      <c r="P2" s="44"/>
      <c r="Q2" s="44"/>
      <c r="R2" s="42"/>
    </row>
    <row r="3" spans="1:19" s="18" customFormat="1" ht="16" customHeight="1">
      <c r="B3" s="31"/>
      <c r="C3" s="32"/>
      <c r="D3" s="33"/>
      <c r="N3" s="42"/>
      <c r="O3" s="42"/>
      <c r="P3" s="44"/>
      <c r="Q3" s="44"/>
      <c r="R3" s="42"/>
    </row>
    <row r="4" spans="1:19" s="18" customFormat="1" ht="16" customHeight="1">
      <c r="B4" s="31" t="s">
        <v>690</v>
      </c>
      <c r="C4" s="34" t="s">
        <v>691</v>
      </c>
      <c r="D4" s="33"/>
      <c r="N4" s="42"/>
      <c r="O4" s="42"/>
      <c r="P4" s="44"/>
      <c r="Q4" s="44"/>
      <c r="R4" s="42"/>
    </row>
    <row r="5" spans="1:19" s="18" customFormat="1" ht="16" customHeight="1">
      <c r="B5" s="35" t="s">
        <v>689</v>
      </c>
      <c r="C5" s="36" t="s">
        <v>692</v>
      </c>
      <c r="D5" s="37"/>
      <c r="N5" s="42"/>
      <c r="O5" s="42"/>
      <c r="P5" s="44"/>
      <c r="Q5" s="44"/>
      <c r="R5" s="42"/>
    </row>
    <row r="6" spans="1:19" s="18" customFormat="1" ht="16" customHeight="1">
      <c r="N6" s="42"/>
      <c r="O6" s="42"/>
      <c r="P6" s="44"/>
      <c r="Q6" s="44"/>
      <c r="R6" s="42"/>
    </row>
    <row r="7" spans="1:19" s="18" customFormat="1" ht="16" customHeight="1">
      <c r="B7" s="210" t="s">
        <v>695</v>
      </c>
      <c r="C7" s="211"/>
      <c r="D7" s="211"/>
      <c r="E7" s="211"/>
      <c r="F7" s="211"/>
      <c r="G7" s="211"/>
      <c r="H7" s="211"/>
      <c r="I7" s="211"/>
      <c r="J7" s="211"/>
      <c r="K7" s="211"/>
      <c r="L7" s="212"/>
      <c r="N7" s="49" t="s">
        <v>29</v>
      </c>
      <c r="O7" s="49" t="s">
        <v>23</v>
      </c>
      <c r="P7" s="50" t="s">
        <v>696</v>
      </c>
      <c r="Q7" s="58" t="s">
        <v>697</v>
      </c>
      <c r="R7" s="27" t="s">
        <v>703</v>
      </c>
      <c r="S7" s="58" t="s">
        <v>745</v>
      </c>
    </row>
    <row r="8" spans="1:19" s="18" customFormat="1" ht="16" customHeight="1">
      <c r="N8" s="46" t="s">
        <v>647</v>
      </c>
      <c r="O8" s="46" t="s">
        <v>55</v>
      </c>
      <c r="P8" s="57">
        <v>19.510000000000002</v>
      </c>
      <c r="Q8" s="51">
        <v>27.96</v>
      </c>
      <c r="R8" s="59" t="s">
        <v>758</v>
      </c>
      <c r="S8" s="63">
        <v>3.1</v>
      </c>
    </row>
    <row r="9" spans="1:19" s="18" customFormat="1" ht="16" customHeight="1">
      <c r="B9" s="213" t="s">
        <v>24</v>
      </c>
      <c r="C9" s="213"/>
      <c r="D9" s="213"/>
      <c r="F9" s="213" t="s">
        <v>25</v>
      </c>
      <c r="G9" s="213"/>
      <c r="H9" s="213"/>
      <c r="J9" s="213" t="s">
        <v>26</v>
      </c>
      <c r="K9" s="213"/>
      <c r="L9" s="213"/>
      <c r="N9" s="46" t="s">
        <v>42</v>
      </c>
      <c r="O9" s="46" t="s">
        <v>55</v>
      </c>
      <c r="P9" s="57">
        <v>2.0699999999999998</v>
      </c>
      <c r="Q9" s="51">
        <v>42.33</v>
      </c>
      <c r="R9" s="59" t="s">
        <v>759</v>
      </c>
      <c r="S9" s="63">
        <v>2.2999999999999998</v>
      </c>
    </row>
    <row r="10" spans="1:19" s="18" customFormat="1" ht="16" customHeight="1">
      <c r="B10" s="214" t="s">
        <v>622</v>
      </c>
      <c r="C10" s="214"/>
      <c r="D10" s="214"/>
      <c r="F10" s="214" t="s">
        <v>622</v>
      </c>
      <c r="G10" s="214"/>
      <c r="H10" s="214"/>
      <c r="J10" s="214" t="s">
        <v>622</v>
      </c>
      <c r="K10" s="214"/>
      <c r="L10" s="214"/>
      <c r="N10" s="46" t="s">
        <v>589</v>
      </c>
      <c r="O10" s="46" t="s">
        <v>55</v>
      </c>
      <c r="P10" s="57">
        <v>6.48</v>
      </c>
      <c r="Q10" s="51">
        <v>-7.03</v>
      </c>
      <c r="R10" s="47" t="s">
        <v>760</v>
      </c>
      <c r="S10" s="63">
        <v>4.5999999999999996</v>
      </c>
    </row>
    <row r="11" spans="1:19" s="18" customFormat="1" ht="16" customHeight="1">
      <c r="B11" s="19" t="s">
        <v>29</v>
      </c>
      <c r="C11" s="20" t="s">
        <v>23</v>
      </c>
      <c r="D11" s="20" t="s">
        <v>37</v>
      </c>
      <c r="F11" s="19" t="s">
        <v>29</v>
      </c>
      <c r="G11" s="20" t="s">
        <v>23</v>
      </c>
      <c r="H11" s="20" t="s">
        <v>37</v>
      </c>
      <c r="J11" s="19" t="s">
        <v>29</v>
      </c>
      <c r="K11" s="20" t="s">
        <v>23</v>
      </c>
      <c r="L11" s="20" t="s">
        <v>37</v>
      </c>
      <c r="N11" s="46" t="s">
        <v>610</v>
      </c>
      <c r="O11" s="46" t="s">
        <v>55</v>
      </c>
      <c r="P11" s="57">
        <v>7.58</v>
      </c>
      <c r="Q11" s="51">
        <v>31.89</v>
      </c>
      <c r="R11" s="48"/>
      <c r="S11" s="63">
        <v>1.5</v>
      </c>
    </row>
    <row r="12" spans="1:19" s="18" customFormat="1" ht="16" customHeight="1">
      <c r="B12" s="22" t="s">
        <v>38</v>
      </c>
      <c r="C12" s="23" t="s">
        <v>53</v>
      </c>
      <c r="D12" s="23" t="s">
        <v>58</v>
      </c>
      <c r="F12" s="22" t="s">
        <v>40</v>
      </c>
      <c r="G12" s="23" t="s">
        <v>602</v>
      </c>
      <c r="H12" s="23" t="s">
        <v>65</v>
      </c>
      <c r="J12" s="22" t="s">
        <v>40</v>
      </c>
      <c r="K12" s="23" t="s">
        <v>602</v>
      </c>
      <c r="L12" s="23" t="s">
        <v>65</v>
      </c>
      <c r="N12" s="46" t="s">
        <v>44</v>
      </c>
      <c r="O12" s="46" t="s">
        <v>55</v>
      </c>
      <c r="P12" s="57">
        <v>1.91</v>
      </c>
      <c r="Q12" s="51">
        <v>19.29</v>
      </c>
      <c r="R12" s="48" t="s">
        <v>761</v>
      </c>
      <c r="S12" s="63">
        <v>4.8</v>
      </c>
    </row>
    <row r="13" spans="1:19" s="18" customFormat="1" ht="16" customHeight="1">
      <c r="B13" s="22" t="s">
        <v>40</v>
      </c>
      <c r="C13" s="23" t="s">
        <v>602</v>
      </c>
      <c r="D13" s="23" t="s">
        <v>65</v>
      </c>
      <c r="F13" s="22" t="s">
        <v>587</v>
      </c>
      <c r="G13" s="23" t="s">
        <v>606</v>
      </c>
      <c r="H13" s="23" t="s">
        <v>350</v>
      </c>
      <c r="J13" s="22" t="s">
        <v>609</v>
      </c>
      <c r="K13" s="23" t="s">
        <v>53</v>
      </c>
      <c r="L13" s="23" t="s">
        <v>621</v>
      </c>
      <c r="N13" s="46" t="s">
        <v>673</v>
      </c>
      <c r="O13" s="46" t="s">
        <v>55</v>
      </c>
      <c r="P13" s="57">
        <v>20.94</v>
      </c>
      <c r="Q13" s="51">
        <v>31.716666666666665</v>
      </c>
      <c r="R13" s="48" t="s">
        <v>762</v>
      </c>
      <c r="S13" s="63">
        <v>5.0999999999999996</v>
      </c>
    </row>
    <row r="14" spans="1:19" s="18" customFormat="1" ht="16" customHeight="1">
      <c r="A14" s="24"/>
      <c r="B14" s="22" t="s">
        <v>41</v>
      </c>
      <c r="C14" s="23" t="s">
        <v>53</v>
      </c>
      <c r="D14" s="23" t="s">
        <v>58</v>
      </c>
      <c r="F14" s="22" t="s">
        <v>588</v>
      </c>
      <c r="G14" s="23" t="s">
        <v>56</v>
      </c>
      <c r="H14" s="23" t="s">
        <v>458</v>
      </c>
      <c r="J14" s="22" t="s">
        <v>588</v>
      </c>
      <c r="K14" s="23" t="s">
        <v>56</v>
      </c>
      <c r="L14" s="23" t="s">
        <v>458</v>
      </c>
      <c r="N14" s="46" t="s">
        <v>627</v>
      </c>
      <c r="O14" s="46" t="s">
        <v>55</v>
      </c>
      <c r="P14" s="57">
        <v>13.4</v>
      </c>
      <c r="Q14" s="51">
        <v>54.93</v>
      </c>
      <c r="R14" s="48" t="s">
        <v>763</v>
      </c>
      <c r="S14" s="63">
        <v>-0.1</v>
      </c>
    </row>
    <row r="15" spans="1:19" s="18" customFormat="1" ht="16" customHeight="1">
      <c r="B15" s="22" t="s">
        <v>42</v>
      </c>
      <c r="C15" s="23" t="s">
        <v>55</v>
      </c>
      <c r="D15" s="23" t="s">
        <v>58</v>
      </c>
      <c r="F15" s="22" t="s">
        <v>589</v>
      </c>
      <c r="G15" s="23" t="s">
        <v>55</v>
      </c>
      <c r="H15" s="23" t="s">
        <v>388</v>
      </c>
      <c r="J15" s="22" t="s">
        <v>589</v>
      </c>
      <c r="K15" s="23" t="s">
        <v>55</v>
      </c>
      <c r="L15" s="23" t="s">
        <v>388</v>
      </c>
      <c r="N15" s="46" t="s">
        <v>43</v>
      </c>
      <c r="O15" s="46" t="s">
        <v>55</v>
      </c>
      <c r="P15" s="57">
        <v>2.52</v>
      </c>
      <c r="Q15" s="51">
        <v>67.510000000000005</v>
      </c>
      <c r="R15" s="48" t="s">
        <v>764</v>
      </c>
      <c r="S15" s="63">
        <v>4.5</v>
      </c>
    </row>
    <row r="16" spans="1:19" s="18" customFormat="1" ht="16" customHeight="1">
      <c r="B16" s="25" t="s">
        <v>43</v>
      </c>
      <c r="C16" s="26" t="s">
        <v>55</v>
      </c>
      <c r="D16" s="26" t="s">
        <v>60</v>
      </c>
      <c r="F16" s="25" t="s">
        <v>38</v>
      </c>
      <c r="G16" s="26" t="s">
        <v>53</v>
      </c>
      <c r="H16" s="26" t="s">
        <v>58</v>
      </c>
      <c r="J16" s="25" t="s">
        <v>610</v>
      </c>
      <c r="K16" s="26" t="s">
        <v>55</v>
      </c>
      <c r="L16" s="26" t="s">
        <v>296</v>
      </c>
      <c r="N16" s="46" t="s">
        <v>642</v>
      </c>
      <c r="O16" s="46" t="s">
        <v>55</v>
      </c>
      <c r="P16" s="57">
        <v>14.77</v>
      </c>
      <c r="Q16" s="51">
        <v>26.97</v>
      </c>
      <c r="R16" s="48" t="s">
        <v>765</v>
      </c>
      <c r="S16" s="63">
        <v>2.4</v>
      </c>
    </row>
    <row r="17" spans="2:19" s="18" customFormat="1" ht="16" customHeight="1">
      <c r="B17" s="25" t="s">
        <v>44</v>
      </c>
      <c r="C17" s="26" t="s">
        <v>55</v>
      </c>
      <c r="D17" s="26" t="s">
        <v>61</v>
      </c>
      <c r="F17" s="25" t="s">
        <v>42</v>
      </c>
      <c r="G17" s="26" t="s">
        <v>55</v>
      </c>
      <c r="H17" s="26" t="s">
        <v>58</v>
      </c>
      <c r="J17" s="25" t="s">
        <v>611</v>
      </c>
      <c r="K17" s="26" t="s">
        <v>53</v>
      </c>
      <c r="L17" s="26" t="s">
        <v>543</v>
      </c>
      <c r="N17" s="46" t="s">
        <v>636</v>
      </c>
      <c r="O17" s="46" t="s">
        <v>55</v>
      </c>
      <c r="P17" s="57">
        <v>13.43</v>
      </c>
      <c r="Q17" s="51">
        <v>54.8</v>
      </c>
      <c r="R17" s="48"/>
      <c r="S17" s="63">
        <v>0.3</v>
      </c>
    </row>
    <row r="18" spans="2:19" s="18" customFormat="1" ht="16" customHeight="1">
      <c r="B18" s="25" t="s">
        <v>39</v>
      </c>
      <c r="C18" s="26" t="s">
        <v>53</v>
      </c>
      <c r="D18" s="26" t="s">
        <v>58</v>
      </c>
      <c r="F18" s="25" t="s">
        <v>51</v>
      </c>
      <c r="G18" s="26" t="s">
        <v>57</v>
      </c>
      <c r="H18" s="26" t="s">
        <v>596</v>
      </c>
      <c r="J18" s="25" t="s">
        <v>612</v>
      </c>
      <c r="K18" s="26" t="s">
        <v>53</v>
      </c>
      <c r="L18" s="26" t="s">
        <v>621</v>
      </c>
      <c r="N18" s="46" t="s">
        <v>648</v>
      </c>
      <c r="O18" s="46" t="s">
        <v>55</v>
      </c>
      <c r="P18" s="57">
        <v>17.260000000000002</v>
      </c>
      <c r="Q18" s="51">
        <v>14.36</v>
      </c>
      <c r="R18" s="48" t="s">
        <v>766</v>
      </c>
      <c r="S18" s="63">
        <v>-2.2999999999999998</v>
      </c>
    </row>
    <row r="19" spans="2:19" s="18" customFormat="1" ht="16" customHeight="1">
      <c r="B19" s="25" t="s">
        <v>45</v>
      </c>
      <c r="C19" s="26" t="s">
        <v>53</v>
      </c>
      <c r="D19" s="26" t="s">
        <v>62</v>
      </c>
      <c r="F19" s="25" t="s">
        <v>50</v>
      </c>
      <c r="G19" s="26" t="s">
        <v>597</v>
      </c>
      <c r="H19" s="26" t="s">
        <v>68</v>
      </c>
      <c r="J19" s="25" t="s">
        <v>613</v>
      </c>
      <c r="K19" s="26" t="s">
        <v>597</v>
      </c>
      <c r="L19" s="26" t="s">
        <v>144</v>
      </c>
      <c r="N19" s="46" t="s">
        <v>11</v>
      </c>
      <c r="O19" s="46" t="s">
        <v>55</v>
      </c>
      <c r="P19" s="57">
        <v>5.26</v>
      </c>
      <c r="Q19" s="51">
        <v>-8.17</v>
      </c>
      <c r="R19" s="48"/>
      <c r="S19" s="63">
        <v>-7.8</v>
      </c>
    </row>
    <row r="20" spans="2:19" s="18" customFormat="1" ht="16" customHeight="1">
      <c r="B20" s="25" t="s">
        <v>46</v>
      </c>
      <c r="C20" s="26" t="s">
        <v>53</v>
      </c>
      <c r="D20" s="26" t="s">
        <v>63</v>
      </c>
      <c r="F20" s="25" t="s">
        <v>590</v>
      </c>
      <c r="G20" s="26" t="s">
        <v>597</v>
      </c>
      <c r="H20" s="26" t="s">
        <v>388</v>
      </c>
      <c r="J20" s="25" t="s">
        <v>614</v>
      </c>
      <c r="K20" s="26" t="s">
        <v>56</v>
      </c>
      <c r="L20" s="26" t="s">
        <v>543</v>
      </c>
      <c r="N20" s="46" t="s">
        <v>51</v>
      </c>
      <c r="O20" s="46" t="s">
        <v>57</v>
      </c>
      <c r="P20" s="57">
        <v>5.58</v>
      </c>
      <c r="Q20" s="51">
        <v>22.17</v>
      </c>
      <c r="R20" s="59" t="s">
        <v>704</v>
      </c>
      <c r="S20" s="63">
        <v>8.4</v>
      </c>
    </row>
    <row r="21" spans="2:19" s="18" customFormat="1" ht="16" customHeight="1">
      <c r="B21" s="25" t="s">
        <v>47</v>
      </c>
      <c r="C21" s="26" t="s">
        <v>56</v>
      </c>
      <c r="D21" s="26" t="s">
        <v>64</v>
      </c>
      <c r="F21" s="25" t="s">
        <v>52</v>
      </c>
      <c r="G21" s="26" t="s">
        <v>54</v>
      </c>
      <c r="H21" s="26" t="s">
        <v>65</v>
      </c>
      <c r="J21" s="25" t="s">
        <v>594</v>
      </c>
      <c r="K21" s="26" t="s">
        <v>56</v>
      </c>
      <c r="L21" s="26" t="s">
        <v>296</v>
      </c>
      <c r="N21" s="46" t="s">
        <v>631</v>
      </c>
      <c r="O21" s="46" t="s">
        <v>606</v>
      </c>
      <c r="P21" s="57">
        <v>13.7</v>
      </c>
      <c r="Q21" s="51">
        <v>28.38</v>
      </c>
      <c r="R21" s="48"/>
      <c r="S21" s="63">
        <v>6.2</v>
      </c>
    </row>
    <row r="22" spans="2:19" s="18" customFormat="1" ht="16" customHeight="1">
      <c r="B22" s="25" t="s">
        <v>48</v>
      </c>
      <c r="C22" s="26" t="s">
        <v>56</v>
      </c>
      <c r="D22" s="26" t="s">
        <v>66</v>
      </c>
      <c r="F22" s="25" t="s">
        <v>591</v>
      </c>
      <c r="G22" s="26" t="s">
        <v>597</v>
      </c>
      <c r="H22" s="26" t="s">
        <v>388</v>
      </c>
      <c r="J22" s="25" t="s">
        <v>615</v>
      </c>
      <c r="K22" s="26" t="s">
        <v>56</v>
      </c>
      <c r="L22" s="26" t="s">
        <v>317</v>
      </c>
      <c r="N22" s="46" t="s">
        <v>662</v>
      </c>
      <c r="O22" s="46" t="s">
        <v>606</v>
      </c>
      <c r="P22" s="57">
        <v>16.39</v>
      </c>
      <c r="Q22" s="51">
        <v>-26.53</v>
      </c>
      <c r="R22" s="59" t="s">
        <v>705</v>
      </c>
      <c r="S22" s="63">
        <v>5.6</v>
      </c>
    </row>
    <row r="23" spans="2:19" s="18" customFormat="1" ht="16" customHeight="1">
      <c r="B23" s="25" t="s">
        <v>49</v>
      </c>
      <c r="C23" s="26" t="s">
        <v>56</v>
      </c>
      <c r="D23" s="26" t="s">
        <v>67</v>
      </c>
      <c r="F23" s="25" t="s">
        <v>592</v>
      </c>
      <c r="G23" s="26" t="s">
        <v>602</v>
      </c>
      <c r="H23" s="26" t="s">
        <v>388</v>
      </c>
      <c r="J23" s="25" t="s">
        <v>616</v>
      </c>
      <c r="K23" s="26" t="s">
        <v>53</v>
      </c>
      <c r="L23" s="26" t="s">
        <v>510</v>
      </c>
      <c r="N23" s="46" t="s">
        <v>693</v>
      </c>
      <c r="O23" s="46" t="s">
        <v>56</v>
      </c>
      <c r="P23" s="57">
        <v>15.31</v>
      </c>
      <c r="Q23" s="51">
        <v>2.08</v>
      </c>
      <c r="R23" s="59" t="s">
        <v>706</v>
      </c>
      <c r="S23" s="63">
        <v>5.6</v>
      </c>
    </row>
    <row r="24" spans="2:19" s="18" customFormat="1" ht="16" customHeight="1">
      <c r="B24" s="25" t="s">
        <v>50</v>
      </c>
      <c r="C24" s="26" t="s">
        <v>597</v>
      </c>
      <c r="D24" s="26" t="s">
        <v>68</v>
      </c>
      <c r="F24" s="25" t="s">
        <v>593</v>
      </c>
      <c r="G24" s="26" t="s">
        <v>602</v>
      </c>
      <c r="H24" s="26" t="s">
        <v>595</v>
      </c>
      <c r="J24" s="25" t="s">
        <v>617</v>
      </c>
      <c r="K24" s="26" t="s">
        <v>53</v>
      </c>
      <c r="L24" s="26" t="s">
        <v>339</v>
      </c>
      <c r="N24" s="46" t="s">
        <v>658</v>
      </c>
      <c r="O24" s="46" t="s">
        <v>694</v>
      </c>
      <c r="P24" s="57">
        <v>18.059999999999999</v>
      </c>
      <c r="Q24" s="51">
        <v>-24.38</v>
      </c>
      <c r="R24" s="48"/>
      <c r="S24" s="63">
        <v>6</v>
      </c>
    </row>
    <row r="25" spans="2:19" s="18" customFormat="1" ht="16" customHeight="1">
      <c r="B25" s="25" t="s">
        <v>51</v>
      </c>
      <c r="C25" s="26" t="s">
        <v>583</v>
      </c>
      <c r="D25" s="26" t="s">
        <v>66</v>
      </c>
      <c r="F25" s="25" t="s">
        <v>48</v>
      </c>
      <c r="G25" s="26" t="s">
        <v>56</v>
      </c>
      <c r="H25" s="26" t="s">
        <v>66</v>
      </c>
      <c r="J25" s="25" t="s">
        <v>618</v>
      </c>
      <c r="K25" s="26" t="s">
        <v>53</v>
      </c>
      <c r="L25" s="26" t="s">
        <v>339</v>
      </c>
      <c r="N25" s="46" t="s">
        <v>652</v>
      </c>
      <c r="O25" s="46" t="s">
        <v>606</v>
      </c>
      <c r="P25" s="57">
        <v>17.32</v>
      </c>
      <c r="Q25" s="51">
        <v>-18.52</v>
      </c>
      <c r="R25" s="48"/>
      <c r="S25" s="63">
        <v>7.7</v>
      </c>
    </row>
    <row r="26" spans="2:19" s="18" customFormat="1" ht="16" customHeight="1">
      <c r="B26" s="25" t="s">
        <v>52</v>
      </c>
      <c r="C26" s="26" t="s">
        <v>602</v>
      </c>
      <c r="D26" s="26" t="s">
        <v>65</v>
      </c>
      <c r="F26" s="41" t="s">
        <v>49</v>
      </c>
      <c r="G26" s="26" t="s">
        <v>56</v>
      </c>
      <c r="H26" s="26" t="s">
        <v>67</v>
      </c>
      <c r="J26" s="25" t="s">
        <v>619</v>
      </c>
      <c r="K26" s="26" t="s">
        <v>53</v>
      </c>
      <c r="L26" s="26" t="s">
        <v>339</v>
      </c>
      <c r="N26" s="46" t="s">
        <v>653</v>
      </c>
      <c r="O26" s="46" t="s">
        <v>606</v>
      </c>
      <c r="P26" s="57">
        <v>16.951666666666668</v>
      </c>
      <c r="Q26" s="51">
        <v>-4.0999999999999996</v>
      </c>
      <c r="R26" s="48"/>
      <c r="S26" s="63">
        <v>6.6</v>
      </c>
    </row>
    <row r="27" spans="2:19" s="18" customFormat="1" ht="16" customHeight="1">
      <c r="B27" s="25" t="s">
        <v>11</v>
      </c>
      <c r="C27" s="26" t="s">
        <v>55</v>
      </c>
      <c r="D27" s="26" t="s">
        <v>65</v>
      </c>
      <c r="F27" s="25" t="s">
        <v>594</v>
      </c>
      <c r="G27" s="26" t="s">
        <v>56</v>
      </c>
      <c r="H27" s="26" t="s">
        <v>296</v>
      </c>
      <c r="J27" s="25" t="s">
        <v>620</v>
      </c>
      <c r="K27" s="26" t="s">
        <v>53</v>
      </c>
      <c r="L27" s="26" t="s">
        <v>339</v>
      </c>
      <c r="N27" s="46" t="s">
        <v>656</v>
      </c>
      <c r="O27" s="46" t="s">
        <v>597</v>
      </c>
      <c r="P27" s="57">
        <v>18.851666666666667</v>
      </c>
      <c r="Q27" s="51">
        <v>-6.2666666666666666</v>
      </c>
      <c r="R27" s="59" t="s">
        <v>707</v>
      </c>
      <c r="S27" s="63">
        <v>6.3</v>
      </c>
    </row>
    <row r="28" spans="2:19" s="18" customFormat="1" ht="16" customHeight="1">
      <c r="N28" s="46" t="s">
        <v>654</v>
      </c>
      <c r="O28" s="46" t="s">
        <v>606</v>
      </c>
      <c r="P28" s="57">
        <v>16.786666666666665</v>
      </c>
      <c r="Q28" s="51">
        <v>-1.95</v>
      </c>
      <c r="R28" s="59" t="s">
        <v>708</v>
      </c>
      <c r="S28" s="63">
        <v>6.7</v>
      </c>
    </row>
    <row r="29" spans="2:19" s="18" customFormat="1" ht="16" customHeight="1">
      <c r="N29" s="46" t="s">
        <v>641</v>
      </c>
      <c r="O29" s="46" t="s">
        <v>606</v>
      </c>
      <c r="P29" s="57">
        <v>16.695</v>
      </c>
      <c r="Q29" s="51">
        <v>36.466666666666669</v>
      </c>
      <c r="R29" s="59" t="s">
        <v>709</v>
      </c>
      <c r="S29" s="63">
        <v>5.8</v>
      </c>
    </row>
    <row r="30" spans="2:19" s="18" customFormat="1" ht="16" customHeight="1">
      <c r="B30" s="213" t="s">
        <v>27</v>
      </c>
      <c r="C30" s="213"/>
      <c r="D30" s="213"/>
      <c r="F30" s="213" t="s">
        <v>28</v>
      </c>
      <c r="G30" s="213"/>
      <c r="H30" s="213"/>
      <c r="J30" s="213" t="s">
        <v>30</v>
      </c>
      <c r="K30" s="213"/>
      <c r="L30" s="213"/>
      <c r="N30" s="46" t="s">
        <v>671</v>
      </c>
      <c r="O30" s="46" t="s">
        <v>606</v>
      </c>
      <c r="P30" s="57">
        <v>21.5</v>
      </c>
      <c r="Q30" s="51">
        <v>12.166666666666666</v>
      </c>
      <c r="R30" s="59" t="s">
        <v>710</v>
      </c>
      <c r="S30" s="63">
        <v>6.2</v>
      </c>
    </row>
    <row r="31" spans="2:19" s="18" customFormat="1" ht="16" customHeight="1">
      <c r="B31" s="214" t="s">
        <v>623</v>
      </c>
      <c r="C31" s="214"/>
      <c r="D31" s="214"/>
      <c r="F31" s="214" t="s">
        <v>623</v>
      </c>
      <c r="G31" s="214"/>
      <c r="H31" s="214"/>
      <c r="J31" s="214" t="s">
        <v>624</v>
      </c>
      <c r="K31" s="214"/>
      <c r="L31" s="214"/>
      <c r="N31" s="46" t="s">
        <v>659</v>
      </c>
      <c r="O31" s="46" t="s">
        <v>597</v>
      </c>
      <c r="P31" s="57">
        <v>18.313333333333333</v>
      </c>
      <c r="Q31" s="51">
        <v>-13.783333333333333</v>
      </c>
      <c r="R31" s="59" t="s">
        <v>711</v>
      </c>
      <c r="S31" s="63">
        <v>6.4</v>
      </c>
    </row>
    <row r="32" spans="2:19" s="18" customFormat="1" ht="16" customHeight="1">
      <c r="B32" s="19" t="s">
        <v>29</v>
      </c>
      <c r="C32" s="20" t="s">
        <v>23</v>
      </c>
      <c r="D32" s="20" t="s">
        <v>37</v>
      </c>
      <c r="F32" s="19" t="s">
        <v>29</v>
      </c>
      <c r="G32" s="20" t="s">
        <v>608</v>
      </c>
      <c r="H32" s="20" t="s">
        <v>37</v>
      </c>
      <c r="J32" s="19" t="s">
        <v>29</v>
      </c>
      <c r="K32" s="20" t="s">
        <v>23</v>
      </c>
      <c r="L32" s="20" t="s">
        <v>37</v>
      </c>
      <c r="N32" s="46" t="s">
        <v>660</v>
      </c>
      <c r="O32" s="46" t="s">
        <v>694</v>
      </c>
      <c r="P32" s="57">
        <v>18.346666666666668</v>
      </c>
      <c r="Q32" s="51">
        <v>-16.183333333333334</v>
      </c>
      <c r="R32" s="59" t="s">
        <v>712</v>
      </c>
      <c r="S32" s="63">
        <v>7</v>
      </c>
    </row>
    <row r="33" spans="2:19" s="18" customFormat="1" ht="16" customHeight="1">
      <c r="B33" s="22" t="s">
        <v>609</v>
      </c>
      <c r="C33" s="23" t="s">
        <v>53</v>
      </c>
      <c r="D33" s="23" t="s">
        <v>621</v>
      </c>
      <c r="F33" s="22" t="s">
        <v>631</v>
      </c>
      <c r="G33" s="23" t="s">
        <v>606</v>
      </c>
      <c r="H33" s="23" t="s">
        <v>150</v>
      </c>
      <c r="J33" s="22" t="s">
        <v>641</v>
      </c>
      <c r="K33" s="23" t="s">
        <v>606</v>
      </c>
      <c r="L33" s="23" t="s">
        <v>305</v>
      </c>
      <c r="N33" s="46" t="s">
        <v>661</v>
      </c>
      <c r="O33" s="46" t="s">
        <v>694</v>
      </c>
      <c r="P33" s="57">
        <v>18.038333333333334</v>
      </c>
      <c r="Q33" s="51">
        <v>-23.033333333333335</v>
      </c>
      <c r="R33" s="59" t="s">
        <v>713</v>
      </c>
      <c r="S33" s="63">
        <v>9</v>
      </c>
    </row>
    <row r="34" spans="2:19" s="18" customFormat="1" ht="16" customHeight="1">
      <c r="B34" s="22" t="s">
        <v>619</v>
      </c>
      <c r="C34" s="23" t="s">
        <v>53</v>
      </c>
      <c r="D34" s="23" t="s">
        <v>339</v>
      </c>
      <c r="F34" s="22" t="s">
        <v>629</v>
      </c>
      <c r="G34" s="23" t="s">
        <v>53</v>
      </c>
      <c r="H34" s="23" t="s">
        <v>150</v>
      </c>
      <c r="J34" s="22" t="s">
        <v>642</v>
      </c>
      <c r="K34" s="23" t="s">
        <v>55</v>
      </c>
      <c r="L34" s="23" t="s">
        <v>126</v>
      </c>
      <c r="N34" s="46" t="s">
        <v>663</v>
      </c>
      <c r="O34" s="46" t="s">
        <v>606</v>
      </c>
      <c r="P34" s="57">
        <v>18.606666666666666</v>
      </c>
      <c r="Q34" s="51">
        <v>-23.9</v>
      </c>
      <c r="R34" s="59" t="s">
        <v>714</v>
      </c>
      <c r="S34" s="63">
        <v>5.0999999999999996</v>
      </c>
    </row>
    <row r="35" spans="2:19" s="18" customFormat="1" ht="16" customHeight="1">
      <c r="B35" s="22" t="s">
        <v>615</v>
      </c>
      <c r="C35" s="23" t="s">
        <v>56</v>
      </c>
      <c r="D35" s="23" t="s">
        <v>317</v>
      </c>
      <c r="F35" s="22" t="s">
        <v>633</v>
      </c>
      <c r="G35" s="23" t="s">
        <v>53</v>
      </c>
      <c r="H35" s="23" t="s">
        <v>221</v>
      </c>
      <c r="J35" s="22" t="s">
        <v>629</v>
      </c>
      <c r="K35" s="23" t="s">
        <v>53</v>
      </c>
      <c r="L35" s="23" t="s">
        <v>150</v>
      </c>
      <c r="N35" s="46" t="s">
        <v>657</v>
      </c>
      <c r="O35" s="46" t="s">
        <v>606</v>
      </c>
      <c r="P35" s="57">
        <v>19.993333333333332</v>
      </c>
      <c r="Q35" s="51">
        <v>22.716666666666665</v>
      </c>
      <c r="R35" s="59" t="s">
        <v>715</v>
      </c>
      <c r="S35" s="63">
        <v>7.4</v>
      </c>
    </row>
    <row r="36" spans="2:19" s="18" customFormat="1" ht="16" customHeight="1">
      <c r="B36" s="22" t="s">
        <v>627</v>
      </c>
      <c r="C36" s="23" t="s">
        <v>55</v>
      </c>
      <c r="D36" s="23" t="s">
        <v>339</v>
      </c>
      <c r="F36" s="22" t="s">
        <v>634</v>
      </c>
      <c r="G36" s="23" t="s">
        <v>53</v>
      </c>
      <c r="H36" s="23" t="s">
        <v>221</v>
      </c>
      <c r="J36" s="22" t="s">
        <v>634</v>
      </c>
      <c r="K36" s="23" t="s">
        <v>53</v>
      </c>
      <c r="L36" s="23" t="s">
        <v>221</v>
      </c>
      <c r="N36" s="46" t="s">
        <v>674</v>
      </c>
      <c r="O36" s="46" t="s">
        <v>606</v>
      </c>
      <c r="P36" s="57">
        <v>21.673333333333332</v>
      </c>
      <c r="Q36" s="51">
        <v>-23.183333333333334</v>
      </c>
      <c r="R36" s="59" t="s">
        <v>716</v>
      </c>
      <c r="S36" s="63">
        <v>7.2</v>
      </c>
    </row>
    <row r="37" spans="2:19" s="18" customFormat="1" ht="16" customHeight="1">
      <c r="B37" s="25" t="s">
        <v>610</v>
      </c>
      <c r="C37" s="26" t="s">
        <v>55</v>
      </c>
      <c r="D37" s="26" t="s">
        <v>296</v>
      </c>
      <c r="F37" s="25" t="s">
        <v>627</v>
      </c>
      <c r="G37" s="26" t="s">
        <v>55</v>
      </c>
      <c r="H37" s="26" t="s">
        <v>339</v>
      </c>
      <c r="J37" s="41" t="s">
        <v>648</v>
      </c>
      <c r="K37" s="26" t="s">
        <v>55</v>
      </c>
      <c r="L37" s="26" t="s">
        <v>305</v>
      </c>
      <c r="N37" s="46" t="s">
        <v>38</v>
      </c>
      <c r="O37" s="46" t="s">
        <v>53</v>
      </c>
      <c r="P37" s="57">
        <v>0.71166666666666667</v>
      </c>
      <c r="Q37" s="51">
        <v>41.266666666666666</v>
      </c>
      <c r="R37" s="59" t="s">
        <v>717</v>
      </c>
      <c r="S37" s="64">
        <v>3.4</v>
      </c>
    </row>
    <row r="38" spans="2:19" s="18" customFormat="1" ht="16" customHeight="1">
      <c r="B38" s="25" t="s">
        <v>614</v>
      </c>
      <c r="C38" s="26" t="s">
        <v>56</v>
      </c>
      <c r="D38" s="26" t="s">
        <v>543</v>
      </c>
      <c r="F38" s="25" t="s">
        <v>619</v>
      </c>
      <c r="G38" s="26" t="s">
        <v>53</v>
      </c>
      <c r="H38" s="26" t="s">
        <v>339</v>
      </c>
      <c r="J38" s="25" t="s">
        <v>636</v>
      </c>
      <c r="K38" s="26" t="s">
        <v>55</v>
      </c>
      <c r="L38" s="26" t="s">
        <v>621</v>
      </c>
      <c r="N38" s="46" t="s">
        <v>677</v>
      </c>
      <c r="O38" s="46" t="s">
        <v>53</v>
      </c>
      <c r="P38" s="57">
        <v>0.71166666666666667</v>
      </c>
      <c r="Q38" s="51">
        <v>40.866666666666667</v>
      </c>
      <c r="R38" s="59" t="s">
        <v>718</v>
      </c>
      <c r="S38" s="64">
        <v>8.1</v>
      </c>
    </row>
    <row r="39" spans="2:19" s="18" customFormat="1" ht="16" customHeight="1">
      <c r="B39" s="25" t="s">
        <v>631</v>
      </c>
      <c r="C39" s="26" t="s">
        <v>606</v>
      </c>
      <c r="D39" s="26" t="s">
        <v>150</v>
      </c>
      <c r="F39" s="25" t="s">
        <v>635</v>
      </c>
      <c r="G39" s="26" t="s">
        <v>53</v>
      </c>
      <c r="H39" s="26" t="s">
        <v>561</v>
      </c>
      <c r="J39" s="25" t="s">
        <v>630</v>
      </c>
      <c r="K39" s="26" t="s">
        <v>53</v>
      </c>
      <c r="L39" s="26" t="s">
        <v>150</v>
      </c>
      <c r="N39" s="46" t="s">
        <v>39</v>
      </c>
      <c r="O39" s="46" t="s">
        <v>53</v>
      </c>
      <c r="P39" s="57">
        <v>1.5649999999999999</v>
      </c>
      <c r="Q39" s="51">
        <v>20.65</v>
      </c>
      <c r="R39" s="59" t="s">
        <v>719</v>
      </c>
      <c r="S39" s="64">
        <v>5.7</v>
      </c>
    </row>
    <row r="40" spans="2:19" s="18" customFormat="1" ht="16" customHeight="1">
      <c r="B40" s="25" t="s">
        <v>611</v>
      </c>
      <c r="C40" s="26" t="s">
        <v>53</v>
      </c>
      <c r="D40" s="26" t="s">
        <v>543</v>
      </c>
      <c r="F40" s="25" t="s">
        <v>636</v>
      </c>
      <c r="G40" s="26" t="s">
        <v>55</v>
      </c>
      <c r="H40" s="26" t="s">
        <v>621</v>
      </c>
      <c r="J40" s="25" t="s">
        <v>638</v>
      </c>
      <c r="K40" s="26" t="s">
        <v>53</v>
      </c>
      <c r="L40" s="26" t="s">
        <v>150</v>
      </c>
      <c r="N40" s="46" t="s">
        <v>50</v>
      </c>
      <c r="O40" s="46" t="s">
        <v>597</v>
      </c>
      <c r="P40" s="57">
        <v>5.8733333333333331</v>
      </c>
      <c r="Q40" s="51">
        <v>32.549999999999997</v>
      </c>
      <c r="R40" s="59" t="s">
        <v>720</v>
      </c>
      <c r="S40" s="63">
        <v>6.2</v>
      </c>
    </row>
    <row r="41" spans="2:19" s="18" customFormat="1" ht="16" customHeight="1">
      <c r="B41" s="25" t="s">
        <v>612</v>
      </c>
      <c r="C41" s="26" t="s">
        <v>53</v>
      </c>
      <c r="D41" s="26" t="s">
        <v>543</v>
      </c>
      <c r="F41" s="25" t="s">
        <v>612</v>
      </c>
      <c r="G41" s="26" t="s">
        <v>53</v>
      </c>
      <c r="H41" s="26" t="s">
        <v>543</v>
      </c>
      <c r="J41" s="25" t="s">
        <v>633</v>
      </c>
      <c r="K41" s="26" t="s">
        <v>53</v>
      </c>
      <c r="L41" s="26" t="s">
        <v>221</v>
      </c>
      <c r="N41" s="46" t="s">
        <v>40</v>
      </c>
      <c r="O41" s="46" t="s">
        <v>602</v>
      </c>
      <c r="P41" s="57">
        <v>5.59</v>
      </c>
      <c r="Q41" s="51">
        <v>-5.45</v>
      </c>
      <c r="R41" s="59" t="s">
        <v>721</v>
      </c>
      <c r="S41" s="63">
        <v>4</v>
      </c>
    </row>
    <row r="42" spans="2:19" s="18" customFormat="1" ht="16" customHeight="1">
      <c r="B42" s="25" t="s">
        <v>628</v>
      </c>
      <c r="C42" s="26" t="s">
        <v>53</v>
      </c>
      <c r="D42" s="26" t="s">
        <v>150</v>
      </c>
      <c r="F42" s="25" t="s">
        <v>637</v>
      </c>
      <c r="G42" s="26" t="s">
        <v>53</v>
      </c>
      <c r="H42" s="26" t="s">
        <v>543</v>
      </c>
      <c r="J42" s="25" t="s">
        <v>637</v>
      </c>
      <c r="K42" s="26" t="s">
        <v>53</v>
      </c>
      <c r="L42" s="26" t="s">
        <v>543</v>
      </c>
      <c r="N42" s="46" t="s">
        <v>590</v>
      </c>
      <c r="O42" s="46" t="s">
        <v>597</v>
      </c>
      <c r="P42" s="57">
        <v>12.496666666666666</v>
      </c>
      <c r="Q42" s="51">
        <v>8</v>
      </c>
      <c r="R42" s="59" t="s">
        <v>722</v>
      </c>
      <c r="S42" s="63">
        <v>6.3</v>
      </c>
    </row>
    <row r="43" spans="2:19" s="18" customFormat="1" ht="16" customHeight="1">
      <c r="B43" s="25" t="s">
        <v>632</v>
      </c>
      <c r="C43" s="26" t="s">
        <v>53</v>
      </c>
      <c r="D43" s="26" t="s">
        <v>543</v>
      </c>
      <c r="F43" s="25" t="s">
        <v>630</v>
      </c>
      <c r="G43" s="26" t="s">
        <v>53</v>
      </c>
      <c r="H43" s="26" t="s">
        <v>150</v>
      </c>
      <c r="J43" s="25" t="s">
        <v>693</v>
      </c>
      <c r="K43" s="26" t="s">
        <v>56</v>
      </c>
      <c r="L43" s="26" t="s">
        <v>504</v>
      </c>
      <c r="N43" s="46" t="s">
        <v>629</v>
      </c>
      <c r="O43" s="46" t="s">
        <v>53</v>
      </c>
      <c r="P43" s="57">
        <v>7.0533333333333337</v>
      </c>
      <c r="Q43" s="51">
        <v>-8.3333333333333339</v>
      </c>
      <c r="R43" s="59" t="s">
        <v>723</v>
      </c>
      <c r="S43" s="63">
        <v>8.4</v>
      </c>
    </row>
    <row r="44" spans="2:19" s="18" customFormat="1" ht="16" customHeight="1">
      <c r="B44" s="25" t="s">
        <v>629</v>
      </c>
      <c r="C44" s="26" t="s">
        <v>53</v>
      </c>
      <c r="D44" s="26" t="s">
        <v>150</v>
      </c>
      <c r="F44" s="25" t="s">
        <v>638</v>
      </c>
      <c r="G44" s="26" t="s">
        <v>53</v>
      </c>
      <c r="H44" s="26" t="s">
        <v>150</v>
      </c>
      <c r="J44" s="25" t="s">
        <v>643</v>
      </c>
      <c r="K44" s="26" t="s">
        <v>606</v>
      </c>
      <c r="L44" s="26" t="s">
        <v>305</v>
      </c>
      <c r="N44" s="46" t="s">
        <v>678</v>
      </c>
      <c r="O44" s="46" t="s">
        <v>597</v>
      </c>
      <c r="P44" s="57">
        <v>13.498333333333333</v>
      </c>
      <c r="Q44" s="51">
        <v>47.2</v>
      </c>
      <c r="R44" s="59" t="s">
        <v>724</v>
      </c>
      <c r="S44" s="63">
        <v>7.3</v>
      </c>
    </row>
    <row r="45" spans="2:19" s="18" customFormat="1" ht="16" customHeight="1">
      <c r="B45" s="25" t="s">
        <v>630</v>
      </c>
      <c r="C45" s="26" t="s">
        <v>53</v>
      </c>
      <c r="D45" s="26" t="s">
        <v>150</v>
      </c>
      <c r="F45" s="25" t="s">
        <v>628</v>
      </c>
      <c r="G45" s="26" t="s">
        <v>53</v>
      </c>
      <c r="H45" s="26" t="s">
        <v>150</v>
      </c>
      <c r="J45" s="25" t="s">
        <v>644</v>
      </c>
      <c r="K45" s="26" t="s">
        <v>56</v>
      </c>
      <c r="L45" s="26" t="s">
        <v>305</v>
      </c>
      <c r="N45" s="46" t="s">
        <v>664</v>
      </c>
      <c r="O45" s="46" t="s">
        <v>606</v>
      </c>
      <c r="P45" s="57">
        <v>19.276666666666667</v>
      </c>
      <c r="Q45" s="51">
        <v>30.183333333333334</v>
      </c>
      <c r="R45" s="48"/>
      <c r="S45" s="63">
        <v>8.3000000000000007</v>
      </c>
    </row>
    <row r="46" spans="2:19" s="18" customFormat="1" ht="16" customHeight="1">
      <c r="B46" s="25" t="s">
        <v>617</v>
      </c>
      <c r="C46" s="26" t="s">
        <v>53</v>
      </c>
      <c r="D46" s="26" t="s">
        <v>339</v>
      </c>
      <c r="F46" s="25" t="s">
        <v>639</v>
      </c>
      <c r="G46" s="26" t="s">
        <v>53</v>
      </c>
      <c r="H46" s="26" t="s">
        <v>561</v>
      </c>
      <c r="J46" s="25" t="s">
        <v>645</v>
      </c>
      <c r="K46" s="26" t="s">
        <v>56</v>
      </c>
      <c r="L46" s="26" t="s">
        <v>275</v>
      </c>
      <c r="N46" s="46" t="s">
        <v>646</v>
      </c>
      <c r="O46" s="46" t="s">
        <v>56</v>
      </c>
      <c r="P46" s="57">
        <v>18.893333333333334</v>
      </c>
      <c r="Q46" s="51">
        <v>33.033333333333331</v>
      </c>
      <c r="R46" s="59" t="s">
        <v>725</v>
      </c>
      <c r="S46" s="63">
        <v>8.8000000000000007</v>
      </c>
    </row>
    <row r="47" spans="2:19" s="18" customFormat="1" ht="16" customHeight="1">
      <c r="B47" s="25" t="s">
        <v>618</v>
      </c>
      <c r="C47" s="26" t="s">
        <v>53</v>
      </c>
      <c r="D47" s="26" t="s">
        <v>339</v>
      </c>
      <c r="F47" s="25" t="s">
        <v>640</v>
      </c>
      <c r="G47" s="26" t="s">
        <v>56</v>
      </c>
      <c r="H47" s="26" t="s">
        <v>240</v>
      </c>
      <c r="J47" s="25" t="s">
        <v>646</v>
      </c>
      <c r="K47" s="26" t="s">
        <v>56</v>
      </c>
      <c r="L47" s="26" t="s">
        <v>373</v>
      </c>
      <c r="N47" s="46" t="s">
        <v>630</v>
      </c>
      <c r="O47" s="46" t="s">
        <v>53</v>
      </c>
      <c r="P47" s="57">
        <v>13.263333333333334</v>
      </c>
      <c r="Q47" s="51">
        <v>42.033333333333331</v>
      </c>
      <c r="R47" s="59" t="s">
        <v>726</v>
      </c>
      <c r="S47" s="63">
        <v>8.6</v>
      </c>
    </row>
    <row r="48" spans="2:19" s="18" customFormat="1" ht="16" customHeight="1">
      <c r="B48" s="25" t="s">
        <v>620</v>
      </c>
      <c r="C48" s="26" t="s">
        <v>53</v>
      </c>
      <c r="D48" s="26" t="s">
        <v>339</v>
      </c>
      <c r="F48" s="25" t="s">
        <v>641</v>
      </c>
      <c r="G48" s="26" t="s">
        <v>606</v>
      </c>
      <c r="H48" s="26" t="s">
        <v>305</v>
      </c>
      <c r="J48" s="25" t="s">
        <v>647</v>
      </c>
      <c r="K48" s="26" t="s">
        <v>55</v>
      </c>
      <c r="L48" s="26" t="s">
        <v>258</v>
      </c>
      <c r="N48" s="46" t="s">
        <v>633</v>
      </c>
      <c r="O48" s="46" t="s">
        <v>53</v>
      </c>
      <c r="P48" s="57">
        <v>12.945</v>
      </c>
      <c r="Q48" s="51">
        <v>21.683333333333334</v>
      </c>
      <c r="R48" s="59" t="s">
        <v>727</v>
      </c>
      <c r="S48" s="63">
        <v>8.5</v>
      </c>
    </row>
    <row r="49" spans="2:19" s="18" customFormat="1" ht="16" customHeight="1">
      <c r="N49" s="46" t="s">
        <v>619</v>
      </c>
      <c r="O49" s="46" t="s">
        <v>53</v>
      </c>
      <c r="P49" s="57">
        <v>11.315</v>
      </c>
      <c r="Q49" s="51">
        <v>13.083333333333334</v>
      </c>
      <c r="R49" s="59" t="s">
        <v>728</v>
      </c>
      <c r="S49" s="63">
        <v>9.3000000000000007</v>
      </c>
    </row>
    <row r="50" spans="2:19" s="18" customFormat="1" ht="16" customHeight="1">
      <c r="N50" s="46" t="s">
        <v>613</v>
      </c>
      <c r="O50" s="46" t="s">
        <v>597</v>
      </c>
      <c r="P50" s="57">
        <v>8.84</v>
      </c>
      <c r="Q50" s="51">
        <v>11.816666666666666</v>
      </c>
      <c r="R50" s="59" t="s">
        <v>729</v>
      </c>
      <c r="S50" s="63">
        <v>6.1</v>
      </c>
    </row>
    <row r="51" spans="2:19" s="18" customFormat="1" ht="16" customHeight="1">
      <c r="B51" s="213" t="s">
        <v>31</v>
      </c>
      <c r="C51" s="213"/>
      <c r="D51" s="213"/>
      <c r="F51" s="213" t="s">
        <v>32</v>
      </c>
      <c r="G51" s="213"/>
      <c r="H51" s="213"/>
      <c r="J51" s="213" t="s">
        <v>33</v>
      </c>
      <c r="K51" s="213"/>
      <c r="L51" s="213"/>
      <c r="N51" s="46" t="s">
        <v>45</v>
      </c>
      <c r="O51" s="46" t="s">
        <v>53</v>
      </c>
      <c r="P51" s="57">
        <v>1.6116666666666668</v>
      </c>
      <c r="Q51" s="51">
        <v>15.783333333333333</v>
      </c>
      <c r="R51" s="59" t="s">
        <v>730</v>
      </c>
      <c r="S51" s="63">
        <v>9.4</v>
      </c>
    </row>
    <row r="52" spans="2:19" s="18" customFormat="1" ht="16" customHeight="1">
      <c r="B52" s="214" t="s">
        <v>623</v>
      </c>
      <c r="C52" s="214"/>
      <c r="D52" s="214"/>
      <c r="F52" s="214" t="s">
        <v>625</v>
      </c>
      <c r="G52" s="214"/>
      <c r="H52" s="214"/>
      <c r="J52" s="214" t="s">
        <v>622</v>
      </c>
      <c r="K52" s="214"/>
      <c r="L52" s="214"/>
      <c r="N52" s="46" t="s">
        <v>47</v>
      </c>
      <c r="O52" s="46" t="s">
        <v>56</v>
      </c>
      <c r="P52" s="57">
        <v>1.7050000000000001</v>
      </c>
      <c r="Q52" s="51">
        <v>51.56666666666667</v>
      </c>
      <c r="R52" s="59" t="s">
        <v>731</v>
      </c>
      <c r="S52" s="64">
        <v>10.1</v>
      </c>
    </row>
    <row r="53" spans="2:19" s="18" customFormat="1" ht="16" customHeight="1">
      <c r="B53" s="19" t="s">
        <v>29</v>
      </c>
      <c r="C53" s="20" t="s">
        <v>23</v>
      </c>
      <c r="D53" s="21" t="s">
        <v>37</v>
      </c>
      <c r="F53" s="19" t="s">
        <v>29</v>
      </c>
      <c r="G53" s="20" t="s">
        <v>23</v>
      </c>
      <c r="H53" s="21" t="s">
        <v>37</v>
      </c>
      <c r="J53" s="19" t="s">
        <v>29</v>
      </c>
      <c r="K53" s="20" t="s">
        <v>23</v>
      </c>
      <c r="L53" s="21" t="s">
        <v>37</v>
      </c>
      <c r="N53" s="46" t="s">
        <v>46</v>
      </c>
      <c r="O53" s="46" t="s">
        <v>53</v>
      </c>
      <c r="P53" s="57">
        <v>2.7116666666666669</v>
      </c>
      <c r="Q53" s="51">
        <v>1.6666666666666666E-2</v>
      </c>
      <c r="R53" s="59" t="s">
        <v>732</v>
      </c>
      <c r="S53" s="64">
        <v>8.9</v>
      </c>
    </row>
    <row r="54" spans="2:19" s="18" customFormat="1" ht="16" customHeight="1">
      <c r="B54" s="22" t="s">
        <v>641</v>
      </c>
      <c r="C54" s="23" t="s">
        <v>606</v>
      </c>
      <c r="D54" s="23" t="s">
        <v>305</v>
      </c>
      <c r="F54" s="22" t="s">
        <v>641</v>
      </c>
      <c r="G54" s="23" t="s">
        <v>606</v>
      </c>
      <c r="H54" s="23" t="s">
        <v>305</v>
      </c>
      <c r="J54" s="22" t="s">
        <v>646</v>
      </c>
      <c r="K54" s="23" t="s">
        <v>56</v>
      </c>
      <c r="L54" s="23" t="s">
        <v>373</v>
      </c>
      <c r="N54" s="46" t="s">
        <v>52</v>
      </c>
      <c r="O54" s="46" t="s">
        <v>54</v>
      </c>
      <c r="P54" s="57">
        <v>5.7783333333333333</v>
      </c>
      <c r="Q54" s="51">
        <v>0.05</v>
      </c>
      <c r="R54" s="59" t="s">
        <v>733</v>
      </c>
      <c r="S54" s="64">
        <v>8.3000000000000007</v>
      </c>
    </row>
    <row r="55" spans="2:19" s="18" customFormat="1" ht="16" customHeight="1">
      <c r="B55" s="22" t="s">
        <v>646</v>
      </c>
      <c r="C55" s="23" t="s">
        <v>56</v>
      </c>
      <c r="D55" s="23" t="s">
        <v>373</v>
      </c>
      <c r="F55" s="22" t="s">
        <v>646</v>
      </c>
      <c r="G55" s="23" t="s">
        <v>56</v>
      </c>
      <c r="H55" s="23" t="s">
        <v>373</v>
      </c>
      <c r="J55" s="22" t="s">
        <v>656</v>
      </c>
      <c r="K55" s="23" t="s">
        <v>597</v>
      </c>
      <c r="L55" s="23" t="s">
        <v>498</v>
      </c>
      <c r="N55" s="46" t="s">
        <v>587</v>
      </c>
      <c r="O55" s="46" t="s">
        <v>606</v>
      </c>
      <c r="P55" s="57">
        <v>5.4083333333333332</v>
      </c>
      <c r="Q55" s="51">
        <v>-24.55</v>
      </c>
      <c r="R55" s="59" t="s">
        <v>734</v>
      </c>
      <c r="S55" s="64">
        <v>7.7</v>
      </c>
    </row>
    <row r="56" spans="2:19" s="18" customFormat="1" ht="16" customHeight="1">
      <c r="B56" s="22" t="s">
        <v>648</v>
      </c>
      <c r="C56" s="23" t="s">
        <v>55</v>
      </c>
      <c r="D56" s="23" t="s">
        <v>305</v>
      </c>
      <c r="F56" s="22" t="s">
        <v>657</v>
      </c>
      <c r="G56" s="23" t="s">
        <v>56</v>
      </c>
      <c r="H56" s="23" t="s">
        <v>572</v>
      </c>
      <c r="J56" s="22" t="s">
        <v>660</v>
      </c>
      <c r="K56" s="23" t="s">
        <v>53</v>
      </c>
      <c r="L56" s="23" t="s">
        <v>481</v>
      </c>
      <c r="N56" s="46" t="s">
        <v>655</v>
      </c>
      <c r="O56" s="46" t="s">
        <v>53</v>
      </c>
      <c r="P56" s="57">
        <v>16.283333333333335</v>
      </c>
      <c r="Q56" s="51">
        <v>-22.983333333333334</v>
      </c>
      <c r="R56" s="59" t="s">
        <v>734</v>
      </c>
      <c r="S56" s="64">
        <v>7.3</v>
      </c>
    </row>
    <row r="57" spans="2:19" s="18" customFormat="1" ht="16" customHeight="1">
      <c r="B57" s="22" t="s">
        <v>629</v>
      </c>
      <c r="C57" s="23" t="s">
        <v>53</v>
      </c>
      <c r="D57" s="23" t="s">
        <v>150</v>
      </c>
      <c r="F57" s="22" t="s">
        <v>647</v>
      </c>
      <c r="G57" s="23" t="s">
        <v>55</v>
      </c>
      <c r="H57" s="23" t="s">
        <v>258</v>
      </c>
      <c r="J57" s="22" t="s">
        <v>647</v>
      </c>
      <c r="K57" s="23" t="s">
        <v>55</v>
      </c>
      <c r="L57" s="23" t="s">
        <v>258</v>
      </c>
      <c r="N57" s="46" t="s">
        <v>611</v>
      </c>
      <c r="O57" s="46" t="s">
        <v>53</v>
      </c>
      <c r="P57" s="57">
        <v>9.9266666666666659</v>
      </c>
      <c r="Q57" s="51">
        <v>69.066666666666663</v>
      </c>
      <c r="R57" s="59" t="s">
        <v>735</v>
      </c>
      <c r="S57" s="64">
        <v>6.9</v>
      </c>
    </row>
    <row r="58" spans="2:19" s="18" customFormat="1" ht="16" customHeight="1">
      <c r="B58" s="25" t="s">
        <v>647</v>
      </c>
      <c r="C58" s="26" t="s">
        <v>55</v>
      </c>
      <c r="D58" s="26" t="s">
        <v>258</v>
      </c>
      <c r="F58" s="25" t="s">
        <v>656</v>
      </c>
      <c r="G58" s="26" t="s">
        <v>597</v>
      </c>
      <c r="H58" s="26" t="s">
        <v>498</v>
      </c>
      <c r="J58" s="25" t="s">
        <v>668</v>
      </c>
      <c r="K58" s="46" t="s">
        <v>57</v>
      </c>
      <c r="L58" s="26" t="s">
        <v>258</v>
      </c>
      <c r="N58" s="46" t="s">
        <v>609</v>
      </c>
      <c r="O58" s="46" t="s">
        <v>53</v>
      </c>
      <c r="P58" s="57">
        <v>9.93</v>
      </c>
      <c r="Q58" s="51">
        <v>69.683333333333337</v>
      </c>
      <c r="R58" s="59" t="s">
        <v>736</v>
      </c>
      <c r="S58" s="64">
        <v>8.4</v>
      </c>
    </row>
    <row r="59" spans="2:19" s="18" customFormat="1" ht="16" customHeight="1">
      <c r="B59" s="25" t="s">
        <v>642</v>
      </c>
      <c r="C59" s="26" t="s">
        <v>55</v>
      </c>
      <c r="D59" s="26" t="s">
        <v>126</v>
      </c>
      <c r="F59" s="25" t="s">
        <v>658</v>
      </c>
      <c r="G59" s="26" t="s">
        <v>694</v>
      </c>
      <c r="H59" s="26" t="s">
        <v>481</v>
      </c>
      <c r="J59" s="25" t="s">
        <v>641</v>
      </c>
      <c r="K59" s="26" t="s">
        <v>606</v>
      </c>
      <c r="L59" s="26" t="s">
        <v>305</v>
      </c>
      <c r="N59" s="46" t="s">
        <v>639</v>
      </c>
      <c r="O59" s="46" t="s">
        <v>53</v>
      </c>
      <c r="P59" s="57">
        <v>12.513333333333334</v>
      </c>
      <c r="Q59" s="51">
        <v>12.4</v>
      </c>
      <c r="R59" s="59" t="s">
        <v>737</v>
      </c>
      <c r="S59" s="63">
        <v>8.6</v>
      </c>
    </row>
    <row r="60" spans="2:19" s="18" customFormat="1" ht="16" customHeight="1">
      <c r="B60" s="25" t="s">
        <v>649</v>
      </c>
      <c r="C60" s="26" t="s">
        <v>53</v>
      </c>
      <c r="D60" s="26" t="s">
        <v>275</v>
      </c>
      <c r="F60" s="25" t="s">
        <v>659</v>
      </c>
      <c r="G60" s="26" t="s">
        <v>597</v>
      </c>
      <c r="H60" s="26" t="s">
        <v>504</v>
      </c>
      <c r="J60" s="25" t="s">
        <v>669</v>
      </c>
      <c r="K60" s="26" t="s">
        <v>53</v>
      </c>
      <c r="L60" s="26" t="s">
        <v>305</v>
      </c>
      <c r="N60" s="46" t="s">
        <v>643</v>
      </c>
      <c r="O60" s="46" t="s">
        <v>606</v>
      </c>
      <c r="P60" s="57">
        <v>17.285</v>
      </c>
      <c r="Q60" s="51">
        <v>43.133333333333333</v>
      </c>
      <c r="R60" s="48"/>
      <c r="S60" s="63">
        <v>6.4</v>
      </c>
    </row>
    <row r="61" spans="2:19" s="18" customFormat="1" ht="16" customHeight="1">
      <c r="B61" s="25" t="s">
        <v>650</v>
      </c>
      <c r="C61" s="26" t="s">
        <v>56</v>
      </c>
      <c r="D61" s="26" t="s">
        <v>275</v>
      </c>
      <c r="F61" s="25" t="s">
        <v>660</v>
      </c>
      <c r="G61" s="26" t="s">
        <v>694</v>
      </c>
      <c r="H61" s="26" t="s">
        <v>481</v>
      </c>
      <c r="J61" s="25" t="s">
        <v>658</v>
      </c>
      <c r="K61" s="26" t="s">
        <v>694</v>
      </c>
      <c r="L61" s="26" t="s">
        <v>481</v>
      </c>
      <c r="N61" s="46" t="s">
        <v>638</v>
      </c>
      <c r="O61" s="46" t="s">
        <v>53</v>
      </c>
      <c r="P61" s="57">
        <v>12.848333333333333</v>
      </c>
      <c r="Q61" s="51">
        <v>41.116666666666667</v>
      </c>
      <c r="R61" s="59" t="s">
        <v>738</v>
      </c>
      <c r="S61" s="63">
        <v>8.1999999999999993</v>
      </c>
    </row>
    <row r="62" spans="2:19" s="18" customFormat="1" ht="16">
      <c r="B62" s="25" t="s">
        <v>645</v>
      </c>
      <c r="C62" s="26" t="s">
        <v>56</v>
      </c>
      <c r="D62" s="26" t="s">
        <v>275</v>
      </c>
      <c r="F62" s="25" t="s">
        <v>661</v>
      </c>
      <c r="G62" s="26" t="s">
        <v>694</v>
      </c>
      <c r="H62" s="26" t="s">
        <v>481</v>
      </c>
      <c r="J62" s="25" t="s">
        <v>661</v>
      </c>
      <c r="K62" s="26" t="s">
        <v>694</v>
      </c>
      <c r="L62" s="26" t="s">
        <v>481</v>
      </c>
      <c r="N62" s="46" t="s">
        <v>614</v>
      </c>
      <c r="O62" s="46" t="s">
        <v>56</v>
      </c>
      <c r="P62" s="57">
        <v>11.246666666666666</v>
      </c>
      <c r="Q62" s="51">
        <v>55.016666666666666</v>
      </c>
      <c r="R62" s="48"/>
      <c r="S62" s="63">
        <v>9.9</v>
      </c>
    </row>
    <row r="63" spans="2:19" s="18" customFormat="1" ht="16">
      <c r="B63" s="25" t="s">
        <v>651</v>
      </c>
      <c r="C63" s="26" t="s">
        <v>606</v>
      </c>
      <c r="D63" s="26" t="s">
        <v>258</v>
      </c>
      <c r="F63" s="25" t="s">
        <v>662</v>
      </c>
      <c r="G63" s="26" t="s">
        <v>606</v>
      </c>
      <c r="H63" s="26" t="s">
        <v>487</v>
      </c>
      <c r="J63" s="25" t="s">
        <v>663</v>
      </c>
      <c r="K63" s="26" t="s">
        <v>606</v>
      </c>
      <c r="L63" s="26" t="s">
        <v>481</v>
      </c>
      <c r="N63" s="46" t="s">
        <v>637</v>
      </c>
      <c r="O63" s="46" t="s">
        <v>53</v>
      </c>
      <c r="P63" s="57">
        <v>14.053333333333333</v>
      </c>
      <c r="Q63" s="51">
        <v>54.35</v>
      </c>
      <c r="R63" s="59" t="s">
        <v>739</v>
      </c>
      <c r="S63" s="63">
        <v>7.9</v>
      </c>
    </row>
    <row r="64" spans="2:19" s="18" customFormat="1" ht="16">
      <c r="B64" s="25" t="s">
        <v>652</v>
      </c>
      <c r="C64" s="26" t="s">
        <v>606</v>
      </c>
      <c r="D64" s="26" t="s">
        <v>412</v>
      </c>
      <c r="F64" s="25" t="s">
        <v>663</v>
      </c>
      <c r="G64" s="26" t="s">
        <v>606</v>
      </c>
      <c r="H64" s="26" t="s">
        <v>481</v>
      </c>
      <c r="J64" s="25" t="s">
        <v>664</v>
      </c>
      <c r="K64" s="26" t="s">
        <v>606</v>
      </c>
      <c r="L64" s="26" t="s">
        <v>373</v>
      </c>
      <c r="N64" s="46" t="s">
        <v>679</v>
      </c>
      <c r="O64" s="46" t="s">
        <v>597</v>
      </c>
      <c r="P64" s="57">
        <v>1.5533333333333332</v>
      </c>
      <c r="Q64" s="51">
        <v>60.7</v>
      </c>
      <c r="R64" s="48"/>
      <c r="S64" s="63">
        <v>7.4</v>
      </c>
    </row>
    <row r="65" spans="2:19" s="18" customFormat="1" ht="16">
      <c r="B65" s="25" t="s">
        <v>653</v>
      </c>
      <c r="C65" s="26" t="s">
        <v>606</v>
      </c>
      <c r="D65" s="26" t="s">
        <v>412</v>
      </c>
      <c r="F65" s="25" t="s">
        <v>664</v>
      </c>
      <c r="G65" s="26" t="s">
        <v>606</v>
      </c>
      <c r="H65" s="26" t="s">
        <v>373</v>
      </c>
      <c r="J65" s="25" t="s">
        <v>670</v>
      </c>
      <c r="K65" s="26" t="s">
        <v>56</v>
      </c>
      <c r="L65" s="26" t="s">
        <v>275</v>
      </c>
      <c r="N65" s="46" t="s">
        <v>635</v>
      </c>
      <c r="O65" s="46" t="s">
        <v>53</v>
      </c>
      <c r="P65" s="57">
        <v>12.666666666666666</v>
      </c>
      <c r="Q65" s="51">
        <v>-11.616666666666667</v>
      </c>
      <c r="R65" s="59" t="s">
        <v>740</v>
      </c>
      <c r="S65" s="63">
        <v>8</v>
      </c>
    </row>
    <row r="66" spans="2:19" s="18" customFormat="1" ht="16">
      <c r="B66" s="25" t="s">
        <v>654</v>
      </c>
      <c r="C66" s="26" t="s">
        <v>606</v>
      </c>
      <c r="D66" s="26" t="s">
        <v>412</v>
      </c>
      <c r="F66" s="25" t="s">
        <v>644</v>
      </c>
      <c r="G66" s="26" t="s">
        <v>56</v>
      </c>
      <c r="H66" s="26" t="s">
        <v>305</v>
      </c>
      <c r="J66" s="25" t="s">
        <v>645</v>
      </c>
      <c r="K66" s="26" t="s">
        <v>56</v>
      </c>
      <c r="L66" s="26" t="s">
        <v>275</v>
      </c>
      <c r="N66" s="46" t="s">
        <v>628</v>
      </c>
      <c r="O66" s="46" t="s">
        <v>53</v>
      </c>
      <c r="P66" s="57">
        <v>12.316666666666666</v>
      </c>
      <c r="Q66" s="51">
        <v>47.3</v>
      </c>
      <c r="R66" s="48"/>
      <c r="S66" s="63">
        <v>8.4</v>
      </c>
    </row>
    <row r="67" spans="2:19" s="18" customFormat="1" ht="16">
      <c r="B67" s="25" t="s">
        <v>643</v>
      </c>
      <c r="C67" s="26" t="s">
        <v>606</v>
      </c>
      <c r="D67" s="26" t="s">
        <v>305</v>
      </c>
      <c r="F67" s="25" t="s">
        <v>665</v>
      </c>
      <c r="G67" s="26" t="s">
        <v>56</v>
      </c>
      <c r="H67" s="26" t="s">
        <v>412</v>
      </c>
      <c r="J67" s="25" t="s">
        <v>666</v>
      </c>
      <c r="K67" s="26" t="s">
        <v>56</v>
      </c>
      <c r="L67" s="26" t="s">
        <v>667</v>
      </c>
      <c r="N67" s="46" t="s">
        <v>612</v>
      </c>
      <c r="O67" s="46" t="s">
        <v>53</v>
      </c>
      <c r="P67" s="57">
        <v>11.191666666666666</v>
      </c>
      <c r="Q67" s="51">
        <v>55.666666666666664</v>
      </c>
      <c r="R67" s="59" t="s">
        <v>741</v>
      </c>
      <c r="S67" s="64">
        <v>10</v>
      </c>
    </row>
    <row r="68" spans="2:19" s="18" customFormat="1" ht="16">
      <c r="B68" s="25" t="s">
        <v>655</v>
      </c>
      <c r="C68" s="26" t="s">
        <v>53</v>
      </c>
      <c r="D68" s="26" t="s">
        <v>487</v>
      </c>
      <c r="F68" s="25" t="s">
        <v>666</v>
      </c>
      <c r="G68" s="26" t="s">
        <v>56</v>
      </c>
      <c r="H68" s="26" t="s">
        <v>107</v>
      </c>
      <c r="J68" s="25" t="s">
        <v>651</v>
      </c>
      <c r="K68" s="26" t="s">
        <v>56</v>
      </c>
      <c r="L68" s="26" t="s">
        <v>258</v>
      </c>
      <c r="N68" s="46" t="s">
        <v>632</v>
      </c>
      <c r="O68" s="46" t="s">
        <v>53</v>
      </c>
      <c r="P68" s="57">
        <v>11.96</v>
      </c>
      <c r="Q68" s="51">
        <v>53.383333333333333</v>
      </c>
      <c r="R68" s="59" t="s">
        <v>742</v>
      </c>
      <c r="S68" s="64">
        <v>9.8000000000000007</v>
      </c>
    </row>
    <row r="69" spans="2:19" s="18" customFormat="1" ht="16">
      <c r="B69" s="25" t="s">
        <v>656</v>
      </c>
      <c r="C69" s="26" t="s">
        <v>597</v>
      </c>
      <c r="D69" s="26" t="s">
        <v>498</v>
      </c>
      <c r="F69" s="25" t="s">
        <v>651</v>
      </c>
      <c r="G69" s="26" t="s">
        <v>56</v>
      </c>
      <c r="H69" s="26" t="s">
        <v>258</v>
      </c>
      <c r="J69" s="41" t="s">
        <v>673</v>
      </c>
      <c r="K69" s="26" t="s">
        <v>55</v>
      </c>
      <c r="L69" s="26" t="s">
        <v>263</v>
      </c>
      <c r="N69" s="46" t="s">
        <v>672</v>
      </c>
      <c r="O69" s="46" t="s">
        <v>53</v>
      </c>
      <c r="P69" s="57">
        <v>0.67333333333333334</v>
      </c>
      <c r="Q69" s="51">
        <v>41.68333333333333</v>
      </c>
      <c r="R69" s="59" t="s">
        <v>743</v>
      </c>
      <c r="S69" s="64">
        <v>8.5</v>
      </c>
    </row>
    <row r="70" spans="2:19" s="18" customFormat="1" ht="16">
      <c r="N70" s="46" t="s">
        <v>682</v>
      </c>
      <c r="O70" s="46" t="s">
        <v>56</v>
      </c>
      <c r="P70" s="57">
        <v>20.271666666666668</v>
      </c>
      <c r="Q70" s="51">
        <v>12.766666666666667</v>
      </c>
      <c r="R70" s="55" t="s">
        <v>702</v>
      </c>
      <c r="S70" s="63">
        <v>8</v>
      </c>
    </row>
    <row r="71" spans="2:19" s="18" customFormat="1" ht="17">
      <c r="N71" s="46" t="s">
        <v>683</v>
      </c>
      <c r="O71" s="46" t="s">
        <v>53</v>
      </c>
      <c r="P71" s="57">
        <v>0.79</v>
      </c>
      <c r="Q71" s="51">
        <v>-25.28</v>
      </c>
      <c r="R71" s="60" t="s">
        <v>744</v>
      </c>
      <c r="S71" s="63">
        <v>7.1</v>
      </c>
    </row>
    <row r="72" spans="2:19" s="18" customFormat="1" ht="16">
      <c r="B72" s="213" t="s">
        <v>34</v>
      </c>
      <c r="C72" s="213"/>
      <c r="D72" s="213"/>
      <c r="F72" s="213" t="s">
        <v>35</v>
      </c>
      <c r="G72" s="213"/>
      <c r="H72" s="213"/>
      <c r="J72" s="213" t="s">
        <v>36</v>
      </c>
      <c r="K72" s="213"/>
      <c r="L72" s="213"/>
      <c r="N72" s="46" t="s">
        <v>684</v>
      </c>
      <c r="O72" s="46" t="s">
        <v>53</v>
      </c>
      <c r="P72" s="57">
        <v>1.1599999999999999</v>
      </c>
      <c r="Q72" s="51">
        <v>35.72</v>
      </c>
      <c r="R72" s="48"/>
      <c r="S72" s="63">
        <v>10.1</v>
      </c>
    </row>
    <row r="73" spans="2:19" s="18" customFormat="1" ht="16">
      <c r="B73" s="214" t="s">
        <v>626</v>
      </c>
      <c r="C73" s="214"/>
      <c r="D73" s="214"/>
      <c r="F73" s="214" t="s">
        <v>622</v>
      </c>
      <c r="G73" s="214"/>
      <c r="H73" s="214"/>
      <c r="J73" s="214" t="s">
        <v>622</v>
      </c>
      <c r="K73" s="214"/>
      <c r="L73" s="214"/>
      <c r="N73" s="46" t="s">
        <v>685</v>
      </c>
      <c r="O73" s="46" t="s">
        <v>597</v>
      </c>
      <c r="P73" s="57">
        <v>2.3199999999999998</v>
      </c>
      <c r="Q73" s="51">
        <v>57.23</v>
      </c>
      <c r="R73" s="48"/>
      <c r="S73" s="63">
        <v>4</v>
      </c>
    </row>
    <row r="74" spans="2:19" s="18" customFormat="1" ht="16">
      <c r="B74" s="19" t="s">
        <v>29</v>
      </c>
      <c r="C74" s="20" t="s">
        <v>23</v>
      </c>
      <c r="D74" s="21" t="s">
        <v>37</v>
      </c>
      <c r="F74" s="19" t="s">
        <v>29</v>
      </c>
      <c r="G74" s="20" t="s">
        <v>23</v>
      </c>
      <c r="H74" s="21" t="s">
        <v>37</v>
      </c>
      <c r="J74" s="19" t="s">
        <v>29</v>
      </c>
      <c r="K74" s="20" t="s">
        <v>23</v>
      </c>
      <c r="L74" s="21" t="s">
        <v>37</v>
      </c>
      <c r="N74" s="46" t="s">
        <v>686</v>
      </c>
      <c r="O74" s="46" t="s">
        <v>597</v>
      </c>
      <c r="P74" s="57">
        <v>2.37</v>
      </c>
      <c r="Q74" s="51">
        <v>57.23</v>
      </c>
      <c r="R74" s="48"/>
      <c r="S74" s="63">
        <v>4</v>
      </c>
    </row>
    <row r="75" spans="2:19" s="18" customFormat="1" ht="16">
      <c r="B75" s="22" t="s">
        <v>657</v>
      </c>
      <c r="C75" s="23" t="s">
        <v>56</v>
      </c>
      <c r="D75" s="23" t="s">
        <v>572</v>
      </c>
      <c r="F75" s="22" t="s">
        <v>38</v>
      </c>
      <c r="G75" s="23" t="s">
        <v>53</v>
      </c>
      <c r="H75" s="23" t="s">
        <v>58</v>
      </c>
      <c r="J75" s="22" t="s">
        <v>38</v>
      </c>
      <c r="K75" s="23" t="s">
        <v>53</v>
      </c>
      <c r="L75" s="23" t="s">
        <v>58</v>
      </c>
      <c r="N75" s="46" t="s">
        <v>41</v>
      </c>
      <c r="O75" s="46" t="s">
        <v>53</v>
      </c>
      <c r="P75" s="57">
        <v>2.38</v>
      </c>
      <c r="Q75" s="51">
        <v>42.35</v>
      </c>
      <c r="R75" s="48"/>
      <c r="S75" s="63">
        <v>10</v>
      </c>
    </row>
    <row r="76" spans="2:19" s="18" customFormat="1" ht="16">
      <c r="B76" s="22" t="s">
        <v>671</v>
      </c>
      <c r="C76" s="23" t="s">
        <v>606</v>
      </c>
      <c r="D76" s="23" t="s">
        <v>426</v>
      </c>
      <c r="F76" s="22" t="s">
        <v>671</v>
      </c>
      <c r="G76" s="23" t="s">
        <v>606</v>
      </c>
      <c r="H76" s="23" t="s">
        <v>426</v>
      </c>
      <c r="J76" s="22" t="s">
        <v>39</v>
      </c>
      <c r="K76" s="23" t="s">
        <v>53</v>
      </c>
      <c r="L76" s="23" t="s">
        <v>59</v>
      </c>
      <c r="N76" s="46" t="s">
        <v>48</v>
      </c>
      <c r="O76" s="46" t="s">
        <v>56</v>
      </c>
      <c r="P76" s="57">
        <v>7.1766666666666667</v>
      </c>
      <c r="Q76" s="51">
        <v>0.85</v>
      </c>
      <c r="R76" s="55" t="s">
        <v>746</v>
      </c>
      <c r="S76" s="63">
        <v>10.9</v>
      </c>
    </row>
    <row r="77" spans="2:19" s="18" customFormat="1" ht="16">
      <c r="B77" s="22" t="s">
        <v>672</v>
      </c>
      <c r="C77" s="23" t="s">
        <v>53</v>
      </c>
      <c r="D77" s="23" t="s">
        <v>58</v>
      </c>
      <c r="F77" s="22" t="s">
        <v>39</v>
      </c>
      <c r="G77" s="23" t="s">
        <v>53</v>
      </c>
      <c r="H77" s="23" t="s">
        <v>59</v>
      </c>
      <c r="J77" s="22" t="s">
        <v>41</v>
      </c>
      <c r="K77" s="23" t="s">
        <v>53</v>
      </c>
      <c r="L77" s="23" t="s">
        <v>58</v>
      </c>
      <c r="N77" s="46" t="s">
        <v>49</v>
      </c>
      <c r="O77" s="46" t="s">
        <v>56</v>
      </c>
      <c r="P77" s="57">
        <v>7.6966666666666663</v>
      </c>
      <c r="Q77" s="51">
        <v>-14.733333333333333</v>
      </c>
      <c r="R77" s="56" t="s">
        <v>701</v>
      </c>
      <c r="S77" s="63">
        <v>10</v>
      </c>
    </row>
    <row r="78" spans="2:19" s="18" customFormat="1" ht="16">
      <c r="B78" s="22" t="s">
        <v>647</v>
      </c>
      <c r="C78" s="23" t="s">
        <v>55</v>
      </c>
      <c r="D78" s="23" t="s">
        <v>258</v>
      </c>
      <c r="F78" s="22" t="s">
        <v>42</v>
      </c>
      <c r="G78" s="23" t="s">
        <v>55</v>
      </c>
      <c r="H78" s="23" t="s">
        <v>58</v>
      </c>
      <c r="J78" s="22" t="s">
        <v>42</v>
      </c>
      <c r="K78" s="23" t="s">
        <v>55</v>
      </c>
      <c r="L78" s="23" t="s">
        <v>58</v>
      </c>
      <c r="N78" s="46" t="s">
        <v>591</v>
      </c>
      <c r="O78" s="46" t="s">
        <v>597</v>
      </c>
      <c r="P78" s="57">
        <v>6.54</v>
      </c>
      <c r="Q78" s="51">
        <v>4.87</v>
      </c>
      <c r="R78" s="48"/>
      <c r="S78" s="63">
        <v>4.8</v>
      </c>
    </row>
    <row r="79" spans="2:19" s="18" customFormat="1" ht="16">
      <c r="B79" s="25" t="s">
        <v>668</v>
      </c>
      <c r="C79" s="46" t="s">
        <v>57</v>
      </c>
      <c r="D79" s="26" t="s">
        <v>258</v>
      </c>
      <c r="F79" s="25" t="s">
        <v>677</v>
      </c>
      <c r="G79" s="26" t="s">
        <v>53</v>
      </c>
      <c r="H79" s="26" t="s">
        <v>58</v>
      </c>
      <c r="J79" s="25" t="s">
        <v>43</v>
      </c>
      <c r="K79" s="26" t="s">
        <v>55</v>
      </c>
      <c r="L79" s="26" t="s">
        <v>60</v>
      </c>
      <c r="N79" s="46" t="s">
        <v>592</v>
      </c>
      <c r="O79" s="46" t="s">
        <v>56</v>
      </c>
      <c r="P79" s="57">
        <v>6.67</v>
      </c>
      <c r="Q79" s="51">
        <v>8.7100000000000009</v>
      </c>
      <c r="R79" s="47" t="s">
        <v>747</v>
      </c>
      <c r="S79" s="63">
        <v>9</v>
      </c>
    </row>
    <row r="80" spans="2:19" s="18" customFormat="1" ht="16">
      <c r="B80" s="25" t="s">
        <v>646</v>
      </c>
      <c r="C80" s="26" t="s">
        <v>56</v>
      </c>
      <c r="D80" s="26" t="s">
        <v>373</v>
      </c>
      <c r="F80" s="25" t="s">
        <v>672</v>
      </c>
      <c r="G80" s="26" t="s">
        <v>53</v>
      </c>
      <c r="H80" s="26" t="s">
        <v>58</v>
      </c>
      <c r="J80" s="25" t="s">
        <v>44</v>
      </c>
      <c r="K80" s="26" t="s">
        <v>55</v>
      </c>
      <c r="L80" s="26" t="s">
        <v>61</v>
      </c>
      <c r="N80" s="46" t="s">
        <v>593</v>
      </c>
      <c r="O80" s="46" t="s">
        <v>54</v>
      </c>
      <c r="P80" s="57">
        <v>7.33</v>
      </c>
      <c r="Q80" s="51">
        <v>-13.28</v>
      </c>
      <c r="R80" s="47" t="s">
        <v>748</v>
      </c>
      <c r="S80" s="63">
        <v>11.5</v>
      </c>
    </row>
    <row r="81" spans="2:19" s="18" customFormat="1" ht="16">
      <c r="B81" s="25" t="s">
        <v>672</v>
      </c>
      <c r="C81" s="26" t="s">
        <v>597</v>
      </c>
      <c r="D81" s="26" t="s">
        <v>498</v>
      </c>
      <c r="F81" s="25" t="s">
        <v>668</v>
      </c>
      <c r="G81" s="46" t="s">
        <v>57</v>
      </c>
      <c r="H81" s="26" t="s">
        <v>258</v>
      </c>
      <c r="J81" s="25" t="s">
        <v>677</v>
      </c>
      <c r="K81" s="26" t="s">
        <v>53</v>
      </c>
      <c r="L81" s="26" t="s">
        <v>58</v>
      </c>
      <c r="N81" s="46" t="s">
        <v>594</v>
      </c>
      <c r="O81" s="46" t="s">
        <v>56</v>
      </c>
      <c r="P81" s="57">
        <v>5.97</v>
      </c>
      <c r="Q81" s="51">
        <v>46.116666666666667</v>
      </c>
      <c r="R81" s="55" t="s">
        <v>753</v>
      </c>
      <c r="S81" s="63">
        <v>10</v>
      </c>
    </row>
    <row r="82" spans="2:19" s="18" customFormat="1" ht="16">
      <c r="B82" s="25" t="s">
        <v>673</v>
      </c>
      <c r="C82" s="26" t="s">
        <v>55</v>
      </c>
      <c r="D82" s="26" t="s">
        <v>263</v>
      </c>
      <c r="F82" s="25" t="s">
        <v>678</v>
      </c>
      <c r="G82" s="26" t="s">
        <v>597</v>
      </c>
      <c r="H82" s="26" t="s">
        <v>60</v>
      </c>
      <c r="J82" s="25" t="s">
        <v>672</v>
      </c>
      <c r="K82" s="26" t="s">
        <v>53</v>
      </c>
      <c r="L82" s="26" t="s">
        <v>58</v>
      </c>
      <c r="N82" s="46" t="s">
        <v>588</v>
      </c>
      <c r="O82" s="46" t="s">
        <v>56</v>
      </c>
      <c r="P82" s="57">
        <v>9.1233333333333331</v>
      </c>
      <c r="Q82" s="51">
        <v>-70.033333333333331</v>
      </c>
      <c r="R82" s="55" t="s">
        <v>799</v>
      </c>
      <c r="S82" s="63">
        <v>10</v>
      </c>
    </row>
    <row r="83" spans="2:19" s="18" customFormat="1" ht="16">
      <c r="B83" s="25" t="s">
        <v>657</v>
      </c>
      <c r="C83" s="26" t="s">
        <v>606</v>
      </c>
      <c r="D83" s="26" t="s">
        <v>100</v>
      </c>
      <c r="F83" s="25" t="s">
        <v>679</v>
      </c>
      <c r="G83" s="26" t="s">
        <v>597</v>
      </c>
      <c r="H83" s="26" t="s">
        <v>60</v>
      </c>
      <c r="J83" s="25" t="s">
        <v>45</v>
      </c>
      <c r="K83" s="26" t="s">
        <v>53</v>
      </c>
      <c r="L83" s="26" t="s">
        <v>62</v>
      </c>
      <c r="N83" s="46" t="s">
        <v>617</v>
      </c>
      <c r="O83" s="46" t="s">
        <v>53</v>
      </c>
      <c r="P83" s="57">
        <v>9.56</v>
      </c>
      <c r="Q83" s="51">
        <v>21.39</v>
      </c>
      <c r="R83" s="48"/>
      <c r="S83" s="63">
        <v>8.9</v>
      </c>
    </row>
    <row r="84" spans="2:19" s="18" customFormat="1" ht="16">
      <c r="B84" s="25" t="s">
        <v>674</v>
      </c>
      <c r="C84" s="26" t="s">
        <v>606</v>
      </c>
      <c r="D84" s="26" t="s">
        <v>168</v>
      </c>
      <c r="F84" s="25" t="s">
        <v>680</v>
      </c>
      <c r="G84" s="26" t="s">
        <v>53</v>
      </c>
      <c r="H84" s="26" t="s">
        <v>426</v>
      </c>
      <c r="J84" s="25" t="s">
        <v>46</v>
      </c>
      <c r="K84" s="26" t="s">
        <v>53</v>
      </c>
      <c r="L84" s="26" t="s">
        <v>63</v>
      </c>
      <c r="N84" s="46" t="s">
        <v>616</v>
      </c>
      <c r="O84" s="46" t="s">
        <v>53</v>
      </c>
      <c r="P84" s="57">
        <v>10.11</v>
      </c>
      <c r="Q84" s="51">
        <v>-8.84</v>
      </c>
      <c r="R84" s="47" t="s">
        <v>752</v>
      </c>
      <c r="S84" s="63">
        <v>9.1999999999999993</v>
      </c>
    </row>
    <row r="85" spans="2:19" s="18" customFormat="1" ht="16">
      <c r="B85" s="25" t="s">
        <v>664</v>
      </c>
      <c r="C85" s="26" t="s">
        <v>606</v>
      </c>
      <c r="D85" s="26" t="s">
        <v>373</v>
      </c>
      <c r="F85" s="25" t="s">
        <v>681</v>
      </c>
      <c r="G85" s="26" t="s">
        <v>53</v>
      </c>
      <c r="H85" s="26" t="s">
        <v>426</v>
      </c>
      <c r="J85" s="25" t="s">
        <v>684</v>
      </c>
      <c r="K85" s="26" t="s">
        <v>53</v>
      </c>
      <c r="L85" s="26" t="s">
        <v>58</v>
      </c>
      <c r="N85" s="46" t="s">
        <v>618</v>
      </c>
      <c r="O85" s="46" t="s">
        <v>53</v>
      </c>
      <c r="P85" s="57">
        <v>10.3</v>
      </c>
      <c r="Q85" s="51">
        <v>21.83</v>
      </c>
      <c r="R85" s="48"/>
      <c r="S85" s="63">
        <v>11</v>
      </c>
    </row>
    <row r="86" spans="2:19" s="18" customFormat="1" ht="16">
      <c r="B86" s="25" t="s">
        <v>38</v>
      </c>
      <c r="C86" s="26" t="s">
        <v>53</v>
      </c>
      <c r="D86" s="26" t="s">
        <v>58</v>
      </c>
      <c r="F86" s="25" t="s">
        <v>676</v>
      </c>
      <c r="G86" s="26" t="s">
        <v>56</v>
      </c>
      <c r="H86" s="26" t="s">
        <v>58</v>
      </c>
      <c r="J86" s="25" t="s">
        <v>685</v>
      </c>
      <c r="K86" s="46" t="s">
        <v>597</v>
      </c>
      <c r="L86" s="26" t="s">
        <v>64</v>
      </c>
      <c r="N86" s="46" t="s">
        <v>615</v>
      </c>
      <c r="O86" s="46" t="s">
        <v>56</v>
      </c>
      <c r="P86" s="57">
        <v>17.378333333333334</v>
      </c>
      <c r="Q86" s="51">
        <v>-51.783333333333331</v>
      </c>
      <c r="R86" s="56" t="s">
        <v>797</v>
      </c>
      <c r="S86" s="63">
        <v>9</v>
      </c>
    </row>
    <row r="87" spans="2:19" s="18" customFormat="1" ht="16">
      <c r="B87" s="25" t="s">
        <v>645</v>
      </c>
      <c r="C87" s="26" t="s">
        <v>56</v>
      </c>
      <c r="D87" s="26" t="s">
        <v>275</v>
      </c>
      <c r="F87" s="25" t="s">
        <v>45</v>
      </c>
      <c r="G87" s="26" t="s">
        <v>53</v>
      </c>
      <c r="H87" s="26" t="s">
        <v>62</v>
      </c>
      <c r="J87" s="25" t="s">
        <v>686</v>
      </c>
      <c r="K87" s="46" t="s">
        <v>597</v>
      </c>
      <c r="L87" s="26" t="s">
        <v>64</v>
      </c>
      <c r="N87" s="46" t="s">
        <v>620</v>
      </c>
      <c r="O87" s="46" t="s">
        <v>53</v>
      </c>
      <c r="P87" s="57">
        <v>11.34</v>
      </c>
      <c r="Q87" s="51">
        <v>13.6</v>
      </c>
      <c r="R87" s="133" t="s">
        <v>798</v>
      </c>
      <c r="S87" s="63">
        <v>9.5</v>
      </c>
    </row>
    <row r="88" spans="2:19" s="18" customFormat="1" ht="16">
      <c r="B88" s="25" t="s">
        <v>651</v>
      </c>
      <c r="C88" s="26" t="s">
        <v>56</v>
      </c>
      <c r="D88" s="26" t="s">
        <v>258</v>
      </c>
      <c r="F88" s="25" t="s">
        <v>682</v>
      </c>
      <c r="G88" s="26" t="s">
        <v>56</v>
      </c>
      <c r="H88" s="26" t="s">
        <v>62</v>
      </c>
      <c r="J88" s="25" t="s">
        <v>682</v>
      </c>
      <c r="K88" s="26" t="s">
        <v>56</v>
      </c>
      <c r="L88" s="26" t="s">
        <v>63</v>
      </c>
      <c r="N88" s="46" t="s">
        <v>640</v>
      </c>
      <c r="O88" s="46" t="s">
        <v>56</v>
      </c>
      <c r="P88" s="57">
        <v>13.876666666666667</v>
      </c>
      <c r="Q88" s="51">
        <v>-51.31666666666667</v>
      </c>
      <c r="R88" s="55" t="s">
        <v>700</v>
      </c>
      <c r="S88" s="63">
        <v>10</v>
      </c>
    </row>
    <row r="89" spans="2:19" s="18" customFormat="1" ht="16">
      <c r="B89" s="25" t="s">
        <v>675</v>
      </c>
      <c r="C89" s="26" t="s">
        <v>56</v>
      </c>
      <c r="D89" s="26" t="s">
        <v>100</v>
      </c>
      <c r="F89" s="25" t="s">
        <v>683</v>
      </c>
      <c r="G89" s="26" t="s">
        <v>53</v>
      </c>
      <c r="H89" s="26" t="s">
        <v>492</v>
      </c>
      <c r="J89" s="25" t="s">
        <v>676</v>
      </c>
      <c r="K89" s="26" t="s">
        <v>56</v>
      </c>
      <c r="L89" s="26" t="s">
        <v>58</v>
      </c>
      <c r="N89" s="46" t="s">
        <v>634</v>
      </c>
      <c r="O89" s="46" t="s">
        <v>53</v>
      </c>
      <c r="P89" s="57">
        <v>12.75</v>
      </c>
      <c r="Q89" s="51">
        <v>25.98</v>
      </c>
      <c r="R89" s="48"/>
      <c r="S89" s="63">
        <v>9.6</v>
      </c>
    </row>
    <row r="90" spans="2:19" s="18" customFormat="1" ht="16">
      <c r="B90" s="25" t="s">
        <v>676</v>
      </c>
      <c r="C90" s="26" t="s">
        <v>56</v>
      </c>
      <c r="D90" s="26" t="s">
        <v>58</v>
      </c>
      <c r="F90" s="25" t="s">
        <v>684</v>
      </c>
      <c r="G90" s="26" t="s">
        <v>53</v>
      </c>
      <c r="H90" s="26" t="s">
        <v>58</v>
      </c>
      <c r="J90" s="25" t="s">
        <v>40</v>
      </c>
      <c r="K90" s="26" t="s">
        <v>602</v>
      </c>
      <c r="L90" s="26" t="s">
        <v>65</v>
      </c>
      <c r="N90" s="46" t="s">
        <v>650</v>
      </c>
      <c r="O90" s="46" t="s">
        <v>56</v>
      </c>
      <c r="P90" s="57">
        <v>15.11</v>
      </c>
      <c r="Q90" s="51">
        <v>55.77</v>
      </c>
      <c r="R90" s="48"/>
      <c r="S90" s="63">
        <v>10</v>
      </c>
    </row>
    <row r="91" spans="2:19" s="18" customFormat="1" ht="16">
      <c r="N91" s="46" t="s">
        <v>649</v>
      </c>
      <c r="O91" s="46" t="s">
        <v>53</v>
      </c>
      <c r="P91" s="57">
        <v>15.27</v>
      </c>
      <c r="Q91" s="51">
        <v>56.32</v>
      </c>
      <c r="R91" s="48"/>
      <c r="S91" s="63">
        <v>10.4</v>
      </c>
    </row>
    <row r="92" spans="2:19" s="18" customFormat="1" ht="16">
      <c r="N92" s="46" t="s">
        <v>669</v>
      </c>
      <c r="O92" s="46" t="s">
        <v>53</v>
      </c>
      <c r="P92" s="57">
        <v>16.72</v>
      </c>
      <c r="Q92" s="51">
        <v>36.83</v>
      </c>
      <c r="R92" s="48"/>
      <c r="S92" s="63">
        <v>11.6</v>
      </c>
    </row>
    <row r="93" spans="2:19" s="18" customFormat="1" ht="16">
      <c r="N93" s="46" t="s">
        <v>644</v>
      </c>
      <c r="O93" s="46" t="s">
        <v>56</v>
      </c>
      <c r="P93" s="57">
        <v>20.353333333333332</v>
      </c>
      <c r="Q93" s="51">
        <v>16.8</v>
      </c>
      <c r="R93" s="47" t="s">
        <v>750</v>
      </c>
      <c r="S93" s="63">
        <v>9.6999999999999993</v>
      </c>
    </row>
    <row r="94" spans="2:19" s="18" customFormat="1" ht="16">
      <c r="N94" s="46" t="s">
        <v>665</v>
      </c>
      <c r="O94" s="46" t="s">
        <v>56</v>
      </c>
      <c r="P94" s="57">
        <v>18.43</v>
      </c>
      <c r="Q94" s="51">
        <v>-23.2</v>
      </c>
      <c r="R94" s="56" t="s">
        <v>751</v>
      </c>
      <c r="S94" s="63">
        <v>11.5</v>
      </c>
    </row>
    <row r="95" spans="2:19" s="18" customFormat="1" ht="16">
      <c r="N95" s="46" t="s">
        <v>670</v>
      </c>
      <c r="O95" s="46" t="s">
        <v>53</v>
      </c>
      <c r="P95" s="57">
        <v>17.82</v>
      </c>
      <c r="Q95" s="51">
        <v>70.13</v>
      </c>
      <c r="R95" s="47" t="s">
        <v>749</v>
      </c>
      <c r="S95" s="63">
        <v>10.9</v>
      </c>
    </row>
    <row r="96" spans="2:19" s="18" customFormat="1" ht="16">
      <c r="N96" s="46" t="s">
        <v>645</v>
      </c>
      <c r="O96" s="46" t="s">
        <v>56</v>
      </c>
      <c r="P96" s="57">
        <v>21.02</v>
      </c>
      <c r="Q96" s="51">
        <v>54.633333333333333</v>
      </c>
      <c r="R96" s="55" t="s">
        <v>754</v>
      </c>
      <c r="S96" s="63">
        <v>9</v>
      </c>
    </row>
    <row r="97" spans="14:19" s="18" customFormat="1" ht="16">
      <c r="N97" s="46" t="s">
        <v>666</v>
      </c>
      <c r="O97" s="46" t="s">
        <v>56</v>
      </c>
      <c r="P97" s="57">
        <v>17.398333333333333</v>
      </c>
      <c r="Q97" s="51">
        <v>-38.5</v>
      </c>
      <c r="R97" s="55" t="s">
        <v>699</v>
      </c>
      <c r="S97" s="63">
        <v>12</v>
      </c>
    </row>
    <row r="98" spans="14:19" s="18" customFormat="1" ht="16">
      <c r="N98" s="46" t="s">
        <v>651</v>
      </c>
      <c r="O98" s="46" t="s">
        <v>56</v>
      </c>
      <c r="P98" s="57">
        <v>4.1166666666666663</v>
      </c>
      <c r="Q98" s="51">
        <v>60.916666666666664</v>
      </c>
      <c r="R98" s="55" t="s">
        <v>698</v>
      </c>
      <c r="S98" s="63">
        <v>10</v>
      </c>
    </row>
    <row r="99" spans="14:19" s="18" customFormat="1" ht="16">
      <c r="N99" s="46" t="s">
        <v>668</v>
      </c>
      <c r="O99" s="46" t="s">
        <v>57</v>
      </c>
      <c r="P99" s="57">
        <v>20.96</v>
      </c>
      <c r="Q99" s="51">
        <v>31.83</v>
      </c>
      <c r="R99" s="47" t="s">
        <v>755</v>
      </c>
      <c r="S99" s="63">
        <v>7</v>
      </c>
    </row>
    <row r="100" spans="14:19" s="18" customFormat="1" ht="16">
      <c r="N100" s="46" t="s">
        <v>675</v>
      </c>
      <c r="O100" s="46" t="s">
        <v>56</v>
      </c>
      <c r="P100" s="57">
        <v>9.2216666666666676</v>
      </c>
      <c r="Q100" s="51">
        <v>-42.533333333333331</v>
      </c>
      <c r="R100" s="55" t="s">
        <v>756</v>
      </c>
      <c r="S100" s="63">
        <v>8</v>
      </c>
    </row>
    <row r="101" spans="14:19" s="18" customFormat="1" ht="16">
      <c r="N101" s="46" t="s">
        <v>680</v>
      </c>
      <c r="O101" s="46" t="s">
        <v>53</v>
      </c>
      <c r="P101" s="57">
        <v>22.62</v>
      </c>
      <c r="Q101" s="51">
        <v>34.42</v>
      </c>
      <c r="R101" s="47" t="s">
        <v>757</v>
      </c>
      <c r="S101" s="63">
        <v>9.5</v>
      </c>
    </row>
    <row r="102" spans="14:19" s="18" customFormat="1" ht="16">
      <c r="N102" s="46" t="s">
        <v>681</v>
      </c>
      <c r="O102" s="46" t="s">
        <v>53</v>
      </c>
      <c r="P102" s="57">
        <v>23.01</v>
      </c>
      <c r="Q102" s="51">
        <v>12.32</v>
      </c>
      <c r="R102" s="48"/>
      <c r="S102" s="63">
        <v>11</v>
      </c>
    </row>
    <row r="103" spans="14:19" s="18" customFormat="1" ht="16">
      <c r="N103" s="46" t="s">
        <v>676</v>
      </c>
      <c r="O103" s="46" t="s">
        <v>56</v>
      </c>
      <c r="P103" s="57">
        <v>18.079999999999998</v>
      </c>
      <c r="Q103" s="51">
        <v>-27.1</v>
      </c>
      <c r="R103" s="55" t="s">
        <v>800</v>
      </c>
      <c r="S103" s="63">
        <v>9</v>
      </c>
    </row>
    <row r="104" spans="14:19" s="18" customFormat="1" ht="16">
      <c r="R104" s="42"/>
    </row>
    <row r="105" spans="14:19" s="18" customFormat="1" ht="16">
      <c r="N105" s="42"/>
      <c r="O105" s="42"/>
      <c r="P105" s="44"/>
      <c r="Q105" s="44"/>
      <c r="R105" s="42"/>
    </row>
    <row r="106" spans="14:19" s="18" customFormat="1" ht="16">
      <c r="N106" s="42"/>
      <c r="O106" s="42"/>
      <c r="P106" s="44"/>
      <c r="Q106" s="44"/>
      <c r="R106" s="42"/>
    </row>
    <row r="107" spans="14:19" s="18" customFormat="1" ht="16">
      <c r="N107" s="42"/>
      <c r="O107" s="42"/>
      <c r="P107" s="44"/>
      <c r="Q107" s="44"/>
      <c r="R107" s="42"/>
    </row>
    <row r="108" spans="14:19" s="18" customFormat="1" ht="16">
      <c r="N108" s="42"/>
      <c r="O108" s="42"/>
      <c r="P108" s="44"/>
      <c r="Q108" s="44"/>
      <c r="R108" s="42"/>
    </row>
    <row r="109" spans="14:19" s="18" customFormat="1" ht="16">
      <c r="N109" s="42"/>
      <c r="O109" s="42"/>
      <c r="P109" s="44"/>
      <c r="Q109" s="44"/>
      <c r="R109" s="42"/>
    </row>
    <row r="110" spans="14:19" s="18" customFormat="1" ht="16">
      <c r="N110" s="42"/>
      <c r="O110" s="42"/>
      <c r="P110" s="44"/>
      <c r="Q110" s="44"/>
      <c r="R110" s="42"/>
    </row>
    <row r="111" spans="14:19" s="18" customFormat="1" ht="16">
      <c r="N111" s="42"/>
      <c r="O111" s="42"/>
      <c r="P111" s="44"/>
      <c r="Q111" s="44"/>
      <c r="R111" s="42"/>
    </row>
    <row r="112" spans="14:19" s="18" customFormat="1" ht="16">
      <c r="N112" s="42"/>
      <c r="O112" s="42"/>
      <c r="P112" s="44"/>
      <c r="Q112" s="44"/>
      <c r="R112" s="42"/>
    </row>
    <row r="113" spans="14:18" s="18" customFormat="1" ht="16">
      <c r="N113" s="42"/>
      <c r="O113" s="42"/>
      <c r="P113" s="44"/>
      <c r="Q113" s="44"/>
      <c r="R113" s="42"/>
    </row>
    <row r="114" spans="14:18" s="18" customFormat="1" ht="16">
      <c r="N114" s="42"/>
      <c r="O114" s="42"/>
      <c r="P114" s="44"/>
      <c r="Q114" s="44"/>
      <c r="R114" s="42"/>
    </row>
    <row r="115" spans="14:18" s="18" customFormat="1" ht="16">
      <c r="N115" s="42"/>
      <c r="O115" s="42"/>
      <c r="P115" s="44"/>
      <c r="Q115" s="44"/>
      <c r="R115" s="42"/>
    </row>
    <row r="116" spans="14:18" s="18" customFormat="1" ht="16">
      <c r="N116" s="42"/>
      <c r="O116" s="42"/>
      <c r="P116" s="44"/>
      <c r="Q116" s="44"/>
      <c r="R116" s="42"/>
    </row>
    <row r="117" spans="14:18" s="18" customFormat="1" ht="16">
      <c r="N117" s="42"/>
      <c r="O117" s="42"/>
      <c r="P117" s="44"/>
      <c r="Q117" s="44"/>
      <c r="R117" s="42"/>
    </row>
    <row r="118" spans="14:18" s="18" customFormat="1" ht="16">
      <c r="N118" s="42"/>
      <c r="O118" s="42"/>
      <c r="P118" s="44"/>
      <c r="Q118" s="44"/>
      <c r="R118" s="42"/>
    </row>
    <row r="119" spans="14:18" s="18" customFormat="1" ht="16">
      <c r="N119" s="42"/>
      <c r="O119" s="42"/>
      <c r="P119" s="44"/>
      <c r="Q119" s="44"/>
      <c r="R119" s="42"/>
    </row>
    <row r="120" spans="14:18" s="18" customFormat="1" ht="16">
      <c r="N120" s="42"/>
      <c r="O120" s="42"/>
      <c r="P120" s="44"/>
      <c r="Q120" s="44"/>
      <c r="R120" s="42"/>
    </row>
    <row r="121" spans="14:18" s="18" customFormat="1" ht="16">
      <c r="N121" s="42"/>
      <c r="O121" s="42"/>
      <c r="P121" s="44"/>
      <c r="Q121" s="44"/>
      <c r="R121" s="42"/>
    </row>
    <row r="122" spans="14:18" s="18" customFormat="1" ht="16">
      <c r="N122" s="42"/>
      <c r="O122" s="42"/>
      <c r="P122" s="44"/>
      <c r="Q122" s="44"/>
      <c r="R122" s="42"/>
    </row>
    <row r="123" spans="14:18" s="18" customFormat="1" ht="16">
      <c r="N123" s="42"/>
      <c r="O123" s="42"/>
      <c r="P123" s="44"/>
      <c r="Q123" s="44"/>
      <c r="R123" s="42"/>
    </row>
    <row r="124" spans="14:18" s="18" customFormat="1" ht="16">
      <c r="N124" s="42"/>
      <c r="O124" s="42"/>
      <c r="P124" s="44"/>
      <c r="Q124" s="44"/>
      <c r="R124" s="42"/>
    </row>
    <row r="125" spans="14:18" s="18" customFormat="1" ht="16">
      <c r="N125" s="42"/>
      <c r="O125" s="42"/>
      <c r="P125" s="44"/>
      <c r="Q125" s="44"/>
      <c r="R125" s="42"/>
    </row>
    <row r="126" spans="14:18" s="18" customFormat="1" ht="16">
      <c r="N126" s="42"/>
      <c r="O126" s="42"/>
      <c r="P126" s="44"/>
      <c r="Q126" s="44"/>
      <c r="R126" s="42"/>
    </row>
    <row r="127" spans="14:18" s="18" customFormat="1" ht="16">
      <c r="N127" s="42"/>
      <c r="O127" s="42"/>
      <c r="P127" s="44"/>
      <c r="Q127" s="44"/>
      <c r="R127" s="42"/>
    </row>
    <row r="128" spans="14:18" s="18" customFormat="1" ht="16">
      <c r="N128" s="42"/>
      <c r="O128" s="42"/>
      <c r="P128" s="44"/>
      <c r="Q128" s="44"/>
      <c r="R128" s="42"/>
    </row>
    <row r="129" spans="14:18" s="18" customFormat="1" ht="16">
      <c r="N129" s="42"/>
      <c r="O129" s="42"/>
      <c r="P129" s="44"/>
      <c r="Q129" s="44"/>
      <c r="R129" s="42"/>
    </row>
    <row r="130" spans="14:18" s="18" customFormat="1" ht="16">
      <c r="N130" s="42"/>
      <c r="O130" s="42"/>
      <c r="P130" s="44"/>
      <c r="Q130" s="44"/>
      <c r="R130" s="42"/>
    </row>
    <row r="131" spans="14:18" s="18" customFormat="1" ht="16">
      <c r="N131" s="42"/>
      <c r="O131" s="42"/>
      <c r="P131" s="44"/>
      <c r="Q131" s="44"/>
      <c r="R131" s="42"/>
    </row>
    <row r="132" spans="14:18" s="18" customFormat="1" ht="16">
      <c r="N132" s="42"/>
      <c r="O132" s="42"/>
      <c r="P132" s="44"/>
      <c r="Q132" s="44"/>
      <c r="R132" s="42"/>
    </row>
    <row r="133" spans="14:18" s="18" customFormat="1" ht="16">
      <c r="N133" s="42"/>
      <c r="O133" s="42"/>
      <c r="P133" s="44"/>
      <c r="Q133" s="44"/>
      <c r="R133" s="42"/>
    </row>
    <row r="134" spans="14:18" s="18" customFormat="1" ht="16">
      <c r="N134" s="42"/>
      <c r="O134" s="42"/>
      <c r="P134" s="44"/>
      <c r="Q134" s="44"/>
      <c r="R134" s="42"/>
    </row>
    <row r="135" spans="14:18" s="18" customFormat="1" ht="16">
      <c r="N135" s="42"/>
      <c r="O135" s="42"/>
      <c r="P135" s="44"/>
      <c r="Q135" s="44"/>
      <c r="R135" s="42"/>
    </row>
    <row r="136" spans="14:18" s="18" customFormat="1" ht="16">
      <c r="N136" s="42"/>
      <c r="O136" s="42"/>
      <c r="P136" s="44"/>
      <c r="Q136" s="44"/>
      <c r="R136" s="42"/>
    </row>
    <row r="137" spans="14:18" s="18" customFormat="1" ht="16">
      <c r="N137" s="42"/>
      <c r="O137" s="42"/>
      <c r="P137" s="44"/>
      <c r="Q137" s="44"/>
      <c r="R137" s="42"/>
    </row>
    <row r="138" spans="14:18" s="18" customFormat="1" ht="16">
      <c r="N138" s="42"/>
      <c r="O138" s="42"/>
      <c r="P138" s="44"/>
      <c r="Q138" s="44"/>
      <c r="R138" s="42"/>
    </row>
    <row r="139" spans="14:18" s="18" customFormat="1" ht="16">
      <c r="N139" s="42"/>
      <c r="O139" s="42"/>
      <c r="P139" s="44"/>
      <c r="Q139" s="44"/>
      <c r="R139" s="42"/>
    </row>
    <row r="140" spans="14:18" s="18" customFormat="1" ht="16">
      <c r="N140" s="42"/>
      <c r="O140" s="42"/>
      <c r="P140" s="44"/>
      <c r="Q140" s="44"/>
      <c r="R140" s="42"/>
    </row>
    <row r="141" spans="14:18" s="18" customFormat="1" ht="16">
      <c r="N141" s="42"/>
      <c r="O141" s="42"/>
      <c r="P141" s="44"/>
      <c r="Q141" s="44"/>
      <c r="R141" s="42"/>
    </row>
    <row r="142" spans="14:18" s="18" customFormat="1" ht="16">
      <c r="N142" s="42"/>
      <c r="O142" s="42"/>
      <c r="P142" s="44"/>
      <c r="Q142" s="44"/>
      <c r="R142" s="42"/>
    </row>
    <row r="143" spans="14:18" s="18" customFormat="1" ht="16">
      <c r="N143" s="42"/>
      <c r="O143" s="42"/>
      <c r="P143" s="44"/>
      <c r="Q143" s="44"/>
      <c r="R143" s="42"/>
    </row>
    <row r="144" spans="14:18" s="18" customFormat="1" ht="16">
      <c r="N144" s="42"/>
      <c r="O144" s="42"/>
      <c r="P144" s="44"/>
      <c r="Q144" s="44"/>
      <c r="R144" s="42"/>
    </row>
    <row r="145" spans="14:18" s="18" customFormat="1" ht="16">
      <c r="N145" s="42"/>
      <c r="O145" s="42"/>
      <c r="P145" s="44"/>
      <c r="Q145" s="44"/>
      <c r="R145" s="42"/>
    </row>
    <row r="146" spans="14:18" s="18" customFormat="1" ht="16">
      <c r="N146" s="42"/>
      <c r="O146" s="42"/>
      <c r="P146" s="44"/>
      <c r="Q146" s="44"/>
      <c r="R146" s="42"/>
    </row>
    <row r="147" spans="14:18" s="18" customFormat="1" ht="16">
      <c r="N147" s="42"/>
      <c r="O147" s="42"/>
      <c r="P147" s="44"/>
      <c r="Q147" s="44"/>
      <c r="R147" s="42"/>
    </row>
    <row r="148" spans="14:18" s="18" customFormat="1" ht="16">
      <c r="N148" s="42"/>
      <c r="O148" s="42"/>
      <c r="P148" s="44"/>
      <c r="Q148" s="44"/>
      <c r="R148" s="42"/>
    </row>
    <row r="149" spans="14:18" s="18" customFormat="1" ht="16">
      <c r="N149" s="42"/>
      <c r="O149" s="42"/>
      <c r="P149" s="44"/>
      <c r="Q149" s="44"/>
      <c r="R149" s="42"/>
    </row>
    <row r="150" spans="14:18" s="18" customFormat="1" ht="16">
      <c r="N150" s="42"/>
      <c r="O150" s="42"/>
      <c r="P150" s="44"/>
      <c r="Q150" s="44"/>
      <c r="R150" s="42"/>
    </row>
    <row r="151" spans="14:18" s="18" customFormat="1" ht="16">
      <c r="N151" s="42"/>
      <c r="O151" s="42"/>
      <c r="P151" s="44"/>
      <c r="Q151" s="44"/>
      <c r="R151" s="42"/>
    </row>
    <row r="152" spans="14:18" s="18" customFormat="1" ht="16">
      <c r="N152" s="42"/>
      <c r="O152" s="42"/>
      <c r="P152" s="44"/>
      <c r="Q152" s="44"/>
      <c r="R152" s="42"/>
    </row>
    <row r="153" spans="14:18" s="18" customFormat="1" ht="16">
      <c r="N153" s="42"/>
      <c r="O153" s="42"/>
      <c r="P153" s="44"/>
      <c r="Q153" s="44"/>
      <c r="R153" s="42"/>
    </row>
    <row r="154" spans="14:18" s="18" customFormat="1" ht="16">
      <c r="N154" s="42"/>
      <c r="O154" s="42"/>
      <c r="P154" s="44"/>
      <c r="Q154" s="44"/>
      <c r="R154" s="42"/>
    </row>
    <row r="155" spans="14:18" s="18" customFormat="1" ht="16">
      <c r="N155" s="42"/>
      <c r="O155" s="42"/>
      <c r="P155" s="44"/>
      <c r="Q155" s="44"/>
      <c r="R155" s="42"/>
    </row>
    <row r="156" spans="14:18" s="18" customFormat="1" ht="16">
      <c r="N156" s="42"/>
      <c r="O156" s="42"/>
      <c r="P156" s="44"/>
      <c r="Q156" s="44"/>
      <c r="R156" s="42"/>
    </row>
    <row r="157" spans="14:18" s="18" customFormat="1" ht="16">
      <c r="N157" s="42"/>
      <c r="O157" s="42"/>
      <c r="P157" s="44"/>
      <c r="Q157" s="44"/>
      <c r="R157" s="42"/>
    </row>
    <row r="158" spans="14:18" s="18" customFormat="1" ht="16">
      <c r="N158" s="42"/>
      <c r="O158" s="42"/>
      <c r="P158" s="44"/>
      <c r="Q158" s="44"/>
      <c r="R158" s="42"/>
    </row>
    <row r="159" spans="14:18" s="18" customFormat="1" ht="16">
      <c r="N159" s="42"/>
      <c r="O159" s="42"/>
      <c r="P159" s="44"/>
      <c r="Q159" s="44"/>
      <c r="R159" s="42"/>
    </row>
    <row r="160" spans="14:18" s="18" customFormat="1" ht="16">
      <c r="N160" s="42"/>
      <c r="O160" s="42"/>
      <c r="P160" s="44"/>
      <c r="Q160" s="44"/>
      <c r="R160" s="42"/>
    </row>
    <row r="161" spans="14:18" s="18" customFormat="1" ht="16">
      <c r="N161" s="42"/>
      <c r="O161" s="42"/>
      <c r="P161" s="44"/>
      <c r="Q161" s="44"/>
      <c r="R161" s="42"/>
    </row>
    <row r="162" spans="14:18" s="18" customFormat="1" ht="16">
      <c r="N162" s="42"/>
      <c r="O162" s="42"/>
      <c r="P162" s="44"/>
      <c r="Q162" s="44"/>
      <c r="R162" s="42"/>
    </row>
    <row r="163" spans="14:18" s="18" customFormat="1" ht="16">
      <c r="N163" s="42"/>
      <c r="O163" s="42"/>
      <c r="P163" s="44"/>
      <c r="Q163" s="44"/>
      <c r="R163" s="42"/>
    </row>
    <row r="164" spans="14:18" s="18" customFormat="1" ht="16">
      <c r="N164" s="42"/>
      <c r="O164" s="42"/>
      <c r="P164" s="44"/>
      <c r="Q164" s="44"/>
      <c r="R164" s="42"/>
    </row>
    <row r="165" spans="14:18" s="18" customFormat="1" ht="16">
      <c r="N165" s="42"/>
      <c r="O165" s="42"/>
      <c r="P165" s="44"/>
      <c r="Q165" s="44"/>
      <c r="R165" s="42"/>
    </row>
    <row r="166" spans="14:18" s="18" customFormat="1" ht="16">
      <c r="N166" s="42"/>
      <c r="O166" s="42"/>
      <c r="P166" s="44"/>
      <c r="Q166" s="44"/>
      <c r="R166" s="42"/>
    </row>
    <row r="167" spans="14:18" s="18" customFormat="1" ht="16">
      <c r="N167" s="42"/>
      <c r="O167" s="42"/>
      <c r="P167" s="44"/>
      <c r="Q167" s="44"/>
      <c r="R167" s="42"/>
    </row>
    <row r="168" spans="14:18" s="18" customFormat="1" ht="16">
      <c r="N168" s="42"/>
      <c r="O168" s="42"/>
      <c r="P168" s="44"/>
      <c r="Q168" s="44"/>
      <c r="R168" s="42"/>
    </row>
    <row r="169" spans="14:18" s="18" customFormat="1" ht="16">
      <c r="N169" s="42"/>
      <c r="O169" s="42"/>
      <c r="P169" s="44"/>
      <c r="Q169" s="44"/>
      <c r="R169" s="42"/>
    </row>
    <row r="170" spans="14:18" s="18" customFormat="1" ht="16">
      <c r="N170" s="42"/>
      <c r="O170" s="42"/>
      <c r="P170" s="44"/>
      <c r="Q170" s="44"/>
      <c r="R170" s="42"/>
    </row>
    <row r="171" spans="14:18" s="18" customFormat="1" ht="16">
      <c r="N171" s="42"/>
      <c r="O171" s="42"/>
      <c r="P171" s="44"/>
      <c r="Q171" s="44"/>
      <c r="R171" s="42"/>
    </row>
    <row r="172" spans="14:18" s="18" customFormat="1" ht="16">
      <c r="N172" s="42"/>
      <c r="O172" s="42"/>
      <c r="P172" s="44"/>
      <c r="Q172" s="44"/>
      <c r="R172" s="42"/>
    </row>
    <row r="173" spans="14:18" s="18" customFormat="1" ht="16">
      <c r="N173" s="42"/>
      <c r="O173" s="42"/>
      <c r="P173" s="44"/>
      <c r="Q173" s="44"/>
      <c r="R173" s="42"/>
    </row>
    <row r="174" spans="14:18" s="18" customFormat="1" ht="16">
      <c r="N174" s="42"/>
      <c r="O174" s="42"/>
      <c r="P174" s="44"/>
      <c r="Q174" s="44"/>
      <c r="R174" s="42"/>
    </row>
    <row r="175" spans="14:18" s="18" customFormat="1" ht="16">
      <c r="N175" s="42"/>
      <c r="O175" s="42"/>
      <c r="P175" s="44"/>
      <c r="Q175" s="44"/>
      <c r="R175" s="42"/>
    </row>
    <row r="176" spans="14:18" s="18" customFormat="1" ht="16">
      <c r="N176" s="42"/>
      <c r="O176" s="42"/>
      <c r="P176" s="44"/>
      <c r="Q176" s="44"/>
      <c r="R176" s="42"/>
    </row>
    <row r="177" spans="14:18" s="18" customFormat="1" ht="16">
      <c r="N177" s="42"/>
      <c r="O177" s="42"/>
      <c r="P177" s="44"/>
      <c r="Q177" s="44"/>
      <c r="R177" s="42"/>
    </row>
    <row r="178" spans="14:18" s="18" customFormat="1" ht="16">
      <c r="N178" s="42"/>
      <c r="O178" s="42"/>
      <c r="P178" s="44"/>
      <c r="Q178" s="44"/>
      <c r="R178" s="42"/>
    </row>
    <row r="179" spans="14:18" s="18" customFormat="1" ht="16">
      <c r="N179" s="42"/>
      <c r="O179" s="42"/>
      <c r="P179" s="44"/>
      <c r="Q179" s="44"/>
      <c r="R179" s="42"/>
    </row>
    <row r="180" spans="14:18" s="18" customFormat="1" ht="16">
      <c r="N180" s="42"/>
      <c r="O180" s="42"/>
      <c r="P180" s="44"/>
      <c r="Q180" s="44"/>
      <c r="R180" s="42"/>
    </row>
    <row r="181" spans="14:18" s="18" customFormat="1" ht="16">
      <c r="N181" s="42"/>
      <c r="O181" s="42"/>
      <c r="P181" s="44"/>
      <c r="Q181" s="44"/>
      <c r="R181" s="42"/>
    </row>
    <row r="182" spans="14:18" s="18" customFormat="1" ht="16">
      <c r="N182" s="42"/>
      <c r="O182" s="42"/>
      <c r="P182" s="44"/>
      <c r="Q182" s="44"/>
      <c r="R182" s="42"/>
    </row>
    <row r="183" spans="14:18" s="18" customFormat="1" ht="16">
      <c r="N183" s="42"/>
      <c r="O183" s="42"/>
      <c r="P183" s="44"/>
      <c r="Q183" s="44"/>
      <c r="R183" s="42"/>
    </row>
    <row r="184" spans="14:18" s="18" customFormat="1" ht="16">
      <c r="N184" s="42"/>
      <c r="O184" s="42"/>
      <c r="P184" s="44"/>
      <c r="Q184" s="44"/>
      <c r="R184" s="42"/>
    </row>
    <row r="185" spans="14:18" s="18" customFormat="1" ht="16">
      <c r="N185" s="42"/>
      <c r="O185" s="42"/>
      <c r="P185" s="44"/>
      <c r="Q185" s="44"/>
      <c r="R185" s="42"/>
    </row>
    <row r="186" spans="14:18" s="18" customFormat="1" ht="16">
      <c r="N186" s="42"/>
      <c r="O186" s="42"/>
      <c r="P186" s="44"/>
      <c r="Q186" s="44"/>
      <c r="R186" s="42"/>
    </row>
    <row r="187" spans="14:18" s="18" customFormat="1" ht="16">
      <c r="N187" s="42"/>
      <c r="O187" s="42"/>
      <c r="P187" s="44"/>
      <c r="Q187" s="44"/>
      <c r="R187" s="42"/>
    </row>
    <row r="188" spans="14:18" s="18" customFormat="1" ht="16">
      <c r="N188" s="42"/>
      <c r="O188" s="42"/>
      <c r="P188" s="44"/>
      <c r="Q188" s="44"/>
      <c r="R188" s="42"/>
    </row>
    <row r="189" spans="14:18" s="18" customFormat="1" ht="16">
      <c r="N189" s="42"/>
      <c r="O189" s="42"/>
      <c r="P189" s="44"/>
      <c r="Q189" s="44"/>
      <c r="R189" s="42"/>
    </row>
    <row r="190" spans="14:18" s="18" customFormat="1" ht="16">
      <c r="N190" s="42"/>
      <c r="O190" s="42"/>
      <c r="P190" s="44"/>
      <c r="Q190" s="44"/>
      <c r="R190" s="42"/>
    </row>
    <row r="191" spans="14:18" s="18" customFormat="1" ht="16">
      <c r="N191" s="42"/>
      <c r="O191" s="42"/>
      <c r="P191" s="44"/>
      <c r="Q191" s="44"/>
      <c r="R191" s="42"/>
    </row>
    <row r="192" spans="14:18" s="18" customFormat="1" ht="16">
      <c r="N192" s="42"/>
      <c r="O192" s="42"/>
      <c r="P192" s="44"/>
      <c r="Q192" s="44"/>
      <c r="R192" s="42"/>
    </row>
    <row r="193" spans="14:18" s="18" customFormat="1" ht="16">
      <c r="N193" s="42"/>
      <c r="O193" s="42"/>
      <c r="P193" s="44"/>
      <c r="Q193" s="44"/>
      <c r="R193" s="42"/>
    </row>
    <row r="194" spans="14:18" s="18" customFormat="1" ht="16">
      <c r="N194" s="42"/>
      <c r="O194" s="42"/>
      <c r="P194" s="44"/>
      <c r="Q194" s="44"/>
      <c r="R194" s="42"/>
    </row>
    <row r="195" spans="14:18" s="18" customFormat="1" ht="16">
      <c r="N195" s="42"/>
      <c r="O195" s="42"/>
      <c r="P195" s="44"/>
      <c r="Q195" s="44"/>
      <c r="R195" s="42"/>
    </row>
    <row r="196" spans="14:18" s="18" customFormat="1" ht="16">
      <c r="N196" s="42"/>
      <c r="O196" s="42"/>
      <c r="P196" s="44"/>
      <c r="Q196" s="44"/>
      <c r="R196" s="42"/>
    </row>
    <row r="197" spans="14:18" s="18" customFormat="1" ht="16">
      <c r="N197" s="42"/>
      <c r="O197" s="42"/>
      <c r="P197" s="44"/>
      <c r="Q197" s="44"/>
      <c r="R197" s="42"/>
    </row>
    <row r="198" spans="14:18" s="18" customFormat="1" ht="16">
      <c r="N198" s="42"/>
      <c r="O198" s="42"/>
      <c r="P198" s="44"/>
      <c r="Q198" s="44"/>
      <c r="R198" s="42"/>
    </row>
    <row r="199" spans="14:18" s="18" customFormat="1" ht="16">
      <c r="N199" s="42"/>
      <c r="O199" s="42"/>
      <c r="P199" s="44"/>
      <c r="Q199" s="44"/>
      <c r="R199" s="42"/>
    </row>
    <row r="200" spans="14:18" s="18" customFormat="1" ht="16">
      <c r="N200" s="42"/>
      <c r="O200" s="42"/>
      <c r="P200" s="44"/>
      <c r="Q200" s="44"/>
      <c r="R200" s="42"/>
    </row>
    <row r="201" spans="14:18" s="18" customFormat="1" ht="16">
      <c r="N201" s="42"/>
      <c r="O201" s="42"/>
      <c r="P201" s="44"/>
      <c r="Q201" s="44"/>
      <c r="R201" s="42"/>
    </row>
    <row r="202" spans="14:18" s="18" customFormat="1" ht="16">
      <c r="N202" s="42"/>
      <c r="O202" s="42"/>
      <c r="P202" s="44"/>
      <c r="Q202" s="44"/>
      <c r="R202" s="42"/>
    </row>
    <row r="203" spans="14:18" s="18" customFormat="1" ht="16">
      <c r="N203" s="42"/>
      <c r="O203" s="42"/>
      <c r="P203" s="44"/>
      <c r="Q203" s="44"/>
      <c r="R203" s="42"/>
    </row>
    <row r="204" spans="14:18" s="18" customFormat="1" ht="16">
      <c r="N204" s="42"/>
      <c r="O204" s="42"/>
      <c r="P204" s="44"/>
      <c r="Q204" s="44"/>
      <c r="R204" s="42"/>
    </row>
    <row r="205" spans="14:18" s="18" customFormat="1" ht="16">
      <c r="N205" s="42"/>
      <c r="O205" s="42"/>
      <c r="P205" s="44"/>
      <c r="Q205" s="44"/>
      <c r="R205" s="42"/>
    </row>
    <row r="206" spans="14:18" s="18" customFormat="1" ht="16">
      <c r="N206" s="42"/>
      <c r="O206" s="42"/>
      <c r="P206" s="44"/>
      <c r="Q206" s="44"/>
      <c r="R206" s="42"/>
    </row>
    <row r="207" spans="14:18" s="18" customFormat="1" ht="16">
      <c r="N207" s="42"/>
      <c r="O207" s="42"/>
      <c r="P207" s="44"/>
      <c r="Q207" s="44"/>
      <c r="R207" s="42"/>
    </row>
    <row r="208" spans="14:18" s="18" customFormat="1" ht="16">
      <c r="N208" s="42"/>
      <c r="O208" s="42"/>
      <c r="P208" s="44"/>
      <c r="Q208" s="44"/>
      <c r="R208" s="42"/>
    </row>
    <row r="209" spans="14:18" s="18" customFormat="1" ht="16">
      <c r="N209" s="42"/>
      <c r="O209" s="42"/>
      <c r="P209" s="44"/>
      <c r="Q209" s="44"/>
      <c r="R209" s="42"/>
    </row>
    <row r="210" spans="14:18" s="18" customFormat="1" ht="16">
      <c r="N210" s="42"/>
      <c r="O210" s="42"/>
      <c r="P210" s="44"/>
      <c r="Q210" s="44"/>
      <c r="R210" s="42"/>
    </row>
    <row r="211" spans="14:18" s="18" customFormat="1" ht="16">
      <c r="N211" s="42"/>
      <c r="O211" s="42"/>
      <c r="P211" s="44"/>
      <c r="Q211" s="44"/>
      <c r="R211" s="42"/>
    </row>
    <row r="212" spans="14:18" s="18" customFormat="1" ht="16">
      <c r="N212" s="42"/>
      <c r="O212" s="42"/>
      <c r="P212" s="44"/>
      <c r="Q212" s="44"/>
      <c r="R212" s="42"/>
    </row>
    <row r="213" spans="14:18" s="18" customFormat="1" ht="16">
      <c r="N213" s="42"/>
      <c r="O213" s="42"/>
      <c r="P213" s="44"/>
      <c r="Q213" s="44"/>
      <c r="R213" s="42"/>
    </row>
    <row r="214" spans="14:18" s="18" customFormat="1" ht="16">
      <c r="N214" s="42"/>
      <c r="O214" s="42"/>
      <c r="P214" s="44"/>
      <c r="Q214" s="44"/>
      <c r="R214" s="42"/>
    </row>
    <row r="215" spans="14:18" s="18" customFormat="1" ht="16">
      <c r="N215" s="42"/>
      <c r="O215" s="42"/>
      <c r="P215" s="44"/>
      <c r="Q215" s="44"/>
      <c r="R215" s="42"/>
    </row>
    <row r="216" spans="14:18" s="18" customFormat="1" ht="16">
      <c r="N216" s="42"/>
      <c r="O216" s="42"/>
      <c r="P216" s="44"/>
      <c r="Q216" s="44"/>
      <c r="R216" s="42"/>
    </row>
    <row r="217" spans="14:18" s="18" customFormat="1" ht="16">
      <c r="N217" s="42"/>
      <c r="O217" s="42"/>
      <c r="P217" s="44"/>
      <c r="Q217" s="44"/>
      <c r="R217" s="42"/>
    </row>
    <row r="218" spans="14:18" s="18" customFormat="1" ht="16">
      <c r="N218" s="42"/>
      <c r="O218" s="42"/>
      <c r="P218" s="44"/>
      <c r="Q218" s="44"/>
      <c r="R218" s="42"/>
    </row>
    <row r="219" spans="14:18" s="18" customFormat="1" ht="16">
      <c r="N219" s="42"/>
      <c r="O219" s="42"/>
      <c r="P219" s="44"/>
      <c r="Q219" s="44"/>
      <c r="R219" s="42"/>
    </row>
    <row r="220" spans="14:18" s="18" customFormat="1" ht="16">
      <c r="N220" s="42"/>
      <c r="O220" s="42"/>
      <c r="P220" s="44"/>
      <c r="Q220" s="44"/>
      <c r="R220" s="42"/>
    </row>
    <row r="221" spans="14:18" s="18" customFormat="1" ht="16">
      <c r="N221" s="42"/>
      <c r="O221" s="42"/>
      <c r="P221" s="44"/>
      <c r="Q221" s="44"/>
      <c r="R221" s="42"/>
    </row>
    <row r="222" spans="14:18" s="18" customFormat="1" ht="16">
      <c r="N222" s="42"/>
      <c r="O222" s="42"/>
      <c r="P222" s="44"/>
      <c r="Q222" s="44"/>
      <c r="R222" s="42"/>
    </row>
    <row r="223" spans="14:18" s="18" customFormat="1" ht="16">
      <c r="N223" s="42"/>
      <c r="O223" s="42"/>
      <c r="P223" s="44"/>
      <c r="Q223" s="44"/>
      <c r="R223" s="42"/>
    </row>
    <row r="224" spans="14:18" s="18" customFormat="1" ht="16">
      <c r="N224" s="42"/>
      <c r="O224" s="42"/>
      <c r="P224" s="44"/>
      <c r="Q224" s="44"/>
      <c r="R224" s="42"/>
    </row>
    <row r="225" spans="14:18" s="18" customFormat="1" ht="16">
      <c r="N225" s="42"/>
      <c r="O225" s="42"/>
      <c r="P225" s="44"/>
      <c r="Q225" s="44"/>
      <c r="R225" s="42"/>
    </row>
    <row r="226" spans="14:18" s="18" customFormat="1" ht="16">
      <c r="N226" s="42"/>
      <c r="O226" s="42"/>
      <c r="P226" s="44"/>
      <c r="Q226" s="44"/>
      <c r="R226" s="42"/>
    </row>
    <row r="227" spans="14:18" s="18" customFormat="1" ht="16">
      <c r="N227" s="42"/>
      <c r="O227" s="42"/>
      <c r="P227" s="44"/>
      <c r="Q227" s="44"/>
      <c r="R227" s="42"/>
    </row>
    <row r="228" spans="14:18" s="18" customFormat="1" ht="16">
      <c r="N228" s="42"/>
      <c r="O228" s="42"/>
      <c r="P228" s="44"/>
      <c r="Q228" s="44"/>
      <c r="R228" s="42"/>
    </row>
    <row r="229" spans="14:18" s="18" customFormat="1" ht="16">
      <c r="N229" s="42"/>
      <c r="O229" s="42"/>
      <c r="P229" s="44"/>
      <c r="Q229" s="44"/>
      <c r="R229" s="42"/>
    </row>
    <row r="230" spans="14:18" s="18" customFormat="1" ht="16">
      <c r="N230" s="42"/>
      <c r="O230" s="42"/>
      <c r="P230" s="44"/>
      <c r="Q230" s="44"/>
      <c r="R230" s="42"/>
    </row>
    <row r="231" spans="14:18" s="18" customFormat="1" ht="16">
      <c r="N231" s="42"/>
      <c r="O231" s="42"/>
      <c r="P231" s="44"/>
      <c r="Q231" s="44"/>
      <c r="R231" s="42"/>
    </row>
    <row r="232" spans="14:18" s="18" customFormat="1" ht="16">
      <c r="N232" s="42"/>
      <c r="O232" s="42"/>
      <c r="P232" s="44"/>
      <c r="Q232" s="44"/>
      <c r="R232" s="42"/>
    </row>
    <row r="233" spans="14:18" s="18" customFormat="1" ht="16">
      <c r="N233" s="42"/>
      <c r="O233" s="42"/>
      <c r="P233" s="44"/>
      <c r="Q233" s="44"/>
      <c r="R233" s="42"/>
    </row>
    <row r="234" spans="14:18" s="18" customFormat="1" ht="16">
      <c r="N234" s="42"/>
      <c r="O234" s="42"/>
      <c r="P234" s="44"/>
      <c r="Q234" s="44"/>
      <c r="R234" s="42"/>
    </row>
    <row r="235" spans="14:18" s="18" customFormat="1" ht="16">
      <c r="N235" s="42"/>
      <c r="O235" s="42"/>
      <c r="P235" s="44"/>
      <c r="Q235" s="44"/>
      <c r="R235" s="42"/>
    </row>
    <row r="236" spans="14:18" s="18" customFormat="1" ht="16">
      <c r="N236" s="42"/>
      <c r="O236" s="42"/>
      <c r="P236" s="44"/>
      <c r="Q236" s="44"/>
      <c r="R236" s="42"/>
    </row>
    <row r="237" spans="14:18" s="18" customFormat="1" ht="16">
      <c r="N237" s="42"/>
      <c r="O237" s="42"/>
      <c r="P237" s="44"/>
      <c r="Q237" s="44"/>
      <c r="R237" s="42"/>
    </row>
    <row r="238" spans="14:18" s="18" customFormat="1" ht="16">
      <c r="N238" s="42"/>
      <c r="O238" s="42"/>
      <c r="P238" s="44"/>
      <c r="Q238" s="44"/>
      <c r="R238" s="42"/>
    </row>
    <row r="239" spans="14:18" s="18" customFormat="1" ht="16">
      <c r="N239" s="42"/>
      <c r="O239" s="42"/>
      <c r="P239" s="44"/>
      <c r="Q239" s="44"/>
      <c r="R239" s="42"/>
    </row>
    <row r="240" spans="14:18" s="18" customFormat="1" ht="16">
      <c r="N240" s="42"/>
      <c r="O240" s="42"/>
      <c r="P240" s="44"/>
      <c r="Q240" s="44"/>
      <c r="R240" s="42"/>
    </row>
    <row r="241" spans="14:18" s="18" customFormat="1" ht="16">
      <c r="N241" s="42"/>
      <c r="O241" s="42"/>
      <c r="P241" s="44"/>
      <c r="Q241" s="44"/>
      <c r="R241" s="42"/>
    </row>
    <row r="242" spans="14:18" s="18" customFormat="1" ht="16">
      <c r="N242" s="42"/>
      <c r="O242" s="42"/>
      <c r="P242" s="44"/>
      <c r="Q242" s="44"/>
      <c r="R242" s="42"/>
    </row>
    <row r="243" spans="14:18" s="18" customFormat="1" ht="16">
      <c r="N243" s="42"/>
      <c r="O243" s="42"/>
      <c r="P243" s="44"/>
      <c r="Q243" s="44"/>
      <c r="R243" s="42"/>
    </row>
    <row r="244" spans="14:18" s="18" customFormat="1" ht="16">
      <c r="N244" s="42"/>
      <c r="O244" s="42"/>
      <c r="P244" s="44"/>
      <c r="Q244" s="44"/>
      <c r="R244" s="42"/>
    </row>
    <row r="245" spans="14:18" s="18" customFormat="1" ht="16">
      <c r="N245" s="42"/>
      <c r="O245" s="42"/>
      <c r="P245" s="44"/>
      <c r="Q245" s="44"/>
      <c r="R245" s="42"/>
    </row>
    <row r="246" spans="14:18" s="18" customFormat="1" ht="16">
      <c r="N246" s="42"/>
      <c r="O246" s="42"/>
      <c r="P246" s="44"/>
      <c r="Q246" s="44"/>
      <c r="R246" s="42"/>
    </row>
    <row r="247" spans="14:18" s="18" customFormat="1" ht="16">
      <c r="N247" s="42"/>
      <c r="O247" s="42"/>
      <c r="P247" s="44"/>
      <c r="Q247" s="44"/>
      <c r="R247" s="42"/>
    </row>
    <row r="248" spans="14:18" s="18" customFormat="1" ht="16">
      <c r="N248" s="42"/>
      <c r="O248" s="42"/>
      <c r="P248" s="44"/>
      <c r="Q248" s="44"/>
      <c r="R248" s="42"/>
    </row>
    <row r="249" spans="14:18" s="18" customFormat="1" ht="16">
      <c r="N249" s="42"/>
      <c r="O249" s="42"/>
      <c r="P249" s="44"/>
      <c r="Q249" s="44"/>
      <c r="R249" s="42"/>
    </row>
    <row r="250" spans="14:18" s="18" customFormat="1" ht="16">
      <c r="N250" s="42"/>
      <c r="O250" s="42"/>
      <c r="P250" s="44"/>
      <c r="Q250" s="44"/>
      <c r="R250" s="42"/>
    </row>
    <row r="251" spans="14:18" s="18" customFormat="1" ht="16">
      <c r="N251" s="42"/>
      <c r="O251" s="42"/>
      <c r="P251" s="44"/>
      <c r="Q251" s="44"/>
      <c r="R251" s="42"/>
    </row>
    <row r="252" spans="14:18" s="18" customFormat="1" ht="16">
      <c r="N252" s="42"/>
      <c r="O252" s="42"/>
      <c r="P252" s="44"/>
      <c r="Q252" s="44"/>
      <c r="R252" s="42"/>
    </row>
    <row r="253" spans="14:18" s="18" customFormat="1" ht="16">
      <c r="N253" s="42"/>
      <c r="O253" s="42"/>
      <c r="P253" s="44"/>
      <c r="Q253" s="44"/>
      <c r="R253" s="42"/>
    </row>
    <row r="254" spans="14:18" s="18" customFormat="1" ht="16">
      <c r="N254" s="42"/>
      <c r="O254" s="42"/>
      <c r="P254" s="44"/>
      <c r="Q254" s="44"/>
      <c r="R254" s="42"/>
    </row>
    <row r="255" spans="14:18" s="18" customFormat="1" ht="16">
      <c r="N255" s="42"/>
      <c r="O255" s="42"/>
      <c r="P255" s="44"/>
      <c r="Q255" s="44"/>
      <c r="R255" s="42"/>
    </row>
    <row r="256" spans="14:18" s="18" customFormat="1" ht="16">
      <c r="N256" s="42"/>
      <c r="O256" s="42"/>
      <c r="P256" s="44"/>
      <c r="Q256" s="44"/>
      <c r="R256" s="42"/>
    </row>
    <row r="257" spans="14:18" s="18" customFormat="1" ht="16">
      <c r="N257" s="42"/>
      <c r="O257" s="42"/>
      <c r="P257" s="44"/>
      <c r="Q257" s="44"/>
      <c r="R257" s="42"/>
    </row>
    <row r="258" spans="14:18" s="18" customFormat="1" ht="16">
      <c r="N258" s="42"/>
      <c r="O258" s="42"/>
      <c r="P258" s="44"/>
      <c r="Q258" s="44"/>
      <c r="R258" s="42"/>
    </row>
    <row r="259" spans="14:18" s="18" customFormat="1" ht="16">
      <c r="N259" s="42"/>
      <c r="O259" s="42"/>
      <c r="P259" s="44"/>
      <c r="Q259" s="44"/>
      <c r="R259" s="42"/>
    </row>
    <row r="260" spans="14:18" s="18" customFormat="1" ht="16">
      <c r="N260" s="42"/>
      <c r="O260" s="42"/>
      <c r="P260" s="44"/>
      <c r="Q260" s="44"/>
      <c r="R260" s="42"/>
    </row>
    <row r="261" spans="14:18" s="18" customFormat="1" ht="16">
      <c r="N261" s="42"/>
      <c r="O261" s="42"/>
      <c r="P261" s="44"/>
      <c r="Q261" s="44"/>
      <c r="R261" s="42"/>
    </row>
    <row r="262" spans="14:18" s="18" customFormat="1" ht="16">
      <c r="N262" s="42"/>
      <c r="O262" s="42"/>
      <c r="P262" s="44"/>
      <c r="Q262" s="44"/>
      <c r="R262" s="42"/>
    </row>
    <row r="263" spans="14:18" s="18" customFormat="1" ht="16">
      <c r="N263" s="42"/>
      <c r="O263" s="42"/>
      <c r="P263" s="44"/>
      <c r="Q263" s="44"/>
      <c r="R263" s="42"/>
    </row>
    <row r="264" spans="14:18" s="18" customFormat="1" ht="16">
      <c r="N264" s="42"/>
      <c r="O264" s="42"/>
      <c r="P264" s="44"/>
      <c r="Q264" s="44"/>
      <c r="R264" s="42"/>
    </row>
    <row r="265" spans="14:18" s="18" customFormat="1" ht="16">
      <c r="N265" s="42"/>
      <c r="O265" s="42"/>
      <c r="P265" s="44"/>
      <c r="Q265" s="44"/>
      <c r="R265" s="42"/>
    </row>
    <row r="266" spans="14:18" s="18" customFormat="1" ht="16">
      <c r="N266" s="42"/>
      <c r="O266" s="42"/>
      <c r="P266" s="44"/>
      <c r="Q266" s="44"/>
      <c r="R266" s="42"/>
    </row>
    <row r="267" spans="14:18" s="18" customFormat="1" ht="16">
      <c r="N267" s="42"/>
      <c r="O267" s="42"/>
      <c r="P267" s="44"/>
      <c r="Q267" s="44"/>
      <c r="R267" s="42"/>
    </row>
    <row r="268" spans="14:18" s="18" customFormat="1" ht="16">
      <c r="N268" s="42"/>
      <c r="O268" s="42"/>
      <c r="P268" s="44"/>
      <c r="Q268" s="44"/>
      <c r="R268" s="42"/>
    </row>
    <row r="269" spans="14:18" s="18" customFormat="1" ht="16">
      <c r="N269" s="42"/>
      <c r="O269" s="42"/>
      <c r="P269" s="44"/>
      <c r="Q269" s="44"/>
      <c r="R269" s="42"/>
    </row>
    <row r="270" spans="14:18" s="18" customFormat="1" ht="16">
      <c r="N270" s="42"/>
      <c r="O270" s="42"/>
      <c r="P270" s="44"/>
      <c r="Q270" s="44"/>
      <c r="R270" s="42"/>
    </row>
    <row r="271" spans="14:18" s="18" customFormat="1" ht="16">
      <c r="N271" s="42"/>
      <c r="O271" s="42"/>
      <c r="P271" s="44"/>
      <c r="Q271" s="44"/>
      <c r="R271" s="42"/>
    </row>
    <row r="272" spans="14:18" s="18" customFormat="1" ht="16">
      <c r="N272" s="42"/>
      <c r="O272" s="42"/>
      <c r="P272" s="44"/>
      <c r="Q272" s="44"/>
      <c r="R272" s="42"/>
    </row>
    <row r="273" spans="14:18" s="18" customFormat="1" ht="16">
      <c r="N273" s="42"/>
      <c r="O273" s="42"/>
      <c r="P273" s="44"/>
      <c r="Q273" s="44"/>
      <c r="R273" s="42"/>
    </row>
    <row r="274" spans="14:18" s="18" customFormat="1" ht="16">
      <c r="N274" s="42"/>
      <c r="O274" s="42"/>
      <c r="P274" s="44"/>
      <c r="Q274" s="44"/>
      <c r="R274" s="42"/>
    </row>
    <row r="275" spans="14:18" s="18" customFormat="1" ht="16">
      <c r="N275" s="42"/>
      <c r="O275" s="42"/>
      <c r="P275" s="44"/>
      <c r="Q275" s="44"/>
      <c r="R275" s="42"/>
    </row>
    <row r="276" spans="14:18" s="18" customFormat="1" ht="16">
      <c r="N276" s="42"/>
      <c r="O276" s="42"/>
      <c r="P276" s="44"/>
      <c r="Q276" s="44"/>
      <c r="R276" s="42"/>
    </row>
    <row r="277" spans="14:18" s="18" customFormat="1" ht="16">
      <c r="N277" s="42"/>
      <c r="O277" s="42"/>
      <c r="P277" s="44"/>
      <c r="Q277" s="44"/>
      <c r="R277" s="42"/>
    </row>
    <row r="278" spans="14:18" s="18" customFormat="1" ht="16">
      <c r="N278" s="42"/>
      <c r="O278" s="42"/>
      <c r="P278" s="44"/>
      <c r="Q278" s="44"/>
      <c r="R278" s="42"/>
    </row>
    <row r="279" spans="14:18" s="18" customFormat="1" ht="16">
      <c r="N279" s="42"/>
      <c r="O279" s="42"/>
      <c r="P279" s="44"/>
      <c r="Q279" s="44"/>
      <c r="R279" s="42"/>
    </row>
    <row r="280" spans="14:18" s="18" customFormat="1" ht="16">
      <c r="N280" s="42"/>
      <c r="O280" s="42"/>
      <c r="P280" s="44"/>
      <c r="Q280" s="44"/>
      <c r="R280" s="42"/>
    </row>
    <row r="281" spans="14:18" s="18" customFormat="1" ht="16">
      <c r="N281" s="42"/>
      <c r="O281" s="42"/>
      <c r="P281" s="44"/>
      <c r="Q281" s="44"/>
      <c r="R281" s="42"/>
    </row>
    <row r="282" spans="14:18" s="18" customFormat="1" ht="16">
      <c r="N282" s="42"/>
      <c r="O282" s="42"/>
      <c r="P282" s="44"/>
      <c r="Q282" s="44"/>
      <c r="R282" s="42"/>
    </row>
    <row r="283" spans="14:18" s="18" customFormat="1" ht="16">
      <c r="N283" s="42"/>
      <c r="O283" s="42"/>
      <c r="P283" s="44"/>
      <c r="Q283" s="44"/>
      <c r="R283" s="42"/>
    </row>
    <row r="284" spans="14:18" s="18" customFormat="1" ht="16">
      <c r="N284" s="42"/>
      <c r="O284" s="42"/>
      <c r="P284" s="44"/>
      <c r="Q284" s="44"/>
      <c r="R284" s="42"/>
    </row>
    <row r="285" spans="14:18" s="18" customFormat="1" ht="16">
      <c r="N285" s="42"/>
      <c r="O285" s="42"/>
      <c r="P285" s="44"/>
      <c r="Q285" s="44"/>
      <c r="R285" s="42"/>
    </row>
    <row r="286" spans="14:18" s="18" customFormat="1" ht="16">
      <c r="N286" s="42"/>
      <c r="O286" s="42"/>
      <c r="P286" s="44"/>
      <c r="Q286" s="44"/>
      <c r="R286" s="42"/>
    </row>
    <row r="287" spans="14:18" s="18" customFormat="1" ht="16">
      <c r="N287" s="42"/>
      <c r="O287" s="42"/>
      <c r="P287" s="44"/>
      <c r="Q287" s="44"/>
      <c r="R287" s="42"/>
    </row>
    <row r="288" spans="14:18" s="18" customFormat="1" ht="16">
      <c r="N288" s="42"/>
      <c r="O288" s="42"/>
      <c r="P288" s="44"/>
      <c r="Q288" s="44"/>
      <c r="R288" s="42"/>
    </row>
    <row r="289" spans="14:18" s="18" customFormat="1" ht="16">
      <c r="N289" s="42"/>
      <c r="O289" s="42"/>
      <c r="P289" s="44"/>
      <c r="Q289" s="44"/>
      <c r="R289" s="42"/>
    </row>
    <row r="290" spans="14:18" s="18" customFormat="1" ht="16">
      <c r="N290" s="42"/>
      <c r="O290" s="42"/>
      <c r="P290" s="44"/>
      <c r="Q290" s="44"/>
      <c r="R290" s="42"/>
    </row>
    <row r="291" spans="14:18" s="18" customFormat="1" ht="16">
      <c r="N291" s="42"/>
      <c r="O291" s="42"/>
      <c r="P291" s="44"/>
      <c r="Q291" s="44"/>
      <c r="R291" s="42"/>
    </row>
    <row r="292" spans="14:18" s="18" customFormat="1" ht="16">
      <c r="N292" s="42"/>
      <c r="O292" s="42"/>
      <c r="P292" s="44"/>
      <c r="Q292" s="44"/>
      <c r="R292" s="42"/>
    </row>
    <row r="293" spans="14:18" s="18" customFormat="1" ht="16">
      <c r="N293" s="42"/>
      <c r="O293" s="42"/>
      <c r="P293" s="44"/>
      <c r="Q293" s="44"/>
      <c r="R293" s="42"/>
    </row>
  </sheetData>
  <sheetProtection sheet="1" objects="1" scenarios="1"/>
  <sortState xmlns:xlrd2="http://schemas.microsoft.com/office/spreadsheetml/2017/richdata2" ref="N8:N198">
    <sortCondition ref="N8:N198"/>
  </sortState>
  <mergeCells count="25">
    <mergeCell ref="F10:H10"/>
    <mergeCell ref="J9:L9"/>
    <mergeCell ref="J10:L10"/>
    <mergeCell ref="B30:D30"/>
    <mergeCell ref="B31:D31"/>
    <mergeCell ref="F30:H30"/>
    <mergeCell ref="F31:H31"/>
    <mergeCell ref="J30:L30"/>
    <mergeCell ref="J31:L31"/>
    <mergeCell ref="B7:L7"/>
    <mergeCell ref="B72:D72"/>
    <mergeCell ref="B73:D73"/>
    <mergeCell ref="F72:H72"/>
    <mergeCell ref="F73:H73"/>
    <mergeCell ref="J72:L72"/>
    <mergeCell ref="J73:L73"/>
    <mergeCell ref="B51:D51"/>
    <mergeCell ref="B52:D52"/>
    <mergeCell ref="F51:H51"/>
    <mergeCell ref="F52:H52"/>
    <mergeCell ref="J51:L51"/>
    <mergeCell ref="J52:L52"/>
    <mergeCell ref="B9:D9"/>
    <mergeCell ref="B10:D10"/>
    <mergeCell ref="F9:H9"/>
  </mergeCells>
  <conditionalFormatting sqref="S8:S36 S40:S51 S59:S66 S70:S103">
    <cfRule type="colorScale" priority="4">
      <colorScale>
        <cfvo type="min"/>
        <cfvo type="percentile" val="50"/>
        <cfvo type="max"/>
        <color rgb="FF63BE7B"/>
        <color rgb="FFFFEB84"/>
        <color rgb="FFF8696B"/>
      </colorScale>
    </cfRule>
  </conditionalFormatting>
  <conditionalFormatting sqref="S37:S39">
    <cfRule type="colorScale" priority="3">
      <colorScale>
        <cfvo type="min"/>
        <cfvo type="percentile" val="50"/>
        <cfvo type="max"/>
        <color rgb="FF63BE7B"/>
        <color rgb="FFFFEB84"/>
        <color rgb="FFF8696B"/>
      </colorScale>
    </cfRule>
  </conditionalFormatting>
  <conditionalFormatting sqref="S52:S58">
    <cfRule type="colorScale" priority="2">
      <colorScale>
        <cfvo type="min"/>
        <cfvo type="percentile" val="50"/>
        <cfvo type="max"/>
        <color rgb="FF63BE7B"/>
        <color rgb="FFFFEB84"/>
        <color rgb="FFF8696B"/>
      </colorScale>
    </cfRule>
  </conditionalFormatting>
  <conditionalFormatting sqref="S67:S69">
    <cfRule type="colorScale" priority="1">
      <colorScale>
        <cfvo type="min"/>
        <cfvo type="percentile" val="50"/>
        <cfvo type="max"/>
        <color rgb="FF63BE7B"/>
        <color rgb="FFFFEB84"/>
        <color rgb="FFF8696B"/>
      </colorScale>
    </cfRule>
  </conditionalFormatting>
  <hyperlinks>
    <hyperlink ref="C2" r:id="rId1" xr:uid="{76EBC26F-7846-6449-B20C-206BAAFDA7A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247F8-E8F7-544B-93FE-5A0431B9F1A1}">
  <dimension ref="B2:Z105"/>
  <sheetViews>
    <sheetView showGridLines="0" workbookViewId="0">
      <selection activeCell="D12" sqref="D12"/>
    </sheetView>
  </sheetViews>
  <sheetFormatPr baseColWidth="10" defaultRowHeight="16"/>
  <cols>
    <col min="1" max="1" width="10.83203125" style="65"/>
    <col min="2" max="2" width="13.33203125" style="65" customWidth="1"/>
    <col min="3" max="4" width="11.33203125" style="65" customWidth="1"/>
    <col min="5" max="5" width="5.83203125" style="65" customWidth="1"/>
    <col min="6" max="6" width="3.83203125" style="65" customWidth="1"/>
    <col min="7" max="7" width="11.33203125" style="65" customWidth="1"/>
    <col min="8" max="8" width="10.83203125" style="65" customWidth="1"/>
    <col min="9" max="9" width="10.83203125" style="116" customWidth="1"/>
    <col min="10" max="10" width="10.83203125" style="65"/>
    <col min="11" max="11" width="40.83203125" style="116" customWidth="1"/>
    <col min="12" max="12" width="10.83203125" style="116" customWidth="1"/>
    <col min="13" max="14" width="10.83203125" style="65"/>
    <col min="15" max="15" width="5.83203125" style="65" customWidth="1"/>
    <col min="16" max="16" width="10.83203125" style="65" hidden="1" customWidth="1"/>
    <col min="17" max="17" width="10.83203125" style="116"/>
    <col min="18" max="18" width="11.33203125" style="116" customWidth="1"/>
    <col min="19" max="19" width="13.33203125" style="116" customWidth="1"/>
    <col min="20" max="20" width="10.83203125" style="65"/>
    <col min="21" max="21" width="10.33203125" style="65" customWidth="1"/>
    <col min="22" max="22" width="10.83203125" style="65" hidden="1" customWidth="1"/>
    <col min="23" max="23" width="0.1640625" style="65" hidden="1" customWidth="1"/>
    <col min="24" max="24" width="10.83203125" style="65" hidden="1" customWidth="1"/>
    <col min="25" max="25" width="0.1640625" style="65" customWidth="1"/>
    <col min="26" max="16384" width="10.83203125" style="65"/>
  </cols>
  <sheetData>
    <row r="2" spans="2:26" ht="19">
      <c r="B2" s="218" t="s">
        <v>767</v>
      </c>
      <c r="C2" s="219"/>
      <c r="D2" s="135"/>
      <c r="F2" s="218" t="s">
        <v>768</v>
      </c>
      <c r="G2" s="220"/>
      <c r="H2" s="220"/>
      <c r="I2" s="220"/>
      <c r="J2" s="220"/>
      <c r="K2" s="220"/>
      <c r="L2" s="220"/>
      <c r="M2" s="220"/>
      <c r="N2" s="219"/>
      <c r="P2" s="66"/>
      <c r="Q2" s="218" t="s">
        <v>769</v>
      </c>
      <c r="R2" s="220"/>
      <c r="S2" s="220"/>
      <c r="T2" s="220"/>
      <c r="U2" s="220"/>
      <c r="V2" s="220"/>
      <c r="W2" s="220"/>
      <c r="X2" s="219"/>
      <c r="Z2" s="67"/>
    </row>
    <row r="3" spans="2:26">
      <c r="B3" s="196"/>
      <c r="C3" s="75" t="s">
        <v>770</v>
      </c>
      <c r="D3" s="136"/>
      <c r="E3" s="76"/>
      <c r="F3" s="77"/>
      <c r="G3" s="78"/>
      <c r="H3" s="78"/>
      <c r="I3" s="79" t="s">
        <v>771</v>
      </c>
      <c r="J3" s="80" t="s">
        <v>771</v>
      </c>
      <c r="K3" s="70"/>
      <c r="L3" s="70"/>
      <c r="M3" s="70"/>
      <c r="N3" s="71"/>
      <c r="Q3" s="195" t="str">
        <f>CONCATENATE("Date: ",TEXT(C4,"DD.MM.YYYY"),",   Time: ",TEXT(C5,"HH:MM"))</f>
        <v>Date: 14.05.2024,   Time: 04:00</v>
      </c>
      <c r="R3" s="69"/>
      <c r="S3" s="69"/>
      <c r="T3" s="81"/>
      <c r="U3" s="72" t="str">
        <f>CONCATENATE("Moon: ",TEXT(Illumination!C8*100,"0.00"),"%")</f>
        <v>Moon: 37.32%</v>
      </c>
      <c r="X3" s="73"/>
      <c r="Z3" s="67"/>
    </row>
    <row r="4" spans="2:26">
      <c r="B4" s="82" t="s">
        <v>772</v>
      </c>
      <c r="C4" s="83">
        <v>45426</v>
      </c>
      <c r="D4" s="137"/>
      <c r="E4" s="76"/>
      <c r="F4" s="77"/>
      <c r="G4" s="78"/>
      <c r="H4" s="69"/>
      <c r="I4" s="84">
        <v>30</v>
      </c>
      <c r="J4" s="85">
        <v>15</v>
      </c>
      <c r="K4" s="70"/>
      <c r="L4" s="70"/>
      <c r="M4" s="70"/>
      <c r="N4" s="71"/>
      <c r="Q4" s="195" t="str">
        <f>CONCATENATE("Latitude: ",TEXT(C13,"0.00"),",      Longitude: ",TEXT(C14,"0.00"),"   (",C12,")")</f>
        <v>Latitude: 46.74,      Longitude: 7.73   (Sirius)</v>
      </c>
      <c r="R4" s="69"/>
      <c r="S4" s="69"/>
      <c r="T4" s="86"/>
      <c r="U4" s="72" t="str">
        <f>CONCATENATE("# total:       ",TEXT(96-COUNTBLANK(($E$8:$E$117)),"0"))</f>
        <v># total:       24</v>
      </c>
      <c r="X4" s="73"/>
      <c r="Z4" s="67"/>
    </row>
    <row r="5" spans="2:26">
      <c r="B5" s="87" t="s">
        <v>773</v>
      </c>
      <c r="C5" s="88">
        <v>0.16666666666666666</v>
      </c>
      <c r="D5" s="138"/>
      <c r="E5" s="76"/>
      <c r="F5" s="77"/>
      <c r="G5" s="78"/>
      <c r="H5" s="69"/>
      <c r="I5" s="79" t="s">
        <v>774</v>
      </c>
      <c r="J5" s="80" t="s">
        <v>774</v>
      </c>
      <c r="K5" s="70"/>
      <c r="L5" s="70"/>
      <c r="M5" s="70"/>
      <c r="N5" s="71"/>
      <c r="Q5" s="68" t="str">
        <f>CONCATENATE("Limits: ",TEXT(I4,"0")," &lt;= azimuth &lt;= ",TEXT(I6,"0"),",   ",TEXT(J4,"0")," &lt;= altitude &lt;= ",TEXT(J6,"0"))</f>
        <v>Limits: 30 &lt;= azimuth &lt;= 270,   15 &lt;= altitude &lt;= 90</v>
      </c>
      <c r="R5" s="69"/>
      <c r="S5" s="69"/>
      <c r="T5" s="89"/>
      <c r="U5" s="72" t="str">
        <f>CONCATENATE("# selected: ",TEXT(96-COUNTBLANK(($Q$8:$Q$117)),"0"))</f>
        <v># selected: 24</v>
      </c>
      <c r="X5" s="73"/>
      <c r="Z5" s="67"/>
    </row>
    <row r="6" spans="2:26">
      <c r="B6" s="87" t="s">
        <v>775</v>
      </c>
      <c r="C6" s="90">
        <v>1</v>
      </c>
      <c r="D6" s="139"/>
      <c r="E6" s="76"/>
      <c r="F6" s="74"/>
      <c r="G6" s="91"/>
      <c r="H6" s="92"/>
      <c r="I6" s="84">
        <v>270</v>
      </c>
      <c r="J6" s="85">
        <v>90</v>
      </c>
      <c r="K6" s="93"/>
      <c r="L6" s="93"/>
      <c r="M6" s="93"/>
      <c r="N6" s="94"/>
      <c r="Q6" s="95"/>
      <c r="R6" s="93"/>
      <c r="S6" s="93"/>
      <c r="T6" s="92"/>
      <c r="U6" s="92"/>
      <c r="V6" s="96"/>
      <c r="W6" s="96"/>
      <c r="X6" s="97"/>
      <c r="Z6" s="67"/>
    </row>
    <row r="7" spans="2:26" ht="19">
      <c r="B7" s="82" t="s">
        <v>776</v>
      </c>
      <c r="C7" s="98" t="str">
        <f>IF(OR(MOD(YEAR(C4),400)=0,AND(MOD(YEAR(C4),4)=0,MOD(YEAR(C4),100)&lt;&gt;0)),"Y", "N")</f>
        <v>Y</v>
      </c>
      <c r="D7" s="108"/>
      <c r="E7" s="76"/>
      <c r="F7" s="99" t="s">
        <v>796</v>
      </c>
      <c r="G7" s="100" t="str">
        <f>C17</f>
        <v>Observed?</v>
      </c>
      <c r="H7" s="100" t="s">
        <v>5</v>
      </c>
      <c r="I7" s="99" t="s">
        <v>777</v>
      </c>
      <c r="J7" s="99" t="s">
        <v>778</v>
      </c>
      <c r="K7" s="100" t="s">
        <v>703</v>
      </c>
      <c r="L7" s="99" t="s">
        <v>696</v>
      </c>
      <c r="M7" s="99" t="s">
        <v>779</v>
      </c>
      <c r="N7" s="99" t="s">
        <v>780</v>
      </c>
      <c r="O7" s="101"/>
      <c r="P7" s="101"/>
      <c r="Q7" s="102" t="s">
        <v>796</v>
      </c>
      <c r="R7" s="103" t="str">
        <f>C17</f>
        <v>Observed?</v>
      </c>
      <c r="S7" s="103" t="s">
        <v>5</v>
      </c>
      <c r="T7" s="104" t="s">
        <v>777</v>
      </c>
      <c r="U7" s="104" t="s">
        <v>778</v>
      </c>
      <c r="V7" s="105" t="s">
        <v>703</v>
      </c>
      <c r="W7" s="106" t="s">
        <v>696</v>
      </c>
      <c r="X7" s="106" t="s">
        <v>779</v>
      </c>
      <c r="Y7" s="106" t="s">
        <v>780</v>
      </c>
    </row>
    <row r="8" spans="2:26">
      <c r="B8" s="82" t="s">
        <v>781</v>
      </c>
      <c r="C8" s="107">
        <f>INT(275*MONTH(C4)/9)-IF(C7="Y",1,2)*INT((MONTH(C4)+9)/12)+DAY(C4)-30</f>
        <v>135</v>
      </c>
      <c r="D8" s="140"/>
      <c r="E8" s="108" t="str">
        <f>IF(AND(J8&gt;=$J$4,J8&lt;=$J$6,I8&gt;=$I$4,I8&lt;=$I$6),IF(VLOOKUP(G8,$C$19:$D$24,2,FALSE)="yes","*","-"),"")</f>
        <v>*</v>
      </c>
      <c r="F8" s="55">
        <v>1</v>
      </c>
      <c r="G8" s="109" t="s">
        <v>782</v>
      </c>
      <c r="H8" s="46" t="s">
        <v>647</v>
      </c>
      <c r="I8" s="110">
        <f>IF(SIN($N$105*N8)&lt;0,ACOS((SIN($N$105*M8)-SIN($N$105*J8)*SIN($N$105*$C$13))/(COS($N$105*J8)*COS($N$105*$C$13)))/$N$105,360-ACOS((SIN($N$105*M8)-SIN($N$105*J8)*SIN($N$105*$C$13))/(COS($N$105*J8)*COS($N$105*$C$13)))/$N$105)</f>
        <v>159.89429697469524</v>
      </c>
      <c r="J8" s="110">
        <f t="shared" ref="J8:J39" si="0">ASIN(SIN($N$105*M8)*SIN($N$105*$C$13)+COS($N$105*M8)*COS($N$105*$C$13)*COS($N$105*N8))/$N$105</f>
        <v>70.311796176437824</v>
      </c>
      <c r="K8" s="59" t="s">
        <v>758</v>
      </c>
      <c r="L8" s="61">
        <v>19.510000000000002</v>
      </c>
      <c r="M8" s="62">
        <v>27.96</v>
      </c>
      <c r="N8" s="110">
        <f t="shared" ref="N8:N71" si="1">$C$16-((L8/24)*360)</f>
        <v>-7.5340490001548801</v>
      </c>
      <c r="P8" s="65" t="str" cm="1">
        <f t="array" ref="P8:Y45">_xlfn._xlws.FILTER(E8:N103,E8:E103="*","")</f>
        <v>*</v>
      </c>
      <c r="Q8" s="111">
        <v>1</v>
      </c>
      <c r="R8" s="112" t="str">
        <v>-</v>
      </c>
      <c r="S8" s="112" t="str">
        <v>Albireo</v>
      </c>
      <c r="T8" s="113">
        <v>159.89429697469524</v>
      </c>
      <c r="U8" s="114">
        <v>70.311796176437824</v>
      </c>
      <c r="V8" s="65" t="str">
        <v>Beta Cygni</v>
      </c>
      <c r="W8" s="65">
        <v>19.510000000000002</v>
      </c>
      <c r="X8" s="65">
        <v>27.96</v>
      </c>
      <c r="Y8" s="65">
        <v>-7.5340490001548801</v>
      </c>
    </row>
    <row r="9" spans="2:26">
      <c r="B9" s="82" t="s">
        <v>783</v>
      </c>
      <c r="C9" s="107" t="str">
        <f>IF(INT(MOD(C10+1.5,7))=1,"Monday",IF(INT(MOD(C10+1.5,7))=2,"Tuesday",IF(INT(MOD(C10+1.5,7))=3,"Wednesday",IF(INT(MOD(C10+1.5,7))=4,"Thursday",IF(INT(MOD(C10+1.5,7))=5,"Friday",IF(INT(MOD(C10+1.5,7))=6,"Saturday","Sunday"))))))</f>
        <v>Tuesday</v>
      </c>
      <c r="D9" s="140"/>
      <c r="E9" s="108" t="str">
        <f t="shared" ref="E9:E72" si="2">IF(AND(J9&gt;=$J$4,J9&lt;=$J$6,I9&gt;=$I$4,I9&lt;=$I$6),IF(VLOOKUP(G9,$C$19:$D$24,2,FALSE)="yes","*","-"),"")</f>
        <v>*</v>
      </c>
      <c r="F9" s="55">
        <f>F8+1</f>
        <v>2</v>
      </c>
      <c r="G9" s="109" t="s">
        <v>782</v>
      </c>
      <c r="H9" s="46" t="s">
        <v>42</v>
      </c>
      <c r="I9" s="110">
        <f t="shared" ref="I9:I72" si="3">IF(SIN($N$105*N9)&lt;0,ACOS((SIN($N$105*M9)-SIN($N$105*J9)*SIN($N$105*$C$13))/(COS($N$105*J9)*COS($N$105*$C$13)))/$N$105,360-ACOS((SIN($N$105*M9)-SIN($N$105*J9)*SIN($N$105*$C$13))/(COS($N$105*J9)*COS($N$105*$C$13)))/$N$105)</f>
        <v>49.399955012603165</v>
      </c>
      <c r="J9" s="110">
        <f t="shared" si="0"/>
        <v>20.567456374338164</v>
      </c>
      <c r="K9" s="59" t="s">
        <v>759</v>
      </c>
      <c r="L9" s="61">
        <v>2.0699999999999998</v>
      </c>
      <c r="M9" s="62">
        <v>42.33</v>
      </c>
      <c r="N9" s="110">
        <f t="shared" si="1"/>
        <v>254.06595099984514</v>
      </c>
      <c r="P9" s="65" t="str">
        <v>*</v>
      </c>
      <c r="Q9" s="115">
        <v>2</v>
      </c>
      <c r="R9" s="116" t="str">
        <v>-</v>
      </c>
      <c r="S9" s="116" t="str">
        <v>Almach</v>
      </c>
      <c r="T9" s="117">
        <v>49.399955012603165</v>
      </c>
      <c r="U9" s="118">
        <v>20.567456374338164</v>
      </c>
      <c r="V9" s="65" t="str">
        <v>Gamma Andromedae</v>
      </c>
      <c r="W9" s="65">
        <v>2.0699999999999998</v>
      </c>
      <c r="X9" s="65">
        <v>42.33</v>
      </c>
      <c r="Y9" s="65">
        <v>254.06595099984514</v>
      </c>
    </row>
    <row r="10" spans="2:26" ht="17" customHeight="1">
      <c r="B10" s="82" t="s">
        <v>784</v>
      </c>
      <c r="C10" s="119">
        <f>367*YEAR(C4)-INT(7/4*YEAR(C4))-INT(3*(INT((YEAR(C4)-8/7)/100)+1)/4)+1721059.5-1+C8+(3600*HOUR(C5)+60*MINUTE(C5)+SECOND(C5))/(24*3600)</f>
        <v>2460444.6666666665</v>
      </c>
      <c r="D10" s="141"/>
      <c r="E10" s="108" t="str">
        <f t="shared" si="2"/>
        <v/>
      </c>
      <c r="F10" s="55">
        <f t="shared" ref="F10:F73" si="4">F9+1</f>
        <v>3</v>
      </c>
      <c r="G10" s="109" t="s">
        <v>782</v>
      </c>
      <c r="H10" s="46" t="s">
        <v>589</v>
      </c>
      <c r="I10" s="110">
        <f t="shared" si="3"/>
        <v>12.203508111791225</v>
      </c>
      <c r="J10" s="110">
        <f t="shared" si="0"/>
        <v>-49.712964525302127</v>
      </c>
      <c r="K10" s="47" t="s">
        <v>760</v>
      </c>
      <c r="L10" s="61">
        <v>6.48</v>
      </c>
      <c r="M10" s="62">
        <v>-7.03</v>
      </c>
      <c r="N10" s="110">
        <f t="shared" si="1"/>
        <v>187.91595099984517</v>
      </c>
      <c r="P10" s="65" t="str">
        <v>*</v>
      </c>
      <c r="Q10" s="115">
        <v>6</v>
      </c>
      <c r="R10" s="116" t="str">
        <v>-</v>
      </c>
      <c r="S10" s="116" t="str">
        <v>Gamma Del</v>
      </c>
      <c r="T10" s="117">
        <v>113.77799576139026</v>
      </c>
      <c r="U10" s="118">
        <v>63.228367843456581</v>
      </c>
      <c r="V10" s="65" t="str">
        <v>Gamma Delphini</v>
      </c>
      <c r="W10" s="65">
        <v>20.94</v>
      </c>
      <c r="X10" s="65">
        <v>31.716666666666665</v>
      </c>
      <c r="Y10" s="65">
        <v>-28.984049000154869</v>
      </c>
    </row>
    <row r="11" spans="2:26" ht="17" customHeight="1">
      <c r="B11" s="82" t="s">
        <v>785</v>
      </c>
      <c r="C11" s="119">
        <f>C10-2451545</f>
        <v>8899.6666666665114</v>
      </c>
      <c r="D11" s="141"/>
      <c r="E11" s="108" t="str">
        <f t="shared" si="2"/>
        <v/>
      </c>
      <c r="F11" s="55">
        <f t="shared" si="4"/>
        <v>4</v>
      </c>
      <c r="G11" s="109" t="s">
        <v>782</v>
      </c>
      <c r="H11" s="46" t="s">
        <v>610</v>
      </c>
      <c r="I11" s="110">
        <f t="shared" si="3"/>
        <v>352.58247249505462</v>
      </c>
      <c r="J11" s="110">
        <f t="shared" si="0"/>
        <v>-10.990007268293732</v>
      </c>
      <c r="K11" s="48"/>
      <c r="L11" s="61">
        <v>7.58</v>
      </c>
      <c r="M11" s="62">
        <v>31.89</v>
      </c>
      <c r="N11" s="110">
        <f t="shared" si="1"/>
        <v>171.41595099984517</v>
      </c>
      <c r="P11" s="65" t="str">
        <v>*</v>
      </c>
      <c r="Q11" s="115">
        <v>11</v>
      </c>
      <c r="R11" s="116" t="str">
        <v>-</v>
      </c>
      <c r="S11" s="116" t="str">
        <v>Ras Algethi</v>
      </c>
      <c r="T11" s="117">
        <v>222.75036330063739</v>
      </c>
      <c r="U11" s="118">
        <v>50.916583376248276</v>
      </c>
      <c r="V11" s="65" t="str">
        <v>Alpha Herculis</v>
      </c>
      <c r="W11" s="65">
        <v>17.260000000000002</v>
      </c>
      <c r="X11" s="65">
        <v>14.36</v>
      </c>
      <c r="Y11" s="65">
        <v>26.21595099984512</v>
      </c>
    </row>
    <row r="12" spans="2:26" ht="17" customHeight="1">
      <c r="B12" s="120" t="s">
        <v>786</v>
      </c>
      <c r="C12" s="121" t="s">
        <v>6</v>
      </c>
      <c r="D12" s="142"/>
      <c r="E12" s="108" t="str">
        <f t="shared" si="2"/>
        <v/>
      </c>
      <c r="F12" s="55">
        <f t="shared" si="4"/>
        <v>5</v>
      </c>
      <c r="G12" s="109" t="s">
        <v>782</v>
      </c>
      <c r="H12" s="46" t="s">
        <v>44</v>
      </c>
      <c r="I12" s="110">
        <f t="shared" si="3"/>
        <v>67.119991322969398</v>
      </c>
      <c r="J12" s="110">
        <f t="shared" si="0"/>
        <v>5.1174868642364642</v>
      </c>
      <c r="K12" s="48" t="s">
        <v>761</v>
      </c>
      <c r="L12" s="61">
        <v>1.91</v>
      </c>
      <c r="M12" s="62">
        <v>19.29</v>
      </c>
      <c r="N12" s="110">
        <f t="shared" si="1"/>
        <v>256.46595099984518</v>
      </c>
      <c r="P12" s="65" t="str">
        <v>*</v>
      </c>
      <c r="Q12" s="115">
        <v>16</v>
      </c>
      <c r="R12" s="116" t="str">
        <v>-</v>
      </c>
      <c r="S12" s="116" t="str">
        <v>M5</v>
      </c>
      <c r="T12" s="117">
        <v>244.78279972177958</v>
      </c>
      <c r="U12" s="118">
        <v>24.499168473511659</v>
      </c>
      <c r="V12" s="65" t="str">
        <v>Rose Cluster</v>
      </c>
      <c r="W12" s="65">
        <v>15.31</v>
      </c>
      <c r="X12" s="65">
        <v>2.08</v>
      </c>
      <c r="Y12" s="65">
        <v>55.465950999845148</v>
      </c>
    </row>
    <row r="13" spans="2:26" ht="17" customHeight="1">
      <c r="B13" s="122" t="s">
        <v>787</v>
      </c>
      <c r="C13" s="198">
        <f>VLOOKUP(C12,$B$29:$D$33,2,FALSE)</f>
        <v>46.7393</v>
      </c>
      <c r="D13" s="143"/>
      <c r="E13" s="108" t="str">
        <f t="shared" si="2"/>
        <v>*</v>
      </c>
      <c r="F13" s="55">
        <f t="shared" si="4"/>
        <v>6</v>
      </c>
      <c r="G13" s="109" t="s">
        <v>782</v>
      </c>
      <c r="H13" s="46" t="s">
        <v>673</v>
      </c>
      <c r="I13" s="110">
        <f t="shared" si="3"/>
        <v>113.77799576139026</v>
      </c>
      <c r="J13" s="110">
        <f t="shared" si="0"/>
        <v>63.228367843456581</v>
      </c>
      <c r="K13" s="48" t="s">
        <v>762</v>
      </c>
      <c r="L13" s="61">
        <v>20.94</v>
      </c>
      <c r="M13" s="62">
        <v>31.716666666666665</v>
      </c>
      <c r="N13" s="110">
        <f t="shared" si="1"/>
        <v>-28.984049000154869</v>
      </c>
      <c r="P13" s="65" t="str">
        <v>*</v>
      </c>
      <c r="Q13" s="115">
        <v>17</v>
      </c>
      <c r="R13" s="116" t="str">
        <v>-</v>
      </c>
      <c r="S13" s="116" t="str">
        <v>M8</v>
      </c>
      <c r="T13" s="117">
        <v>193.58153411958773</v>
      </c>
      <c r="U13" s="118">
        <v>17.727099655119083</v>
      </c>
      <c r="V13" s="65">
        <v>0</v>
      </c>
      <c r="W13" s="65">
        <v>18.059999999999999</v>
      </c>
      <c r="X13" s="65">
        <v>-24.38</v>
      </c>
      <c r="Y13" s="65">
        <v>14.215950999845177</v>
      </c>
    </row>
    <row r="14" spans="2:26" ht="17" customHeight="1">
      <c r="B14" s="82" t="s">
        <v>788</v>
      </c>
      <c r="C14" s="198">
        <f>VLOOKUP(C12,$B$29:$D$33,3,FALSE)</f>
        <v>7.7262000000000004</v>
      </c>
      <c r="D14" s="143"/>
      <c r="E14" s="108" t="str">
        <f t="shared" si="2"/>
        <v/>
      </c>
      <c r="F14" s="55">
        <f t="shared" si="4"/>
        <v>7</v>
      </c>
      <c r="G14" s="109" t="s">
        <v>782</v>
      </c>
      <c r="H14" s="46" t="s">
        <v>627</v>
      </c>
      <c r="I14" s="110">
        <f t="shared" si="3"/>
        <v>312.18649284284595</v>
      </c>
      <c r="J14" s="110">
        <f t="shared" si="0"/>
        <v>39.523777242300739</v>
      </c>
      <c r="K14" s="48" t="s">
        <v>763</v>
      </c>
      <c r="L14" s="61">
        <v>13.4</v>
      </c>
      <c r="M14" s="62">
        <v>54.93</v>
      </c>
      <c r="N14" s="110">
        <f t="shared" si="1"/>
        <v>84.115950999845154</v>
      </c>
      <c r="P14" s="65" t="str">
        <v>*</v>
      </c>
      <c r="Q14" s="115">
        <v>18</v>
      </c>
      <c r="R14" s="116" t="str">
        <v>-</v>
      </c>
      <c r="S14" s="116" t="str">
        <v>M9</v>
      </c>
      <c r="T14" s="117">
        <v>205.71591727511426</v>
      </c>
      <c r="U14" s="118">
        <v>20.861189750392544</v>
      </c>
      <c r="V14" s="65">
        <v>0</v>
      </c>
      <c r="W14" s="65">
        <v>17.32</v>
      </c>
      <c r="X14" s="65">
        <v>-18.52</v>
      </c>
      <c r="Y14" s="65">
        <v>25.315950999845143</v>
      </c>
    </row>
    <row r="15" spans="2:26" ht="17" customHeight="1">
      <c r="B15" s="82" t="s">
        <v>789</v>
      </c>
      <c r="C15" s="123">
        <f>MOD(HOUR(C5)+(MINUTE(C5)/60)+(SECOND(C5)/60)-C6,24)</f>
        <v>3</v>
      </c>
      <c r="D15" s="144"/>
      <c r="E15" s="108" t="str">
        <f t="shared" si="2"/>
        <v/>
      </c>
      <c r="F15" s="55">
        <f t="shared" si="4"/>
        <v>8</v>
      </c>
      <c r="G15" s="109" t="s">
        <v>782</v>
      </c>
      <c r="H15" s="46" t="s">
        <v>43</v>
      </c>
      <c r="I15" s="110">
        <f t="shared" si="3"/>
        <v>25.479259997042394</v>
      </c>
      <c r="J15" s="110">
        <f t="shared" si="0"/>
        <v>34.873019630311724</v>
      </c>
      <c r="K15" s="48" t="s">
        <v>764</v>
      </c>
      <c r="L15" s="61">
        <v>2.52</v>
      </c>
      <c r="M15" s="62">
        <v>67.510000000000005</v>
      </c>
      <c r="N15" s="110">
        <f t="shared" si="1"/>
        <v>247.31595099984514</v>
      </c>
      <c r="P15" s="65" t="str">
        <v>*</v>
      </c>
      <c r="Q15" s="115">
        <v>19</v>
      </c>
      <c r="R15" s="116" t="str">
        <v>-</v>
      </c>
      <c r="S15" s="116" t="str">
        <v>M10</v>
      </c>
      <c r="T15" s="117">
        <v>217.24134529899467</v>
      </c>
      <c r="U15" s="118">
        <v>32.33287121555086</v>
      </c>
      <c r="V15" s="65">
        <v>0</v>
      </c>
      <c r="W15" s="65">
        <v>16.951666666666668</v>
      </c>
      <c r="X15" s="65">
        <v>-4.0999999999999996</v>
      </c>
      <c r="Y15" s="65">
        <v>30.84095099984512</v>
      </c>
    </row>
    <row r="16" spans="2:26" ht="17" customHeight="1">
      <c r="B16" s="82" t="s">
        <v>790</v>
      </c>
      <c r="C16" s="123">
        <f>MOD(100.46+0.985647*C11+C14+15*C15, 360)</f>
        <v>285.11595099984515</v>
      </c>
      <c r="D16" s="144"/>
      <c r="E16" s="108" t="str">
        <f t="shared" si="2"/>
        <v/>
      </c>
      <c r="F16" s="55">
        <f t="shared" si="4"/>
        <v>9</v>
      </c>
      <c r="G16" s="109" t="s">
        <v>782</v>
      </c>
      <c r="H16" s="46" t="s">
        <v>642</v>
      </c>
      <c r="I16" s="110">
        <f t="shared" si="3"/>
        <v>271.57017066752513</v>
      </c>
      <c r="J16" s="110">
        <f t="shared" si="0"/>
        <v>37.026034790491678</v>
      </c>
      <c r="K16" s="48" t="s">
        <v>765</v>
      </c>
      <c r="L16" s="61">
        <v>14.77</v>
      </c>
      <c r="M16" s="62">
        <v>26.97</v>
      </c>
      <c r="N16" s="110">
        <f t="shared" si="1"/>
        <v>63.565950999845171</v>
      </c>
      <c r="P16" s="65" t="str">
        <v>*</v>
      </c>
      <c r="Q16" s="115">
        <v>20</v>
      </c>
      <c r="R16" s="116" t="str">
        <v>-</v>
      </c>
      <c r="S16" s="116" t="str">
        <v>M11</v>
      </c>
      <c r="T16" s="117">
        <v>182.91232813228234</v>
      </c>
      <c r="U16" s="118">
        <v>36.953261291272369</v>
      </c>
      <c r="V16" s="65" t="str">
        <v>Wild Duck Cluster</v>
      </c>
      <c r="W16" s="65">
        <v>18.851666666666667</v>
      </c>
      <c r="X16" s="65">
        <v>-6.2666666666666666</v>
      </c>
      <c r="Y16" s="65">
        <v>2.3409509998451767</v>
      </c>
    </row>
    <row r="17" spans="2:25" ht="17" customHeight="1">
      <c r="B17" s="55" t="s">
        <v>791</v>
      </c>
      <c r="C17" s="124" t="s">
        <v>792</v>
      </c>
      <c r="D17" s="145"/>
      <c r="E17" s="108" t="str">
        <f t="shared" si="2"/>
        <v/>
      </c>
      <c r="F17" s="55">
        <f t="shared" si="4"/>
        <v>10</v>
      </c>
      <c r="G17" s="109" t="s">
        <v>782</v>
      </c>
      <c r="H17" s="46" t="s">
        <v>636</v>
      </c>
      <c r="I17" s="110">
        <f t="shared" si="3"/>
        <v>311.88040833135466</v>
      </c>
      <c r="J17" s="110">
        <f t="shared" si="0"/>
        <v>39.692182197948249</v>
      </c>
      <c r="K17" s="48"/>
      <c r="L17" s="61">
        <v>13.43</v>
      </c>
      <c r="M17" s="62">
        <v>54.8</v>
      </c>
      <c r="N17" s="110">
        <f t="shared" si="1"/>
        <v>83.665950999845165</v>
      </c>
      <c r="P17" s="65" t="str">
        <v>*</v>
      </c>
      <c r="Q17" s="115">
        <v>21</v>
      </c>
      <c r="R17" s="116" t="str">
        <v>-</v>
      </c>
      <c r="S17" s="116" t="str">
        <v>M12</v>
      </c>
      <c r="T17" s="117">
        <v>220.99791351052627</v>
      </c>
      <c r="U17" s="118">
        <v>33.20101675712322</v>
      </c>
      <c r="V17" s="65" t="str">
        <v>Gumball Globular</v>
      </c>
      <c r="W17" s="65">
        <v>16.786666666666665</v>
      </c>
      <c r="X17" s="65">
        <v>-1.95</v>
      </c>
      <c r="Y17" s="65">
        <v>33.315950999845171</v>
      </c>
    </row>
    <row r="18" spans="2:25" ht="17" customHeight="1">
      <c r="B18" s="67"/>
      <c r="C18" s="55" t="s">
        <v>793</v>
      </c>
      <c r="D18" s="109" t="s">
        <v>835</v>
      </c>
      <c r="E18" s="108" t="str">
        <f t="shared" si="2"/>
        <v>*</v>
      </c>
      <c r="F18" s="55">
        <f t="shared" si="4"/>
        <v>11</v>
      </c>
      <c r="G18" s="109" t="s">
        <v>782</v>
      </c>
      <c r="H18" s="46" t="s">
        <v>648</v>
      </c>
      <c r="I18" s="110">
        <f t="shared" si="3"/>
        <v>222.75036330063739</v>
      </c>
      <c r="J18" s="110">
        <f t="shared" si="0"/>
        <v>50.916583376248276</v>
      </c>
      <c r="K18" s="48" t="s">
        <v>766</v>
      </c>
      <c r="L18" s="61">
        <v>17.260000000000002</v>
      </c>
      <c r="M18" s="62">
        <v>14.36</v>
      </c>
      <c r="N18" s="110">
        <f t="shared" si="1"/>
        <v>26.21595099984512</v>
      </c>
      <c r="P18" s="65" t="str">
        <v>*</v>
      </c>
      <c r="Q18" s="115">
        <v>22</v>
      </c>
      <c r="R18" s="116" t="str">
        <v>-</v>
      </c>
      <c r="S18" s="116" t="str">
        <v>M13</v>
      </c>
      <c r="T18" s="117">
        <v>260.789078688659</v>
      </c>
      <c r="U18" s="118">
        <v>62.374482003882704</v>
      </c>
      <c r="V18" s="65" t="str">
        <v>(Great) Hercules Globular Cluster</v>
      </c>
      <c r="W18" s="65">
        <v>16.695</v>
      </c>
      <c r="X18" s="65">
        <v>36.466666666666669</v>
      </c>
      <c r="Y18" s="65">
        <v>34.690950999845143</v>
      </c>
    </row>
    <row r="19" spans="2:25" ht="17" customHeight="1">
      <c r="B19" s="221" t="s">
        <v>794</v>
      </c>
      <c r="C19" s="125" t="s">
        <v>782</v>
      </c>
      <c r="D19" s="124" t="s">
        <v>836</v>
      </c>
      <c r="E19" s="108" t="str">
        <f t="shared" si="2"/>
        <v/>
      </c>
      <c r="F19" s="55">
        <f t="shared" si="4"/>
        <v>12</v>
      </c>
      <c r="G19" s="109" t="s">
        <v>782</v>
      </c>
      <c r="H19" s="46" t="s">
        <v>11</v>
      </c>
      <c r="I19" s="110">
        <f t="shared" si="3"/>
        <v>38.521123466549689</v>
      </c>
      <c r="J19" s="110">
        <f t="shared" si="0"/>
        <v>-45.404000040567901</v>
      </c>
      <c r="K19" s="48"/>
      <c r="L19" s="61">
        <v>5.26</v>
      </c>
      <c r="M19" s="62">
        <v>-8.17</v>
      </c>
      <c r="N19" s="110">
        <f t="shared" si="1"/>
        <v>206.21595099984518</v>
      </c>
      <c r="P19" s="65" t="str">
        <v>*</v>
      </c>
      <c r="Q19" s="115">
        <v>23</v>
      </c>
      <c r="R19" s="116" t="str">
        <v>-</v>
      </c>
      <c r="S19" s="116" t="str">
        <v>M15</v>
      </c>
      <c r="T19" s="117">
        <v>125.36322319401697</v>
      </c>
      <c r="U19" s="118">
        <v>43.298067164034265</v>
      </c>
      <c r="V19" s="65" t="str">
        <v>Great Pegasus Cluster</v>
      </c>
      <c r="W19" s="65">
        <v>21.5</v>
      </c>
      <c r="X19" s="65">
        <v>12.166666666666666</v>
      </c>
      <c r="Y19" s="65">
        <v>-37.384049000154846</v>
      </c>
    </row>
    <row r="20" spans="2:25" ht="17" customHeight="1">
      <c r="B20" s="221"/>
      <c r="C20" s="126" t="s">
        <v>795</v>
      </c>
      <c r="D20" s="124" t="s">
        <v>837</v>
      </c>
      <c r="E20" s="108" t="str">
        <f t="shared" si="2"/>
        <v/>
      </c>
      <c r="F20" s="55">
        <f t="shared" si="4"/>
        <v>13</v>
      </c>
      <c r="G20" s="109" t="s">
        <v>782</v>
      </c>
      <c r="H20" s="46" t="s">
        <v>51</v>
      </c>
      <c r="I20" s="110">
        <f t="shared" si="3"/>
        <v>20.879664346631181</v>
      </c>
      <c r="J20" s="110">
        <f t="shared" si="0"/>
        <v>-18.422721371148249</v>
      </c>
      <c r="K20" s="59" t="s">
        <v>704</v>
      </c>
      <c r="L20" s="61">
        <v>5.58</v>
      </c>
      <c r="M20" s="62">
        <v>22.17</v>
      </c>
      <c r="N20" s="110">
        <f t="shared" si="1"/>
        <v>201.41595099984517</v>
      </c>
      <c r="P20" s="65" t="str">
        <v>*</v>
      </c>
      <c r="Q20" s="115">
        <v>24</v>
      </c>
      <c r="R20" s="116" t="str">
        <v>-</v>
      </c>
      <c r="S20" s="116" t="str">
        <v>M16</v>
      </c>
      <c r="T20" s="117">
        <v>191.55396360716583</v>
      </c>
      <c r="U20" s="118">
        <v>28.758031627214489</v>
      </c>
      <c r="V20" s="65" t="str">
        <v>Eagle Nebula Cluster</v>
      </c>
      <c r="W20" s="65">
        <v>18.313333333333333</v>
      </c>
      <c r="X20" s="65">
        <v>-13.783333333333333</v>
      </c>
      <c r="Y20" s="65">
        <v>10.415950999845165</v>
      </c>
    </row>
    <row r="21" spans="2:25" ht="17" customHeight="1">
      <c r="B21" s="221"/>
      <c r="C21" s="126"/>
      <c r="D21" s="124"/>
      <c r="E21" s="108" t="str">
        <f t="shared" si="2"/>
        <v/>
      </c>
      <c r="F21" s="55">
        <f t="shared" si="4"/>
        <v>14</v>
      </c>
      <c r="G21" s="109" t="s">
        <v>782</v>
      </c>
      <c r="H21" s="46" t="s">
        <v>631</v>
      </c>
      <c r="I21" s="110">
        <f t="shared" si="3"/>
        <v>283.65589536895681</v>
      </c>
      <c r="J21" s="110">
        <f t="shared" si="0"/>
        <v>27.053735088751409</v>
      </c>
      <c r="K21" s="48"/>
      <c r="L21" s="61">
        <v>13.7</v>
      </c>
      <c r="M21" s="62">
        <v>28.38</v>
      </c>
      <c r="N21" s="110">
        <f t="shared" si="1"/>
        <v>79.615950999845154</v>
      </c>
      <c r="P21" s="65" t="str">
        <v>*</v>
      </c>
      <c r="Q21" s="115">
        <v>25</v>
      </c>
      <c r="R21" s="116" t="str">
        <v>-</v>
      </c>
      <c r="S21" s="116" t="str">
        <v>M17</v>
      </c>
      <c r="T21" s="117">
        <v>190.64419080035111</v>
      </c>
      <c r="U21" s="118">
        <v>26.446450194474057</v>
      </c>
      <c r="V21" s="65" t="str">
        <v>Omega, Swan, Horseshoe, Lobster Nebula</v>
      </c>
      <c r="W21" s="65">
        <v>18.346666666666668</v>
      </c>
      <c r="X21" s="65">
        <v>-16.183333333333334</v>
      </c>
      <c r="Y21" s="65">
        <v>9.9159509998451654</v>
      </c>
    </row>
    <row r="22" spans="2:25" ht="17" customHeight="1">
      <c r="B22" s="221"/>
      <c r="C22" s="126"/>
      <c r="D22" s="124"/>
      <c r="E22" s="108" t="str">
        <f t="shared" si="2"/>
        <v/>
      </c>
      <c r="F22" s="55">
        <f t="shared" si="4"/>
        <v>15</v>
      </c>
      <c r="G22" s="109" t="s">
        <v>782</v>
      </c>
      <c r="H22" s="46" t="s">
        <v>662</v>
      </c>
      <c r="I22" s="110">
        <f t="shared" si="3"/>
        <v>214.93908064181841</v>
      </c>
      <c r="J22" s="110">
        <f t="shared" si="0"/>
        <v>8.5940881147440802</v>
      </c>
      <c r="K22" s="59" t="s">
        <v>705</v>
      </c>
      <c r="L22" s="61">
        <v>16.39</v>
      </c>
      <c r="M22" s="62">
        <v>-26.53</v>
      </c>
      <c r="N22" s="110">
        <f t="shared" si="1"/>
        <v>39.265950999845131</v>
      </c>
      <c r="P22" s="65" t="str">
        <v>*</v>
      </c>
      <c r="Q22" s="115">
        <v>26</v>
      </c>
      <c r="R22" s="116" t="str">
        <v>-</v>
      </c>
      <c r="S22" s="116" t="str">
        <v>M20</v>
      </c>
      <c r="T22" s="117">
        <v>194.14444584535696</v>
      </c>
      <c r="U22" s="118">
        <v>18.998575130202298</v>
      </c>
      <c r="V22" s="65" t="str">
        <v>Trifid Nebula</v>
      </c>
      <c r="W22" s="65">
        <v>18.038333333333334</v>
      </c>
      <c r="X22" s="65">
        <v>-23.033333333333335</v>
      </c>
      <c r="Y22" s="65">
        <v>14.540950999845165</v>
      </c>
    </row>
    <row r="23" spans="2:25" ht="17" customHeight="1">
      <c r="B23" s="221"/>
      <c r="C23" s="126"/>
      <c r="D23" s="124"/>
      <c r="E23" s="108" t="str">
        <f t="shared" si="2"/>
        <v>*</v>
      </c>
      <c r="F23" s="55">
        <f t="shared" si="4"/>
        <v>16</v>
      </c>
      <c r="G23" s="109" t="s">
        <v>782</v>
      </c>
      <c r="H23" s="46" t="s">
        <v>693</v>
      </c>
      <c r="I23" s="110">
        <f t="shared" si="3"/>
        <v>244.78279972177958</v>
      </c>
      <c r="J23" s="110">
        <f t="shared" si="0"/>
        <v>24.499168473511659</v>
      </c>
      <c r="K23" s="59" t="s">
        <v>706</v>
      </c>
      <c r="L23" s="61">
        <v>15.31</v>
      </c>
      <c r="M23" s="62">
        <v>2.08</v>
      </c>
      <c r="N23" s="110">
        <f t="shared" si="1"/>
        <v>55.465950999845148</v>
      </c>
      <c r="P23" s="65" t="str">
        <v>*</v>
      </c>
      <c r="Q23" s="115">
        <v>27</v>
      </c>
      <c r="R23" s="116" t="str">
        <v>-</v>
      </c>
      <c r="S23" s="116" t="str">
        <v>M22</v>
      </c>
      <c r="T23" s="117">
        <v>185.8216601912728</v>
      </c>
      <c r="U23" s="118">
        <v>19.15127925733373</v>
      </c>
      <c r="V23" s="65" t="str">
        <v>(Great) Sagittarius Cluster</v>
      </c>
      <c r="W23" s="65">
        <v>18.606666666666666</v>
      </c>
      <c r="X23" s="65">
        <v>-23.9</v>
      </c>
      <c r="Y23" s="65">
        <v>6.0159509998451881</v>
      </c>
    </row>
    <row r="24" spans="2:25" ht="17" customHeight="1">
      <c r="B24" s="222"/>
      <c r="C24" s="127"/>
      <c r="D24" s="124"/>
      <c r="E24" s="108" t="str">
        <f t="shared" si="2"/>
        <v>*</v>
      </c>
      <c r="F24" s="55">
        <f t="shared" si="4"/>
        <v>17</v>
      </c>
      <c r="G24" s="109" t="s">
        <v>782</v>
      </c>
      <c r="H24" s="46" t="s">
        <v>658</v>
      </c>
      <c r="I24" s="110">
        <f t="shared" si="3"/>
        <v>193.58153411958773</v>
      </c>
      <c r="J24" s="110">
        <f t="shared" si="0"/>
        <v>17.727099655119083</v>
      </c>
      <c r="K24" s="48"/>
      <c r="L24" s="61">
        <v>18.059999999999999</v>
      </c>
      <c r="M24" s="62">
        <v>-24.38</v>
      </c>
      <c r="N24" s="110">
        <f t="shared" si="1"/>
        <v>14.215950999845177</v>
      </c>
      <c r="P24" s="65" t="str">
        <v>*</v>
      </c>
      <c r="Q24" s="115">
        <v>28</v>
      </c>
      <c r="R24" s="116" t="str">
        <v>-</v>
      </c>
      <c r="S24" s="116" t="str">
        <v>M27</v>
      </c>
      <c r="T24" s="117">
        <v>148.54984909834215</v>
      </c>
      <c r="U24" s="118">
        <v>63.183616540827536</v>
      </c>
      <c r="V24" s="65" t="str">
        <v>Dumbbell Nebula, Apple Core Nebula</v>
      </c>
      <c r="W24" s="65">
        <v>19.993333333333332</v>
      </c>
      <c r="X24" s="65">
        <v>22.716666666666665</v>
      </c>
      <c r="Y24" s="65">
        <v>-14.784049000154823</v>
      </c>
    </row>
    <row r="25" spans="2:25" ht="17" customHeight="1">
      <c r="E25" s="108" t="str">
        <f t="shared" si="2"/>
        <v>*</v>
      </c>
      <c r="F25" s="55">
        <f t="shared" si="4"/>
        <v>18</v>
      </c>
      <c r="G25" s="109" t="s">
        <v>782</v>
      </c>
      <c r="H25" s="46" t="s">
        <v>652</v>
      </c>
      <c r="I25" s="110">
        <f t="shared" si="3"/>
        <v>205.71591727511426</v>
      </c>
      <c r="J25" s="110">
        <f t="shared" si="0"/>
        <v>20.861189750392544</v>
      </c>
      <c r="K25" s="48"/>
      <c r="L25" s="61">
        <v>17.32</v>
      </c>
      <c r="M25" s="62">
        <v>-18.52</v>
      </c>
      <c r="N25" s="110">
        <f t="shared" si="1"/>
        <v>25.315950999845143</v>
      </c>
      <c r="P25" s="65" t="str">
        <v>*</v>
      </c>
      <c r="Q25" s="115">
        <v>30</v>
      </c>
      <c r="R25" s="116" t="str">
        <v>-</v>
      </c>
      <c r="S25" s="116" t="str">
        <v>M31</v>
      </c>
      <c r="T25" s="117">
        <v>61.338389712225776</v>
      </c>
      <c r="U25" s="118">
        <v>31.346318697154874</v>
      </c>
      <c r="V25" s="65" t="str">
        <v>Andromeda Galaxy</v>
      </c>
      <c r="W25" s="65">
        <v>0.71166666666666667</v>
      </c>
      <c r="X25" s="65">
        <v>41.266666666666666</v>
      </c>
      <c r="Y25" s="65">
        <v>274.44095099984514</v>
      </c>
    </row>
    <row r="26" spans="2:25" ht="17" customHeight="1">
      <c r="E26" s="108" t="str">
        <f t="shared" si="2"/>
        <v>*</v>
      </c>
      <c r="F26" s="55">
        <f t="shared" si="4"/>
        <v>19</v>
      </c>
      <c r="G26" s="109" t="s">
        <v>782</v>
      </c>
      <c r="H26" s="46" t="s">
        <v>653</v>
      </c>
      <c r="I26" s="110">
        <f t="shared" si="3"/>
        <v>217.24134529899467</v>
      </c>
      <c r="J26" s="110">
        <f t="shared" si="0"/>
        <v>32.33287121555086</v>
      </c>
      <c r="K26" s="48"/>
      <c r="L26" s="61">
        <v>16.951666666666668</v>
      </c>
      <c r="M26" s="62">
        <v>-4.0999999999999996</v>
      </c>
      <c r="N26" s="110">
        <f t="shared" si="1"/>
        <v>30.84095099984512</v>
      </c>
      <c r="P26" s="65" t="str">
        <v>*</v>
      </c>
      <c r="Q26" s="115">
        <v>31</v>
      </c>
      <c r="R26" s="116" t="str">
        <v>-</v>
      </c>
      <c r="S26" s="116" t="str">
        <v>M32</v>
      </c>
      <c r="T26" s="117">
        <v>61.712144041335272</v>
      </c>
      <c r="U26" s="118">
        <v>31.105796071194629</v>
      </c>
      <c r="V26" s="65" t="str">
        <v>"Le Gentil" (Satellite of M31)</v>
      </c>
      <c r="W26" s="65">
        <v>0.71166666666666667</v>
      </c>
      <c r="X26" s="65">
        <v>40.866666666666667</v>
      </c>
      <c r="Y26" s="65">
        <v>274.44095099984514</v>
      </c>
    </row>
    <row r="27" spans="2:25" ht="17" customHeight="1">
      <c r="B27" s="223" t="s">
        <v>802</v>
      </c>
      <c r="C27" s="223"/>
      <c r="D27" s="223"/>
      <c r="E27" s="108" t="str">
        <f t="shared" si="2"/>
        <v>*</v>
      </c>
      <c r="F27" s="55">
        <f t="shared" si="4"/>
        <v>20</v>
      </c>
      <c r="G27" s="109" t="s">
        <v>782</v>
      </c>
      <c r="H27" s="46" t="s">
        <v>656</v>
      </c>
      <c r="I27" s="110">
        <f t="shared" si="3"/>
        <v>182.91232813228234</v>
      </c>
      <c r="J27" s="110">
        <f t="shared" si="0"/>
        <v>36.953261291272369</v>
      </c>
      <c r="K27" s="59" t="s">
        <v>707</v>
      </c>
      <c r="L27" s="61">
        <v>18.851666666666667</v>
      </c>
      <c r="M27" s="62">
        <v>-6.2666666666666666</v>
      </c>
      <c r="N27" s="110">
        <f t="shared" si="1"/>
        <v>2.3409509998451767</v>
      </c>
      <c r="P27" s="65" t="str">
        <v>*</v>
      </c>
      <c r="Q27" s="115">
        <v>38</v>
      </c>
      <c r="R27" s="116" t="str">
        <v>-</v>
      </c>
      <c r="S27" s="116" t="str">
        <v>M56</v>
      </c>
      <c r="T27" s="117">
        <v>167.88890654636646</v>
      </c>
      <c r="U27" s="118">
        <v>73.151426513431247</v>
      </c>
      <c r="V27" s="65">
        <v>0</v>
      </c>
      <c r="W27" s="65">
        <v>19.276666666666667</v>
      </c>
      <c r="X27" s="65">
        <v>30.183333333333334</v>
      </c>
      <c r="Y27" s="65">
        <v>-4.0340490001548233</v>
      </c>
    </row>
    <row r="28" spans="2:25" ht="17" customHeight="1">
      <c r="B28" s="146" t="s">
        <v>5</v>
      </c>
      <c r="C28" s="147" t="s">
        <v>803</v>
      </c>
      <c r="D28" s="148" t="s">
        <v>804</v>
      </c>
      <c r="E28" s="108" t="str">
        <f t="shared" si="2"/>
        <v>*</v>
      </c>
      <c r="F28" s="55">
        <f t="shared" si="4"/>
        <v>21</v>
      </c>
      <c r="G28" s="109" t="s">
        <v>782</v>
      </c>
      <c r="H28" s="46" t="s">
        <v>654</v>
      </c>
      <c r="I28" s="110">
        <f t="shared" si="3"/>
        <v>220.99791351052627</v>
      </c>
      <c r="J28" s="110">
        <f t="shared" si="0"/>
        <v>33.20101675712322</v>
      </c>
      <c r="K28" s="59" t="s">
        <v>708</v>
      </c>
      <c r="L28" s="61">
        <v>16.786666666666665</v>
      </c>
      <c r="M28" s="62">
        <v>-1.95</v>
      </c>
      <c r="N28" s="110">
        <f t="shared" si="1"/>
        <v>33.315950999845171</v>
      </c>
      <c r="P28" s="65" t="str">
        <v>*</v>
      </c>
      <c r="Q28" s="115">
        <v>39</v>
      </c>
      <c r="R28" s="116" t="str">
        <v>-</v>
      </c>
      <c r="S28" s="116" t="str">
        <v>M57</v>
      </c>
      <c r="T28" s="117">
        <v>186.05495871233529</v>
      </c>
      <c r="U28" s="118">
        <v>76.231868803303044</v>
      </c>
      <c r="V28" s="65" t="str">
        <v>Ring Nebula</v>
      </c>
      <c r="W28" s="65">
        <v>18.893333333333334</v>
      </c>
      <c r="X28" s="65">
        <v>33.033333333333331</v>
      </c>
      <c r="Y28" s="65">
        <v>1.7159509998451199</v>
      </c>
    </row>
    <row r="29" spans="2:25" ht="17" customHeight="1">
      <c r="B29" s="149" t="s">
        <v>6</v>
      </c>
      <c r="C29" s="197">
        <v>46.7393</v>
      </c>
      <c r="D29" s="197">
        <v>7.7262000000000004</v>
      </c>
      <c r="E29" s="108" t="str">
        <f t="shared" si="2"/>
        <v>*</v>
      </c>
      <c r="F29" s="55">
        <f t="shared" si="4"/>
        <v>22</v>
      </c>
      <c r="G29" s="109" t="s">
        <v>782</v>
      </c>
      <c r="H29" s="46" t="s">
        <v>641</v>
      </c>
      <c r="I29" s="110">
        <f t="shared" si="3"/>
        <v>260.789078688659</v>
      </c>
      <c r="J29" s="110">
        <f t="shared" si="0"/>
        <v>62.374482003882704</v>
      </c>
      <c r="K29" s="59" t="s">
        <v>709</v>
      </c>
      <c r="L29" s="61">
        <v>16.695</v>
      </c>
      <c r="M29" s="62">
        <v>36.466666666666669</v>
      </c>
      <c r="N29" s="110">
        <f t="shared" si="1"/>
        <v>34.690950999845143</v>
      </c>
      <c r="P29" s="65" t="str">
        <v>*</v>
      </c>
      <c r="Q29" s="115">
        <v>45</v>
      </c>
      <c r="R29" s="116" t="str">
        <v>-</v>
      </c>
      <c r="S29" s="116" t="str">
        <v>M76</v>
      </c>
      <c r="T29" s="117">
        <v>44.639887392756151</v>
      </c>
      <c r="U29" s="118">
        <v>29.546098431956835</v>
      </c>
      <c r="V29" s="65" t="str">
        <v>Little Dumbbell, Cork, Butterfly Nebula</v>
      </c>
      <c r="W29" s="65">
        <v>1.7050000000000001</v>
      </c>
      <c r="X29" s="65">
        <v>51.56666666666667</v>
      </c>
      <c r="Y29" s="65">
        <v>259.54095099984517</v>
      </c>
    </row>
    <row r="30" spans="2:25" ht="17" customHeight="1">
      <c r="B30" s="149"/>
      <c r="C30" s="197"/>
      <c r="D30" s="197"/>
      <c r="E30" s="108" t="str">
        <f t="shared" si="2"/>
        <v>*</v>
      </c>
      <c r="F30" s="55">
        <f t="shared" si="4"/>
        <v>23</v>
      </c>
      <c r="G30" s="109" t="s">
        <v>782</v>
      </c>
      <c r="H30" s="46" t="s">
        <v>671</v>
      </c>
      <c r="I30" s="110">
        <f t="shared" si="3"/>
        <v>125.36322319401697</v>
      </c>
      <c r="J30" s="110">
        <f t="shared" si="0"/>
        <v>43.298067164034265</v>
      </c>
      <c r="K30" s="59" t="s">
        <v>710</v>
      </c>
      <c r="L30" s="61">
        <v>21.5</v>
      </c>
      <c r="M30" s="62">
        <v>12.166666666666666</v>
      </c>
      <c r="N30" s="110">
        <f t="shared" si="1"/>
        <v>-37.384049000154846</v>
      </c>
      <c r="P30" s="65" t="str">
        <v>*</v>
      </c>
      <c r="Q30" s="115">
        <v>53</v>
      </c>
      <c r="R30" s="116" t="str">
        <v>-</v>
      </c>
      <c r="S30" s="116" t="str">
        <v>M92</v>
      </c>
      <c r="T30" s="117">
        <v>268.2436254416458</v>
      </c>
      <c r="U30" s="118">
        <v>71.44376383452294</v>
      </c>
      <c r="V30" s="65">
        <v>0</v>
      </c>
      <c r="W30" s="65">
        <v>17.285</v>
      </c>
      <c r="X30" s="65">
        <v>43.133333333333333</v>
      </c>
      <c r="Y30" s="65">
        <v>25.840950999845177</v>
      </c>
    </row>
    <row r="31" spans="2:25" ht="17" customHeight="1">
      <c r="B31" s="149"/>
      <c r="C31" s="197"/>
      <c r="D31" s="197"/>
      <c r="E31" s="108" t="str">
        <f t="shared" si="2"/>
        <v>*</v>
      </c>
      <c r="F31" s="55">
        <f t="shared" si="4"/>
        <v>24</v>
      </c>
      <c r="G31" s="109" t="s">
        <v>782</v>
      </c>
      <c r="H31" s="46" t="s">
        <v>659</v>
      </c>
      <c r="I31" s="110">
        <f t="shared" si="3"/>
        <v>191.55396360716583</v>
      </c>
      <c r="J31" s="110">
        <f t="shared" si="0"/>
        <v>28.758031627214489</v>
      </c>
      <c r="K31" s="59" t="s">
        <v>711</v>
      </c>
      <c r="L31" s="61">
        <v>18.313333333333333</v>
      </c>
      <c r="M31" s="62">
        <v>-13.783333333333333</v>
      </c>
      <c r="N31" s="110">
        <f t="shared" si="1"/>
        <v>10.415950999845165</v>
      </c>
      <c r="P31" s="65" t="str">
        <v>*</v>
      </c>
      <c r="Q31" s="115">
        <v>57</v>
      </c>
      <c r="R31" s="116" t="str">
        <v>-</v>
      </c>
      <c r="S31" s="116" t="str">
        <v>M103</v>
      </c>
      <c r="T31" s="117">
        <v>36.76310675194442</v>
      </c>
      <c r="U31" s="118">
        <v>35.968149099876065</v>
      </c>
      <c r="V31" s="65">
        <v>0</v>
      </c>
      <c r="W31" s="65">
        <v>1.5533333333333332</v>
      </c>
      <c r="X31" s="65">
        <v>60.7</v>
      </c>
      <c r="Y31" s="65">
        <v>261.81595099984514</v>
      </c>
    </row>
    <row r="32" spans="2:25" ht="17" customHeight="1">
      <c r="B32" s="149"/>
      <c r="C32" s="197"/>
      <c r="D32" s="197"/>
      <c r="E32" s="108" t="str">
        <f t="shared" si="2"/>
        <v>*</v>
      </c>
      <c r="F32" s="55">
        <f t="shared" si="4"/>
        <v>25</v>
      </c>
      <c r="G32" s="109" t="s">
        <v>782</v>
      </c>
      <c r="H32" s="46" t="s">
        <v>660</v>
      </c>
      <c r="I32" s="110">
        <f t="shared" si="3"/>
        <v>190.64419080035111</v>
      </c>
      <c r="J32" s="110">
        <f t="shared" si="0"/>
        <v>26.446450194474057</v>
      </c>
      <c r="K32" s="59" t="s">
        <v>712</v>
      </c>
      <c r="L32" s="61">
        <v>18.346666666666668</v>
      </c>
      <c r="M32" s="62">
        <v>-16.183333333333334</v>
      </c>
      <c r="N32" s="110">
        <f t="shared" si="1"/>
        <v>9.9159509998451654</v>
      </c>
      <c r="P32" s="65" t="str">
        <v>*</v>
      </c>
      <c r="Q32" s="115">
        <v>62</v>
      </c>
      <c r="R32" s="116" t="str">
        <v>-</v>
      </c>
      <c r="S32" s="116" t="str">
        <v>M110</v>
      </c>
      <c r="T32" s="117">
        <v>61.247828051604465</v>
      </c>
      <c r="U32" s="118">
        <v>31.940680496070925</v>
      </c>
      <c r="V32" s="65" t="str">
        <v>Edward Young Star (Satellite of M31)</v>
      </c>
      <c r="W32" s="65">
        <v>0.67333333333333334</v>
      </c>
      <c r="X32" s="65">
        <v>41.68333333333333</v>
      </c>
      <c r="Y32" s="65">
        <v>275.01595099984513</v>
      </c>
    </row>
    <row r="33" spans="2:25" ht="17" customHeight="1">
      <c r="B33" s="149"/>
      <c r="C33" s="197"/>
      <c r="D33" s="197"/>
      <c r="E33" s="108" t="str">
        <f t="shared" si="2"/>
        <v>*</v>
      </c>
      <c r="F33" s="55">
        <f t="shared" si="4"/>
        <v>26</v>
      </c>
      <c r="G33" s="109" t="s">
        <v>782</v>
      </c>
      <c r="H33" s="46" t="s">
        <v>661</v>
      </c>
      <c r="I33" s="110">
        <f t="shared" si="3"/>
        <v>194.14444584535696</v>
      </c>
      <c r="J33" s="110">
        <f t="shared" si="0"/>
        <v>18.998575130202298</v>
      </c>
      <c r="K33" s="59" t="s">
        <v>713</v>
      </c>
      <c r="L33" s="61">
        <v>18.038333333333334</v>
      </c>
      <c r="M33" s="62">
        <v>-23.033333333333335</v>
      </c>
      <c r="N33" s="110">
        <f t="shared" si="1"/>
        <v>14.540950999845165</v>
      </c>
      <c r="P33" s="65" t="str">
        <v>*</v>
      </c>
      <c r="Q33" s="115">
        <v>63</v>
      </c>
      <c r="R33" s="116" t="str">
        <v>-</v>
      </c>
      <c r="S33" s="116" t="str">
        <v>NGC 246</v>
      </c>
      <c r="T33" s="117">
        <v>148.65716684119377</v>
      </c>
      <c r="U33" s="118">
        <v>52.4710667059421</v>
      </c>
      <c r="V33" s="65" t="str">
        <v>Faint Ring Nebula</v>
      </c>
      <c r="W33" s="65">
        <v>20.271666666666668</v>
      </c>
      <c r="X33" s="65">
        <v>12.766666666666667</v>
      </c>
      <c r="Y33" s="65">
        <v>-18.959049000154835</v>
      </c>
    </row>
    <row r="34" spans="2:25" ht="17" customHeight="1">
      <c r="E34" s="108" t="str">
        <f t="shared" si="2"/>
        <v>*</v>
      </c>
      <c r="F34" s="55">
        <f t="shared" si="4"/>
        <v>27</v>
      </c>
      <c r="G34" s="109" t="s">
        <v>782</v>
      </c>
      <c r="H34" s="46" t="s">
        <v>663</v>
      </c>
      <c r="I34" s="110">
        <f t="shared" si="3"/>
        <v>185.8216601912728</v>
      </c>
      <c r="J34" s="110">
        <f t="shared" si="0"/>
        <v>19.15127925733373</v>
      </c>
      <c r="K34" s="59" t="s">
        <v>714</v>
      </c>
      <c r="L34" s="61">
        <v>18.606666666666666</v>
      </c>
      <c r="M34" s="62">
        <v>-23.9</v>
      </c>
      <c r="N34" s="110">
        <f t="shared" si="1"/>
        <v>6.0159509998451881</v>
      </c>
      <c r="P34" s="65" t="str">
        <v>*</v>
      </c>
      <c r="Q34" s="115">
        <v>65</v>
      </c>
      <c r="R34" s="116" t="str">
        <v>-</v>
      </c>
      <c r="S34" s="116" t="str">
        <v>NGC 404</v>
      </c>
      <c r="T34" s="117">
        <v>62.424071829296558</v>
      </c>
      <c r="U34" s="118">
        <v>23.765343590648456</v>
      </c>
      <c r="V34" s="65">
        <v>0</v>
      </c>
      <c r="W34" s="65">
        <v>1.1599999999999999</v>
      </c>
      <c r="X34" s="65">
        <v>35.72</v>
      </c>
      <c r="Y34" s="65">
        <v>267.71595099984518</v>
      </c>
    </row>
    <row r="35" spans="2:25" ht="17" customHeight="1">
      <c r="E35" s="108" t="str">
        <f t="shared" si="2"/>
        <v>*</v>
      </c>
      <c r="F35" s="55">
        <f t="shared" si="4"/>
        <v>28</v>
      </c>
      <c r="G35" s="109" t="s">
        <v>782</v>
      </c>
      <c r="H35" s="46" t="s">
        <v>657</v>
      </c>
      <c r="I35" s="110">
        <f t="shared" si="3"/>
        <v>148.54984909834215</v>
      </c>
      <c r="J35" s="110">
        <f t="shared" si="0"/>
        <v>63.183616540827536</v>
      </c>
      <c r="K35" s="59" t="s">
        <v>715</v>
      </c>
      <c r="L35" s="61">
        <v>19.993333333333332</v>
      </c>
      <c r="M35" s="62">
        <v>22.716666666666665</v>
      </c>
      <c r="N35" s="110">
        <f t="shared" si="1"/>
        <v>-14.784049000154823</v>
      </c>
      <c r="P35" s="65" t="str">
        <v>*</v>
      </c>
      <c r="Q35" s="115">
        <v>66</v>
      </c>
      <c r="R35" s="116" t="str">
        <v>-</v>
      </c>
      <c r="S35" s="116" t="str">
        <v>NGC 869</v>
      </c>
      <c r="T35" s="117">
        <v>35.708255643124701</v>
      </c>
      <c r="U35" s="118">
        <v>29.169696655799072</v>
      </c>
      <c r="V35" s="65">
        <v>0</v>
      </c>
      <c r="W35" s="65">
        <v>2.3199999999999998</v>
      </c>
      <c r="X35" s="65">
        <v>57.23</v>
      </c>
      <c r="Y35" s="65">
        <v>250.31595099984514</v>
      </c>
    </row>
    <row r="36" spans="2:25" ht="17" customHeight="1">
      <c r="B36" s="215" t="str">
        <f>CONCATENATE("Moon's illuminated fraction: ",TEXT(Illumination!C8*100,"0.00"),"%")</f>
        <v>Moon's illuminated fraction: 37.32%</v>
      </c>
      <c r="C36" s="216"/>
      <c r="D36" s="217"/>
      <c r="E36" s="108" t="str">
        <f t="shared" si="2"/>
        <v/>
      </c>
      <c r="F36" s="55">
        <f t="shared" si="4"/>
        <v>29</v>
      </c>
      <c r="G36" s="109" t="s">
        <v>782</v>
      </c>
      <c r="H36" s="46" t="s">
        <v>674</v>
      </c>
      <c r="I36" s="110">
        <f t="shared" si="3"/>
        <v>142.96004845861577</v>
      </c>
      <c r="J36" s="110">
        <f t="shared" si="0"/>
        <v>11.303978257488561</v>
      </c>
      <c r="K36" s="59" t="s">
        <v>716</v>
      </c>
      <c r="L36" s="61">
        <v>21.673333333333332</v>
      </c>
      <c r="M36" s="62">
        <v>-23.183333333333334</v>
      </c>
      <c r="N36" s="110">
        <f t="shared" si="1"/>
        <v>-39.984049000154812</v>
      </c>
      <c r="P36" s="65" t="str">
        <v>*</v>
      </c>
      <c r="Q36" s="115">
        <v>67</v>
      </c>
      <c r="R36" s="116" t="str">
        <v>-</v>
      </c>
      <c r="S36" s="116" t="str">
        <v>NGC 884</v>
      </c>
      <c r="T36" s="117">
        <v>35.394064952296979</v>
      </c>
      <c r="U36" s="118">
        <v>28.870847252295523</v>
      </c>
      <c r="V36" s="65">
        <v>0</v>
      </c>
      <c r="W36" s="65">
        <v>2.37</v>
      </c>
      <c r="X36" s="65">
        <v>57.23</v>
      </c>
      <c r="Y36" s="65">
        <v>249.56595099984514</v>
      </c>
    </row>
    <row r="37" spans="2:25" ht="17" customHeight="1">
      <c r="E37" s="108" t="str">
        <f t="shared" si="2"/>
        <v>*</v>
      </c>
      <c r="F37" s="55">
        <f t="shared" si="4"/>
        <v>30</v>
      </c>
      <c r="G37" s="109" t="s">
        <v>782</v>
      </c>
      <c r="H37" s="46" t="s">
        <v>38</v>
      </c>
      <c r="I37" s="110">
        <f t="shared" si="3"/>
        <v>61.338389712225776</v>
      </c>
      <c r="J37" s="110">
        <f t="shared" si="0"/>
        <v>31.346318697154874</v>
      </c>
      <c r="K37" s="59" t="s">
        <v>717</v>
      </c>
      <c r="L37" s="61">
        <v>0.71166666666666667</v>
      </c>
      <c r="M37" s="62">
        <v>41.266666666666666</v>
      </c>
      <c r="N37" s="110">
        <f t="shared" si="1"/>
        <v>274.44095099984514</v>
      </c>
      <c r="P37" s="65" t="str">
        <v>*</v>
      </c>
      <c r="Q37" s="115">
        <v>68</v>
      </c>
      <c r="R37" s="116" t="str">
        <v>-</v>
      </c>
      <c r="S37" s="116" t="str">
        <v>NGC 891</v>
      </c>
      <c r="T37" s="117">
        <v>46.747602475112394</v>
      </c>
      <c r="U37" s="118">
        <v>18.211015438564534</v>
      </c>
      <c r="V37" s="65">
        <v>0</v>
      </c>
      <c r="W37" s="65">
        <v>2.38</v>
      </c>
      <c r="X37" s="65">
        <v>42.35</v>
      </c>
      <c r="Y37" s="65">
        <v>249.41595099984517</v>
      </c>
    </row>
    <row r="38" spans="2:25" ht="17" customHeight="1">
      <c r="E38" s="108" t="str">
        <f t="shared" si="2"/>
        <v>*</v>
      </c>
      <c r="F38" s="55">
        <f t="shared" si="4"/>
        <v>31</v>
      </c>
      <c r="G38" s="109" t="s">
        <v>782</v>
      </c>
      <c r="H38" s="46" t="s">
        <v>677</v>
      </c>
      <c r="I38" s="110">
        <f t="shared" si="3"/>
        <v>61.712144041335272</v>
      </c>
      <c r="J38" s="110">
        <f t="shared" si="0"/>
        <v>31.105796071194629</v>
      </c>
      <c r="K38" s="59" t="s">
        <v>718</v>
      </c>
      <c r="L38" s="61">
        <v>0.71166666666666667</v>
      </c>
      <c r="M38" s="62">
        <v>40.866666666666667</v>
      </c>
      <c r="N38" s="110">
        <f t="shared" si="1"/>
        <v>274.44095099984514</v>
      </c>
      <c r="P38" s="65" t="str">
        <v>*</v>
      </c>
      <c r="Q38" s="115">
        <v>85</v>
      </c>
      <c r="R38" s="116" t="str">
        <v>-</v>
      </c>
      <c r="S38" s="116" t="str">
        <v>NGC 6207</v>
      </c>
      <c r="T38" s="117">
        <v>261.1039477203467</v>
      </c>
      <c r="U38" s="118">
        <v>62.823408188562631</v>
      </c>
      <c r="V38" s="65">
        <v>0</v>
      </c>
      <c r="W38" s="65">
        <v>16.72</v>
      </c>
      <c r="X38" s="65">
        <v>36.83</v>
      </c>
      <c r="Y38" s="65">
        <v>34.315950999845171</v>
      </c>
    </row>
    <row r="39" spans="2:25" ht="17" customHeight="1">
      <c r="E39" s="108" t="str">
        <f t="shared" si="2"/>
        <v/>
      </c>
      <c r="F39" s="55">
        <f t="shared" si="4"/>
        <v>32</v>
      </c>
      <c r="G39" s="109" t="s">
        <v>782</v>
      </c>
      <c r="H39" s="46" t="s">
        <v>39</v>
      </c>
      <c r="I39" s="110">
        <f t="shared" si="3"/>
        <v>69.793543764402557</v>
      </c>
      <c r="J39" s="110">
        <f t="shared" si="0"/>
        <v>9.4155117994711244</v>
      </c>
      <c r="K39" s="59" t="s">
        <v>719</v>
      </c>
      <c r="L39" s="61">
        <v>1.5649999999999999</v>
      </c>
      <c r="M39" s="62">
        <v>20.65</v>
      </c>
      <c r="N39" s="110">
        <f t="shared" si="1"/>
        <v>261.64095099984513</v>
      </c>
      <c r="P39" s="65" t="str">
        <v>*</v>
      </c>
      <c r="Q39" s="115">
        <v>86</v>
      </c>
      <c r="R39" s="116" t="str">
        <v>-</v>
      </c>
      <c r="S39" s="116" t="str">
        <v>NGC 6210</v>
      </c>
      <c r="T39" s="117">
        <v>144.09778164169748</v>
      </c>
      <c r="U39" s="118">
        <v>55.716936288614995</v>
      </c>
      <c r="V39" s="65" t="str">
        <v>Turtle Nebula</v>
      </c>
      <c r="W39" s="65">
        <v>20.353333333333332</v>
      </c>
      <c r="X39" s="65">
        <v>16.8</v>
      </c>
      <c r="Y39" s="65">
        <v>-20.184049000154801</v>
      </c>
    </row>
    <row r="40" spans="2:25" ht="17" customHeight="1">
      <c r="E40" s="108" t="str">
        <f t="shared" si="2"/>
        <v/>
      </c>
      <c r="F40" s="55">
        <f t="shared" si="4"/>
        <v>33</v>
      </c>
      <c r="G40" s="109" t="s">
        <v>782</v>
      </c>
      <c r="H40" s="46" t="s">
        <v>50</v>
      </c>
      <c r="I40" s="110">
        <f t="shared" si="3"/>
        <v>14.472390018936782</v>
      </c>
      <c r="J40" s="110">
        <f t="shared" ref="J40:J71" si="5">ASIN(SIN($N$105*M40)*SIN($N$105*$C$13)+COS($N$105*M40)*COS($N$105*$C$13)*COS($N$105*N40))/$N$105</f>
        <v>-9.2394958539484335</v>
      </c>
      <c r="K40" s="59" t="s">
        <v>720</v>
      </c>
      <c r="L40" s="61">
        <v>5.8733333333333331</v>
      </c>
      <c r="M40" s="62">
        <v>32.549999999999997</v>
      </c>
      <c r="N40" s="110">
        <f t="shared" si="1"/>
        <v>197.01595099984516</v>
      </c>
      <c r="P40" s="65" t="str">
        <v>*</v>
      </c>
      <c r="Q40" s="115">
        <v>87</v>
      </c>
      <c r="R40" s="116" t="str">
        <v>-</v>
      </c>
      <c r="S40" s="116" t="str">
        <v>NGC 6309</v>
      </c>
      <c r="T40" s="117">
        <v>188.45472867028113</v>
      </c>
      <c r="U40" s="118">
        <v>19.622669514995454</v>
      </c>
      <c r="V40" s="65" t="str">
        <v>Box, Fetus Nebula</v>
      </c>
      <c r="W40" s="65">
        <v>18.43</v>
      </c>
      <c r="X40" s="65">
        <v>-23.2</v>
      </c>
      <c r="Y40" s="65">
        <v>8.6659509998451654</v>
      </c>
    </row>
    <row r="41" spans="2:25" ht="17" customHeight="1">
      <c r="E41" s="108" t="str">
        <f t="shared" si="2"/>
        <v/>
      </c>
      <c r="F41" s="55">
        <f t="shared" si="4"/>
        <v>34</v>
      </c>
      <c r="G41" s="109" t="s">
        <v>782</v>
      </c>
      <c r="H41" s="46" t="s">
        <v>40</v>
      </c>
      <c r="I41" s="110">
        <f t="shared" si="3"/>
        <v>30.600754646207029</v>
      </c>
      <c r="J41" s="110">
        <f t="shared" si="5"/>
        <v>-44.824119773726942</v>
      </c>
      <c r="K41" s="59" t="s">
        <v>721</v>
      </c>
      <c r="L41" s="61">
        <v>5.59</v>
      </c>
      <c r="M41" s="62">
        <v>-5.45</v>
      </c>
      <c r="N41" s="110">
        <f t="shared" si="1"/>
        <v>201.26595099984516</v>
      </c>
      <c r="P41" s="65" t="str">
        <v>*</v>
      </c>
      <c r="Q41" s="115">
        <v>89</v>
      </c>
      <c r="R41" s="116" t="str">
        <v>-</v>
      </c>
      <c r="S41" s="116" t="str">
        <v>NGC 6543</v>
      </c>
      <c r="T41" s="117">
        <v>56.243996531522917</v>
      </c>
      <c r="U41" s="118">
        <v>69.511351508637787</v>
      </c>
      <c r="V41" s="65" t="str">
        <v>Cat's Eye Nebula</v>
      </c>
      <c r="W41" s="65">
        <v>21.02</v>
      </c>
      <c r="X41" s="65">
        <v>54.633333333333333</v>
      </c>
      <c r="Y41" s="65">
        <v>-30.184049000154857</v>
      </c>
    </row>
    <row r="42" spans="2:25" ht="17" customHeight="1">
      <c r="E42" s="108" t="str">
        <f t="shared" si="2"/>
        <v/>
      </c>
      <c r="F42" s="55">
        <f t="shared" si="4"/>
        <v>35</v>
      </c>
      <c r="G42" s="109" t="s">
        <v>782</v>
      </c>
      <c r="H42" s="46" t="s">
        <v>590</v>
      </c>
      <c r="I42" s="110">
        <f t="shared" si="3"/>
        <v>281.04555377989954</v>
      </c>
      <c r="J42" s="110">
        <f t="shared" si="5"/>
        <v>0.62005867053810471</v>
      </c>
      <c r="K42" s="59" t="s">
        <v>722</v>
      </c>
      <c r="L42" s="61">
        <v>12.496666666666666</v>
      </c>
      <c r="M42" s="62">
        <v>8</v>
      </c>
      <c r="N42" s="110">
        <f t="shared" si="1"/>
        <v>97.665950999845137</v>
      </c>
      <c r="P42" s="65" t="str">
        <v>*</v>
      </c>
      <c r="Q42" s="115">
        <v>92</v>
      </c>
      <c r="R42" s="116" t="str">
        <v>-</v>
      </c>
      <c r="S42" s="116" t="str">
        <v>NGC 6992</v>
      </c>
      <c r="T42" s="117">
        <v>113.21180353384426</v>
      </c>
      <c r="U42" s="118">
        <v>63.11613355630341</v>
      </c>
      <c r="V42" s="65" t="str">
        <v>Eastern Viel Nebula</v>
      </c>
      <c r="W42" s="65">
        <v>20.96</v>
      </c>
      <c r="X42" s="65">
        <v>31.83</v>
      </c>
      <c r="Y42" s="65">
        <v>-29.28404900015488</v>
      </c>
    </row>
    <row r="43" spans="2:25" ht="17" customHeight="1">
      <c r="E43" s="108" t="str">
        <f t="shared" si="2"/>
        <v/>
      </c>
      <c r="F43" s="55">
        <f t="shared" si="4"/>
        <v>36</v>
      </c>
      <c r="G43" s="109" t="s">
        <v>782</v>
      </c>
      <c r="H43" s="46" t="s">
        <v>629</v>
      </c>
      <c r="I43" s="110">
        <f t="shared" si="3"/>
        <v>358.91057172193189</v>
      </c>
      <c r="J43" s="110">
        <f t="shared" si="5"/>
        <v>-51.589576501004615</v>
      </c>
      <c r="K43" s="59" t="s">
        <v>723</v>
      </c>
      <c r="L43" s="61">
        <v>7.0533333333333337</v>
      </c>
      <c r="M43" s="62">
        <v>-8.3333333333333339</v>
      </c>
      <c r="N43" s="110">
        <f t="shared" si="1"/>
        <v>179.31595099984514</v>
      </c>
      <c r="P43" s="65" t="str">
        <v>*</v>
      </c>
      <c r="Q43" s="115">
        <v>94</v>
      </c>
      <c r="R43" s="116" t="str">
        <v>-</v>
      </c>
      <c r="S43" s="116" t="str">
        <v>NGC 7331</v>
      </c>
      <c r="T43" s="117">
        <v>86.933352314792174</v>
      </c>
      <c r="U43" s="118">
        <v>47.941838321949675</v>
      </c>
      <c r="V43" s="65" t="str">
        <v>Caldwell 30</v>
      </c>
      <c r="W43" s="65">
        <v>22.62</v>
      </c>
      <c r="X43" s="65">
        <v>34.42</v>
      </c>
      <c r="Y43" s="65">
        <v>-54.184049000154857</v>
      </c>
    </row>
    <row r="44" spans="2:25" ht="17" customHeight="1">
      <c r="E44" s="108" t="str">
        <f t="shared" si="2"/>
        <v/>
      </c>
      <c r="F44" s="55">
        <f t="shared" si="4"/>
        <v>37</v>
      </c>
      <c r="G44" s="109" t="s">
        <v>782</v>
      </c>
      <c r="H44" s="46" t="s">
        <v>678</v>
      </c>
      <c r="I44" s="110">
        <f t="shared" si="3"/>
        <v>303.11121883252275</v>
      </c>
      <c r="J44" s="110">
        <f t="shared" si="5"/>
        <v>36.439611191564843</v>
      </c>
      <c r="K44" s="59" t="s">
        <v>724</v>
      </c>
      <c r="L44" s="61">
        <v>13.498333333333333</v>
      </c>
      <c r="M44" s="62">
        <v>47.2</v>
      </c>
      <c r="N44" s="110">
        <f t="shared" si="1"/>
        <v>82.64095099984516</v>
      </c>
      <c r="P44" s="65" t="str">
        <v>*</v>
      </c>
      <c r="Q44" s="115">
        <v>95</v>
      </c>
      <c r="R44" s="116" t="str">
        <v>-</v>
      </c>
      <c r="S44" s="116" t="str">
        <v>NGC 7479</v>
      </c>
      <c r="T44" s="117">
        <v>103.88000658025098</v>
      </c>
      <c r="U44" s="118">
        <v>29.32809805737346</v>
      </c>
      <c r="V44" s="65">
        <v>0</v>
      </c>
      <c r="W44" s="65">
        <v>23.01</v>
      </c>
      <c r="X44" s="65">
        <v>12.32</v>
      </c>
      <c r="Y44" s="65">
        <v>-60.03404900015488</v>
      </c>
    </row>
    <row r="45" spans="2:25" ht="17" customHeight="1">
      <c r="E45" s="108" t="str">
        <f t="shared" si="2"/>
        <v>*</v>
      </c>
      <c r="F45" s="55">
        <f t="shared" si="4"/>
        <v>38</v>
      </c>
      <c r="G45" s="109" t="s">
        <v>782</v>
      </c>
      <c r="H45" s="46" t="s">
        <v>664</v>
      </c>
      <c r="I45" s="110">
        <f t="shared" si="3"/>
        <v>167.88890654636646</v>
      </c>
      <c r="J45" s="110">
        <f t="shared" si="5"/>
        <v>73.151426513431247</v>
      </c>
      <c r="K45" s="48"/>
      <c r="L45" s="61">
        <v>19.276666666666667</v>
      </c>
      <c r="M45" s="62">
        <v>30.183333333333334</v>
      </c>
      <c r="N45" s="110">
        <f t="shared" si="1"/>
        <v>-4.0340490001548233</v>
      </c>
      <c r="P45" s="65" t="str">
        <v>*</v>
      </c>
      <c r="Q45" s="115">
        <v>96</v>
      </c>
      <c r="R45" s="116" t="str">
        <v>-</v>
      </c>
      <c r="S45" s="116" t="str">
        <v>NGC 7662</v>
      </c>
      <c r="T45" s="117">
        <v>192.81162121634318</v>
      </c>
      <c r="U45" s="118">
        <v>15.095356114834935</v>
      </c>
      <c r="V45" s="65" t="str">
        <v>Blue Snowball, Babies Foot Nebula</v>
      </c>
      <c r="W45" s="65">
        <v>18.079999999999998</v>
      </c>
      <c r="X45" s="65">
        <v>-27.1</v>
      </c>
      <c r="Y45" s="65">
        <v>13.915950999845165</v>
      </c>
    </row>
    <row r="46" spans="2:25" ht="17" customHeight="1">
      <c r="E46" s="108" t="str">
        <f t="shared" si="2"/>
        <v>*</v>
      </c>
      <c r="F46" s="55">
        <f t="shared" si="4"/>
        <v>39</v>
      </c>
      <c r="G46" s="109" t="s">
        <v>782</v>
      </c>
      <c r="H46" s="46" t="s">
        <v>646</v>
      </c>
      <c r="I46" s="110">
        <f t="shared" si="3"/>
        <v>186.05495871233529</v>
      </c>
      <c r="J46" s="110">
        <f t="shared" si="5"/>
        <v>76.231868803303044</v>
      </c>
      <c r="K46" s="59" t="s">
        <v>725</v>
      </c>
      <c r="L46" s="61">
        <v>18.893333333333334</v>
      </c>
      <c r="M46" s="62">
        <v>33.033333333333331</v>
      </c>
      <c r="N46" s="110">
        <f t="shared" si="1"/>
        <v>1.7159509998451199</v>
      </c>
      <c r="Q46" s="115"/>
      <c r="T46" s="117"/>
      <c r="U46" s="118"/>
    </row>
    <row r="47" spans="2:25" ht="17" customHeight="1">
      <c r="E47" s="108" t="str">
        <f t="shared" si="2"/>
        <v/>
      </c>
      <c r="F47" s="55">
        <f t="shared" si="4"/>
        <v>40</v>
      </c>
      <c r="G47" s="109" t="s">
        <v>782</v>
      </c>
      <c r="H47" s="46" t="s">
        <v>630</v>
      </c>
      <c r="I47" s="110">
        <f t="shared" si="3"/>
        <v>299.69903211320315</v>
      </c>
      <c r="J47" s="110">
        <f t="shared" si="5"/>
        <v>31.442411622379076</v>
      </c>
      <c r="K47" s="59" t="s">
        <v>726</v>
      </c>
      <c r="L47" s="61">
        <v>13.263333333333334</v>
      </c>
      <c r="M47" s="62">
        <v>42.033333333333331</v>
      </c>
      <c r="N47" s="110">
        <f t="shared" si="1"/>
        <v>86.165950999845137</v>
      </c>
      <c r="Q47" s="115"/>
      <c r="T47" s="117"/>
      <c r="U47" s="118"/>
    </row>
    <row r="48" spans="2:25" ht="17" customHeight="1">
      <c r="E48" s="108" t="str">
        <f t="shared" si="2"/>
        <v/>
      </c>
      <c r="F48" s="55">
        <f t="shared" si="4"/>
        <v>41</v>
      </c>
      <c r="G48" s="109" t="s">
        <v>782</v>
      </c>
      <c r="H48" s="46" t="s">
        <v>633</v>
      </c>
      <c r="I48" s="110">
        <f t="shared" si="3"/>
        <v>285.88042700139329</v>
      </c>
      <c r="J48" s="110">
        <f t="shared" si="5"/>
        <v>14.987643448919732</v>
      </c>
      <c r="K48" s="59" t="s">
        <v>727</v>
      </c>
      <c r="L48" s="61">
        <v>12.945</v>
      </c>
      <c r="M48" s="62">
        <v>21.683333333333334</v>
      </c>
      <c r="N48" s="110">
        <f t="shared" si="1"/>
        <v>90.940950999845143</v>
      </c>
      <c r="Q48" s="115"/>
      <c r="T48" s="117"/>
      <c r="U48" s="118"/>
    </row>
    <row r="49" spans="2:21" ht="17" customHeight="1">
      <c r="E49" s="108" t="str">
        <f t="shared" si="2"/>
        <v/>
      </c>
      <c r="F49" s="55">
        <f t="shared" si="4"/>
        <v>42</v>
      </c>
      <c r="G49" s="109" t="s">
        <v>782</v>
      </c>
      <c r="H49" s="46" t="s">
        <v>619</v>
      </c>
      <c r="I49" s="110">
        <f t="shared" si="3"/>
        <v>297.56243180624892</v>
      </c>
      <c r="J49" s="110">
        <f t="shared" si="5"/>
        <v>-6.9717918860666801</v>
      </c>
      <c r="K49" s="59" t="s">
        <v>728</v>
      </c>
      <c r="L49" s="61">
        <v>11.315</v>
      </c>
      <c r="M49" s="62">
        <v>13.083333333333334</v>
      </c>
      <c r="N49" s="110">
        <f t="shared" si="1"/>
        <v>115.39095099984516</v>
      </c>
      <c r="Q49" s="115"/>
      <c r="T49" s="117"/>
      <c r="U49" s="118"/>
    </row>
    <row r="50" spans="2:21" ht="17" customHeight="1">
      <c r="E50" s="108" t="str">
        <f t="shared" si="2"/>
        <v/>
      </c>
      <c r="F50" s="55">
        <f t="shared" si="4"/>
        <v>43</v>
      </c>
      <c r="G50" s="109" t="s">
        <v>782</v>
      </c>
      <c r="H50" s="46" t="s">
        <v>613</v>
      </c>
      <c r="I50" s="110">
        <f t="shared" si="3"/>
        <v>329.68944956376026</v>
      </c>
      <c r="J50" s="110">
        <f t="shared" si="5"/>
        <v>-26.484713114374042</v>
      </c>
      <c r="K50" s="59" t="s">
        <v>729</v>
      </c>
      <c r="L50" s="61">
        <v>8.84</v>
      </c>
      <c r="M50" s="62">
        <v>11.816666666666666</v>
      </c>
      <c r="N50" s="110">
        <f t="shared" si="1"/>
        <v>152.51595099984516</v>
      </c>
      <c r="Q50" s="115"/>
      <c r="T50" s="117"/>
      <c r="U50" s="118"/>
    </row>
    <row r="51" spans="2:21" ht="17" customHeight="1">
      <c r="E51" s="108" t="str">
        <f t="shared" si="2"/>
        <v/>
      </c>
      <c r="F51" s="55">
        <f t="shared" si="4"/>
        <v>44</v>
      </c>
      <c r="G51" s="109" t="s">
        <v>782</v>
      </c>
      <c r="H51" s="46" t="s">
        <v>45</v>
      </c>
      <c r="I51" s="110">
        <f t="shared" si="3"/>
        <v>72.658032802424643</v>
      </c>
      <c r="J51" s="110">
        <f t="shared" si="5"/>
        <v>5.4079022538419057</v>
      </c>
      <c r="K51" s="59" t="s">
        <v>730</v>
      </c>
      <c r="L51" s="61">
        <v>1.6116666666666668</v>
      </c>
      <c r="M51" s="62">
        <v>15.783333333333333</v>
      </c>
      <c r="N51" s="110">
        <f t="shared" si="1"/>
        <v>260.94095099984514</v>
      </c>
      <c r="Q51" s="115"/>
      <c r="T51" s="117"/>
      <c r="U51" s="118"/>
    </row>
    <row r="52" spans="2:21" ht="17" customHeight="1">
      <c r="E52" s="108" t="str">
        <f t="shared" si="2"/>
        <v>*</v>
      </c>
      <c r="F52" s="55">
        <f t="shared" si="4"/>
        <v>45</v>
      </c>
      <c r="G52" s="109" t="s">
        <v>782</v>
      </c>
      <c r="H52" s="46" t="s">
        <v>47</v>
      </c>
      <c r="I52" s="110">
        <f t="shared" si="3"/>
        <v>44.639887392756151</v>
      </c>
      <c r="J52" s="110">
        <f t="shared" si="5"/>
        <v>29.546098431956835</v>
      </c>
      <c r="K52" s="59" t="s">
        <v>731</v>
      </c>
      <c r="L52" s="61">
        <v>1.7050000000000001</v>
      </c>
      <c r="M52" s="62">
        <v>51.56666666666667</v>
      </c>
      <c r="N52" s="110">
        <f t="shared" si="1"/>
        <v>259.54095099984517</v>
      </c>
      <c r="Q52" s="115"/>
      <c r="T52" s="117"/>
      <c r="U52" s="118"/>
    </row>
    <row r="53" spans="2:21" ht="17" customHeight="1">
      <c r="E53" s="108" t="str">
        <f t="shared" si="2"/>
        <v/>
      </c>
      <c r="F53" s="55">
        <f t="shared" si="4"/>
        <v>46</v>
      </c>
      <c r="G53" s="109" t="s">
        <v>782</v>
      </c>
      <c r="H53" s="46" t="s">
        <v>46</v>
      </c>
      <c r="I53" s="110">
        <f t="shared" si="3"/>
        <v>70.786717697835527</v>
      </c>
      <c r="J53" s="110">
        <f t="shared" si="5"/>
        <v>-17.185297847199418</v>
      </c>
      <c r="K53" s="59" t="s">
        <v>732</v>
      </c>
      <c r="L53" s="61">
        <v>2.7116666666666669</v>
      </c>
      <c r="M53" s="62">
        <v>1.6666666666666666E-2</v>
      </c>
      <c r="N53" s="110">
        <f t="shared" si="1"/>
        <v>244.44095099984514</v>
      </c>
      <c r="Q53" s="115"/>
      <c r="T53" s="117"/>
      <c r="U53" s="118"/>
    </row>
    <row r="54" spans="2:21" ht="17" customHeight="1">
      <c r="E54" s="108" t="str">
        <f t="shared" si="2"/>
        <v/>
      </c>
      <c r="F54" s="55">
        <f t="shared" si="4"/>
        <v>47</v>
      </c>
      <c r="G54" s="109" t="s">
        <v>782</v>
      </c>
      <c r="H54" s="46" t="s">
        <v>52</v>
      </c>
      <c r="I54" s="110">
        <f t="shared" si="3"/>
        <v>24.583453948522447</v>
      </c>
      <c r="J54" s="110">
        <f t="shared" si="5"/>
        <v>-40.503328758958141</v>
      </c>
      <c r="K54" s="59" t="s">
        <v>733</v>
      </c>
      <c r="L54" s="61">
        <v>5.7783333333333333</v>
      </c>
      <c r="M54" s="62">
        <v>0.05</v>
      </c>
      <c r="N54" s="110">
        <f t="shared" si="1"/>
        <v>198.44095099984514</v>
      </c>
      <c r="Q54" s="115"/>
      <c r="T54" s="117"/>
      <c r="U54" s="118"/>
    </row>
    <row r="55" spans="2:21" ht="17" customHeight="1">
      <c r="B55" s="199" t="s">
        <v>836</v>
      </c>
      <c r="E55" s="108" t="str">
        <f t="shared" si="2"/>
        <v/>
      </c>
      <c r="F55" s="55">
        <f t="shared" si="4"/>
        <v>48</v>
      </c>
      <c r="G55" s="109" t="s">
        <v>782</v>
      </c>
      <c r="H55" s="46" t="s">
        <v>587</v>
      </c>
      <c r="I55" s="110">
        <f t="shared" si="3"/>
        <v>49.092908269087069</v>
      </c>
      <c r="J55" s="110">
        <f t="shared" si="5"/>
        <v>-60.702238057139958</v>
      </c>
      <c r="K55" s="59" t="s">
        <v>734</v>
      </c>
      <c r="L55" s="61">
        <v>5.4083333333333332</v>
      </c>
      <c r="M55" s="62">
        <v>-24.55</v>
      </c>
      <c r="N55" s="110">
        <f t="shared" si="1"/>
        <v>203.99095099984515</v>
      </c>
      <c r="Q55" s="115"/>
      <c r="T55" s="117"/>
      <c r="U55" s="118"/>
    </row>
    <row r="56" spans="2:21" ht="17" customHeight="1">
      <c r="B56" s="199" t="s">
        <v>837</v>
      </c>
      <c r="E56" s="108" t="str">
        <f t="shared" si="2"/>
        <v/>
      </c>
      <c r="F56" s="55">
        <f t="shared" si="4"/>
        <v>49</v>
      </c>
      <c r="G56" s="109" t="s">
        <v>782</v>
      </c>
      <c r="H56" s="46" t="s">
        <v>655</v>
      </c>
      <c r="I56" s="110">
        <f t="shared" si="3"/>
        <v>217.86964656102722</v>
      </c>
      <c r="J56" s="110">
        <f t="shared" si="5"/>
        <v>11.114731045424042</v>
      </c>
      <c r="K56" s="59" t="s">
        <v>734</v>
      </c>
      <c r="L56" s="61">
        <v>16.283333333333335</v>
      </c>
      <c r="M56" s="62">
        <v>-22.983333333333334</v>
      </c>
      <c r="N56" s="110">
        <f t="shared" si="1"/>
        <v>40.865950999845154</v>
      </c>
      <c r="Q56" s="115"/>
      <c r="T56" s="117"/>
      <c r="U56" s="118"/>
    </row>
    <row r="57" spans="2:21" ht="17" customHeight="1">
      <c r="E57" s="108" t="str">
        <f t="shared" si="2"/>
        <v/>
      </c>
      <c r="F57" s="55">
        <f t="shared" si="4"/>
        <v>50</v>
      </c>
      <c r="G57" s="109" t="s">
        <v>782</v>
      </c>
      <c r="H57" s="46" t="s">
        <v>611</v>
      </c>
      <c r="I57" s="110">
        <f t="shared" si="3"/>
        <v>343.37446985966369</v>
      </c>
      <c r="J57" s="110">
        <f t="shared" si="5"/>
        <v>30.225541625254664</v>
      </c>
      <c r="K57" s="59" t="s">
        <v>735</v>
      </c>
      <c r="L57" s="61">
        <v>9.9266666666666659</v>
      </c>
      <c r="M57" s="62">
        <v>69.066666666666663</v>
      </c>
      <c r="N57" s="110">
        <f t="shared" si="1"/>
        <v>136.21595099984515</v>
      </c>
      <c r="Q57" s="115"/>
      <c r="T57" s="117"/>
      <c r="U57" s="118"/>
    </row>
    <row r="58" spans="2:21" ht="17" customHeight="1">
      <c r="E58" s="108" t="str">
        <f t="shared" si="2"/>
        <v/>
      </c>
      <c r="F58" s="55">
        <f t="shared" si="4"/>
        <v>51</v>
      </c>
      <c r="G58" s="109" t="s">
        <v>782</v>
      </c>
      <c r="H58" s="46" t="s">
        <v>609</v>
      </c>
      <c r="I58" s="110">
        <f t="shared" si="3"/>
        <v>343.7513828163236</v>
      </c>
      <c r="J58" s="110">
        <f t="shared" si="5"/>
        <v>30.750036143920223</v>
      </c>
      <c r="K58" s="59" t="s">
        <v>736</v>
      </c>
      <c r="L58" s="61">
        <v>9.93</v>
      </c>
      <c r="M58" s="62">
        <v>69.683333333333337</v>
      </c>
      <c r="N58" s="110">
        <f t="shared" si="1"/>
        <v>136.16595099984517</v>
      </c>
      <c r="Q58" s="115"/>
      <c r="T58" s="117"/>
      <c r="U58" s="118"/>
    </row>
    <row r="59" spans="2:21" ht="17" customHeight="1">
      <c r="E59" s="108" t="str">
        <f t="shared" si="2"/>
        <v/>
      </c>
      <c r="F59" s="55">
        <f t="shared" si="4"/>
        <v>52</v>
      </c>
      <c r="G59" s="109" t="s">
        <v>782</v>
      </c>
      <c r="H59" s="46" t="s">
        <v>639</v>
      </c>
      <c r="I59" s="110">
        <f t="shared" si="3"/>
        <v>283.86012746175879</v>
      </c>
      <c r="J59" s="110">
        <f t="shared" si="5"/>
        <v>4.0132801889212786</v>
      </c>
      <c r="K59" s="59" t="s">
        <v>737</v>
      </c>
      <c r="L59" s="61">
        <v>12.513333333333334</v>
      </c>
      <c r="M59" s="62">
        <v>12.4</v>
      </c>
      <c r="N59" s="110">
        <f t="shared" si="1"/>
        <v>97.415950999845137</v>
      </c>
      <c r="Q59" s="115"/>
      <c r="T59" s="117"/>
      <c r="U59" s="118"/>
    </row>
    <row r="60" spans="2:21" ht="17" customHeight="1">
      <c r="E60" s="108" t="str">
        <f t="shared" si="2"/>
        <v>*</v>
      </c>
      <c r="F60" s="55">
        <f t="shared" si="4"/>
        <v>53</v>
      </c>
      <c r="G60" s="109" t="s">
        <v>782</v>
      </c>
      <c r="H60" s="46" t="s">
        <v>643</v>
      </c>
      <c r="I60" s="110">
        <f t="shared" si="3"/>
        <v>268.2436254416458</v>
      </c>
      <c r="J60" s="110">
        <f t="shared" si="5"/>
        <v>71.44376383452294</v>
      </c>
      <c r="K60" s="48"/>
      <c r="L60" s="61">
        <v>17.285</v>
      </c>
      <c r="M60" s="62">
        <v>43.133333333333333</v>
      </c>
      <c r="N60" s="110">
        <f t="shared" si="1"/>
        <v>25.840950999845177</v>
      </c>
      <c r="Q60" s="115"/>
      <c r="T60" s="117"/>
      <c r="U60" s="118"/>
    </row>
    <row r="61" spans="2:21" ht="17" customHeight="1">
      <c r="E61" s="108" t="str">
        <f t="shared" si="2"/>
        <v/>
      </c>
      <c r="F61" s="55">
        <f t="shared" si="4"/>
        <v>54</v>
      </c>
      <c r="G61" s="109" t="s">
        <v>782</v>
      </c>
      <c r="H61" s="46" t="s">
        <v>638</v>
      </c>
      <c r="I61" s="110">
        <f t="shared" si="3"/>
        <v>302.17487841054191</v>
      </c>
      <c r="J61" s="110">
        <f t="shared" si="5"/>
        <v>27.216213413097741</v>
      </c>
      <c r="K61" s="59" t="s">
        <v>738</v>
      </c>
      <c r="L61" s="61">
        <v>12.848333333333333</v>
      </c>
      <c r="M61" s="62">
        <v>41.116666666666667</v>
      </c>
      <c r="N61" s="110">
        <f t="shared" si="1"/>
        <v>92.39095099984516</v>
      </c>
      <c r="Q61" s="115"/>
      <c r="T61" s="117"/>
      <c r="U61" s="118"/>
    </row>
    <row r="62" spans="2:21" ht="17" customHeight="1">
      <c r="E62" s="108" t="str">
        <f t="shared" si="2"/>
        <v/>
      </c>
      <c r="F62" s="55">
        <f t="shared" si="4"/>
        <v>55</v>
      </c>
      <c r="G62" s="109" t="s">
        <v>782</v>
      </c>
      <c r="H62" s="46" t="s">
        <v>614</v>
      </c>
      <c r="I62" s="110">
        <f t="shared" si="3"/>
        <v>325.50489794784289</v>
      </c>
      <c r="J62" s="110">
        <f t="shared" si="5"/>
        <v>24.952035513734216</v>
      </c>
      <c r="K62" s="48"/>
      <c r="L62" s="61">
        <v>11.246666666666666</v>
      </c>
      <c r="M62" s="62">
        <v>55.016666666666666</v>
      </c>
      <c r="N62" s="110">
        <f t="shared" si="1"/>
        <v>116.41595099984517</v>
      </c>
      <c r="Q62" s="115"/>
      <c r="T62" s="117"/>
      <c r="U62" s="118"/>
    </row>
    <row r="63" spans="2:21" ht="17" customHeight="1">
      <c r="E63" s="108" t="str">
        <f t="shared" si="2"/>
        <v/>
      </c>
      <c r="F63" s="55">
        <f t="shared" si="4"/>
        <v>56</v>
      </c>
      <c r="G63" s="109" t="s">
        <v>782</v>
      </c>
      <c r="H63" s="46" t="s">
        <v>637</v>
      </c>
      <c r="I63" s="110">
        <f t="shared" si="3"/>
        <v>308.23637013465407</v>
      </c>
      <c r="J63" s="110">
        <f t="shared" si="5"/>
        <v>44.406354820484587</v>
      </c>
      <c r="K63" s="59" t="s">
        <v>739</v>
      </c>
      <c r="L63" s="61">
        <v>14.053333333333333</v>
      </c>
      <c r="M63" s="62">
        <v>54.35</v>
      </c>
      <c r="N63" s="110">
        <f t="shared" si="1"/>
        <v>74.315950999845171</v>
      </c>
      <c r="Q63" s="115"/>
      <c r="T63" s="117"/>
      <c r="U63" s="118"/>
    </row>
    <row r="64" spans="2:21" ht="17" customHeight="1">
      <c r="E64" s="108" t="str">
        <f t="shared" si="2"/>
        <v>*</v>
      </c>
      <c r="F64" s="55">
        <f t="shared" si="4"/>
        <v>57</v>
      </c>
      <c r="G64" s="109" t="s">
        <v>782</v>
      </c>
      <c r="H64" s="46" t="s">
        <v>679</v>
      </c>
      <c r="I64" s="110">
        <f t="shared" si="3"/>
        <v>36.76310675194442</v>
      </c>
      <c r="J64" s="110">
        <f t="shared" si="5"/>
        <v>35.968149099876065</v>
      </c>
      <c r="K64" s="48"/>
      <c r="L64" s="61">
        <v>1.5533333333333332</v>
      </c>
      <c r="M64" s="62">
        <v>60.7</v>
      </c>
      <c r="N64" s="110">
        <f t="shared" si="1"/>
        <v>261.81595099984514</v>
      </c>
      <c r="Q64" s="115"/>
      <c r="T64" s="117"/>
      <c r="U64" s="118"/>
    </row>
    <row r="65" spans="5:21" ht="17" customHeight="1">
      <c r="E65" s="108" t="str">
        <f t="shared" si="2"/>
        <v/>
      </c>
      <c r="F65" s="55">
        <f t="shared" si="4"/>
        <v>58</v>
      </c>
      <c r="G65" s="109" t="s">
        <v>782</v>
      </c>
      <c r="H65" s="46" t="s">
        <v>635</v>
      </c>
      <c r="I65" s="110">
        <f t="shared" si="3"/>
        <v>265.63970714540244</v>
      </c>
      <c r="J65" s="110">
        <f t="shared" si="5"/>
        <v>-11.91734066291637</v>
      </c>
      <c r="K65" s="59" t="s">
        <v>740</v>
      </c>
      <c r="L65" s="61">
        <v>12.666666666666666</v>
      </c>
      <c r="M65" s="62">
        <v>-11.616666666666667</v>
      </c>
      <c r="N65" s="110">
        <f t="shared" si="1"/>
        <v>95.115950999845154</v>
      </c>
      <c r="Q65" s="115"/>
      <c r="T65" s="117"/>
      <c r="U65" s="118"/>
    </row>
    <row r="66" spans="5:21" ht="17" customHeight="1">
      <c r="E66" s="108" t="str">
        <f t="shared" si="2"/>
        <v/>
      </c>
      <c r="F66" s="55">
        <f t="shared" si="4"/>
        <v>59</v>
      </c>
      <c r="G66" s="109" t="s">
        <v>782</v>
      </c>
      <c r="H66" s="46" t="s">
        <v>628</v>
      </c>
      <c r="I66" s="110">
        <f t="shared" si="3"/>
        <v>311.6116748708551</v>
      </c>
      <c r="J66" s="110">
        <f t="shared" si="5"/>
        <v>26.844507805535205</v>
      </c>
      <c r="K66" s="48"/>
      <c r="L66" s="61">
        <v>12.316666666666666</v>
      </c>
      <c r="M66" s="62">
        <v>47.3</v>
      </c>
      <c r="N66" s="110">
        <f t="shared" si="1"/>
        <v>100.36595099984518</v>
      </c>
      <c r="Q66" s="115"/>
      <c r="T66" s="117"/>
      <c r="U66" s="118"/>
    </row>
    <row r="67" spans="5:21" ht="17" customHeight="1">
      <c r="E67" s="108" t="str">
        <f t="shared" si="2"/>
        <v/>
      </c>
      <c r="F67" s="55">
        <f t="shared" si="4"/>
        <v>60</v>
      </c>
      <c r="G67" s="109" t="s">
        <v>782</v>
      </c>
      <c r="H67" s="46" t="s">
        <v>612</v>
      </c>
      <c r="I67" s="110">
        <f t="shared" si="3"/>
        <v>326.37115823594303</v>
      </c>
      <c r="J67" s="110">
        <f t="shared" si="5"/>
        <v>25.114986574236255</v>
      </c>
      <c r="K67" s="59" t="s">
        <v>741</v>
      </c>
      <c r="L67" s="61">
        <v>11.191666666666666</v>
      </c>
      <c r="M67" s="62">
        <v>55.666666666666664</v>
      </c>
      <c r="N67" s="110">
        <f t="shared" si="1"/>
        <v>117.24095099984515</v>
      </c>
      <c r="Q67" s="115"/>
      <c r="T67" s="117"/>
      <c r="U67" s="118"/>
    </row>
    <row r="68" spans="5:21" ht="17" customHeight="1">
      <c r="E68" s="108" t="str">
        <f t="shared" si="2"/>
        <v/>
      </c>
      <c r="F68" s="55">
        <f t="shared" si="4"/>
        <v>61</v>
      </c>
      <c r="G68" s="109" t="s">
        <v>782</v>
      </c>
      <c r="H68" s="46" t="s">
        <v>632</v>
      </c>
      <c r="I68" s="110">
        <f t="shared" si="3"/>
        <v>319.30849056123401</v>
      </c>
      <c r="J68" s="110">
        <f t="shared" si="5"/>
        <v>28.281151747215077</v>
      </c>
      <c r="K68" s="59" t="s">
        <v>742</v>
      </c>
      <c r="L68" s="61">
        <v>11.96</v>
      </c>
      <c r="M68" s="62">
        <v>53.383333333333333</v>
      </c>
      <c r="N68" s="110">
        <f t="shared" si="1"/>
        <v>105.71595099984515</v>
      </c>
      <c r="Q68" s="115"/>
      <c r="T68" s="117"/>
      <c r="U68" s="118"/>
    </row>
    <row r="69" spans="5:21" ht="17" customHeight="1">
      <c r="E69" s="108" t="str">
        <f t="shared" si="2"/>
        <v>*</v>
      </c>
      <c r="F69" s="55">
        <f t="shared" si="4"/>
        <v>62</v>
      </c>
      <c r="G69" s="109" t="s">
        <v>782</v>
      </c>
      <c r="H69" s="46" t="s">
        <v>672</v>
      </c>
      <c r="I69" s="110">
        <f t="shared" si="3"/>
        <v>61.247828051604465</v>
      </c>
      <c r="J69" s="110">
        <f t="shared" si="5"/>
        <v>31.940680496070925</v>
      </c>
      <c r="K69" s="59" t="s">
        <v>743</v>
      </c>
      <c r="L69" s="61">
        <v>0.67333333333333334</v>
      </c>
      <c r="M69" s="62">
        <v>41.68333333333333</v>
      </c>
      <c r="N69" s="110">
        <f t="shared" si="1"/>
        <v>275.01595099984513</v>
      </c>
      <c r="Q69" s="115"/>
      <c r="T69" s="117"/>
      <c r="U69" s="118"/>
    </row>
    <row r="70" spans="5:21" ht="17" customHeight="1">
      <c r="E70" s="108" t="str">
        <f t="shared" si="2"/>
        <v>*</v>
      </c>
      <c r="F70" s="55">
        <f t="shared" si="4"/>
        <v>63</v>
      </c>
      <c r="G70" s="109" t="s">
        <v>782</v>
      </c>
      <c r="H70" s="46" t="s">
        <v>682</v>
      </c>
      <c r="I70" s="110">
        <f t="shared" si="3"/>
        <v>148.65716684119377</v>
      </c>
      <c r="J70" s="110">
        <f t="shared" si="5"/>
        <v>52.4710667059421</v>
      </c>
      <c r="K70" s="55" t="s">
        <v>702</v>
      </c>
      <c r="L70" s="61">
        <v>20.271666666666668</v>
      </c>
      <c r="M70" s="62">
        <v>12.766666666666667</v>
      </c>
      <c r="N70" s="110">
        <f t="shared" si="1"/>
        <v>-18.959049000154835</v>
      </c>
      <c r="Q70" s="115"/>
      <c r="T70" s="117"/>
      <c r="U70" s="118"/>
    </row>
    <row r="71" spans="5:21" ht="17" customHeight="1">
      <c r="E71" s="108" t="str">
        <f t="shared" si="2"/>
        <v/>
      </c>
      <c r="F71" s="55">
        <f t="shared" si="4"/>
        <v>64</v>
      </c>
      <c r="G71" s="109" t="s">
        <v>782</v>
      </c>
      <c r="H71" s="46" t="s">
        <v>683</v>
      </c>
      <c r="I71" s="110">
        <f t="shared" si="3"/>
        <v>110.08942372148879</v>
      </c>
      <c r="J71" s="110">
        <f t="shared" si="5"/>
        <v>-16.002929180989511</v>
      </c>
      <c r="K71" s="60" t="s">
        <v>744</v>
      </c>
      <c r="L71" s="61">
        <v>0.79</v>
      </c>
      <c r="M71" s="62">
        <v>-25.28</v>
      </c>
      <c r="N71" s="110">
        <f t="shared" si="1"/>
        <v>273.26595099984513</v>
      </c>
      <c r="Q71" s="115"/>
      <c r="T71" s="117"/>
      <c r="U71" s="118"/>
    </row>
    <row r="72" spans="5:21" ht="17" customHeight="1">
      <c r="E72" s="108" t="str">
        <f t="shared" si="2"/>
        <v>*</v>
      </c>
      <c r="F72" s="55">
        <f t="shared" si="4"/>
        <v>65</v>
      </c>
      <c r="G72" s="109" t="s">
        <v>782</v>
      </c>
      <c r="H72" s="46" t="s">
        <v>684</v>
      </c>
      <c r="I72" s="110">
        <f t="shared" si="3"/>
        <v>62.424071829296558</v>
      </c>
      <c r="J72" s="110">
        <f t="shared" ref="J72:J103" si="6">ASIN(SIN($N$105*M72)*SIN($N$105*$C$13)+COS($N$105*M72)*COS($N$105*$C$13)*COS($N$105*N72))/$N$105</f>
        <v>23.765343590648456</v>
      </c>
      <c r="K72" s="48"/>
      <c r="L72" s="61">
        <v>1.1599999999999999</v>
      </c>
      <c r="M72" s="62">
        <v>35.72</v>
      </c>
      <c r="N72" s="110">
        <f t="shared" ref="N72:N103" si="7">$C$16-((L72/24)*360)</f>
        <v>267.71595099984518</v>
      </c>
      <c r="Q72" s="115"/>
      <c r="T72" s="117"/>
      <c r="U72" s="118"/>
    </row>
    <row r="73" spans="5:21" ht="17" customHeight="1">
      <c r="E73" s="108" t="str">
        <f t="shared" ref="E73:E103" si="8">IF(AND(J73&gt;=$J$4,J73&lt;=$J$6,I73&gt;=$I$4,I73&lt;=$I$6),IF(VLOOKUP(G73,$C$19:$D$24,2,FALSE)="yes","*","-"),"")</f>
        <v>*</v>
      </c>
      <c r="F73" s="55">
        <f t="shared" si="4"/>
        <v>66</v>
      </c>
      <c r="G73" s="109" t="s">
        <v>782</v>
      </c>
      <c r="H73" s="46" t="s">
        <v>685</v>
      </c>
      <c r="I73" s="110">
        <f t="shared" ref="I73:I103" si="9">IF(SIN($N$105*N73)&lt;0,ACOS((SIN($N$105*M73)-SIN($N$105*J73)*SIN($N$105*$C$13))/(COS($N$105*J73)*COS($N$105*$C$13)))/$N$105,360-ACOS((SIN($N$105*M73)-SIN($N$105*J73)*SIN($N$105*$C$13))/(COS($N$105*J73)*COS($N$105*$C$13)))/$N$105)</f>
        <v>35.708255643124701</v>
      </c>
      <c r="J73" s="110">
        <f t="shared" si="6"/>
        <v>29.169696655799072</v>
      </c>
      <c r="K73" s="48"/>
      <c r="L73" s="61">
        <v>2.3199999999999998</v>
      </c>
      <c r="M73" s="62">
        <v>57.23</v>
      </c>
      <c r="N73" s="110">
        <f t="shared" si="7"/>
        <v>250.31595099984514</v>
      </c>
      <c r="Q73" s="115"/>
      <c r="T73" s="117"/>
      <c r="U73" s="118"/>
    </row>
    <row r="74" spans="5:21" ht="17" customHeight="1">
      <c r="E74" s="108" t="str">
        <f t="shared" si="8"/>
        <v>*</v>
      </c>
      <c r="F74" s="55">
        <f t="shared" ref="F74:F103" si="10">F73+1</f>
        <v>67</v>
      </c>
      <c r="G74" s="109" t="s">
        <v>782</v>
      </c>
      <c r="H74" s="46" t="s">
        <v>686</v>
      </c>
      <c r="I74" s="110">
        <f t="shared" si="9"/>
        <v>35.394064952296979</v>
      </c>
      <c r="J74" s="110">
        <f t="shared" si="6"/>
        <v>28.870847252295523</v>
      </c>
      <c r="K74" s="48"/>
      <c r="L74" s="61">
        <v>2.37</v>
      </c>
      <c r="M74" s="62">
        <v>57.23</v>
      </c>
      <c r="N74" s="110">
        <f t="shared" si="7"/>
        <v>249.56595099984514</v>
      </c>
      <c r="Q74" s="115"/>
      <c r="T74" s="117"/>
      <c r="U74" s="118"/>
    </row>
    <row r="75" spans="5:21" ht="17" customHeight="1">
      <c r="E75" s="108" t="str">
        <f t="shared" si="8"/>
        <v>*</v>
      </c>
      <c r="F75" s="55">
        <f t="shared" si="10"/>
        <v>68</v>
      </c>
      <c r="G75" s="109" t="s">
        <v>782</v>
      </c>
      <c r="H75" s="46" t="s">
        <v>41</v>
      </c>
      <c r="I75" s="110">
        <f t="shared" si="9"/>
        <v>46.747602475112394</v>
      </c>
      <c r="J75" s="110">
        <f t="shared" si="6"/>
        <v>18.211015438564534</v>
      </c>
      <c r="K75" s="48"/>
      <c r="L75" s="61">
        <v>2.38</v>
      </c>
      <c r="M75" s="62">
        <v>42.35</v>
      </c>
      <c r="N75" s="110">
        <f t="shared" si="7"/>
        <v>249.41595099984517</v>
      </c>
      <c r="Q75" s="115"/>
      <c r="T75" s="117"/>
      <c r="U75" s="118"/>
    </row>
    <row r="76" spans="5:21" ht="17" customHeight="1">
      <c r="E76" s="108" t="str">
        <f t="shared" si="8"/>
        <v/>
      </c>
      <c r="F76" s="55">
        <f t="shared" si="10"/>
        <v>69</v>
      </c>
      <c r="G76" s="109" t="s">
        <v>782</v>
      </c>
      <c r="H76" s="46" t="s">
        <v>48</v>
      </c>
      <c r="I76" s="110">
        <f t="shared" si="9"/>
        <v>356.57014861775804</v>
      </c>
      <c r="J76" s="110">
        <f t="shared" si="6"/>
        <v>-42.358721760995124</v>
      </c>
      <c r="K76" s="55" t="s">
        <v>746</v>
      </c>
      <c r="L76" s="61">
        <v>7.1766666666666667</v>
      </c>
      <c r="M76" s="62">
        <v>0.85</v>
      </c>
      <c r="N76" s="110">
        <f t="shared" si="7"/>
        <v>177.46595099984515</v>
      </c>
      <c r="Q76" s="115"/>
      <c r="T76" s="117"/>
      <c r="U76" s="118"/>
    </row>
    <row r="77" spans="5:21" ht="17" customHeight="1">
      <c r="E77" s="108" t="str">
        <f t="shared" si="8"/>
        <v/>
      </c>
      <c r="F77" s="55">
        <f t="shared" si="10"/>
        <v>70</v>
      </c>
      <c r="G77" s="109" t="s">
        <v>782</v>
      </c>
      <c r="H77" s="46" t="s">
        <v>49</v>
      </c>
      <c r="I77" s="110">
        <f t="shared" si="9"/>
        <v>341.50266062050952</v>
      </c>
      <c r="J77" s="110">
        <f t="shared" si="6"/>
        <v>-56.849975539152382</v>
      </c>
      <c r="K77" s="56" t="s">
        <v>701</v>
      </c>
      <c r="L77" s="61">
        <v>7.6966666666666663</v>
      </c>
      <c r="M77" s="62">
        <v>-14.733333333333333</v>
      </c>
      <c r="N77" s="110">
        <f t="shared" si="7"/>
        <v>169.66595099984517</v>
      </c>
      <c r="Q77" s="115"/>
      <c r="T77" s="117"/>
      <c r="U77" s="118"/>
    </row>
    <row r="78" spans="5:21" ht="17" customHeight="1">
      <c r="E78" s="108" t="str">
        <f t="shared" si="8"/>
        <v/>
      </c>
      <c r="F78" s="55">
        <f t="shared" si="10"/>
        <v>71</v>
      </c>
      <c r="G78" s="109" t="s">
        <v>782</v>
      </c>
      <c r="H78" s="46" t="s">
        <v>591</v>
      </c>
      <c r="I78" s="110">
        <f t="shared" si="9"/>
        <v>8.8868238888231943</v>
      </c>
      <c r="J78" s="110">
        <f t="shared" si="6"/>
        <v>-38.017894123045011</v>
      </c>
      <c r="K78" s="48"/>
      <c r="L78" s="61">
        <v>6.54</v>
      </c>
      <c r="M78" s="62">
        <v>4.87</v>
      </c>
      <c r="N78" s="110">
        <f t="shared" si="7"/>
        <v>187.01595099984513</v>
      </c>
      <c r="Q78" s="115"/>
      <c r="T78" s="117"/>
      <c r="U78" s="118"/>
    </row>
    <row r="79" spans="5:21" ht="17" customHeight="1">
      <c r="E79" s="108" t="str">
        <f t="shared" si="8"/>
        <v/>
      </c>
      <c r="F79" s="55">
        <f t="shared" si="10"/>
        <v>72</v>
      </c>
      <c r="G79" s="109" t="s">
        <v>782</v>
      </c>
      <c r="H79" s="46" t="s">
        <v>592</v>
      </c>
      <c r="I79" s="110">
        <f t="shared" si="9"/>
        <v>6.0699379147169381</v>
      </c>
      <c r="J79" s="110">
        <f t="shared" si="6"/>
        <v>-34.366820486184295</v>
      </c>
      <c r="K79" s="47" t="s">
        <v>747</v>
      </c>
      <c r="L79" s="61">
        <v>6.67</v>
      </c>
      <c r="M79" s="62">
        <v>8.7100000000000009</v>
      </c>
      <c r="N79" s="110">
        <f t="shared" si="7"/>
        <v>185.06595099984514</v>
      </c>
      <c r="Q79" s="115"/>
      <c r="T79" s="117"/>
      <c r="U79" s="118"/>
    </row>
    <row r="80" spans="5:21" ht="17" customHeight="1">
      <c r="E80" s="108" t="str">
        <f t="shared" si="8"/>
        <v/>
      </c>
      <c r="F80" s="55">
        <f t="shared" si="10"/>
        <v>73</v>
      </c>
      <c r="G80" s="109" t="s">
        <v>782</v>
      </c>
      <c r="H80" s="46" t="s">
        <v>593</v>
      </c>
      <c r="I80" s="110">
        <f t="shared" si="9"/>
        <v>351.50057653213617</v>
      </c>
      <c r="J80" s="110">
        <f t="shared" si="6"/>
        <v>-56.294943909538809</v>
      </c>
      <c r="K80" s="47" t="s">
        <v>748</v>
      </c>
      <c r="L80" s="61">
        <v>7.33</v>
      </c>
      <c r="M80" s="62">
        <v>-13.28</v>
      </c>
      <c r="N80" s="110">
        <f t="shared" si="7"/>
        <v>175.16595099984517</v>
      </c>
      <c r="Q80" s="115"/>
      <c r="T80" s="117"/>
      <c r="U80" s="118"/>
    </row>
    <row r="81" spans="5:21" ht="17" customHeight="1">
      <c r="E81" s="108" t="str">
        <f t="shared" si="8"/>
        <v/>
      </c>
      <c r="F81" s="55">
        <f t="shared" si="10"/>
        <v>74</v>
      </c>
      <c r="G81" s="109" t="s">
        <v>782</v>
      </c>
      <c r="H81" s="46" t="s">
        <v>594</v>
      </c>
      <c r="I81" s="110">
        <f t="shared" si="9"/>
        <v>10.745004818646375</v>
      </c>
      <c r="J81" s="110">
        <f t="shared" si="6"/>
        <v>3.8560200863998055</v>
      </c>
      <c r="K81" s="55" t="s">
        <v>753</v>
      </c>
      <c r="L81" s="61">
        <v>5.97</v>
      </c>
      <c r="M81" s="62">
        <v>46.116666666666667</v>
      </c>
      <c r="N81" s="110">
        <f t="shared" si="7"/>
        <v>195.56595099984514</v>
      </c>
      <c r="Q81" s="115"/>
      <c r="T81" s="117"/>
      <c r="U81" s="118"/>
    </row>
    <row r="82" spans="5:21" ht="17" customHeight="1">
      <c r="E82" s="108" t="str">
        <f t="shared" si="8"/>
        <v/>
      </c>
      <c r="F82" s="55">
        <f t="shared" si="10"/>
        <v>75</v>
      </c>
      <c r="G82" s="109" t="s">
        <v>782</v>
      </c>
      <c r="H82" s="46" t="s">
        <v>588</v>
      </c>
      <c r="I82" s="110">
        <f t="shared" si="9"/>
        <v>202.5460109764696</v>
      </c>
      <c r="J82" s="110">
        <f t="shared" si="6"/>
        <v>-62.067680519532416</v>
      </c>
      <c r="K82" s="55" t="s">
        <v>799</v>
      </c>
      <c r="L82" s="61">
        <v>9.1233333333333331</v>
      </c>
      <c r="M82" s="62">
        <v>-70.033333333333331</v>
      </c>
      <c r="N82" s="110">
        <f t="shared" si="7"/>
        <v>148.26595099984516</v>
      </c>
      <c r="Q82" s="115"/>
      <c r="T82" s="117"/>
      <c r="U82" s="118"/>
    </row>
    <row r="83" spans="5:21" ht="17" customHeight="1">
      <c r="E83" s="108" t="str">
        <f t="shared" si="8"/>
        <v/>
      </c>
      <c r="F83" s="55">
        <f t="shared" si="10"/>
        <v>76</v>
      </c>
      <c r="G83" s="109" t="s">
        <v>782</v>
      </c>
      <c r="H83" s="46" t="s">
        <v>617</v>
      </c>
      <c r="I83" s="110">
        <f t="shared" si="9"/>
        <v>323.5908040757451</v>
      </c>
      <c r="J83" s="110">
        <f t="shared" si="6"/>
        <v>-13.608491231203189</v>
      </c>
      <c r="K83" s="48"/>
      <c r="L83" s="61">
        <v>9.56</v>
      </c>
      <c r="M83" s="62">
        <v>21.39</v>
      </c>
      <c r="N83" s="110">
        <f t="shared" si="7"/>
        <v>141.71595099984515</v>
      </c>
      <c r="Q83" s="115"/>
      <c r="T83" s="117"/>
      <c r="U83" s="118"/>
    </row>
    <row r="84" spans="5:21" ht="17" customHeight="1">
      <c r="E84" s="108" t="str">
        <f t="shared" si="8"/>
        <v/>
      </c>
      <c r="F84" s="55">
        <f t="shared" si="10"/>
        <v>77</v>
      </c>
      <c r="G84" s="109" t="s">
        <v>782</v>
      </c>
      <c r="H84" s="46" t="s">
        <v>616</v>
      </c>
      <c r="I84" s="110">
        <f t="shared" si="9"/>
        <v>298.51976613229868</v>
      </c>
      <c r="J84" s="110">
        <f t="shared" si="6"/>
        <v>-35.293151720593436</v>
      </c>
      <c r="K84" s="47" t="s">
        <v>752</v>
      </c>
      <c r="L84" s="61">
        <v>10.11</v>
      </c>
      <c r="M84" s="62">
        <v>-8.84</v>
      </c>
      <c r="N84" s="110">
        <f t="shared" si="7"/>
        <v>133.46595099984518</v>
      </c>
      <c r="Q84" s="115"/>
      <c r="T84" s="117"/>
      <c r="U84" s="118"/>
    </row>
    <row r="85" spans="5:21" ht="17" customHeight="1">
      <c r="E85" s="108" t="str">
        <f t="shared" si="8"/>
        <v/>
      </c>
      <c r="F85" s="55">
        <f t="shared" si="10"/>
        <v>78</v>
      </c>
      <c r="G85" s="109" t="s">
        <v>782</v>
      </c>
      <c r="H85" s="46" t="s">
        <v>618</v>
      </c>
      <c r="I85" s="110">
        <f t="shared" si="9"/>
        <v>314.60135979508789</v>
      </c>
      <c r="J85" s="110">
        <f t="shared" si="6"/>
        <v>-8.2412295445762336</v>
      </c>
      <c r="K85" s="48"/>
      <c r="L85" s="61">
        <v>10.3</v>
      </c>
      <c r="M85" s="62">
        <v>21.83</v>
      </c>
      <c r="N85" s="110">
        <f t="shared" si="7"/>
        <v>130.61595099984515</v>
      </c>
      <c r="Q85" s="115"/>
      <c r="T85" s="117"/>
      <c r="U85" s="118"/>
    </row>
    <row r="86" spans="5:21" ht="17" customHeight="1">
      <c r="E86" s="108" t="str">
        <f t="shared" si="8"/>
        <v/>
      </c>
      <c r="F86" s="55">
        <f t="shared" si="10"/>
        <v>79</v>
      </c>
      <c r="G86" s="109" t="s">
        <v>782</v>
      </c>
      <c r="H86" s="46" t="s">
        <v>615</v>
      </c>
      <c r="I86" s="110">
        <f t="shared" si="9"/>
        <v>195.10091321889703</v>
      </c>
      <c r="J86" s="110">
        <f t="shared" si="6"/>
        <v>-10.730650919032158</v>
      </c>
      <c r="K86" s="56" t="s">
        <v>797</v>
      </c>
      <c r="L86" s="61">
        <v>17.378333333333334</v>
      </c>
      <c r="M86" s="62">
        <v>-51.783333333333331</v>
      </c>
      <c r="N86" s="110">
        <f t="shared" si="7"/>
        <v>24.440950999845143</v>
      </c>
      <c r="Q86" s="115"/>
      <c r="T86" s="117"/>
      <c r="U86" s="118"/>
    </row>
    <row r="87" spans="5:21" ht="17" customHeight="1">
      <c r="E87" s="108" t="str">
        <f t="shared" si="8"/>
        <v/>
      </c>
      <c r="F87" s="55">
        <f t="shared" si="10"/>
        <v>80</v>
      </c>
      <c r="G87" s="109" t="s">
        <v>782</v>
      </c>
      <c r="H87" s="46" t="s">
        <v>620</v>
      </c>
      <c r="I87" s="110">
        <f t="shared" si="9"/>
        <v>297.6001939571608</v>
      </c>
      <c r="J87" s="110">
        <f t="shared" si="6"/>
        <v>-6.34038597809539</v>
      </c>
      <c r="K87" s="133" t="s">
        <v>798</v>
      </c>
      <c r="L87" s="61">
        <v>11.34</v>
      </c>
      <c r="M87" s="62">
        <v>13.6</v>
      </c>
      <c r="N87" s="110">
        <f t="shared" si="7"/>
        <v>115.01595099984516</v>
      </c>
      <c r="Q87" s="115"/>
      <c r="T87" s="117"/>
      <c r="U87" s="118"/>
    </row>
    <row r="88" spans="5:21" ht="17" customHeight="1">
      <c r="E88" s="108" t="str">
        <f t="shared" si="8"/>
        <v/>
      </c>
      <c r="F88" s="55">
        <f t="shared" si="10"/>
        <v>81</v>
      </c>
      <c r="G88" s="109" t="s">
        <v>782</v>
      </c>
      <c r="H88" s="46" t="s">
        <v>640</v>
      </c>
      <c r="I88" s="110">
        <f t="shared" si="9"/>
        <v>223.68067135099068</v>
      </c>
      <c r="J88" s="110">
        <f t="shared" si="6"/>
        <v>-28.155944224134483</v>
      </c>
      <c r="K88" s="55" t="s">
        <v>700</v>
      </c>
      <c r="L88" s="61">
        <v>13.876666666666667</v>
      </c>
      <c r="M88" s="62">
        <v>-51.31666666666667</v>
      </c>
      <c r="N88" s="110">
        <f t="shared" si="7"/>
        <v>76.965950999845148</v>
      </c>
      <c r="Q88" s="115"/>
      <c r="T88" s="117"/>
      <c r="U88" s="118"/>
    </row>
    <row r="89" spans="5:21" ht="17" customHeight="1">
      <c r="E89" s="108" t="str">
        <f t="shared" si="8"/>
        <v/>
      </c>
      <c r="F89" s="55">
        <f t="shared" si="10"/>
        <v>82</v>
      </c>
      <c r="G89" s="109" t="s">
        <v>782</v>
      </c>
      <c r="H89" s="46" t="s">
        <v>634</v>
      </c>
      <c r="I89" s="110">
        <f t="shared" si="9"/>
        <v>291.00328599291885</v>
      </c>
      <c r="J89" s="110">
        <f t="shared" si="6"/>
        <v>16.109599230593563</v>
      </c>
      <c r="K89" s="48"/>
      <c r="L89" s="61">
        <v>12.75</v>
      </c>
      <c r="M89" s="62">
        <v>25.98</v>
      </c>
      <c r="N89" s="110">
        <f t="shared" si="7"/>
        <v>93.865950999845154</v>
      </c>
      <c r="Q89" s="115"/>
      <c r="T89" s="117"/>
      <c r="U89" s="118"/>
    </row>
    <row r="90" spans="5:21" ht="17" customHeight="1">
      <c r="E90" s="108" t="str">
        <f t="shared" si="8"/>
        <v/>
      </c>
      <c r="F90" s="55">
        <f t="shared" si="10"/>
        <v>83</v>
      </c>
      <c r="G90" s="109" t="s">
        <v>782</v>
      </c>
      <c r="H90" s="46" t="s">
        <v>650</v>
      </c>
      <c r="I90" s="110">
        <f t="shared" si="9"/>
        <v>306.31345758774694</v>
      </c>
      <c r="J90" s="110">
        <f t="shared" si="6"/>
        <v>53.486950872531331</v>
      </c>
      <c r="K90" s="48"/>
      <c r="L90" s="61">
        <v>15.11</v>
      </c>
      <c r="M90" s="62">
        <v>55.77</v>
      </c>
      <c r="N90" s="110">
        <f t="shared" si="7"/>
        <v>58.465950999845177</v>
      </c>
      <c r="Q90" s="115"/>
      <c r="T90" s="117"/>
      <c r="U90" s="118"/>
    </row>
    <row r="91" spans="5:21" ht="17" customHeight="1">
      <c r="E91" s="108" t="str">
        <f t="shared" si="8"/>
        <v/>
      </c>
      <c r="F91" s="55">
        <f t="shared" si="10"/>
        <v>84</v>
      </c>
      <c r="G91" s="109" t="s">
        <v>782</v>
      </c>
      <c r="H91" s="46" t="s">
        <v>649</v>
      </c>
      <c r="I91" s="110">
        <f t="shared" si="9"/>
        <v>306.8511688143019</v>
      </c>
      <c r="J91" s="110">
        <f t="shared" si="6"/>
        <v>54.901244285185058</v>
      </c>
      <c r="K91" s="48"/>
      <c r="L91" s="61">
        <v>15.27</v>
      </c>
      <c r="M91" s="62">
        <v>56.32</v>
      </c>
      <c r="N91" s="110">
        <f t="shared" si="7"/>
        <v>56.065950999845171</v>
      </c>
      <c r="Q91" s="115"/>
      <c r="T91" s="117"/>
      <c r="U91" s="118"/>
    </row>
    <row r="92" spans="5:21" ht="17" customHeight="1">
      <c r="E92" s="108" t="str">
        <f t="shared" si="8"/>
        <v>*</v>
      </c>
      <c r="F92" s="55">
        <f t="shared" si="10"/>
        <v>85</v>
      </c>
      <c r="G92" s="109" t="s">
        <v>782</v>
      </c>
      <c r="H92" s="46" t="s">
        <v>669</v>
      </c>
      <c r="I92" s="110">
        <f t="shared" si="9"/>
        <v>261.1039477203467</v>
      </c>
      <c r="J92" s="110">
        <f t="shared" si="6"/>
        <v>62.823408188562631</v>
      </c>
      <c r="K92" s="48"/>
      <c r="L92" s="61">
        <v>16.72</v>
      </c>
      <c r="M92" s="62">
        <v>36.83</v>
      </c>
      <c r="N92" s="110">
        <f t="shared" si="7"/>
        <v>34.315950999845171</v>
      </c>
      <c r="Q92" s="115"/>
      <c r="T92" s="117"/>
      <c r="U92" s="118"/>
    </row>
    <row r="93" spans="5:21" ht="17" customHeight="1">
      <c r="E93" s="108" t="str">
        <f t="shared" si="8"/>
        <v>*</v>
      </c>
      <c r="F93" s="55">
        <f t="shared" si="10"/>
        <v>86</v>
      </c>
      <c r="G93" s="109" t="s">
        <v>782</v>
      </c>
      <c r="H93" s="46" t="s">
        <v>644</v>
      </c>
      <c r="I93" s="110">
        <f t="shared" si="9"/>
        <v>144.09778164169748</v>
      </c>
      <c r="J93" s="110">
        <f t="shared" si="6"/>
        <v>55.716936288614995</v>
      </c>
      <c r="K93" s="47" t="s">
        <v>750</v>
      </c>
      <c r="L93" s="61">
        <v>20.353333333333332</v>
      </c>
      <c r="M93" s="62">
        <v>16.8</v>
      </c>
      <c r="N93" s="110">
        <f t="shared" si="7"/>
        <v>-20.184049000154801</v>
      </c>
      <c r="Q93" s="115"/>
      <c r="T93" s="117"/>
      <c r="U93" s="118"/>
    </row>
    <row r="94" spans="5:21" ht="17" customHeight="1">
      <c r="E94" s="108" t="str">
        <f t="shared" si="8"/>
        <v>*</v>
      </c>
      <c r="F94" s="55">
        <f t="shared" si="10"/>
        <v>87</v>
      </c>
      <c r="G94" s="109" t="s">
        <v>782</v>
      </c>
      <c r="H94" s="46" t="s">
        <v>665</v>
      </c>
      <c r="I94" s="110">
        <f t="shared" si="9"/>
        <v>188.45472867028113</v>
      </c>
      <c r="J94" s="110">
        <f t="shared" si="6"/>
        <v>19.622669514995454</v>
      </c>
      <c r="K94" s="56" t="s">
        <v>751</v>
      </c>
      <c r="L94" s="61">
        <v>18.43</v>
      </c>
      <c r="M94" s="62">
        <v>-23.2</v>
      </c>
      <c r="N94" s="110">
        <f t="shared" si="7"/>
        <v>8.6659509998451654</v>
      </c>
      <c r="Q94" s="115"/>
      <c r="T94" s="117"/>
      <c r="U94" s="118"/>
    </row>
    <row r="95" spans="5:21" ht="17" customHeight="1">
      <c r="E95" s="108" t="str">
        <f t="shared" si="8"/>
        <v/>
      </c>
      <c r="F95" s="55">
        <f t="shared" si="10"/>
        <v>88</v>
      </c>
      <c r="G95" s="109" t="s">
        <v>782</v>
      </c>
      <c r="H95" s="46" t="s">
        <v>670</v>
      </c>
      <c r="I95" s="110">
        <f t="shared" si="9"/>
        <v>345.72992413667419</v>
      </c>
      <c r="J95" s="110">
        <f t="shared" si="6"/>
        <v>65.046257386142898</v>
      </c>
      <c r="K95" s="47" t="s">
        <v>749</v>
      </c>
      <c r="L95" s="61">
        <v>17.82</v>
      </c>
      <c r="M95" s="62">
        <v>70.13</v>
      </c>
      <c r="N95" s="110">
        <f t="shared" si="7"/>
        <v>17.815950999845143</v>
      </c>
      <c r="Q95" s="115"/>
      <c r="T95" s="117"/>
      <c r="U95" s="118"/>
    </row>
    <row r="96" spans="5:21" ht="17" customHeight="1">
      <c r="E96" s="108" t="str">
        <f t="shared" si="8"/>
        <v>*</v>
      </c>
      <c r="F96" s="55">
        <f t="shared" si="10"/>
        <v>89</v>
      </c>
      <c r="G96" s="109" t="s">
        <v>782</v>
      </c>
      <c r="H96" s="46" t="s">
        <v>645</v>
      </c>
      <c r="I96" s="110">
        <f t="shared" si="9"/>
        <v>56.243996531522917</v>
      </c>
      <c r="J96" s="110">
        <f t="shared" si="6"/>
        <v>69.511351508637787</v>
      </c>
      <c r="K96" s="55" t="s">
        <v>754</v>
      </c>
      <c r="L96" s="61">
        <v>21.02</v>
      </c>
      <c r="M96" s="62">
        <v>54.633333333333333</v>
      </c>
      <c r="N96" s="110">
        <f t="shared" si="7"/>
        <v>-30.184049000154857</v>
      </c>
      <c r="Q96" s="115"/>
      <c r="T96" s="117"/>
      <c r="U96" s="118"/>
    </row>
    <row r="97" spans="5:21" ht="17" customHeight="1">
      <c r="E97" s="108" t="str">
        <f t="shared" si="8"/>
        <v/>
      </c>
      <c r="F97" s="55">
        <f t="shared" si="10"/>
        <v>90</v>
      </c>
      <c r="G97" s="109" t="s">
        <v>782</v>
      </c>
      <c r="H97" s="46" t="s">
        <v>666</v>
      </c>
      <c r="I97" s="110">
        <f t="shared" si="9"/>
        <v>198.67997292129846</v>
      </c>
      <c r="J97" s="110">
        <f t="shared" si="6"/>
        <v>2.0681089238886963</v>
      </c>
      <c r="K97" s="55" t="s">
        <v>699</v>
      </c>
      <c r="L97" s="61">
        <v>17.398333333333333</v>
      </c>
      <c r="M97" s="62">
        <v>-38.5</v>
      </c>
      <c r="N97" s="110">
        <f t="shared" si="7"/>
        <v>24.140950999845188</v>
      </c>
      <c r="Q97" s="115"/>
      <c r="T97" s="117"/>
      <c r="U97" s="118"/>
    </row>
    <row r="98" spans="5:21" ht="17" customHeight="1">
      <c r="E98" s="108" t="str">
        <f t="shared" si="8"/>
        <v/>
      </c>
      <c r="F98" s="55">
        <f t="shared" si="10"/>
        <v>91</v>
      </c>
      <c r="G98" s="109" t="s">
        <v>782</v>
      </c>
      <c r="H98" s="46" t="s">
        <v>651</v>
      </c>
      <c r="I98" s="110">
        <f t="shared" si="9"/>
        <v>21.296057663013801</v>
      </c>
      <c r="J98" s="110">
        <f t="shared" si="6"/>
        <v>23.219111983947563</v>
      </c>
      <c r="K98" s="55" t="s">
        <v>698</v>
      </c>
      <c r="L98" s="61">
        <v>4.1166666666666663</v>
      </c>
      <c r="M98" s="62">
        <v>60.916666666666664</v>
      </c>
      <c r="N98" s="110">
        <f t="shared" si="7"/>
        <v>223.36595099984515</v>
      </c>
      <c r="Q98" s="115"/>
      <c r="T98" s="117"/>
      <c r="U98" s="118"/>
    </row>
    <row r="99" spans="5:21" ht="17" customHeight="1">
      <c r="E99" s="108" t="str">
        <f t="shared" si="8"/>
        <v>*</v>
      </c>
      <c r="F99" s="55">
        <f t="shared" si="10"/>
        <v>92</v>
      </c>
      <c r="G99" s="109" t="s">
        <v>782</v>
      </c>
      <c r="H99" s="46" t="s">
        <v>668</v>
      </c>
      <c r="I99" s="110">
        <f t="shared" si="9"/>
        <v>113.21180353384426</v>
      </c>
      <c r="J99" s="110">
        <f t="shared" si="6"/>
        <v>63.11613355630341</v>
      </c>
      <c r="K99" s="47" t="s">
        <v>755</v>
      </c>
      <c r="L99" s="61">
        <v>20.96</v>
      </c>
      <c r="M99" s="62">
        <v>31.83</v>
      </c>
      <c r="N99" s="110">
        <f t="shared" si="7"/>
        <v>-29.28404900015488</v>
      </c>
      <c r="Q99" s="115"/>
      <c r="T99" s="117"/>
      <c r="U99" s="118"/>
    </row>
    <row r="100" spans="5:21" ht="17" customHeight="1">
      <c r="E100" s="108" t="str">
        <f t="shared" si="8"/>
        <v/>
      </c>
      <c r="F100" s="55">
        <f t="shared" si="10"/>
        <v>93</v>
      </c>
      <c r="G100" s="109" t="s">
        <v>782</v>
      </c>
      <c r="H100" s="46" t="s">
        <v>675</v>
      </c>
      <c r="I100" s="110">
        <f t="shared" si="9"/>
        <v>267.97050194458404</v>
      </c>
      <c r="J100" s="110">
        <f t="shared" si="6"/>
        <v>-66.181458383134242</v>
      </c>
      <c r="K100" s="55" t="s">
        <v>756</v>
      </c>
      <c r="L100" s="61">
        <v>9.2216666666666676</v>
      </c>
      <c r="M100" s="62">
        <v>-42.533333333333331</v>
      </c>
      <c r="N100" s="110">
        <f t="shared" si="7"/>
        <v>146.79095099984514</v>
      </c>
      <c r="Q100" s="115"/>
      <c r="T100" s="117"/>
      <c r="U100" s="118"/>
    </row>
    <row r="101" spans="5:21" ht="17" customHeight="1">
      <c r="E101" s="108" t="str">
        <f t="shared" si="8"/>
        <v>*</v>
      </c>
      <c r="F101" s="55">
        <f t="shared" si="10"/>
        <v>94</v>
      </c>
      <c r="G101" s="109" t="s">
        <v>782</v>
      </c>
      <c r="H101" s="46" t="s">
        <v>680</v>
      </c>
      <c r="I101" s="110">
        <f t="shared" si="9"/>
        <v>86.933352314792174</v>
      </c>
      <c r="J101" s="110">
        <f t="shared" si="6"/>
        <v>47.941838321949675</v>
      </c>
      <c r="K101" s="47" t="s">
        <v>757</v>
      </c>
      <c r="L101" s="61">
        <v>22.62</v>
      </c>
      <c r="M101" s="62">
        <v>34.42</v>
      </c>
      <c r="N101" s="110">
        <f t="shared" si="7"/>
        <v>-54.184049000154857</v>
      </c>
      <c r="Q101" s="115"/>
      <c r="T101" s="117"/>
      <c r="U101" s="118"/>
    </row>
    <row r="102" spans="5:21" ht="17" customHeight="1">
      <c r="E102" s="108" t="str">
        <f t="shared" si="8"/>
        <v>*</v>
      </c>
      <c r="F102" s="55">
        <f t="shared" si="10"/>
        <v>95</v>
      </c>
      <c r="G102" s="109" t="s">
        <v>782</v>
      </c>
      <c r="H102" s="46" t="s">
        <v>681</v>
      </c>
      <c r="I102" s="110">
        <f t="shared" si="9"/>
        <v>103.88000658025098</v>
      </c>
      <c r="J102" s="110">
        <f t="shared" si="6"/>
        <v>29.32809805737346</v>
      </c>
      <c r="K102" s="48"/>
      <c r="L102" s="61">
        <v>23.01</v>
      </c>
      <c r="M102" s="62">
        <v>12.32</v>
      </c>
      <c r="N102" s="110">
        <f t="shared" si="7"/>
        <v>-60.03404900015488</v>
      </c>
      <c r="Q102" s="115"/>
      <c r="T102" s="117"/>
      <c r="U102" s="118"/>
    </row>
    <row r="103" spans="5:21" ht="17" customHeight="1">
      <c r="E103" s="108" t="str">
        <f t="shared" si="8"/>
        <v>*</v>
      </c>
      <c r="F103" s="55">
        <f t="shared" si="10"/>
        <v>96</v>
      </c>
      <c r="G103" s="109" t="s">
        <v>782</v>
      </c>
      <c r="H103" s="46" t="s">
        <v>676</v>
      </c>
      <c r="I103" s="110">
        <f t="shared" si="9"/>
        <v>192.81162121634318</v>
      </c>
      <c r="J103" s="110">
        <f t="shared" si="6"/>
        <v>15.095356114834935</v>
      </c>
      <c r="K103" s="55" t="s">
        <v>800</v>
      </c>
      <c r="L103" s="61">
        <v>18.079999999999998</v>
      </c>
      <c r="M103" s="62">
        <v>-27.1</v>
      </c>
      <c r="N103" s="110">
        <f t="shared" si="7"/>
        <v>13.915950999845165</v>
      </c>
      <c r="Q103" s="128"/>
      <c r="R103" s="129"/>
      <c r="S103" s="129"/>
      <c r="T103" s="130"/>
      <c r="U103" s="131"/>
    </row>
    <row r="105" spans="5:21">
      <c r="M105" s="150" t="s">
        <v>805</v>
      </c>
      <c r="N105" s="132">
        <f>PI()/180</f>
        <v>1.7453292519943295E-2</v>
      </c>
    </row>
  </sheetData>
  <sheetProtection sheet="1" objects="1" scenarios="1"/>
  <mergeCells count="6">
    <mergeCell ref="B36:D36"/>
    <mergeCell ref="B2:C2"/>
    <mergeCell ref="F2:N2"/>
    <mergeCell ref="Q2:X2"/>
    <mergeCell ref="B19:B24"/>
    <mergeCell ref="B27:D27"/>
  </mergeCells>
  <conditionalFormatting sqref="F8:F103">
    <cfRule type="expression" dxfId="2" priority="1">
      <formula>AND($I8&gt;=$I$4,$I8&lt;=$I$6,$J8&gt;=$J$4,$J8&lt;=$J$6)</formula>
    </cfRule>
  </conditionalFormatting>
  <conditionalFormatting sqref="I8:I103">
    <cfRule type="expression" dxfId="1" priority="3">
      <formula>AND($I8&gt;=$I$4,$I8&lt;=$I$6)</formula>
    </cfRule>
  </conditionalFormatting>
  <conditionalFormatting sqref="J8:J103">
    <cfRule type="expression" dxfId="0" priority="2">
      <formula>AND($J8&gt;=$J$4,$J8&lt;=$J$6)</formula>
    </cfRule>
  </conditionalFormatting>
  <dataValidations count="3">
    <dataValidation type="list" allowBlank="1" showInputMessage="1" showErrorMessage="1" sqref="G8:G103" xr:uid="{51026D13-C060-A94D-9FC6-8DBB9FE28CBB}">
      <formula1>$C$19:$C$24</formula1>
    </dataValidation>
    <dataValidation type="list" allowBlank="1" showInputMessage="1" showErrorMessage="1" sqref="C12" xr:uid="{737B0D16-BD9C-1644-BD24-844BCFE82438}">
      <formula1>$B$29:$B$33</formula1>
    </dataValidation>
    <dataValidation type="list" allowBlank="1" showInputMessage="1" showErrorMessage="1" sqref="D19:D24" xr:uid="{72D81331-4A2D-A542-A382-3B86D9EB9BA0}">
      <formula1>$B$55:$B$56</formula1>
    </dataValidation>
  </dataValidations>
  <pageMargins left="0.7" right="0.7" top="0.75" bottom="0.75" header="0.3" footer="0.3"/>
  <pageSetup paperSize="9" orientation="portrait" horizontalDpi="0"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10DD3-604D-834F-87C0-4357C57980AA}">
  <dimension ref="B1:J209"/>
  <sheetViews>
    <sheetView showGridLines="0" workbookViewId="0">
      <selection activeCell="C20" sqref="C20"/>
    </sheetView>
  </sheetViews>
  <sheetFormatPr baseColWidth="10" defaultRowHeight="13"/>
  <cols>
    <col min="1" max="1" width="10.83203125" style="191" customWidth="1"/>
    <col min="2" max="2" width="15.83203125" style="191" customWidth="1"/>
    <col min="3" max="3" width="13.33203125" style="191" customWidth="1"/>
    <col min="4" max="4" width="15.83203125" style="191" customWidth="1"/>
    <col min="5" max="7" width="10.83203125" style="191" customWidth="1"/>
    <col min="8" max="10" width="12.1640625" style="191" customWidth="1"/>
    <col min="11" max="22" width="10.83203125" style="191" customWidth="1"/>
    <col min="23" max="23" width="10.1640625" style="191" bestFit="1" customWidth="1"/>
    <col min="24" max="247" width="8.83203125" style="191" customWidth="1"/>
    <col min="248" max="248" width="7.83203125" style="191" customWidth="1"/>
    <col min="249" max="249" width="7.5" style="191" customWidth="1"/>
    <col min="250" max="250" width="9" style="191" customWidth="1"/>
    <col min="251" max="251" width="8.33203125" style="191" customWidth="1"/>
    <col min="252" max="254" width="8.5" style="191" bestFit="1" customWidth="1"/>
    <col min="255" max="255" width="10" style="191" bestFit="1" customWidth="1"/>
    <col min="256" max="256" width="8.1640625" style="191" bestFit="1" customWidth="1"/>
    <col min="257" max="258" width="8.5" style="191" bestFit="1" customWidth="1"/>
    <col min="259" max="259" width="6" style="191" bestFit="1" customWidth="1"/>
    <col min="260" max="260" width="8.83203125" style="191" customWidth="1"/>
    <col min="261" max="261" width="8.5" style="191" bestFit="1" customWidth="1"/>
    <col min="262" max="262" width="7.1640625" style="191" bestFit="1" customWidth="1"/>
    <col min="263" max="263" width="4.5" style="191" bestFit="1" customWidth="1"/>
    <col min="264" max="264" width="5.5" style="191" bestFit="1" customWidth="1"/>
    <col min="265" max="267" width="6.1640625" style="191" bestFit="1" customWidth="1"/>
    <col min="268" max="268" width="7.1640625" style="191" bestFit="1" customWidth="1"/>
    <col min="269" max="278" width="8.83203125" style="191" customWidth="1"/>
    <col min="279" max="279" width="10" style="191" bestFit="1" customWidth="1"/>
    <col min="280" max="503" width="8.83203125" style="191" customWidth="1"/>
    <col min="504" max="504" width="7.83203125" style="191" customWidth="1"/>
    <col min="505" max="505" width="7.5" style="191" customWidth="1"/>
    <col min="506" max="506" width="9" style="191" customWidth="1"/>
    <col min="507" max="507" width="8.33203125" style="191" customWidth="1"/>
    <col min="508" max="510" width="8.5" style="191" bestFit="1" customWidth="1"/>
    <col min="511" max="511" width="10" style="191" bestFit="1" customWidth="1"/>
    <col min="512" max="512" width="8.1640625" style="191" bestFit="1" customWidth="1"/>
    <col min="513" max="514" width="8.5" style="191" bestFit="1" customWidth="1"/>
    <col min="515" max="515" width="6" style="191" bestFit="1" customWidth="1"/>
    <col min="516" max="516" width="8.83203125" style="191" customWidth="1"/>
    <col min="517" max="517" width="8.5" style="191" bestFit="1" customWidth="1"/>
    <col min="518" max="518" width="7.1640625" style="191" bestFit="1" customWidth="1"/>
    <col min="519" max="519" width="4.5" style="191" bestFit="1" customWidth="1"/>
    <col min="520" max="520" width="5.5" style="191" bestFit="1" customWidth="1"/>
    <col min="521" max="523" width="6.1640625" style="191" bestFit="1" customWidth="1"/>
    <col min="524" max="524" width="7.1640625" style="191" bestFit="1" customWidth="1"/>
    <col min="525" max="534" width="8.83203125" style="191" customWidth="1"/>
    <col min="535" max="535" width="10" style="191" bestFit="1" customWidth="1"/>
    <col min="536" max="759" width="8.83203125" style="191" customWidth="1"/>
    <col min="760" max="760" width="7.83203125" style="191" customWidth="1"/>
    <col min="761" max="761" width="7.5" style="191" customWidth="1"/>
    <col min="762" max="762" width="9" style="191" customWidth="1"/>
    <col min="763" max="763" width="8.33203125" style="191" customWidth="1"/>
    <col min="764" max="766" width="8.5" style="191" bestFit="1" customWidth="1"/>
    <col min="767" max="767" width="10" style="191" bestFit="1" customWidth="1"/>
    <col min="768" max="768" width="8.1640625" style="191" bestFit="1" customWidth="1"/>
    <col min="769" max="770" width="8.5" style="191" bestFit="1" customWidth="1"/>
    <col min="771" max="771" width="6" style="191" bestFit="1" customWidth="1"/>
    <col min="772" max="772" width="8.83203125" style="191" customWidth="1"/>
    <col min="773" max="773" width="8.5" style="191" bestFit="1" customWidth="1"/>
    <col min="774" max="774" width="7.1640625" style="191" bestFit="1" customWidth="1"/>
    <col min="775" max="775" width="4.5" style="191" bestFit="1" customWidth="1"/>
    <col min="776" max="776" width="5.5" style="191" bestFit="1" customWidth="1"/>
    <col min="777" max="779" width="6.1640625" style="191" bestFit="1" customWidth="1"/>
    <col min="780" max="780" width="7.1640625" style="191" bestFit="1" customWidth="1"/>
    <col min="781" max="790" width="8.83203125" style="191" customWidth="1"/>
    <col min="791" max="791" width="10" style="191" bestFit="1" customWidth="1"/>
    <col min="792" max="1015" width="8.83203125" style="191" customWidth="1"/>
    <col min="1016" max="1016" width="7.83203125" style="191" customWidth="1"/>
    <col min="1017" max="1017" width="7.5" style="191" customWidth="1"/>
    <col min="1018" max="1018" width="9" style="191" customWidth="1"/>
    <col min="1019" max="1019" width="8.33203125" style="191" customWidth="1"/>
    <col min="1020" max="1022" width="8.5" style="191" bestFit="1" customWidth="1"/>
    <col min="1023" max="1023" width="10" style="191" bestFit="1" customWidth="1"/>
    <col min="1024" max="1024" width="8.1640625" style="191" bestFit="1" customWidth="1"/>
    <col min="1025" max="1026" width="8.5" style="191" bestFit="1" customWidth="1"/>
    <col min="1027" max="1027" width="6" style="191" bestFit="1" customWidth="1"/>
    <col min="1028" max="1028" width="8.83203125" style="191" customWidth="1"/>
    <col min="1029" max="1029" width="8.5" style="191" bestFit="1" customWidth="1"/>
    <col min="1030" max="1030" width="7.1640625" style="191" bestFit="1" customWidth="1"/>
    <col min="1031" max="1031" width="4.5" style="191" bestFit="1" customWidth="1"/>
    <col min="1032" max="1032" width="5.5" style="191" bestFit="1" customWidth="1"/>
    <col min="1033" max="1035" width="6.1640625" style="191" bestFit="1" customWidth="1"/>
    <col min="1036" max="1036" width="7.1640625" style="191" bestFit="1" customWidth="1"/>
    <col min="1037" max="1046" width="8.83203125" style="191" customWidth="1"/>
    <col min="1047" max="1047" width="10" style="191" bestFit="1" customWidth="1"/>
    <col min="1048" max="1271" width="8.83203125" style="191" customWidth="1"/>
    <col min="1272" max="1272" width="7.83203125" style="191" customWidth="1"/>
    <col min="1273" max="1273" width="7.5" style="191" customWidth="1"/>
    <col min="1274" max="1274" width="9" style="191" customWidth="1"/>
    <col min="1275" max="1275" width="8.33203125" style="191" customWidth="1"/>
    <col min="1276" max="1278" width="8.5" style="191" bestFit="1" customWidth="1"/>
    <col min="1279" max="1279" width="10" style="191" bestFit="1" customWidth="1"/>
    <col min="1280" max="1280" width="8.1640625" style="191" bestFit="1" customWidth="1"/>
    <col min="1281" max="1282" width="8.5" style="191" bestFit="1" customWidth="1"/>
    <col min="1283" max="1283" width="6" style="191" bestFit="1" customWidth="1"/>
    <col min="1284" max="1284" width="8.83203125" style="191" customWidth="1"/>
    <col min="1285" max="1285" width="8.5" style="191" bestFit="1" customWidth="1"/>
    <col min="1286" max="1286" width="7.1640625" style="191" bestFit="1" customWidth="1"/>
    <col min="1287" max="1287" width="4.5" style="191" bestFit="1" customWidth="1"/>
    <col min="1288" max="1288" width="5.5" style="191" bestFit="1" customWidth="1"/>
    <col min="1289" max="1291" width="6.1640625" style="191" bestFit="1" customWidth="1"/>
    <col min="1292" max="1292" width="7.1640625" style="191" bestFit="1" customWidth="1"/>
    <col min="1293" max="1302" width="8.83203125" style="191" customWidth="1"/>
    <col min="1303" max="1303" width="10" style="191" bestFit="1" customWidth="1"/>
    <col min="1304" max="1527" width="8.83203125" style="191" customWidth="1"/>
    <col min="1528" max="1528" width="7.83203125" style="191" customWidth="1"/>
    <col min="1529" max="1529" width="7.5" style="191" customWidth="1"/>
    <col min="1530" max="1530" width="9" style="191" customWidth="1"/>
    <col min="1531" max="1531" width="8.33203125" style="191" customWidth="1"/>
    <col min="1532" max="1534" width="8.5" style="191" bestFit="1" customWidth="1"/>
    <col min="1535" max="1535" width="10" style="191" bestFit="1" customWidth="1"/>
    <col min="1536" max="1536" width="8.1640625" style="191" bestFit="1" customWidth="1"/>
    <col min="1537" max="1538" width="8.5" style="191" bestFit="1" customWidth="1"/>
    <col min="1539" max="1539" width="6" style="191" bestFit="1" customWidth="1"/>
    <col min="1540" max="1540" width="8.83203125" style="191" customWidth="1"/>
    <col min="1541" max="1541" width="8.5" style="191" bestFit="1" customWidth="1"/>
    <col min="1542" max="1542" width="7.1640625" style="191" bestFit="1" customWidth="1"/>
    <col min="1543" max="1543" width="4.5" style="191" bestFit="1" customWidth="1"/>
    <col min="1544" max="1544" width="5.5" style="191" bestFit="1" customWidth="1"/>
    <col min="1545" max="1547" width="6.1640625" style="191" bestFit="1" customWidth="1"/>
    <col min="1548" max="1548" width="7.1640625" style="191" bestFit="1" customWidth="1"/>
    <col min="1549" max="1558" width="8.83203125" style="191" customWidth="1"/>
    <col min="1559" max="1559" width="10" style="191" bestFit="1" customWidth="1"/>
    <col min="1560" max="1783" width="8.83203125" style="191" customWidth="1"/>
    <col min="1784" max="1784" width="7.83203125" style="191" customWidth="1"/>
    <col min="1785" max="1785" width="7.5" style="191" customWidth="1"/>
    <col min="1786" max="1786" width="9" style="191" customWidth="1"/>
    <col min="1787" max="1787" width="8.33203125" style="191" customWidth="1"/>
    <col min="1788" max="1790" width="8.5" style="191" bestFit="1" customWidth="1"/>
    <col min="1791" max="1791" width="10" style="191" bestFit="1" customWidth="1"/>
    <col min="1792" max="1792" width="8.1640625" style="191" bestFit="1" customWidth="1"/>
    <col min="1793" max="1794" width="8.5" style="191" bestFit="1" customWidth="1"/>
    <col min="1795" max="1795" width="6" style="191" bestFit="1" customWidth="1"/>
    <col min="1796" max="1796" width="8.83203125" style="191" customWidth="1"/>
    <col min="1797" max="1797" width="8.5" style="191" bestFit="1" customWidth="1"/>
    <col min="1798" max="1798" width="7.1640625" style="191" bestFit="1" customWidth="1"/>
    <col min="1799" max="1799" width="4.5" style="191" bestFit="1" customWidth="1"/>
    <col min="1800" max="1800" width="5.5" style="191" bestFit="1" customWidth="1"/>
    <col min="1801" max="1803" width="6.1640625" style="191" bestFit="1" customWidth="1"/>
    <col min="1804" max="1804" width="7.1640625" style="191" bestFit="1" customWidth="1"/>
    <col min="1805" max="1814" width="8.83203125" style="191" customWidth="1"/>
    <col min="1815" max="1815" width="10" style="191" bestFit="1" customWidth="1"/>
    <col min="1816" max="2039" width="8.83203125" style="191" customWidth="1"/>
    <col min="2040" max="2040" width="7.83203125" style="191" customWidth="1"/>
    <col min="2041" max="2041" width="7.5" style="191" customWidth="1"/>
    <col min="2042" max="2042" width="9" style="191" customWidth="1"/>
    <col min="2043" max="2043" width="8.33203125" style="191" customWidth="1"/>
    <col min="2044" max="2046" width="8.5" style="191" bestFit="1" customWidth="1"/>
    <col min="2047" max="2047" width="10" style="191" bestFit="1" customWidth="1"/>
    <col min="2048" max="2048" width="8.1640625" style="191" bestFit="1" customWidth="1"/>
    <col min="2049" max="2050" width="8.5" style="191" bestFit="1" customWidth="1"/>
    <col min="2051" max="2051" width="6" style="191" bestFit="1" customWidth="1"/>
    <col min="2052" max="2052" width="8.83203125" style="191" customWidth="1"/>
    <col min="2053" max="2053" width="8.5" style="191" bestFit="1" customWidth="1"/>
    <col min="2054" max="2054" width="7.1640625" style="191" bestFit="1" customWidth="1"/>
    <col min="2055" max="2055" width="4.5" style="191" bestFit="1" customWidth="1"/>
    <col min="2056" max="2056" width="5.5" style="191" bestFit="1" customWidth="1"/>
    <col min="2057" max="2059" width="6.1640625" style="191" bestFit="1" customWidth="1"/>
    <col min="2060" max="2060" width="7.1640625" style="191" bestFit="1" customWidth="1"/>
    <col min="2061" max="2070" width="8.83203125" style="191" customWidth="1"/>
    <col min="2071" max="2071" width="10" style="191" bestFit="1" customWidth="1"/>
    <col min="2072" max="2295" width="8.83203125" style="191" customWidth="1"/>
    <col min="2296" max="2296" width="7.83203125" style="191" customWidth="1"/>
    <col min="2297" max="2297" width="7.5" style="191" customWidth="1"/>
    <col min="2298" max="2298" width="9" style="191" customWidth="1"/>
    <col min="2299" max="2299" width="8.33203125" style="191" customWidth="1"/>
    <col min="2300" max="2302" width="8.5" style="191" bestFit="1" customWidth="1"/>
    <col min="2303" max="2303" width="10" style="191" bestFit="1" customWidth="1"/>
    <col min="2304" max="2304" width="8.1640625" style="191" bestFit="1" customWidth="1"/>
    <col min="2305" max="2306" width="8.5" style="191" bestFit="1" customWidth="1"/>
    <col min="2307" max="2307" width="6" style="191" bestFit="1" customWidth="1"/>
    <col min="2308" max="2308" width="8.83203125" style="191" customWidth="1"/>
    <col min="2309" max="2309" width="8.5" style="191" bestFit="1" customWidth="1"/>
    <col min="2310" max="2310" width="7.1640625" style="191" bestFit="1" customWidth="1"/>
    <col min="2311" max="2311" width="4.5" style="191" bestFit="1" customWidth="1"/>
    <col min="2312" max="2312" width="5.5" style="191" bestFit="1" customWidth="1"/>
    <col min="2313" max="2315" width="6.1640625" style="191" bestFit="1" customWidth="1"/>
    <col min="2316" max="2316" width="7.1640625" style="191" bestFit="1" customWidth="1"/>
    <col min="2317" max="2326" width="8.83203125" style="191" customWidth="1"/>
    <col min="2327" max="2327" width="10" style="191" bestFit="1" customWidth="1"/>
    <col min="2328" max="2551" width="8.83203125" style="191" customWidth="1"/>
    <col min="2552" max="2552" width="7.83203125" style="191" customWidth="1"/>
    <col min="2553" max="2553" width="7.5" style="191" customWidth="1"/>
    <col min="2554" max="2554" width="9" style="191" customWidth="1"/>
    <col min="2555" max="2555" width="8.33203125" style="191" customWidth="1"/>
    <col min="2556" max="2558" width="8.5" style="191" bestFit="1" customWidth="1"/>
    <col min="2559" max="2559" width="10" style="191" bestFit="1" customWidth="1"/>
    <col min="2560" max="2560" width="8.1640625" style="191" bestFit="1" customWidth="1"/>
    <col min="2561" max="2562" width="8.5" style="191" bestFit="1" customWidth="1"/>
    <col min="2563" max="2563" width="6" style="191" bestFit="1" customWidth="1"/>
    <col min="2564" max="2564" width="8.83203125" style="191" customWidth="1"/>
    <col min="2565" max="2565" width="8.5" style="191" bestFit="1" customWidth="1"/>
    <col min="2566" max="2566" width="7.1640625" style="191" bestFit="1" customWidth="1"/>
    <col min="2567" max="2567" width="4.5" style="191" bestFit="1" customWidth="1"/>
    <col min="2568" max="2568" width="5.5" style="191" bestFit="1" customWidth="1"/>
    <col min="2569" max="2571" width="6.1640625" style="191" bestFit="1" customWidth="1"/>
    <col min="2572" max="2572" width="7.1640625" style="191" bestFit="1" customWidth="1"/>
    <col min="2573" max="2582" width="8.83203125" style="191" customWidth="1"/>
    <col min="2583" max="2583" width="10" style="191" bestFit="1" customWidth="1"/>
    <col min="2584" max="2807" width="8.83203125" style="191" customWidth="1"/>
    <col min="2808" max="2808" width="7.83203125" style="191" customWidth="1"/>
    <col min="2809" max="2809" width="7.5" style="191" customWidth="1"/>
    <col min="2810" max="2810" width="9" style="191" customWidth="1"/>
    <col min="2811" max="2811" width="8.33203125" style="191" customWidth="1"/>
    <col min="2812" max="2814" width="8.5" style="191" bestFit="1" customWidth="1"/>
    <col min="2815" max="2815" width="10" style="191" bestFit="1" customWidth="1"/>
    <col min="2816" max="2816" width="8.1640625" style="191" bestFit="1" customWidth="1"/>
    <col min="2817" max="2818" width="8.5" style="191" bestFit="1" customWidth="1"/>
    <col min="2819" max="2819" width="6" style="191" bestFit="1" customWidth="1"/>
    <col min="2820" max="2820" width="8.83203125" style="191" customWidth="1"/>
    <col min="2821" max="2821" width="8.5" style="191" bestFit="1" customWidth="1"/>
    <col min="2822" max="2822" width="7.1640625" style="191" bestFit="1" customWidth="1"/>
    <col min="2823" max="2823" width="4.5" style="191" bestFit="1" customWidth="1"/>
    <col min="2824" max="2824" width="5.5" style="191" bestFit="1" customWidth="1"/>
    <col min="2825" max="2827" width="6.1640625" style="191" bestFit="1" customWidth="1"/>
    <col min="2828" max="2828" width="7.1640625" style="191" bestFit="1" customWidth="1"/>
    <col min="2829" max="2838" width="8.83203125" style="191" customWidth="1"/>
    <col min="2839" max="2839" width="10" style="191" bestFit="1" customWidth="1"/>
    <col min="2840" max="3063" width="8.83203125" style="191" customWidth="1"/>
    <col min="3064" max="3064" width="7.83203125" style="191" customWidth="1"/>
    <col min="3065" max="3065" width="7.5" style="191" customWidth="1"/>
    <col min="3066" max="3066" width="9" style="191" customWidth="1"/>
    <col min="3067" max="3067" width="8.33203125" style="191" customWidth="1"/>
    <col min="3068" max="3070" width="8.5" style="191" bestFit="1" customWidth="1"/>
    <col min="3071" max="3071" width="10" style="191" bestFit="1" customWidth="1"/>
    <col min="3072" max="3072" width="8.1640625" style="191" bestFit="1" customWidth="1"/>
    <col min="3073" max="3074" width="8.5" style="191" bestFit="1" customWidth="1"/>
    <col min="3075" max="3075" width="6" style="191" bestFit="1" customWidth="1"/>
    <col min="3076" max="3076" width="8.83203125" style="191" customWidth="1"/>
    <col min="3077" max="3077" width="8.5" style="191" bestFit="1" customWidth="1"/>
    <col min="3078" max="3078" width="7.1640625" style="191" bestFit="1" customWidth="1"/>
    <col min="3079" max="3079" width="4.5" style="191" bestFit="1" customWidth="1"/>
    <col min="3080" max="3080" width="5.5" style="191" bestFit="1" customWidth="1"/>
    <col min="3081" max="3083" width="6.1640625" style="191" bestFit="1" customWidth="1"/>
    <col min="3084" max="3084" width="7.1640625" style="191" bestFit="1" customWidth="1"/>
    <col min="3085" max="3094" width="8.83203125" style="191" customWidth="1"/>
    <col min="3095" max="3095" width="10" style="191" bestFit="1" customWidth="1"/>
    <col min="3096" max="3319" width="8.83203125" style="191" customWidth="1"/>
    <col min="3320" max="3320" width="7.83203125" style="191" customWidth="1"/>
    <col min="3321" max="3321" width="7.5" style="191" customWidth="1"/>
    <col min="3322" max="3322" width="9" style="191" customWidth="1"/>
    <col min="3323" max="3323" width="8.33203125" style="191" customWidth="1"/>
    <col min="3324" max="3326" width="8.5" style="191" bestFit="1" customWidth="1"/>
    <col min="3327" max="3327" width="10" style="191" bestFit="1" customWidth="1"/>
    <col min="3328" max="3328" width="8.1640625" style="191" bestFit="1" customWidth="1"/>
    <col min="3329" max="3330" width="8.5" style="191" bestFit="1" customWidth="1"/>
    <col min="3331" max="3331" width="6" style="191" bestFit="1" customWidth="1"/>
    <col min="3332" max="3332" width="8.83203125" style="191" customWidth="1"/>
    <col min="3333" max="3333" width="8.5" style="191" bestFit="1" customWidth="1"/>
    <col min="3334" max="3334" width="7.1640625" style="191" bestFit="1" customWidth="1"/>
    <col min="3335" max="3335" width="4.5" style="191" bestFit="1" customWidth="1"/>
    <col min="3336" max="3336" width="5.5" style="191" bestFit="1" customWidth="1"/>
    <col min="3337" max="3339" width="6.1640625" style="191" bestFit="1" customWidth="1"/>
    <col min="3340" max="3340" width="7.1640625" style="191" bestFit="1" customWidth="1"/>
    <col min="3341" max="3350" width="8.83203125" style="191" customWidth="1"/>
    <col min="3351" max="3351" width="10" style="191" bestFit="1" customWidth="1"/>
    <col min="3352" max="3575" width="8.83203125" style="191" customWidth="1"/>
    <col min="3576" max="3576" width="7.83203125" style="191" customWidth="1"/>
    <col min="3577" max="3577" width="7.5" style="191" customWidth="1"/>
    <col min="3578" max="3578" width="9" style="191" customWidth="1"/>
    <col min="3579" max="3579" width="8.33203125" style="191" customWidth="1"/>
    <col min="3580" max="3582" width="8.5" style="191" bestFit="1" customWidth="1"/>
    <col min="3583" max="3583" width="10" style="191" bestFit="1" customWidth="1"/>
    <col min="3584" max="3584" width="8.1640625" style="191" bestFit="1" customWidth="1"/>
    <col min="3585" max="3586" width="8.5" style="191" bestFit="1" customWidth="1"/>
    <col min="3587" max="3587" width="6" style="191" bestFit="1" customWidth="1"/>
    <col min="3588" max="3588" width="8.83203125" style="191" customWidth="1"/>
    <col min="3589" max="3589" width="8.5" style="191" bestFit="1" customWidth="1"/>
    <col min="3590" max="3590" width="7.1640625" style="191" bestFit="1" customWidth="1"/>
    <col min="3591" max="3591" width="4.5" style="191" bestFit="1" customWidth="1"/>
    <col min="3592" max="3592" width="5.5" style="191" bestFit="1" customWidth="1"/>
    <col min="3593" max="3595" width="6.1640625" style="191" bestFit="1" customWidth="1"/>
    <col min="3596" max="3596" width="7.1640625" style="191" bestFit="1" customWidth="1"/>
    <col min="3597" max="3606" width="8.83203125" style="191" customWidth="1"/>
    <col min="3607" max="3607" width="10" style="191" bestFit="1" customWidth="1"/>
    <col min="3608" max="3831" width="8.83203125" style="191" customWidth="1"/>
    <col min="3832" max="3832" width="7.83203125" style="191" customWidth="1"/>
    <col min="3833" max="3833" width="7.5" style="191" customWidth="1"/>
    <col min="3834" max="3834" width="9" style="191" customWidth="1"/>
    <col min="3835" max="3835" width="8.33203125" style="191" customWidth="1"/>
    <col min="3836" max="3838" width="8.5" style="191" bestFit="1" customWidth="1"/>
    <col min="3839" max="3839" width="10" style="191" bestFit="1" customWidth="1"/>
    <col min="3840" max="3840" width="8.1640625" style="191" bestFit="1" customWidth="1"/>
    <col min="3841" max="3842" width="8.5" style="191" bestFit="1" customWidth="1"/>
    <col min="3843" max="3843" width="6" style="191" bestFit="1" customWidth="1"/>
    <col min="3844" max="3844" width="8.83203125" style="191" customWidth="1"/>
    <col min="3845" max="3845" width="8.5" style="191" bestFit="1" customWidth="1"/>
    <col min="3846" max="3846" width="7.1640625" style="191" bestFit="1" customWidth="1"/>
    <col min="3847" max="3847" width="4.5" style="191" bestFit="1" customWidth="1"/>
    <col min="3848" max="3848" width="5.5" style="191" bestFit="1" customWidth="1"/>
    <col min="3849" max="3851" width="6.1640625" style="191" bestFit="1" customWidth="1"/>
    <col min="3852" max="3852" width="7.1640625" style="191" bestFit="1" customWidth="1"/>
    <col min="3853" max="3862" width="8.83203125" style="191" customWidth="1"/>
    <col min="3863" max="3863" width="10" style="191" bestFit="1" customWidth="1"/>
    <col min="3864" max="4087" width="8.83203125" style="191" customWidth="1"/>
    <col min="4088" max="4088" width="7.83203125" style="191" customWidth="1"/>
    <col min="4089" max="4089" width="7.5" style="191" customWidth="1"/>
    <col min="4090" max="4090" width="9" style="191" customWidth="1"/>
    <col min="4091" max="4091" width="8.33203125" style="191" customWidth="1"/>
    <col min="4092" max="4094" width="8.5" style="191" bestFit="1" customWidth="1"/>
    <col min="4095" max="4095" width="10" style="191" bestFit="1" customWidth="1"/>
    <col min="4096" max="4096" width="8.1640625" style="191" bestFit="1" customWidth="1"/>
    <col min="4097" max="4098" width="8.5" style="191" bestFit="1" customWidth="1"/>
    <col min="4099" max="4099" width="6" style="191" bestFit="1" customWidth="1"/>
    <col min="4100" max="4100" width="8.83203125" style="191" customWidth="1"/>
    <col min="4101" max="4101" width="8.5" style="191" bestFit="1" customWidth="1"/>
    <col min="4102" max="4102" width="7.1640625" style="191" bestFit="1" customWidth="1"/>
    <col min="4103" max="4103" width="4.5" style="191" bestFit="1" customWidth="1"/>
    <col min="4104" max="4104" width="5.5" style="191" bestFit="1" customWidth="1"/>
    <col min="4105" max="4107" width="6.1640625" style="191" bestFit="1" customWidth="1"/>
    <col min="4108" max="4108" width="7.1640625" style="191" bestFit="1" customWidth="1"/>
    <col min="4109" max="4118" width="8.83203125" style="191" customWidth="1"/>
    <col min="4119" max="4119" width="10" style="191" bestFit="1" customWidth="1"/>
    <col min="4120" max="4343" width="8.83203125" style="191" customWidth="1"/>
    <col min="4344" max="4344" width="7.83203125" style="191" customWidth="1"/>
    <col min="4345" max="4345" width="7.5" style="191" customWidth="1"/>
    <col min="4346" max="4346" width="9" style="191" customWidth="1"/>
    <col min="4347" max="4347" width="8.33203125" style="191" customWidth="1"/>
    <col min="4348" max="4350" width="8.5" style="191" bestFit="1" customWidth="1"/>
    <col min="4351" max="4351" width="10" style="191" bestFit="1" customWidth="1"/>
    <col min="4352" max="4352" width="8.1640625" style="191" bestFit="1" customWidth="1"/>
    <col min="4353" max="4354" width="8.5" style="191" bestFit="1" customWidth="1"/>
    <col min="4355" max="4355" width="6" style="191" bestFit="1" customWidth="1"/>
    <col min="4356" max="4356" width="8.83203125" style="191" customWidth="1"/>
    <col min="4357" max="4357" width="8.5" style="191" bestFit="1" customWidth="1"/>
    <col min="4358" max="4358" width="7.1640625" style="191" bestFit="1" customWidth="1"/>
    <col min="4359" max="4359" width="4.5" style="191" bestFit="1" customWidth="1"/>
    <col min="4360" max="4360" width="5.5" style="191" bestFit="1" customWidth="1"/>
    <col min="4361" max="4363" width="6.1640625" style="191" bestFit="1" customWidth="1"/>
    <col min="4364" max="4364" width="7.1640625" style="191" bestFit="1" customWidth="1"/>
    <col min="4365" max="4374" width="8.83203125" style="191" customWidth="1"/>
    <col min="4375" max="4375" width="10" style="191" bestFit="1" customWidth="1"/>
    <col min="4376" max="4599" width="8.83203125" style="191" customWidth="1"/>
    <col min="4600" max="4600" width="7.83203125" style="191" customWidth="1"/>
    <col min="4601" max="4601" width="7.5" style="191" customWidth="1"/>
    <col min="4602" max="4602" width="9" style="191" customWidth="1"/>
    <col min="4603" max="4603" width="8.33203125" style="191" customWidth="1"/>
    <col min="4604" max="4606" width="8.5" style="191" bestFit="1" customWidth="1"/>
    <col min="4607" max="4607" width="10" style="191" bestFit="1" customWidth="1"/>
    <col min="4608" max="4608" width="8.1640625" style="191" bestFit="1" customWidth="1"/>
    <col min="4609" max="4610" width="8.5" style="191" bestFit="1" customWidth="1"/>
    <col min="4611" max="4611" width="6" style="191" bestFit="1" customWidth="1"/>
    <col min="4612" max="4612" width="8.83203125" style="191" customWidth="1"/>
    <col min="4613" max="4613" width="8.5" style="191" bestFit="1" customWidth="1"/>
    <col min="4614" max="4614" width="7.1640625" style="191" bestFit="1" customWidth="1"/>
    <col min="4615" max="4615" width="4.5" style="191" bestFit="1" customWidth="1"/>
    <col min="4616" max="4616" width="5.5" style="191" bestFit="1" customWidth="1"/>
    <col min="4617" max="4619" width="6.1640625" style="191" bestFit="1" customWidth="1"/>
    <col min="4620" max="4620" width="7.1640625" style="191" bestFit="1" customWidth="1"/>
    <col min="4621" max="4630" width="8.83203125" style="191" customWidth="1"/>
    <col min="4631" max="4631" width="10" style="191" bestFit="1" customWidth="1"/>
    <col min="4632" max="4855" width="8.83203125" style="191" customWidth="1"/>
    <col min="4856" max="4856" width="7.83203125" style="191" customWidth="1"/>
    <col min="4857" max="4857" width="7.5" style="191" customWidth="1"/>
    <col min="4858" max="4858" width="9" style="191" customWidth="1"/>
    <col min="4859" max="4859" width="8.33203125" style="191" customWidth="1"/>
    <col min="4860" max="4862" width="8.5" style="191" bestFit="1" customWidth="1"/>
    <col min="4863" max="4863" width="10" style="191" bestFit="1" customWidth="1"/>
    <col min="4864" max="4864" width="8.1640625" style="191" bestFit="1" customWidth="1"/>
    <col min="4865" max="4866" width="8.5" style="191" bestFit="1" customWidth="1"/>
    <col min="4867" max="4867" width="6" style="191" bestFit="1" customWidth="1"/>
    <col min="4868" max="4868" width="8.83203125" style="191" customWidth="1"/>
    <col min="4869" max="4869" width="8.5" style="191" bestFit="1" customWidth="1"/>
    <col min="4870" max="4870" width="7.1640625" style="191" bestFit="1" customWidth="1"/>
    <col min="4871" max="4871" width="4.5" style="191" bestFit="1" customWidth="1"/>
    <col min="4872" max="4872" width="5.5" style="191" bestFit="1" customWidth="1"/>
    <col min="4873" max="4875" width="6.1640625" style="191" bestFit="1" customWidth="1"/>
    <col min="4876" max="4876" width="7.1640625" style="191" bestFit="1" customWidth="1"/>
    <col min="4877" max="4886" width="8.83203125" style="191" customWidth="1"/>
    <col min="4887" max="4887" width="10" style="191" bestFit="1" customWidth="1"/>
    <col min="4888" max="5111" width="8.83203125" style="191" customWidth="1"/>
    <col min="5112" max="5112" width="7.83203125" style="191" customWidth="1"/>
    <col min="5113" max="5113" width="7.5" style="191" customWidth="1"/>
    <col min="5114" max="5114" width="9" style="191" customWidth="1"/>
    <col min="5115" max="5115" width="8.33203125" style="191" customWidth="1"/>
    <col min="5116" max="5118" width="8.5" style="191" bestFit="1" customWidth="1"/>
    <col min="5119" max="5119" width="10" style="191" bestFit="1" customWidth="1"/>
    <col min="5120" max="5120" width="8.1640625" style="191" bestFit="1" customWidth="1"/>
    <col min="5121" max="5122" width="8.5" style="191" bestFit="1" customWidth="1"/>
    <col min="5123" max="5123" width="6" style="191" bestFit="1" customWidth="1"/>
    <col min="5124" max="5124" width="8.83203125" style="191" customWidth="1"/>
    <col min="5125" max="5125" width="8.5" style="191" bestFit="1" customWidth="1"/>
    <col min="5126" max="5126" width="7.1640625" style="191" bestFit="1" customWidth="1"/>
    <col min="5127" max="5127" width="4.5" style="191" bestFit="1" customWidth="1"/>
    <col min="5128" max="5128" width="5.5" style="191" bestFit="1" customWidth="1"/>
    <col min="5129" max="5131" width="6.1640625" style="191" bestFit="1" customWidth="1"/>
    <col min="5132" max="5132" width="7.1640625" style="191" bestFit="1" customWidth="1"/>
    <col min="5133" max="5142" width="8.83203125" style="191" customWidth="1"/>
    <col min="5143" max="5143" width="10" style="191" bestFit="1" customWidth="1"/>
    <col min="5144" max="5367" width="8.83203125" style="191" customWidth="1"/>
    <col min="5368" max="5368" width="7.83203125" style="191" customWidth="1"/>
    <col min="5369" max="5369" width="7.5" style="191" customWidth="1"/>
    <col min="5370" max="5370" width="9" style="191" customWidth="1"/>
    <col min="5371" max="5371" width="8.33203125" style="191" customWidth="1"/>
    <col min="5372" max="5374" width="8.5" style="191" bestFit="1" customWidth="1"/>
    <col min="5375" max="5375" width="10" style="191" bestFit="1" customWidth="1"/>
    <col min="5376" max="5376" width="8.1640625" style="191" bestFit="1" customWidth="1"/>
    <col min="5377" max="5378" width="8.5" style="191" bestFit="1" customWidth="1"/>
    <col min="5379" max="5379" width="6" style="191" bestFit="1" customWidth="1"/>
    <col min="5380" max="5380" width="8.83203125" style="191" customWidth="1"/>
    <col min="5381" max="5381" width="8.5" style="191" bestFit="1" customWidth="1"/>
    <col min="5382" max="5382" width="7.1640625" style="191" bestFit="1" customWidth="1"/>
    <col min="5383" max="5383" width="4.5" style="191" bestFit="1" customWidth="1"/>
    <col min="5384" max="5384" width="5.5" style="191" bestFit="1" customWidth="1"/>
    <col min="5385" max="5387" width="6.1640625" style="191" bestFit="1" customWidth="1"/>
    <col min="5388" max="5388" width="7.1640625" style="191" bestFit="1" customWidth="1"/>
    <col min="5389" max="5398" width="8.83203125" style="191" customWidth="1"/>
    <col min="5399" max="5399" width="10" style="191" bestFit="1" customWidth="1"/>
    <col min="5400" max="5623" width="8.83203125" style="191" customWidth="1"/>
    <col min="5624" max="5624" width="7.83203125" style="191" customWidth="1"/>
    <col min="5625" max="5625" width="7.5" style="191" customWidth="1"/>
    <col min="5626" max="5626" width="9" style="191" customWidth="1"/>
    <col min="5627" max="5627" width="8.33203125" style="191" customWidth="1"/>
    <col min="5628" max="5630" width="8.5" style="191" bestFit="1" customWidth="1"/>
    <col min="5631" max="5631" width="10" style="191" bestFit="1" customWidth="1"/>
    <col min="5632" max="5632" width="8.1640625" style="191" bestFit="1" customWidth="1"/>
    <col min="5633" max="5634" width="8.5" style="191" bestFit="1" customWidth="1"/>
    <col min="5635" max="5635" width="6" style="191" bestFit="1" customWidth="1"/>
    <col min="5636" max="5636" width="8.83203125" style="191" customWidth="1"/>
    <col min="5637" max="5637" width="8.5" style="191" bestFit="1" customWidth="1"/>
    <col min="5638" max="5638" width="7.1640625" style="191" bestFit="1" customWidth="1"/>
    <col min="5639" max="5639" width="4.5" style="191" bestFit="1" customWidth="1"/>
    <col min="5640" max="5640" width="5.5" style="191" bestFit="1" customWidth="1"/>
    <col min="5641" max="5643" width="6.1640625" style="191" bestFit="1" customWidth="1"/>
    <col min="5644" max="5644" width="7.1640625" style="191" bestFit="1" customWidth="1"/>
    <col min="5645" max="5654" width="8.83203125" style="191" customWidth="1"/>
    <col min="5655" max="5655" width="10" style="191" bestFit="1" customWidth="1"/>
    <col min="5656" max="5879" width="8.83203125" style="191" customWidth="1"/>
    <col min="5880" max="5880" width="7.83203125" style="191" customWidth="1"/>
    <col min="5881" max="5881" width="7.5" style="191" customWidth="1"/>
    <col min="5882" max="5882" width="9" style="191" customWidth="1"/>
    <col min="5883" max="5883" width="8.33203125" style="191" customWidth="1"/>
    <col min="5884" max="5886" width="8.5" style="191" bestFit="1" customWidth="1"/>
    <col min="5887" max="5887" width="10" style="191" bestFit="1" customWidth="1"/>
    <col min="5888" max="5888" width="8.1640625" style="191" bestFit="1" customWidth="1"/>
    <col min="5889" max="5890" width="8.5" style="191" bestFit="1" customWidth="1"/>
    <col min="5891" max="5891" width="6" style="191" bestFit="1" customWidth="1"/>
    <col min="5892" max="5892" width="8.83203125" style="191" customWidth="1"/>
    <col min="5893" max="5893" width="8.5" style="191" bestFit="1" customWidth="1"/>
    <col min="5894" max="5894" width="7.1640625" style="191" bestFit="1" customWidth="1"/>
    <col min="5895" max="5895" width="4.5" style="191" bestFit="1" customWidth="1"/>
    <col min="5896" max="5896" width="5.5" style="191" bestFit="1" customWidth="1"/>
    <col min="5897" max="5899" width="6.1640625" style="191" bestFit="1" customWidth="1"/>
    <col min="5900" max="5900" width="7.1640625" style="191" bestFit="1" customWidth="1"/>
    <col min="5901" max="5910" width="8.83203125" style="191" customWidth="1"/>
    <col min="5911" max="5911" width="10" style="191" bestFit="1" customWidth="1"/>
    <col min="5912" max="6135" width="8.83203125" style="191" customWidth="1"/>
    <col min="6136" max="6136" width="7.83203125" style="191" customWidth="1"/>
    <col min="6137" max="6137" width="7.5" style="191" customWidth="1"/>
    <col min="6138" max="6138" width="9" style="191" customWidth="1"/>
    <col min="6139" max="6139" width="8.33203125" style="191" customWidth="1"/>
    <col min="6140" max="6142" width="8.5" style="191" bestFit="1" customWidth="1"/>
    <col min="6143" max="6143" width="10" style="191" bestFit="1" customWidth="1"/>
    <col min="6144" max="6144" width="8.1640625" style="191" bestFit="1" customWidth="1"/>
    <col min="6145" max="6146" width="8.5" style="191" bestFit="1" customWidth="1"/>
    <col min="6147" max="6147" width="6" style="191" bestFit="1" customWidth="1"/>
    <col min="6148" max="6148" width="8.83203125" style="191" customWidth="1"/>
    <col min="6149" max="6149" width="8.5" style="191" bestFit="1" customWidth="1"/>
    <col min="6150" max="6150" width="7.1640625" style="191" bestFit="1" customWidth="1"/>
    <col min="6151" max="6151" width="4.5" style="191" bestFit="1" customWidth="1"/>
    <col min="6152" max="6152" width="5.5" style="191" bestFit="1" customWidth="1"/>
    <col min="6153" max="6155" width="6.1640625" style="191" bestFit="1" customWidth="1"/>
    <col min="6156" max="6156" width="7.1640625" style="191" bestFit="1" customWidth="1"/>
    <col min="6157" max="6166" width="8.83203125" style="191" customWidth="1"/>
    <col min="6167" max="6167" width="10" style="191" bestFit="1" customWidth="1"/>
    <col min="6168" max="6391" width="8.83203125" style="191" customWidth="1"/>
    <col min="6392" max="6392" width="7.83203125" style="191" customWidth="1"/>
    <col min="6393" max="6393" width="7.5" style="191" customWidth="1"/>
    <col min="6394" max="6394" width="9" style="191" customWidth="1"/>
    <col min="6395" max="6395" width="8.33203125" style="191" customWidth="1"/>
    <col min="6396" max="6398" width="8.5" style="191" bestFit="1" customWidth="1"/>
    <col min="6399" max="6399" width="10" style="191" bestFit="1" customWidth="1"/>
    <col min="6400" max="6400" width="8.1640625" style="191" bestFit="1" customWidth="1"/>
    <col min="6401" max="6402" width="8.5" style="191" bestFit="1" customWidth="1"/>
    <col min="6403" max="6403" width="6" style="191" bestFit="1" customWidth="1"/>
    <col min="6404" max="6404" width="8.83203125" style="191" customWidth="1"/>
    <col min="6405" max="6405" width="8.5" style="191" bestFit="1" customWidth="1"/>
    <col min="6406" max="6406" width="7.1640625" style="191" bestFit="1" customWidth="1"/>
    <col min="6407" max="6407" width="4.5" style="191" bestFit="1" customWidth="1"/>
    <col min="6408" max="6408" width="5.5" style="191" bestFit="1" customWidth="1"/>
    <col min="6409" max="6411" width="6.1640625" style="191" bestFit="1" customWidth="1"/>
    <col min="6412" max="6412" width="7.1640625" style="191" bestFit="1" customWidth="1"/>
    <col min="6413" max="6422" width="8.83203125" style="191" customWidth="1"/>
    <col min="6423" max="6423" width="10" style="191" bestFit="1" customWidth="1"/>
    <col min="6424" max="6647" width="8.83203125" style="191" customWidth="1"/>
    <col min="6648" max="6648" width="7.83203125" style="191" customWidth="1"/>
    <col min="6649" max="6649" width="7.5" style="191" customWidth="1"/>
    <col min="6650" max="6650" width="9" style="191" customWidth="1"/>
    <col min="6651" max="6651" width="8.33203125" style="191" customWidth="1"/>
    <col min="6652" max="6654" width="8.5" style="191" bestFit="1" customWidth="1"/>
    <col min="6655" max="6655" width="10" style="191" bestFit="1" customWidth="1"/>
    <col min="6656" max="6656" width="8.1640625" style="191" bestFit="1" customWidth="1"/>
    <col min="6657" max="6658" width="8.5" style="191" bestFit="1" customWidth="1"/>
    <col min="6659" max="6659" width="6" style="191" bestFit="1" customWidth="1"/>
    <col min="6660" max="6660" width="8.83203125" style="191" customWidth="1"/>
    <col min="6661" max="6661" width="8.5" style="191" bestFit="1" customWidth="1"/>
    <col min="6662" max="6662" width="7.1640625" style="191" bestFit="1" customWidth="1"/>
    <col min="6663" max="6663" width="4.5" style="191" bestFit="1" customWidth="1"/>
    <col min="6664" max="6664" width="5.5" style="191" bestFit="1" customWidth="1"/>
    <col min="6665" max="6667" width="6.1640625" style="191" bestFit="1" customWidth="1"/>
    <col min="6668" max="6668" width="7.1640625" style="191" bestFit="1" customWidth="1"/>
    <col min="6669" max="6678" width="8.83203125" style="191" customWidth="1"/>
    <col min="6679" max="6679" width="10" style="191" bestFit="1" customWidth="1"/>
    <col min="6680" max="6903" width="8.83203125" style="191" customWidth="1"/>
    <col min="6904" max="6904" width="7.83203125" style="191" customWidth="1"/>
    <col min="6905" max="6905" width="7.5" style="191" customWidth="1"/>
    <col min="6906" max="6906" width="9" style="191" customWidth="1"/>
    <col min="6907" max="6907" width="8.33203125" style="191" customWidth="1"/>
    <col min="6908" max="6910" width="8.5" style="191" bestFit="1" customWidth="1"/>
    <col min="6911" max="6911" width="10" style="191" bestFit="1" customWidth="1"/>
    <col min="6912" max="6912" width="8.1640625" style="191" bestFit="1" customWidth="1"/>
    <col min="6913" max="6914" width="8.5" style="191" bestFit="1" customWidth="1"/>
    <col min="6915" max="6915" width="6" style="191" bestFit="1" customWidth="1"/>
    <col min="6916" max="6916" width="8.83203125" style="191" customWidth="1"/>
    <col min="6917" max="6917" width="8.5" style="191" bestFit="1" customWidth="1"/>
    <col min="6918" max="6918" width="7.1640625" style="191" bestFit="1" customWidth="1"/>
    <col min="6919" max="6919" width="4.5" style="191" bestFit="1" customWidth="1"/>
    <col min="6920" max="6920" width="5.5" style="191" bestFit="1" customWidth="1"/>
    <col min="6921" max="6923" width="6.1640625" style="191" bestFit="1" customWidth="1"/>
    <col min="6924" max="6924" width="7.1640625" style="191" bestFit="1" customWidth="1"/>
    <col min="6925" max="6934" width="8.83203125" style="191" customWidth="1"/>
    <col min="6935" max="6935" width="10" style="191" bestFit="1" customWidth="1"/>
    <col min="6936" max="7159" width="8.83203125" style="191" customWidth="1"/>
    <col min="7160" max="7160" width="7.83203125" style="191" customWidth="1"/>
    <col min="7161" max="7161" width="7.5" style="191" customWidth="1"/>
    <col min="7162" max="7162" width="9" style="191" customWidth="1"/>
    <col min="7163" max="7163" width="8.33203125" style="191" customWidth="1"/>
    <col min="7164" max="7166" width="8.5" style="191" bestFit="1" customWidth="1"/>
    <col min="7167" max="7167" width="10" style="191" bestFit="1" customWidth="1"/>
    <col min="7168" max="7168" width="8.1640625" style="191" bestFit="1" customWidth="1"/>
    <col min="7169" max="7170" width="8.5" style="191" bestFit="1" customWidth="1"/>
    <col min="7171" max="7171" width="6" style="191" bestFit="1" customWidth="1"/>
    <col min="7172" max="7172" width="8.83203125" style="191" customWidth="1"/>
    <col min="7173" max="7173" width="8.5" style="191" bestFit="1" customWidth="1"/>
    <col min="7174" max="7174" width="7.1640625" style="191" bestFit="1" customWidth="1"/>
    <col min="7175" max="7175" width="4.5" style="191" bestFit="1" customWidth="1"/>
    <col min="7176" max="7176" width="5.5" style="191" bestFit="1" customWidth="1"/>
    <col min="7177" max="7179" width="6.1640625" style="191" bestFit="1" customWidth="1"/>
    <col min="7180" max="7180" width="7.1640625" style="191" bestFit="1" customWidth="1"/>
    <col min="7181" max="7190" width="8.83203125" style="191" customWidth="1"/>
    <col min="7191" max="7191" width="10" style="191" bestFit="1" customWidth="1"/>
    <col min="7192" max="7415" width="8.83203125" style="191" customWidth="1"/>
    <col min="7416" max="7416" width="7.83203125" style="191" customWidth="1"/>
    <col min="7417" max="7417" width="7.5" style="191" customWidth="1"/>
    <col min="7418" max="7418" width="9" style="191" customWidth="1"/>
    <col min="7419" max="7419" width="8.33203125" style="191" customWidth="1"/>
    <col min="7420" max="7422" width="8.5" style="191" bestFit="1" customWidth="1"/>
    <col min="7423" max="7423" width="10" style="191" bestFit="1" customWidth="1"/>
    <col min="7424" max="7424" width="8.1640625" style="191" bestFit="1" customWidth="1"/>
    <col min="7425" max="7426" width="8.5" style="191" bestFit="1" customWidth="1"/>
    <col min="7427" max="7427" width="6" style="191" bestFit="1" customWidth="1"/>
    <col min="7428" max="7428" width="8.83203125" style="191" customWidth="1"/>
    <col min="7429" max="7429" width="8.5" style="191" bestFit="1" customWidth="1"/>
    <col min="7430" max="7430" width="7.1640625" style="191" bestFit="1" customWidth="1"/>
    <col min="7431" max="7431" width="4.5" style="191" bestFit="1" customWidth="1"/>
    <col min="7432" max="7432" width="5.5" style="191" bestFit="1" customWidth="1"/>
    <col min="7433" max="7435" width="6.1640625" style="191" bestFit="1" customWidth="1"/>
    <col min="7436" max="7436" width="7.1640625" style="191" bestFit="1" customWidth="1"/>
    <col min="7437" max="7446" width="8.83203125" style="191" customWidth="1"/>
    <col min="7447" max="7447" width="10" style="191" bestFit="1" customWidth="1"/>
    <col min="7448" max="7671" width="8.83203125" style="191" customWidth="1"/>
    <col min="7672" max="7672" width="7.83203125" style="191" customWidth="1"/>
    <col min="7673" max="7673" width="7.5" style="191" customWidth="1"/>
    <col min="7674" max="7674" width="9" style="191" customWidth="1"/>
    <col min="7675" max="7675" width="8.33203125" style="191" customWidth="1"/>
    <col min="7676" max="7678" width="8.5" style="191" bestFit="1" customWidth="1"/>
    <col min="7679" max="7679" width="10" style="191" bestFit="1" customWidth="1"/>
    <col min="7680" max="7680" width="8.1640625" style="191" bestFit="1" customWidth="1"/>
    <col min="7681" max="7682" width="8.5" style="191" bestFit="1" customWidth="1"/>
    <col min="7683" max="7683" width="6" style="191" bestFit="1" customWidth="1"/>
    <col min="7684" max="7684" width="8.83203125" style="191" customWidth="1"/>
    <col min="7685" max="7685" width="8.5" style="191" bestFit="1" customWidth="1"/>
    <col min="7686" max="7686" width="7.1640625" style="191" bestFit="1" customWidth="1"/>
    <col min="7687" max="7687" width="4.5" style="191" bestFit="1" customWidth="1"/>
    <col min="7688" max="7688" width="5.5" style="191" bestFit="1" customWidth="1"/>
    <col min="7689" max="7691" width="6.1640625" style="191" bestFit="1" customWidth="1"/>
    <col min="7692" max="7692" width="7.1640625" style="191" bestFit="1" customWidth="1"/>
    <col min="7693" max="7702" width="8.83203125" style="191" customWidth="1"/>
    <col min="7703" max="7703" width="10" style="191" bestFit="1" customWidth="1"/>
    <col min="7704" max="7927" width="8.83203125" style="191" customWidth="1"/>
    <col min="7928" max="7928" width="7.83203125" style="191" customWidth="1"/>
    <col min="7929" max="7929" width="7.5" style="191" customWidth="1"/>
    <col min="7930" max="7930" width="9" style="191" customWidth="1"/>
    <col min="7931" max="7931" width="8.33203125" style="191" customWidth="1"/>
    <col min="7932" max="7934" width="8.5" style="191" bestFit="1" customWidth="1"/>
    <col min="7935" max="7935" width="10" style="191" bestFit="1" customWidth="1"/>
    <col min="7936" max="7936" width="8.1640625" style="191" bestFit="1" customWidth="1"/>
    <col min="7937" max="7938" width="8.5" style="191" bestFit="1" customWidth="1"/>
    <col min="7939" max="7939" width="6" style="191" bestFit="1" customWidth="1"/>
    <col min="7940" max="7940" width="8.83203125" style="191" customWidth="1"/>
    <col min="7941" max="7941" width="8.5" style="191" bestFit="1" customWidth="1"/>
    <col min="7942" max="7942" width="7.1640625" style="191" bestFit="1" customWidth="1"/>
    <col min="7943" max="7943" width="4.5" style="191" bestFit="1" customWidth="1"/>
    <col min="7944" max="7944" width="5.5" style="191" bestFit="1" customWidth="1"/>
    <col min="7945" max="7947" width="6.1640625" style="191" bestFit="1" customWidth="1"/>
    <col min="7948" max="7948" width="7.1640625" style="191" bestFit="1" customWidth="1"/>
    <col min="7949" max="7958" width="8.83203125" style="191" customWidth="1"/>
    <col min="7959" max="7959" width="10" style="191" bestFit="1" customWidth="1"/>
    <col min="7960" max="8183" width="8.83203125" style="191" customWidth="1"/>
    <col min="8184" max="8184" width="7.83203125" style="191" customWidth="1"/>
    <col min="8185" max="8185" width="7.5" style="191" customWidth="1"/>
    <col min="8186" max="8186" width="9" style="191" customWidth="1"/>
    <col min="8187" max="8187" width="8.33203125" style="191" customWidth="1"/>
    <col min="8188" max="8190" width="8.5" style="191" bestFit="1" customWidth="1"/>
    <col min="8191" max="8191" width="10" style="191" bestFit="1" customWidth="1"/>
    <col min="8192" max="8192" width="8.1640625" style="191" bestFit="1" customWidth="1"/>
    <col min="8193" max="8194" width="8.5" style="191" bestFit="1" customWidth="1"/>
    <col min="8195" max="8195" width="6" style="191" bestFit="1" customWidth="1"/>
    <col min="8196" max="8196" width="8.83203125" style="191" customWidth="1"/>
    <col min="8197" max="8197" width="8.5" style="191" bestFit="1" customWidth="1"/>
    <col min="8198" max="8198" width="7.1640625" style="191" bestFit="1" customWidth="1"/>
    <col min="8199" max="8199" width="4.5" style="191" bestFit="1" customWidth="1"/>
    <col min="8200" max="8200" width="5.5" style="191" bestFit="1" customWidth="1"/>
    <col min="8201" max="8203" width="6.1640625" style="191" bestFit="1" customWidth="1"/>
    <col min="8204" max="8204" width="7.1640625" style="191" bestFit="1" customWidth="1"/>
    <col min="8205" max="8214" width="8.83203125" style="191" customWidth="1"/>
    <col min="8215" max="8215" width="10" style="191" bestFit="1" customWidth="1"/>
    <col min="8216" max="8439" width="8.83203125" style="191" customWidth="1"/>
    <col min="8440" max="8440" width="7.83203125" style="191" customWidth="1"/>
    <col min="8441" max="8441" width="7.5" style="191" customWidth="1"/>
    <col min="8442" max="8442" width="9" style="191" customWidth="1"/>
    <col min="8443" max="8443" width="8.33203125" style="191" customWidth="1"/>
    <col min="8444" max="8446" width="8.5" style="191" bestFit="1" customWidth="1"/>
    <col min="8447" max="8447" width="10" style="191" bestFit="1" customWidth="1"/>
    <col min="8448" max="8448" width="8.1640625" style="191" bestFit="1" customWidth="1"/>
    <col min="8449" max="8450" width="8.5" style="191" bestFit="1" customWidth="1"/>
    <col min="8451" max="8451" width="6" style="191" bestFit="1" customWidth="1"/>
    <col min="8452" max="8452" width="8.83203125" style="191" customWidth="1"/>
    <col min="8453" max="8453" width="8.5" style="191" bestFit="1" customWidth="1"/>
    <col min="8454" max="8454" width="7.1640625" style="191" bestFit="1" customWidth="1"/>
    <col min="8455" max="8455" width="4.5" style="191" bestFit="1" customWidth="1"/>
    <col min="8456" max="8456" width="5.5" style="191" bestFit="1" customWidth="1"/>
    <col min="8457" max="8459" width="6.1640625" style="191" bestFit="1" customWidth="1"/>
    <col min="8460" max="8460" width="7.1640625" style="191" bestFit="1" customWidth="1"/>
    <col min="8461" max="8470" width="8.83203125" style="191" customWidth="1"/>
    <col min="8471" max="8471" width="10" style="191" bestFit="1" customWidth="1"/>
    <col min="8472" max="8695" width="8.83203125" style="191" customWidth="1"/>
    <col min="8696" max="8696" width="7.83203125" style="191" customWidth="1"/>
    <col min="8697" max="8697" width="7.5" style="191" customWidth="1"/>
    <col min="8698" max="8698" width="9" style="191" customWidth="1"/>
    <col min="8699" max="8699" width="8.33203125" style="191" customWidth="1"/>
    <col min="8700" max="8702" width="8.5" style="191" bestFit="1" customWidth="1"/>
    <col min="8703" max="8703" width="10" style="191" bestFit="1" customWidth="1"/>
    <col min="8704" max="8704" width="8.1640625" style="191" bestFit="1" customWidth="1"/>
    <col min="8705" max="8706" width="8.5" style="191" bestFit="1" customWidth="1"/>
    <col min="8707" max="8707" width="6" style="191" bestFit="1" customWidth="1"/>
    <col min="8708" max="8708" width="8.83203125" style="191" customWidth="1"/>
    <col min="8709" max="8709" width="8.5" style="191" bestFit="1" customWidth="1"/>
    <col min="8710" max="8710" width="7.1640625" style="191" bestFit="1" customWidth="1"/>
    <col min="8711" max="8711" width="4.5" style="191" bestFit="1" customWidth="1"/>
    <col min="8712" max="8712" width="5.5" style="191" bestFit="1" customWidth="1"/>
    <col min="8713" max="8715" width="6.1640625" style="191" bestFit="1" customWidth="1"/>
    <col min="8716" max="8716" width="7.1640625" style="191" bestFit="1" customWidth="1"/>
    <col min="8717" max="8726" width="8.83203125" style="191" customWidth="1"/>
    <col min="8727" max="8727" width="10" style="191" bestFit="1" customWidth="1"/>
    <col min="8728" max="8951" width="8.83203125" style="191" customWidth="1"/>
    <col min="8952" max="8952" width="7.83203125" style="191" customWidth="1"/>
    <col min="8953" max="8953" width="7.5" style="191" customWidth="1"/>
    <col min="8954" max="8954" width="9" style="191" customWidth="1"/>
    <col min="8955" max="8955" width="8.33203125" style="191" customWidth="1"/>
    <col min="8956" max="8958" width="8.5" style="191" bestFit="1" customWidth="1"/>
    <col min="8959" max="8959" width="10" style="191" bestFit="1" customWidth="1"/>
    <col min="8960" max="8960" width="8.1640625" style="191" bestFit="1" customWidth="1"/>
    <col min="8961" max="8962" width="8.5" style="191" bestFit="1" customWidth="1"/>
    <col min="8963" max="8963" width="6" style="191" bestFit="1" customWidth="1"/>
    <col min="8964" max="8964" width="8.83203125" style="191" customWidth="1"/>
    <col min="8965" max="8965" width="8.5" style="191" bestFit="1" customWidth="1"/>
    <col min="8966" max="8966" width="7.1640625" style="191" bestFit="1" customWidth="1"/>
    <col min="8967" max="8967" width="4.5" style="191" bestFit="1" customWidth="1"/>
    <col min="8968" max="8968" width="5.5" style="191" bestFit="1" customWidth="1"/>
    <col min="8969" max="8971" width="6.1640625" style="191" bestFit="1" customWidth="1"/>
    <col min="8972" max="8972" width="7.1640625" style="191" bestFit="1" customWidth="1"/>
    <col min="8973" max="8982" width="8.83203125" style="191" customWidth="1"/>
    <col min="8983" max="8983" width="10" style="191" bestFit="1" customWidth="1"/>
    <col min="8984" max="9207" width="8.83203125" style="191" customWidth="1"/>
    <col min="9208" max="9208" width="7.83203125" style="191" customWidth="1"/>
    <col min="9209" max="9209" width="7.5" style="191" customWidth="1"/>
    <col min="9210" max="9210" width="9" style="191" customWidth="1"/>
    <col min="9211" max="9211" width="8.33203125" style="191" customWidth="1"/>
    <col min="9212" max="9214" width="8.5" style="191" bestFit="1" customWidth="1"/>
    <col min="9215" max="9215" width="10" style="191" bestFit="1" customWidth="1"/>
    <col min="9216" max="9216" width="8.1640625" style="191" bestFit="1" customWidth="1"/>
    <col min="9217" max="9218" width="8.5" style="191" bestFit="1" customWidth="1"/>
    <col min="9219" max="9219" width="6" style="191" bestFit="1" customWidth="1"/>
    <col min="9220" max="9220" width="8.83203125" style="191" customWidth="1"/>
    <col min="9221" max="9221" width="8.5" style="191" bestFit="1" customWidth="1"/>
    <col min="9222" max="9222" width="7.1640625" style="191" bestFit="1" customWidth="1"/>
    <col min="9223" max="9223" width="4.5" style="191" bestFit="1" customWidth="1"/>
    <col min="9224" max="9224" width="5.5" style="191" bestFit="1" customWidth="1"/>
    <col min="9225" max="9227" width="6.1640625" style="191" bestFit="1" customWidth="1"/>
    <col min="9228" max="9228" width="7.1640625" style="191" bestFit="1" customWidth="1"/>
    <col min="9229" max="9238" width="8.83203125" style="191" customWidth="1"/>
    <col min="9239" max="9239" width="10" style="191" bestFit="1" customWidth="1"/>
    <col min="9240" max="9463" width="8.83203125" style="191" customWidth="1"/>
    <col min="9464" max="9464" width="7.83203125" style="191" customWidth="1"/>
    <col min="9465" max="9465" width="7.5" style="191" customWidth="1"/>
    <col min="9466" max="9466" width="9" style="191" customWidth="1"/>
    <col min="9467" max="9467" width="8.33203125" style="191" customWidth="1"/>
    <col min="9468" max="9470" width="8.5" style="191" bestFit="1" customWidth="1"/>
    <col min="9471" max="9471" width="10" style="191" bestFit="1" customWidth="1"/>
    <col min="9472" max="9472" width="8.1640625" style="191" bestFit="1" customWidth="1"/>
    <col min="9473" max="9474" width="8.5" style="191" bestFit="1" customWidth="1"/>
    <col min="9475" max="9475" width="6" style="191" bestFit="1" customWidth="1"/>
    <col min="9476" max="9476" width="8.83203125" style="191" customWidth="1"/>
    <col min="9477" max="9477" width="8.5" style="191" bestFit="1" customWidth="1"/>
    <col min="9478" max="9478" width="7.1640625" style="191" bestFit="1" customWidth="1"/>
    <col min="9479" max="9479" width="4.5" style="191" bestFit="1" customWidth="1"/>
    <col min="9480" max="9480" width="5.5" style="191" bestFit="1" customWidth="1"/>
    <col min="9481" max="9483" width="6.1640625" style="191" bestFit="1" customWidth="1"/>
    <col min="9484" max="9484" width="7.1640625" style="191" bestFit="1" customWidth="1"/>
    <col min="9485" max="9494" width="8.83203125" style="191" customWidth="1"/>
    <col min="9495" max="9495" width="10" style="191" bestFit="1" customWidth="1"/>
    <col min="9496" max="9719" width="8.83203125" style="191" customWidth="1"/>
    <col min="9720" max="9720" width="7.83203125" style="191" customWidth="1"/>
    <col min="9721" max="9721" width="7.5" style="191" customWidth="1"/>
    <col min="9722" max="9722" width="9" style="191" customWidth="1"/>
    <col min="9723" max="9723" width="8.33203125" style="191" customWidth="1"/>
    <col min="9724" max="9726" width="8.5" style="191" bestFit="1" customWidth="1"/>
    <col min="9727" max="9727" width="10" style="191" bestFit="1" customWidth="1"/>
    <col min="9728" max="9728" width="8.1640625" style="191" bestFit="1" customWidth="1"/>
    <col min="9729" max="9730" width="8.5" style="191" bestFit="1" customWidth="1"/>
    <col min="9731" max="9731" width="6" style="191" bestFit="1" customWidth="1"/>
    <col min="9732" max="9732" width="8.83203125" style="191" customWidth="1"/>
    <col min="9733" max="9733" width="8.5" style="191" bestFit="1" customWidth="1"/>
    <col min="9734" max="9734" width="7.1640625" style="191" bestFit="1" customWidth="1"/>
    <col min="9735" max="9735" width="4.5" style="191" bestFit="1" customWidth="1"/>
    <col min="9736" max="9736" width="5.5" style="191" bestFit="1" customWidth="1"/>
    <col min="9737" max="9739" width="6.1640625" style="191" bestFit="1" customWidth="1"/>
    <col min="9740" max="9740" width="7.1640625" style="191" bestFit="1" customWidth="1"/>
    <col min="9741" max="9750" width="8.83203125" style="191" customWidth="1"/>
    <col min="9751" max="9751" width="10" style="191" bestFit="1" customWidth="1"/>
    <col min="9752" max="9975" width="8.83203125" style="191" customWidth="1"/>
    <col min="9976" max="9976" width="7.83203125" style="191" customWidth="1"/>
    <col min="9977" max="9977" width="7.5" style="191" customWidth="1"/>
    <col min="9978" max="9978" width="9" style="191" customWidth="1"/>
    <col min="9979" max="9979" width="8.33203125" style="191" customWidth="1"/>
    <col min="9980" max="9982" width="8.5" style="191" bestFit="1" customWidth="1"/>
    <col min="9983" max="9983" width="10" style="191" bestFit="1" customWidth="1"/>
    <col min="9984" max="9984" width="8.1640625" style="191" bestFit="1" customWidth="1"/>
    <col min="9985" max="9986" width="8.5" style="191" bestFit="1" customWidth="1"/>
    <col min="9987" max="9987" width="6" style="191" bestFit="1" customWidth="1"/>
    <col min="9988" max="9988" width="8.83203125" style="191" customWidth="1"/>
    <col min="9989" max="9989" width="8.5" style="191" bestFit="1" customWidth="1"/>
    <col min="9990" max="9990" width="7.1640625" style="191" bestFit="1" customWidth="1"/>
    <col min="9991" max="9991" width="4.5" style="191" bestFit="1" customWidth="1"/>
    <col min="9992" max="9992" width="5.5" style="191" bestFit="1" customWidth="1"/>
    <col min="9993" max="9995" width="6.1640625" style="191" bestFit="1" customWidth="1"/>
    <col min="9996" max="9996" width="7.1640625" style="191" bestFit="1" customWidth="1"/>
    <col min="9997" max="10006" width="8.83203125" style="191" customWidth="1"/>
    <col min="10007" max="10007" width="10" style="191" bestFit="1" customWidth="1"/>
    <col min="10008" max="10231" width="8.83203125" style="191" customWidth="1"/>
    <col min="10232" max="10232" width="7.83203125" style="191" customWidth="1"/>
    <col min="10233" max="10233" width="7.5" style="191" customWidth="1"/>
    <col min="10234" max="10234" width="9" style="191" customWidth="1"/>
    <col min="10235" max="10235" width="8.33203125" style="191" customWidth="1"/>
    <col min="10236" max="10238" width="8.5" style="191" bestFit="1" customWidth="1"/>
    <col min="10239" max="10239" width="10" style="191" bestFit="1" customWidth="1"/>
    <col min="10240" max="10240" width="8.1640625" style="191" bestFit="1" customWidth="1"/>
    <col min="10241" max="10242" width="8.5" style="191" bestFit="1" customWidth="1"/>
    <col min="10243" max="10243" width="6" style="191" bestFit="1" customWidth="1"/>
    <col min="10244" max="10244" width="8.83203125" style="191" customWidth="1"/>
    <col min="10245" max="10245" width="8.5" style="191" bestFit="1" customWidth="1"/>
    <col min="10246" max="10246" width="7.1640625" style="191" bestFit="1" customWidth="1"/>
    <col min="10247" max="10247" width="4.5" style="191" bestFit="1" customWidth="1"/>
    <col min="10248" max="10248" width="5.5" style="191" bestFit="1" customWidth="1"/>
    <col min="10249" max="10251" width="6.1640625" style="191" bestFit="1" customWidth="1"/>
    <col min="10252" max="10252" width="7.1640625" style="191" bestFit="1" customWidth="1"/>
    <col min="10253" max="10262" width="8.83203125" style="191" customWidth="1"/>
    <col min="10263" max="10263" width="10" style="191" bestFit="1" customWidth="1"/>
    <col min="10264" max="10487" width="8.83203125" style="191" customWidth="1"/>
    <col min="10488" max="10488" width="7.83203125" style="191" customWidth="1"/>
    <col min="10489" max="10489" width="7.5" style="191" customWidth="1"/>
    <col min="10490" max="10490" width="9" style="191" customWidth="1"/>
    <col min="10491" max="10491" width="8.33203125" style="191" customWidth="1"/>
    <col min="10492" max="10494" width="8.5" style="191" bestFit="1" customWidth="1"/>
    <col min="10495" max="10495" width="10" style="191" bestFit="1" customWidth="1"/>
    <col min="10496" max="10496" width="8.1640625" style="191" bestFit="1" customWidth="1"/>
    <col min="10497" max="10498" width="8.5" style="191" bestFit="1" customWidth="1"/>
    <col min="10499" max="10499" width="6" style="191" bestFit="1" customWidth="1"/>
    <col min="10500" max="10500" width="8.83203125" style="191" customWidth="1"/>
    <col min="10501" max="10501" width="8.5" style="191" bestFit="1" customWidth="1"/>
    <col min="10502" max="10502" width="7.1640625" style="191" bestFit="1" customWidth="1"/>
    <col min="10503" max="10503" width="4.5" style="191" bestFit="1" customWidth="1"/>
    <col min="10504" max="10504" width="5.5" style="191" bestFit="1" customWidth="1"/>
    <col min="10505" max="10507" width="6.1640625" style="191" bestFit="1" customWidth="1"/>
    <col min="10508" max="10508" width="7.1640625" style="191" bestFit="1" customWidth="1"/>
    <col min="10509" max="10518" width="8.83203125" style="191" customWidth="1"/>
    <col min="10519" max="10519" width="10" style="191" bestFit="1" customWidth="1"/>
    <col min="10520" max="10743" width="8.83203125" style="191" customWidth="1"/>
    <col min="10744" max="10744" width="7.83203125" style="191" customWidth="1"/>
    <col min="10745" max="10745" width="7.5" style="191" customWidth="1"/>
    <col min="10746" max="10746" width="9" style="191" customWidth="1"/>
    <col min="10747" max="10747" width="8.33203125" style="191" customWidth="1"/>
    <col min="10748" max="10750" width="8.5" style="191" bestFit="1" customWidth="1"/>
    <col min="10751" max="10751" width="10" style="191" bestFit="1" customWidth="1"/>
    <col min="10752" max="10752" width="8.1640625" style="191" bestFit="1" customWidth="1"/>
    <col min="10753" max="10754" width="8.5" style="191" bestFit="1" customWidth="1"/>
    <col min="10755" max="10755" width="6" style="191" bestFit="1" customWidth="1"/>
    <col min="10756" max="10756" width="8.83203125" style="191" customWidth="1"/>
    <col min="10757" max="10757" width="8.5" style="191" bestFit="1" customWidth="1"/>
    <col min="10758" max="10758" width="7.1640625" style="191" bestFit="1" customWidth="1"/>
    <col min="10759" max="10759" width="4.5" style="191" bestFit="1" customWidth="1"/>
    <col min="10760" max="10760" width="5.5" style="191" bestFit="1" customWidth="1"/>
    <col min="10761" max="10763" width="6.1640625" style="191" bestFit="1" customWidth="1"/>
    <col min="10764" max="10764" width="7.1640625" style="191" bestFit="1" customWidth="1"/>
    <col min="10765" max="10774" width="8.83203125" style="191" customWidth="1"/>
    <col min="10775" max="10775" width="10" style="191" bestFit="1" customWidth="1"/>
    <col min="10776" max="10999" width="8.83203125" style="191" customWidth="1"/>
    <col min="11000" max="11000" width="7.83203125" style="191" customWidth="1"/>
    <col min="11001" max="11001" width="7.5" style="191" customWidth="1"/>
    <col min="11002" max="11002" width="9" style="191" customWidth="1"/>
    <col min="11003" max="11003" width="8.33203125" style="191" customWidth="1"/>
    <col min="11004" max="11006" width="8.5" style="191" bestFit="1" customWidth="1"/>
    <col min="11007" max="11007" width="10" style="191" bestFit="1" customWidth="1"/>
    <col min="11008" max="11008" width="8.1640625" style="191" bestFit="1" customWidth="1"/>
    <col min="11009" max="11010" width="8.5" style="191" bestFit="1" customWidth="1"/>
    <col min="11011" max="11011" width="6" style="191" bestFit="1" customWidth="1"/>
    <col min="11012" max="11012" width="8.83203125" style="191" customWidth="1"/>
    <col min="11013" max="11013" width="8.5" style="191" bestFit="1" customWidth="1"/>
    <col min="11014" max="11014" width="7.1640625" style="191" bestFit="1" customWidth="1"/>
    <col min="11015" max="11015" width="4.5" style="191" bestFit="1" customWidth="1"/>
    <col min="11016" max="11016" width="5.5" style="191" bestFit="1" customWidth="1"/>
    <col min="11017" max="11019" width="6.1640625" style="191" bestFit="1" customWidth="1"/>
    <col min="11020" max="11020" width="7.1640625" style="191" bestFit="1" customWidth="1"/>
    <col min="11021" max="11030" width="8.83203125" style="191" customWidth="1"/>
    <col min="11031" max="11031" width="10" style="191" bestFit="1" customWidth="1"/>
    <col min="11032" max="11255" width="8.83203125" style="191" customWidth="1"/>
    <col min="11256" max="11256" width="7.83203125" style="191" customWidth="1"/>
    <col min="11257" max="11257" width="7.5" style="191" customWidth="1"/>
    <col min="11258" max="11258" width="9" style="191" customWidth="1"/>
    <col min="11259" max="11259" width="8.33203125" style="191" customWidth="1"/>
    <col min="11260" max="11262" width="8.5" style="191" bestFit="1" customWidth="1"/>
    <col min="11263" max="11263" width="10" style="191" bestFit="1" customWidth="1"/>
    <col min="11264" max="11264" width="8.1640625" style="191" bestFit="1" customWidth="1"/>
    <col min="11265" max="11266" width="8.5" style="191" bestFit="1" customWidth="1"/>
    <col min="11267" max="11267" width="6" style="191" bestFit="1" customWidth="1"/>
    <col min="11268" max="11268" width="8.83203125" style="191" customWidth="1"/>
    <col min="11269" max="11269" width="8.5" style="191" bestFit="1" customWidth="1"/>
    <col min="11270" max="11270" width="7.1640625" style="191" bestFit="1" customWidth="1"/>
    <col min="11271" max="11271" width="4.5" style="191" bestFit="1" customWidth="1"/>
    <col min="11272" max="11272" width="5.5" style="191" bestFit="1" customWidth="1"/>
    <col min="11273" max="11275" width="6.1640625" style="191" bestFit="1" customWidth="1"/>
    <col min="11276" max="11276" width="7.1640625" style="191" bestFit="1" customWidth="1"/>
    <col min="11277" max="11286" width="8.83203125" style="191" customWidth="1"/>
    <col min="11287" max="11287" width="10" style="191" bestFit="1" customWidth="1"/>
    <col min="11288" max="11511" width="8.83203125" style="191" customWidth="1"/>
    <col min="11512" max="11512" width="7.83203125" style="191" customWidth="1"/>
    <col min="11513" max="11513" width="7.5" style="191" customWidth="1"/>
    <col min="11514" max="11514" width="9" style="191" customWidth="1"/>
    <col min="11515" max="11515" width="8.33203125" style="191" customWidth="1"/>
    <col min="11516" max="11518" width="8.5" style="191" bestFit="1" customWidth="1"/>
    <col min="11519" max="11519" width="10" style="191" bestFit="1" customWidth="1"/>
    <col min="11520" max="11520" width="8.1640625" style="191" bestFit="1" customWidth="1"/>
    <col min="11521" max="11522" width="8.5" style="191" bestFit="1" customWidth="1"/>
    <col min="11523" max="11523" width="6" style="191" bestFit="1" customWidth="1"/>
    <col min="11524" max="11524" width="8.83203125" style="191" customWidth="1"/>
    <col min="11525" max="11525" width="8.5" style="191" bestFit="1" customWidth="1"/>
    <col min="11526" max="11526" width="7.1640625" style="191" bestFit="1" customWidth="1"/>
    <col min="11527" max="11527" width="4.5" style="191" bestFit="1" customWidth="1"/>
    <col min="11528" max="11528" width="5.5" style="191" bestFit="1" customWidth="1"/>
    <col min="11529" max="11531" width="6.1640625" style="191" bestFit="1" customWidth="1"/>
    <col min="11532" max="11532" width="7.1640625" style="191" bestFit="1" customWidth="1"/>
    <col min="11533" max="11542" width="8.83203125" style="191" customWidth="1"/>
    <col min="11543" max="11543" width="10" style="191" bestFit="1" customWidth="1"/>
    <col min="11544" max="11767" width="8.83203125" style="191" customWidth="1"/>
    <col min="11768" max="11768" width="7.83203125" style="191" customWidth="1"/>
    <col min="11769" max="11769" width="7.5" style="191" customWidth="1"/>
    <col min="11770" max="11770" width="9" style="191" customWidth="1"/>
    <col min="11771" max="11771" width="8.33203125" style="191" customWidth="1"/>
    <col min="11772" max="11774" width="8.5" style="191" bestFit="1" customWidth="1"/>
    <col min="11775" max="11775" width="10" style="191" bestFit="1" customWidth="1"/>
    <col min="11776" max="11776" width="8.1640625" style="191" bestFit="1" customWidth="1"/>
    <col min="11777" max="11778" width="8.5" style="191" bestFit="1" customWidth="1"/>
    <col min="11779" max="11779" width="6" style="191" bestFit="1" customWidth="1"/>
    <col min="11780" max="11780" width="8.83203125" style="191" customWidth="1"/>
    <col min="11781" max="11781" width="8.5" style="191" bestFit="1" customWidth="1"/>
    <col min="11782" max="11782" width="7.1640625" style="191" bestFit="1" customWidth="1"/>
    <col min="11783" max="11783" width="4.5" style="191" bestFit="1" customWidth="1"/>
    <col min="11784" max="11784" width="5.5" style="191" bestFit="1" customWidth="1"/>
    <col min="11785" max="11787" width="6.1640625" style="191" bestFit="1" customWidth="1"/>
    <col min="11788" max="11788" width="7.1640625" style="191" bestFit="1" customWidth="1"/>
    <col min="11789" max="11798" width="8.83203125" style="191" customWidth="1"/>
    <col min="11799" max="11799" width="10" style="191" bestFit="1" customWidth="1"/>
    <col min="11800" max="12023" width="8.83203125" style="191" customWidth="1"/>
    <col min="12024" max="12024" width="7.83203125" style="191" customWidth="1"/>
    <col min="12025" max="12025" width="7.5" style="191" customWidth="1"/>
    <col min="12026" max="12026" width="9" style="191" customWidth="1"/>
    <col min="12027" max="12027" width="8.33203125" style="191" customWidth="1"/>
    <col min="12028" max="12030" width="8.5" style="191" bestFit="1" customWidth="1"/>
    <col min="12031" max="12031" width="10" style="191" bestFit="1" customWidth="1"/>
    <col min="12032" max="12032" width="8.1640625" style="191" bestFit="1" customWidth="1"/>
    <col min="12033" max="12034" width="8.5" style="191" bestFit="1" customWidth="1"/>
    <col min="12035" max="12035" width="6" style="191" bestFit="1" customWidth="1"/>
    <col min="12036" max="12036" width="8.83203125" style="191" customWidth="1"/>
    <col min="12037" max="12037" width="8.5" style="191" bestFit="1" customWidth="1"/>
    <col min="12038" max="12038" width="7.1640625" style="191" bestFit="1" customWidth="1"/>
    <col min="12039" max="12039" width="4.5" style="191" bestFit="1" customWidth="1"/>
    <col min="12040" max="12040" width="5.5" style="191" bestFit="1" customWidth="1"/>
    <col min="12041" max="12043" width="6.1640625" style="191" bestFit="1" customWidth="1"/>
    <col min="12044" max="12044" width="7.1640625" style="191" bestFit="1" customWidth="1"/>
    <col min="12045" max="12054" width="8.83203125" style="191" customWidth="1"/>
    <col min="12055" max="12055" width="10" style="191" bestFit="1" customWidth="1"/>
    <col min="12056" max="12279" width="8.83203125" style="191" customWidth="1"/>
    <col min="12280" max="12280" width="7.83203125" style="191" customWidth="1"/>
    <col min="12281" max="12281" width="7.5" style="191" customWidth="1"/>
    <col min="12282" max="12282" width="9" style="191" customWidth="1"/>
    <col min="12283" max="12283" width="8.33203125" style="191" customWidth="1"/>
    <col min="12284" max="12286" width="8.5" style="191" bestFit="1" customWidth="1"/>
    <col min="12287" max="12287" width="10" style="191" bestFit="1" customWidth="1"/>
    <col min="12288" max="12288" width="8.1640625" style="191" bestFit="1" customWidth="1"/>
    <col min="12289" max="12290" width="8.5" style="191" bestFit="1" customWidth="1"/>
    <col min="12291" max="12291" width="6" style="191" bestFit="1" customWidth="1"/>
    <col min="12292" max="12292" width="8.83203125" style="191" customWidth="1"/>
    <col min="12293" max="12293" width="8.5" style="191" bestFit="1" customWidth="1"/>
    <col min="12294" max="12294" width="7.1640625" style="191" bestFit="1" customWidth="1"/>
    <col min="12295" max="12295" width="4.5" style="191" bestFit="1" customWidth="1"/>
    <col min="12296" max="12296" width="5.5" style="191" bestFit="1" customWidth="1"/>
    <col min="12297" max="12299" width="6.1640625" style="191" bestFit="1" customWidth="1"/>
    <col min="12300" max="12300" width="7.1640625" style="191" bestFit="1" customWidth="1"/>
    <col min="12301" max="12310" width="8.83203125" style="191" customWidth="1"/>
    <col min="12311" max="12311" width="10" style="191" bestFit="1" customWidth="1"/>
    <col min="12312" max="12535" width="8.83203125" style="191" customWidth="1"/>
    <col min="12536" max="12536" width="7.83203125" style="191" customWidth="1"/>
    <col min="12537" max="12537" width="7.5" style="191" customWidth="1"/>
    <col min="12538" max="12538" width="9" style="191" customWidth="1"/>
    <col min="12539" max="12539" width="8.33203125" style="191" customWidth="1"/>
    <col min="12540" max="12542" width="8.5" style="191" bestFit="1" customWidth="1"/>
    <col min="12543" max="12543" width="10" style="191" bestFit="1" customWidth="1"/>
    <col min="12544" max="12544" width="8.1640625" style="191" bestFit="1" customWidth="1"/>
    <col min="12545" max="12546" width="8.5" style="191" bestFit="1" customWidth="1"/>
    <col min="12547" max="12547" width="6" style="191" bestFit="1" customWidth="1"/>
    <col min="12548" max="12548" width="8.83203125" style="191" customWidth="1"/>
    <col min="12549" max="12549" width="8.5" style="191" bestFit="1" customWidth="1"/>
    <col min="12550" max="12550" width="7.1640625" style="191" bestFit="1" customWidth="1"/>
    <col min="12551" max="12551" width="4.5" style="191" bestFit="1" customWidth="1"/>
    <col min="12552" max="12552" width="5.5" style="191" bestFit="1" customWidth="1"/>
    <col min="12553" max="12555" width="6.1640625" style="191" bestFit="1" customWidth="1"/>
    <col min="12556" max="12556" width="7.1640625" style="191" bestFit="1" customWidth="1"/>
    <col min="12557" max="12566" width="8.83203125" style="191" customWidth="1"/>
    <col min="12567" max="12567" width="10" style="191" bestFit="1" customWidth="1"/>
    <col min="12568" max="12791" width="8.83203125" style="191" customWidth="1"/>
    <col min="12792" max="12792" width="7.83203125" style="191" customWidth="1"/>
    <col min="12793" max="12793" width="7.5" style="191" customWidth="1"/>
    <col min="12794" max="12794" width="9" style="191" customWidth="1"/>
    <col min="12795" max="12795" width="8.33203125" style="191" customWidth="1"/>
    <col min="12796" max="12798" width="8.5" style="191" bestFit="1" customWidth="1"/>
    <col min="12799" max="12799" width="10" style="191" bestFit="1" customWidth="1"/>
    <col min="12800" max="12800" width="8.1640625" style="191" bestFit="1" customWidth="1"/>
    <col min="12801" max="12802" width="8.5" style="191" bestFit="1" customWidth="1"/>
    <col min="12803" max="12803" width="6" style="191" bestFit="1" customWidth="1"/>
    <col min="12804" max="12804" width="8.83203125" style="191" customWidth="1"/>
    <col min="12805" max="12805" width="8.5" style="191" bestFit="1" customWidth="1"/>
    <col min="12806" max="12806" width="7.1640625" style="191" bestFit="1" customWidth="1"/>
    <col min="12807" max="12807" width="4.5" style="191" bestFit="1" customWidth="1"/>
    <col min="12808" max="12808" width="5.5" style="191" bestFit="1" customWidth="1"/>
    <col min="12809" max="12811" width="6.1640625" style="191" bestFit="1" customWidth="1"/>
    <col min="12812" max="12812" width="7.1640625" style="191" bestFit="1" customWidth="1"/>
    <col min="12813" max="12822" width="8.83203125" style="191" customWidth="1"/>
    <col min="12823" max="12823" width="10" style="191" bestFit="1" customWidth="1"/>
    <col min="12824" max="13047" width="8.83203125" style="191" customWidth="1"/>
    <col min="13048" max="13048" width="7.83203125" style="191" customWidth="1"/>
    <col min="13049" max="13049" width="7.5" style="191" customWidth="1"/>
    <col min="13050" max="13050" width="9" style="191" customWidth="1"/>
    <col min="13051" max="13051" width="8.33203125" style="191" customWidth="1"/>
    <col min="13052" max="13054" width="8.5" style="191" bestFit="1" customWidth="1"/>
    <col min="13055" max="13055" width="10" style="191" bestFit="1" customWidth="1"/>
    <col min="13056" max="13056" width="8.1640625" style="191" bestFit="1" customWidth="1"/>
    <col min="13057" max="13058" width="8.5" style="191" bestFit="1" customWidth="1"/>
    <col min="13059" max="13059" width="6" style="191" bestFit="1" customWidth="1"/>
    <col min="13060" max="13060" width="8.83203125" style="191" customWidth="1"/>
    <col min="13061" max="13061" width="8.5" style="191" bestFit="1" customWidth="1"/>
    <col min="13062" max="13062" width="7.1640625" style="191" bestFit="1" customWidth="1"/>
    <col min="13063" max="13063" width="4.5" style="191" bestFit="1" customWidth="1"/>
    <col min="13064" max="13064" width="5.5" style="191" bestFit="1" customWidth="1"/>
    <col min="13065" max="13067" width="6.1640625" style="191" bestFit="1" customWidth="1"/>
    <col min="13068" max="13068" width="7.1640625" style="191" bestFit="1" customWidth="1"/>
    <col min="13069" max="13078" width="8.83203125" style="191" customWidth="1"/>
    <col min="13079" max="13079" width="10" style="191" bestFit="1" customWidth="1"/>
    <col min="13080" max="13303" width="8.83203125" style="191" customWidth="1"/>
    <col min="13304" max="13304" width="7.83203125" style="191" customWidth="1"/>
    <col min="13305" max="13305" width="7.5" style="191" customWidth="1"/>
    <col min="13306" max="13306" width="9" style="191" customWidth="1"/>
    <col min="13307" max="13307" width="8.33203125" style="191" customWidth="1"/>
    <col min="13308" max="13310" width="8.5" style="191" bestFit="1" customWidth="1"/>
    <col min="13311" max="13311" width="10" style="191" bestFit="1" customWidth="1"/>
    <col min="13312" max="13312" width="8.1640625" style="191" bestFit="1" customWidth="1"/>
    <col min="13313" max="13314" width="8.5" style="191" bestFit="1" customWidth="1"/>
    <col min="13315" max="13315" width="6" style="191" bestFit="1" customWidth="1"/>
    <col min="13316" max="13316" width="8.83203125" style="191" customWidth="1"/>
    <col min="13317" max="13317" width="8.5" style="191" bestFit="1" customWidth="1"/>
    <col min="13318" max="13318" width="7.1640625" style="191" bestFit="1" customWidth="1"/>
    <col min="13319" max="13319" width="4.5" style="191" bestFit="1" customWidth="1"/>
    <col min="13320" max="13320" width="5.5" style="191" bestFit="1" customWidth="1"/>
    <col min="13321" max="13323" width="6.1640625" style="191" bestFit="1" customWidth="1"/>
    <col min="13324" max="13324" width="7.1640625" style="191" bestFit="1" customWidth="1"/>
    <col min="13325" max="13334" width="8.83203125" style="191" customWidth="1"/>
    <col min="13335" max="13335" width="10" style="191" bestFit="1" customWidth="1"/>
    <col min="13336" max="13559" width="8.83203125" style="191" customWidth="1"/>
    <col min="13560" max="13560" width="7.83203125" style="191" customWidth="1"/>
    <col min="13561" max="13561" width="7.5" style="191" customWidth="1"/>
    <col min="13562" max="13562" width="9" style="191" customWidth="1"/>
    <col min="13563" max="13563" width="8.33203125" style="191" customWidth="1"/>
    <col min="13564" max="13566" width="8.5" style="191" bestFit="1" customWidth="1"/>
    <col min="13567" max="13567" width="10" style="191" bestFit="1" customWidth="1"/>
    <col min="13568" max="13568" width="8.1640625" style="191" bestFit="1" customWidth="1"/>
    <col min="13569" max="13570" width="8.5" style="191" bestFit="1" customWidth="1"/>
    <col min="13571" max="13571" width="6" style="191" bestFit="1" customWidth="1"/>
    <col min="13572" max="13572" width="8.83203125" style="191" customWidth="1"/>
    <col min="13573" max="13573" width="8.5" style="191" bestFit="1" customWidth="1"/>
    <col min="13574" max="13574" width="7.1640625" style="191" bestFit="1" customWidth="1"/>
    <col min="13575" max="13575" width="4.5" style="191" bestFit="1" customWidth="1"/>
    <col min="13576" max="13576" width="5.5" style="191" bestFit="1" customWidth="1"/>
    <col min="13577" max="13579" width="6.1640625" style="191" bestFit="1" customWidth="1"/>
    <col min="13580" max="13580" width="7.1640625" style="191" bestFit="1" customWidth="1"/>
    <col min="13581" max="13590" width="8.83203125" style="191" customWidth="1"/>
    <col min="13591" max="13591" width="10" style="191" bestFit="1" customWidth="1"/>
    <col min="13592" max="13815" width="8.83203125" style="191" customWidth="1"/>
    <col min="13816" max="13816" width="7.83203125" style="191" customWidth="1"/>
    <col min="13817" max="13817" width="7.5" style="191" customWidth="1"/>
    <col min="13818" max="13818" width="9" style="191" customWidth="1"/>
    <col min="13819" max="13819" width="8.33203125" style="191" customWidth="1"/>
    <col min="13820" max="13822" width="8.5" style="191" bestFit="1" customWidth="1"/>
    <col min="13823" max="13823" width="10" style="191" bestFit="1" customWidth="1"/>
    <col min="13824" max="13824" width="8.1640625" style="191" bestFit="1" customWidth="1"/>
    <col min="13825" max="13826" width="8.5" style="191" bestFit="1" customWidth="1"/>
    <col min="13827" max="13827" width="6" style="191" bestFit="1" customWidth="1"/>
    <col min="13828" max="13828" width="8.83203125" style="191" customWidth="1"/>
    <col min="13829" max="13829" width="8.5" style="191" bestFit="1" customWidth="1"/>
    <col min="13830" max="13830" width="7.1640625" style="191" bestFit="1" customWidth="1"/>
    <col min="13831" max="13831" width="4.5" style="191" bestFit="1" customWidth="1"/>
    <col min="13832" max="13832" width="5.5" style="191" bestFit="1" customWidth="1"/>
    <col min="13833" max="13835" width="6.1640625" style="191" bestFit="1" customWidth="1"/>
    <col min="13836" max="13836" width="7.1640625" style="191" bestFit="1" customWidth="1"/>
    <col min="13837" max="13846" width="8.83203125" style="191" customWidth="1"/>
    <col min="13847" max="13847" width="10" style="191" bestFit="1" customWidth="1"/>
    <col min="13848" max="14071" width="8.83203125" style="191" customWidth="1"/>
    <col min="14072" max="14072" width="7.83203125" style="191" customWidth="1"/>
    <col min="14073" max="14073" width="7.5" style="191" customWidth="1"/>
    <col min="14074" max="14074" width="9" style="191" customWidth="1"/>
    <col min="14075" max="14075" width="8.33203125" style="191" customWidth="1"/>
    <col min="14076" max="14078" width="8.5" style="191" bestFit="1" customWidth="1"/>
    <col min="14079" max="14079" width="10" style="191" bestFit="1" customWidth="1"/>
    <col min="14080" max="14080" width="8.1640625" style="191" bestFit="1" customWidth="1"/>
    <col min="14081" max="14082" width="8.5" style="191" bestFit="1" customWidth="1"/>
    <col min="14083" max="14083" width="6" style="191" bestFit="1" customWidth="1"/>
    <col min="14084" max="14084" width="8.83203125" style="191" customWidth="1"/>
    <col min="14085" max="14085" width="8.5" style="191" bestFit="1" customWidth="1"/>
    <col min="14086" max="14086" width="7.1640625" style="191" bestFit="1" customWidth="1"/>
    <col min="14087" max="14087" width="4.5" style="191" bestFit="1" customWidth="1"/>
    <col min="14088" max="14088" width="5.5" style="191" bestFit="1" customWidth="1"/>
    <col min="14089" max="14091" width="6.1640625" style="191" bestFit="1" customWidth="1"/>
    <col min="14092" max="14092" width="7.1640625" style="191" bestFit="1" customWidth="1"/>
    <col min="14093" max="14102" width="8.83203125" style="191" customWidth="1"/>
    <col min="14103" max="14103" width="10" style="191" bestFit="1" customWidth="1"/>
    <col min="14104" max="14327" width="8.83203125" style="191" customWidth="1"/>
    <col min="14328" max="14328" width="7.83203125" style="191" customWidth="1"/>
    <col min="14329" max="14329" width="7.5" style="191" customWidth="1"/>
    <col min="14330" max="14330" width="9" style="191" customWidth="1"/>
    <col min="14331" max="14331" width="8.33203125" style="191" customWidth="1"/>
    <col min="14332" max="14334" width="8.5" style="191" bestFit="1" customWidth="1"/>
    <col min="14335" max="14335" width="10" style="191" bestFit="1" customWidth="1"/>
    <col min="14336" max="14336" width="8.1640625" style="191" bestFit="1" customWidth="1"/>
    <col min="14337" max="14338" width="8.5" style="191" bestFit="1" customWidth="1"/>
    <col min="14339" max="14339" width="6" style="191" bestFit="1" customWidth="1"/>
    <col min="14340" max="14340" width="8.83203125" style="191" customWidth="1"/>
    <col min="14341" max="14341" width="8.5" style="191" bestFit="1" customWidth="1"/>
    <col min="14342" max="14342" width="7.1640625" style="191" bestFit="1" customWidth="1"/>
    <col min="14343" max="14343" width="4.5" style="191" bestFit="1" customWidth="1"/>
    <col min="14344" max="14344" width="5.5" style="191" bestFit="1" customWidth="1"/>
    <col min="14345" max="14347" width="6.1640625" style="191" bestFit="1" customWidth="1"/>
    <col min="14348" max="14348" width="7.1640625" style="191" bestFit="1" customWidth="1"/>
    <col min="14349" max="14358" width="8.83203125" style="191" customWidth="1"/>
    <col min="14359" max="14359" width="10" style="191" bestFit="1" customWidth="1"/>
    <col min="14360" max="14583" width="8.83203125" style="191" customWidth="1"/>
    <col min="14584" max="14584" width="7.83203125" style="191" customWidth="1"/>
    <col min="14585" max="14585" width="7.5" style="191" customWidth="1"/>
    <col min="14586" max="14586" width="9" style="191" customWidth="1"/>
    <col min="14587" max="14587" width="8.33203125" style="191" customWidth="1"/>
    <col min="14588" max="14590" width="8.5" style="191" bestFit="1" customWidth="1"/>
    <col min="14591" max="14591" width="10" style="191" bestFit="1" customWidth="1"/>
    <col min="14592" max="14592" width="8.1640625" style="191" bestFit="1" customWidth="1"/>
    <col min="14593" max="14594" width="8.5" style="191" bestFit="1" customWidth="1"/>
    <col min="14595" max="14595" width="6" style="191" bestFit="1" customWidth="1"/>
    <col min="14596" max="14596" width="8.83203125" style="191" customWidth="1"/>
    <col min="14597" max="14597" width="8.5" style="191" bestFit="1" customWidth="1"/>
    <col min="14598" max="14598" width="7.1640625" style="191" bestFit="1" customWidth="1"/>
    <col min="14599" max="14599" width="4.5" style="191" bestFit="1" customWidth="1"/>
    <col min="14600" max="14600" width="5.5" style="191" bestFit="1" customWidth="1"/>
    <col min="14601" max="14603" width="6.1640625" style="191" bestFit="1" customWidth="1"/>
    <col min="14604" max="14604" width="7.1640625" style="191" bestFit="1" customWidth="1"/>
    <col min="14605" max="14614" width="8.83203125" style="191" customWidth="1"/>
    <col min="14615" max="14615" width="10" style="191" bestFit="1" customWidth="1"/>
    <col min="14616" max="14839" width="8.83203125" style="191" customWidth="1"/>
    <col min="14840" max="14840" width="7.83203125" style="191" customWidth="1"/>
    <col min="14841" max="14841" width="7.5" style="191" customWidth="1"/>
    <col min="14842" max="14842" width="9" style="191" customWidth="1"/>
    <col min="14843" max="14843" width="8.33203125" style="191" customWidth="1"/>
    <col min="14844" max="14846" width="8.5" style="191" bestFit="1" customWidth="1"/>
    <col min="14847" max="14847" width="10" style="191" bestFit="1" customWidth="1"/>
    <col min="14848" max="14848" width="8.1640625" style="191" bestFit="1" customWidth="1"/>
    <col min="14849" max="14850" width="8.5" style="191" bestFit="1" customWidth="1"/>
    <col min="14851" max="14851" width="6" style="191" bestFit="1" customWidth="1"/>
    <col min="14852" max="14852" width="8.83203125" style="191" customWidth="1"/>
    <col min="14853" max="14853" width="8.5" style="191" bestFit="1" customWidth="1"/>
    <col min="14854" max="14854" width="7.1640625" style="191" bestFit="1" customWidth="1"/>
    <col min="14855" max="14855" width="4.5" style="191" bestFit="1" customWidth="1"/>
    <col min="14856" max="14856" width="5.5" style="191" bestFit="1" customWidth="1"/>
    <col min="14857" max="14859" width="6.1640625" style="191" bestFit="1" customWidth="1"/>
    <col min="14860" max="14860" width="7.1640625" style="191" bestFit="1" customWidth="1"/>
    <col min="14861" max="14870" width="8.83203125" style="191" customWidth="1"/>
    <col min="14871" max="14871" width="10" style="191" bestFit="1" customWidth="1"/>
    <col min="14872" max="15095" width="8.83203125" style="191" customWidth="1"/>
    <col min="15096" max="15096" width="7.83203125" style="191" customWidth="1"/>
    <col min="15097" max="15097" width="7.5" style="191" customWidth="1"/>
    <col min="15098" max="15098" width="9" style="191" customWidth="1"/>
    <col min="15099" max="15099" width="8.33203125" style="191" customWidth="1"/>
    <col min="15100" max="15102" width="8.5" style="191" bestFit="1" customWidth="1"/>
    <col min="15103" max="15103" width="10" style="191" bestFit="1" customWidth="1"/>
    <col min="15104" max="15104" width="8.1640625" style="191" bestFit="1" customWidth="1"/>
    <col min="15105" max="15106" width="8.5" style="191" bestFit="1" customWidth="1"/>
    <col min="15107" max="15107" width="6" style="191" bestFit="1" customWidth="1"/>
    <col min="15108" max="15108" width="8.83203125" style="191" customWidth="1"/>
    <col min="15109" max="15109" width="8.5" style="191" bestFit="1" customWidth="1"/>
    <col min="15110" max="15110" width="7.1640625" style="191" bestFit="1" customWidth="1"/>
    <col min="15111" max="15111" width="4.5" style="191" bestFit="1" customWidth="1"/>
    <col min="15112" max="15112" width="5.5" style="191" bestFit="1" customWidth="1"/>
    <col min="15113" max="15115" width="6.1640625" style="191" bestFit="1" customWidth="1"/>
    <col min="15116" max="15116" width="7.1640625" style="191" bestFit="1" customWidth="1"/>
    <col min="15117" max="15126" width="8.83203125" style="191" customWidth="1"/>
    <col min="15127" max="15127" width="10" style="191" bestFit="1" customWidth="1"/>
    <col min="15128" max="15351" width="8.83203125" style="191" customWidth="1"/>
    <col min="15352" max="15352" width="7.83203125" style="191" customWidth="1"/>
    <col min="15353" max="15353" width="7.5" style="191" customWidth="1"/>
    <col min="15354" max="15354" width="9" style="191" customWidth="1"/>
    <col min="15355" max="15355" width="8.33203125" style="191" customWidth="1"/>
    <col min="15356" max="15358" width="8.5" style="191" bestFit="1" customWidth="1"/>
    <col min="15359" max="15359" width="10" style="191" bestFit="1" customWidth="1"/>
    <col min="15360" max="15360" width="8.1640625" style="191" bestFit="1" customWidth="1"/>
    <col min="15361" max="15362" width="8.5" style="191" bestFit="1" customWidth="1"/>
    <col min="15363" max="15363" width="6" style="191" bestFit="1" customWidth="1"/>
    <col min="15364" max="15364" width="8.83203125" style="191" customWidth="1"/>
    <col min="15365" max="15365" width="8.5" style="191" bestFit="1" customWidth="1"/>
    <col min="15366" max="15366" width="7.1640625" style="191" bestFit="1" customWidth="1"/>
    <col min="15367" max="15367" width="4.5" style="191" bestFit="1" customWidth="1"/>
    <col min="15368" max="15368" width="5.5" style="191" bestFit="1" customWidth="1"/>
    <col min="15369" max="15371" width="6.1640625" style="191" bestFit="1" customWidth="1"/>
    <col min="15372" max="15372" width="7.1640625" style="191" bestFit="1" customWidth="1"/>
    <col min="15373" max="15382" width="8.83203125" style="191" customWidth="1"/>
    <col min="15383" max="15383" width="10" style="191" bestFit="1" customWidth="1"/>
    <col min="15384" max="15607" width="8.83203125" style="191" customWidth="1"/>
    <col min="15608" max="15608" width="7.83203125" style="191" customWidth="1"/>
    <col min="15609" max="15609" width="7.5" style="191" customWidth="1"/>
    <col min="15610" max="15610" width="9" style="191" customWidth="1"/>
    <col min="15611" max="15611" width="8.33203125" style="191" customWidth="1"/>
    <col min="15612" max="15614" width="8.5" style="191" bestFit="1" customWidth="1"/>
    <col min="15615" max="15615" width="10" style="191" bestFit="1" customWidth="1"/>
    <col min="15616" max="15616" width="8.1640625" style="191" bestFit="1" customWidth="1"/>
    <col min="15617" max="15618" width="8.5" style="191" bestFit="1" customWidth="1"/>
    <col min="15619" max="15619" width="6" style="191" bestFit="1" customWidth="1"/>
    <col min="15620" max="15620" width="8.83203125" style="191" customWidth="1"/>
    <col min="15621" max="15621" width="8.5" style="191" bestFit="1" customWidth="1"/>
    <col min="15622" max="15622" width="7.1640625" style="191" bestFit="1" customWidth="1"/>
    <col min="15623" max="15623" width="4.5" style="191" bestFit="1" customWidth="1"/>
    <col min="15624" max="15624" width="5.5" style="191" bestFit="1" customWidth="1"/>
    <col min="15625" max="15627" width="6.1640625" style="191" bestFit="1" customWidth="1"/>
    <col min="15628" max="15628" width="7.1640625" style="191" bestFit="1" customWidth="1"/>
    <col min="15629" max="15638" width="8.83203125" style="191" customWidth="1"/>
    <col min="15639" max="15639" width="10" style="191" bestFit="1" customWidth="1"/>
    <col min="15640" max="15863" width="8.83203125" style="191" customWidth="1"/>
    <col min="15864" max="15864" width="7.83203125" style="191" customWidth="1"/>
    <col min="15865" max="15865" width="7.5" style="191" customWidth="1"/>
    <col min="15866" max="15866" width="9" style="191" customWidth="1"/>
    <col min="15867" max="15867" width="8.33203125" style="191" customWidth="1"/>
    <col min="15868" max="15870" width="8.5" style="191" bestFit="1" customWidth="1"/>
    <col min="15871" max="15871" width="10" style="191" bestFit="1" customWidth="1"/>
    <col min="15872" max="15872" width="8.1640625" style="191" bestFit="1" customWidth="1"/>
    <col min="15873" max="15874" width="8.5" style="191" bestFit="1" customWidth="1"/>
    <col min="15875" max="15875" width="6" style="191" bestFit="1" customWidth="1"/>
    <col min="15876" max="15876" width="8.83203125" style="191" customWidth="1"/>
    <col min="15877" max="15877" width="8.5" style="191" bestFit="1" customWidth="1"/>
    <col min="15878" max="15878" width="7.1640625" style="191" bestFit="1" customWidth="1"/>
    <col min="15879" max="15879" width="4.5" style="191" bestFit="1" customWidth="1"/>
    <col min="15880" max="15880" width="5.5" style="191" bestFit="1" customWidth="1"/>
    <col min="15881" max="15883" width="6.1640625" style="191" bestFit="1" customWidth="1"/>
    <col min="15884" max="15884" width="7.1640625" style="191" bestFit="1" customWidth="1"/>
    <col min="15885" max="15894" width="8.83203125" style="191" customWidth="1"/>
    <col min="15895" max="15895" width="10" style="191" bestFit="1" customWidth="1"/>
    <col min="15896" max="16119" width="8.83203125" style="191" customWidth="1"/>
    <col min="16120" max="16120" width="7.83203125" style="191" customWidth="1"/>
    <col min="16121" max="16121" width="7.5" style="191" customWidth="1"/>
    <col min="16122" max="16122" width="9" style="191" customWidth="1"/>
    <col min="16123" max="16123" width="8.33203125" style="191" customWidth="1"/>
    <col min="16124" max="16126" width="8.5" style="191" bestFit="1" customWidth="1"/>
    <col min="16127" max="16127" width="10" style="191" bestFit="1" customWidth="1"/>
    <col min="16128" max="16128" width="8.1640625" style="191" bestFit="1" customWidth="1"/>
    <col min="16129" max="16130" width="8.5" style="191" bestFit="1" customWidth="1"/>
    <col min="16131" max="16131" width="6" style="191" bestFit="1" customWidth="1"/>
    <col min="16132" max="16132" width="8.83203125" style="191" customWidth="1"/>
    <col min="16133" max="16133" width="8.5" style="191" bestFit="1" customWidth="1"/>
    <col min="16134" max="16134" width="7.1640625" style="191" bestFit="1" customWidth="1"/>
    <col min="16135" max="16135" width="4.5" style="191" bestFit="1" customWidth="1"/>
    <col min="16136" max="16136" width="5.5" style="191" bestFit="1" customWidth="1"/>
    <col min="16137" max="16139" width="6.1640625" style="191" bestFit="1" customWidth="1"/>
    <col min="16140" max="16140" width="7.1640625" style="191" bestFit="1" customWidth="1"/>
    <col min="16141" max="16150" width="8.83203125" style="191" customWidth="1"/>
    <col min="16151" max="16151" width="10" style="191" bestFit="1" customWidth="1"/>
    <col min="16152" max="16384" width="8.83203125" style="191" customWidth="1"/>
  </cols>
  <sheetData>
    <row r="1" spans="2:10" s="151" customFormat="1" ht="14" customHeight="1"/>
    <row r="2" spans="2:10" s="151" customFormat="1" ht="14" customHeight="1">
      <c r="B2" s="152" t="s">
        <v>805</v>
      </c>
      <c r="C2" s="153">
        <f>PI()/180</f>
        <v>1.7453292519943295E-2</v>
      </c>
      <c r="F2" s="154" t="s">
        <v>806</v>
      </c>
      <c r="G2" s="155">
        <f>Illumination!C21</f>
        <v>67.167680269585418</v>
      </c>
      <c r="H2" s="156"/>
      <c r="I2" s="157"/>
      <c r="J2" s="158"/>
    </row>
    <row r="3" spans="2:10" s="151" customFormat="1" ht="14" customHeight="1">
      <c r="B3" s="159" t="s">
        <v>807</v>
      </c>
      <c r="C3" s="160">
        <f>(Visibility!C10-2451545)/36525</f>
        <v>0.24365959388546232</v>
      </c>
      <c r="F3" s="161" t="s">
        <v>808</v>
      </c>
      <c r="G3" s="162">
        <v>200</v>
      </c>
      <c r="H3" s="162"/>
      <c r="I3" s="162" t="s">
        <v>809</v>
      </c>
      <c r="J3" s="163">
        <f>MOD(360-Illumination!G2+180,360)</f>
        <v>112.83231973041461</v>
      </c>
    </row>
    <row r="4" spans="2:10" s="151" customFormat="1" ht="14" customHeight="1">
      <c r="B4" s="159" t="s">
        <v>810</v>
      </c>
      <c r="C4" s="160">
        <f>MOD(297.8502042+445267.1115168*$C$3-0.00163*POWER($C$3,2)+(POWER($C$3,3)/545868)-(POWER($C$3,4)/113065000),360)</f>
        <v>71.453670189730474</v>
      </c>
      <c r="F4" s="161" t="s">
        <v>811</v>
      </c>
      <c r="G4" s="162">
        <f>2/G3</f>
        <v>0.01</v>
      </c>
      <c r="H4" s="162"/>
      <c r="I4" s="162" t="s">
        <v>812</v>
      </c>
      <c r="J4" s="164">
        <f>COS(RADIANS(J3))</f>
        <v>-0.38803553460176399</v>
      </c>
    </row>
    <row r="5" spans="2:10" s="151" customFormat="1" ht="14" customHeight="1">
      <c r="B5" s="159" t="s">
        <v>813</v>
      </c>
      <c r="C5" s="160">
        <f>MOD(357.5291092+35999.0502909*$C$3-0.0001536*POWER($C$3,2)+(POWER($C$3,3)/24490000),360)</f>
        <v>129.04307422438796</v>
      </c>
      <c r="F5" s="161"/>
      <c r="G5" s="162"/>
      <c r="H5" s="162"/>
      <c r="I5" s="162" t="s">
        <v>814</v>
      </c>
      <c r="J5" s="165">
        <f>ABS(J4)</f>
        <v>0.38803553460176399</v>
      </c>
    </row>
    <row r="6" spans="2:10" s="151" customFormat="1" ht="14" customHeight="1">
      <c r="B6" s="159" t="s">
        <v>815</v>
      </c>
      <c r="C6" s="160">
        <f>MOD(134.9634114+477198.8676313*$C$3+0.008997*POWER($C$3,2)+(POWER($C$3,3)/69699)-(POWER($C$3,4)/14712000),360)</f>
        <v>129.04623540423927</v>
      </c>
      <c r="F6" s="166"/>
      <c r="G6" s="167"/>
      <c r="H6" s="167"/>
      <c r="I6" s="167" t="s">
        <v>816</v>
      </c>
      <c r="J6" s="168">
        <v>1</v>
      </c>
    </row>
    <row r="7" spans="2:10" s="151" customFormat="1" ht="14" customHeight="1">
      <c r="B7" s="159" t="s">
        <v>817</v>
      </c>
      <c r="C7" s="160">
        <f>180-C4-6.289*SIN($C$2*C6)+2.1*SIN($C$2*C5)-1.274*SIN($C$2*(2*C4-C6))-0.658*SIN($C$2*2*C4)-0.214*SIN($C$2*2*C6)-0.11*SIN($C$2*C4)</f>
        <v>104.69611997828105</v>
      </c>
      <c r="F7" s="161"/>
      <c r="G7" s="162"/>
      <c r="H7" s="162"/>
      <c r="I7" s="162"/>
      <c r="J7" s="165"/>
    </row>
    <row r="8" spans="2:10" s="151" customFormat="1" ht="14" customHeight="1">
      <c r="B8" s="169" t="s">
        <v>818</v>
      </c>
      <c r="C8" s="170">
        <f>(1+COS($C$2*C7))/2</f>
        <v>0.37315377927547455</v>
      </c>
      <c r="F8" s="171" t="s">
        <v>795</v>
      </c>
      <c r="G8" s="172" t="s">
        <v>819</v>
      </c>
      <c r="H8" s="172" t="s">
        <v>820</v>
      </c>
      <c r="I8" s="172" t="s">
        <v>821</v>
      </c>
      <c r="J8" s="173" t="s">
        <v>822</v>
      </c>
    </row>
    <row r="9" spans="2:10" s="151" customFormat="1" ht="14" customHeight="1">
      <c r="F9" s="174">
        <v>-1</v>
      </c>
      <c r="G9" s="175">
        <f t="shared" ref="G9:G72" si="0">IFERROR(IF(SQRT(1-(F9*F9)/($J$5*$J$5))&lt;0.05,0,SQRT(1-(F9*F9)/($J$5*$J$5))),0)</f>
        <v>0</v>
      </c>
      <c r="H9" s="175">
        <f t="shared" ref="H9:H72" si="1">CHOOSE(MATCH($J$3,degrees),IF(F9&lt;0,IFERROR(1-G9,1),0),0,0,IF(F9&gt;0,IFERROR(1-G9,1),0))</f>
        <v>0</v>
      </c>
      <c r="I9" s="175">
        <f t="shared" ref="I9:I72" si="2">CHOOSE(MATCH($J$3,degrees),IF(F9&lt;0,2*G9,2),IF(F9&lt;0,0,1-G9),IF(F9&gt;0,0,1-G9),IF(F9&gt;0,2*G9,2))</f>
        <v>0</v>
      </c>
      <c r="J9" s="164">
        <f t="shared" ref="J9:J72" si="3">CHOOSE(MATCH($J$3,degrees),IF(F9&lt;0,G9+1,2),IF(F9&lt;0,2,2*G9),IF(F9&gt;0,2,2*G9),IF(F9&gt;0,G9+1,2))</f>
        <v>2</v>
      </c>
    </row>
    <row r="10" spans="2:10" s="151" customFormat="1" ht="14" customHeight="1">
      <c r="F10" s="174">
        <f t="shared" ref="F10:F73" si="4">F9+$G$4</f>
        <v>-0.99</v>
      </c>
      <c r="G10" s="175">
        <f t="shared" si="0"/>
        <v>0</v>
      </c>
      <c r="H10" s="175">
        <f t="shared" si="1"/>
        <v>0</v>
      </c>
      <c r="I10" s="175">
        <f t="shared" si="2"/>
        <v>0</v>
      </c>
      <c r="J10" s="164">
        <f t="shared" si="3"/>
        <v>2</v>
      </c>
    </row>
    <row r="11" spans="2:10" s="151" customFormat="1" ht="16" customHeight="1">
      <c r="F11" s="174">
        <f t="shared" si="4"/>
        <v>-0.98</v>
      </c>
      <c r="G11" s="175">
        <f t="shared" si="0"/>
        <v>0</v>
      </c>
      <c r="H11" s="175">
        <f t="shared" si="1"/>
        <v>0</v>
      </c>
      <c r="I11" s="175">
        <f t="shared" si="2"/>
        <v>0</v>
      </c>
      <c r="J11" s="164">
        <f t="shared" si="3"/>
        <v>2</v>
      </c>
    </row>
    <row r="12" spans="2:10" s="151" customFormat="1" ht="16" customHeight="1">
      <c r="F12" s="174">
        <f t="shared" si="4"/>
        <v>-0.97</v>
      </c>
      <c r="G12" s="175">
        <f t="shared" si="0"/>
        <v>0</v>
      </c>
      <c r="H12" s="175">
        <f t="shared" si="1"/>
        <v>0</v>
      </c>
      <c r="I12" s="175">
        <f t="shared" si="2"/>
        <v>0</v>
      </c>
      <c r="J12" s="164">
        <f t="shared" si="3"/>
        <v>2</v>
      </c>
    </row>
    <row r="13" spans="2:10" s="151" customFormat="1" ht="16" customHeight="1">
      <c r="F13" s="174">
        <f t="shared" si="4"/>
        <v>-0.96</v>
      </c>
      <c r="G13" s="175">
        <f t="shared" si="0"/>
        <v>0</v>
      </c>
      <c r="H13" s="175">
        <f t="shared" si="1"/>
        <v>0</v>
      </c>
      <c r="I13" s="175">
        <f t="shared" si="2"/>
        <v>0</v>
      </c>
      <c r="J13" s="164">
        <f t="shared" si="3"/>
        <v>2</v>
      </c>
    </row>
    <row r="14" spans="2:10" s="151" customFormat="1" ht="16" customHeight="1">
      <c r="E14" s="176"/>
      <c r="F14" s="174">
        <f t="shared" si="4"/>
        <v>-0.95</v>
      </c>
      <c r="G14" s="175">
        <f t="shared" si="0"/>
        <v>0</v>
      </c>
      <c r="H14" s="175">
        <f t="shared" si="1"/>
        <v>0</v>
      </c>
      <c r="I14" s="175">
        <f t="shared" si="2"/>
        <v>0</v>
      </c>
      <c r="J14" s="164">
        <f t="shared" si="3"/>
        <v>2</v>
      </c>
    </row>
    <row r="15" spans="2:10" s="151" customFormat="1" ht="16" customHeight="1">
      <c r="E15" s="176"/>
      <c r="F15" s="174">
        <f t="shared" si="4"/>
        <v>-0.94</v>
      </c>
      <c r="G15" s="175">
        <f t="shared" si="0"/>
        <v>0</v>
      </c>
      <c r="H15" s="175">
        <f t="shared" si="1"/>
        <v>0</v>
      </c>
      <c r="I15" s="175">
        <f t="shared" si="2"/>
        <v>0</v>
      </c>
      <c r="J15" s="164">
        <f t="shared" si="3"/>
        <v>2</v>
      </c>
    </row>
    <row r="16" spans="2:10" s="151" customFormat="1" ht="16" customHeight="1">
      <c r="E16" s="176"/>
      <c r="F16" s="174">
        <f t="shared" si="4"/>
        <v>-0.92999999999999994</v>
      </c>
      <c r="G16" s="175">
        <f t="shared" si="0"/>
        <v>0</v>
      </c>
      <c r="H16" s="175">
        <f t="shared" si="1"/>
        <v>0</v>
      </c>
      <c r="I16" s="175">
        <f t="shared" si="2"/>
        <v>0</v>
      </c>
      <c r="J16" s="164">
        <f t="shared" si="3"/>
        <v>2</v>
      </c>
    </row>
    <row r="17" spans="2:10" s="151" customFormat="1" ht="16" customHeight="1">
      <c r="E17" s="176"/>
      <c r="F17" s="174">
        <f t="shared" si="4"/>
        <v>-0.91999999999999993</v>
      </c>
      <c r="G17" s="175">
        <f t="shared" si="0"/>
        <v>0</v>
      </c>
      <c r="H17" s="175">
        <f t="shared" si="1"/>
        <v>0</v>
      </c>
      <c r="I17" s="175">
        <f t="shared" si="2"/>
        <v>0</v>
      </c>
      <c r="J17" s="164">
        <f t="shared" si="3"/>
        <v>2</v>
      </c>
    </row>
    <row r="18" spans="2:10" s="151" customFormat="1" ht="16" customHeight="1">
      <c r="E18" s="176"/>
      <c r="F18" s="174">
        <f t="shared" si="4"/>
        <v>-0.90999999999999992</v>
      </c>
      <c r="G18" s="175">
        <f t="shared" si="0"/>
        <v>0</v>
      </c>
      <c r="H18" s="175">
        <f t="shared" si="1"/>
        <v>0</v>
      </c>
      <c r="I18" s="175">
        <f t="shared" si="2"/>
        <v>0</v>
      </c>
      <c r="J18" s="164">
        <f t="shared" si="3"/>
        <v>2</v>
      </c>
    </row>
    <row r="19" spans="2:10" s="151" customFormat="1" ht="16" customHeight="1">
      <c r="B19" s="177" t="s">
        <v>823</v>
      </c>
      <c r="C19" s="178">
        <v>2460438.64</v>
      </c>
      <c r="D19" s="151" t="s">
        <v>824</v>
      </c>
      <c r="E19" s="176"/>
      <c r="F19" s="174">
        <f t="shared" si="4"/>
        <v>-0.89999999999999991</v>
      </c>
      <c r="G19" s="175">
        <f t="shared" si="0"/>
        <v>0</v>
      </c>
      <c r="H19" s="175">
        <f t="shared" si="1"/>
        <v>0</v>
      </c>
      <c r="I19" s="175">
        <f t="shared" si="2"/>
        <v>0</v>
      </c>
      <c r="J19" s="164">
        <f t="shared" si="3"/>
        <v>2</v>
      </c>
    </row>
    <row r="20" spans="2:10" s="151" customFormat="1" ht="16" customHeight="1">
      <c r="B20" s="179" t="s">
        <v>825</v>
      </c>
      <c r="C20" s="180">
        <f>((Visibility!C10-C19)/29.530588853)-INT((Visibility!C10-C19)/29.530588853)</f>
        <v>0.20408217040239665</v>
      </c>
      <c r="D20" s="151" t="str">
        <f>IF(C20&lt;0.5,"(before FM)","(after FM)")</f>
        <v>(before FM)</v>
      </c>
      <c r="E20" s="176"/>
      <c r="F20" s="174">
        <f t="shared" si="4"/>
        <v>-0.8899999999999999</v>
      </c>
      <c r="G20" s="175">
        <f t="shared" si="0"/>
        <v>0</v>
      </c>
      <c r="H20" s="175">
        <f t="shared" si="1"/>
        <v>0</v>
      </c>
      <c r="I20" s="175">
        <f t="shared" si="2"/>
        <v>0</v>
      </c>
      <c r="J20" s="164">
        <f t="shared" si="3"/>
        <v>2</v>
      </c>
    </row>
    <row r="21" spans="2:10" s="151" customFormat="1" ht="16" customHeight="1">
      <c r="B21" s="169" t="s">
        <v>826</v>
      </c>
      <c r="C21" s="181">
        <f>IF(C20&lt;0.5,180*C8,360-180*C8)</f>
        <v>67.167680269585418</v>
      </c>
      <c r="E21" s="176"/>
      <c r="F21" s="174">
        <f t="shared" si="4"/>
        <v>-0.87999999999999989</v>
      </c>
      <c r="G21" s="175">
        <f t="shared" si="0"/>
        <v>0</v>
      </c>
      <c r="H21" s="175">
        <f t="shared" si="1"/>
        <v>0</v>
      </c>
      <c r="I21" s="175">
        <f t="shared" si="2"/>
        <v>0</v>
      </c>
      <c r="J21" s="164">
        <f t="shared" si="3"/>
        <v>2</v>
      </c>
    </row>
    <row r="22" spans="2:10" s="151" customFormat="1" ht="16" customHeight="1">
      <c r="E22" s="176"/>
      <c r="F22" s="174">
        <f t="shared" si="4"/>
        <v>-0.86999999999999988</v>
      </c>
      <c r="G22" s="175">
        <f t="shared" si="0"/>
        <v>0</v>
      </c>
      <c r="H22" s="175">
        <f t="shared" si="1"/>
        <v>0</v>
      </c>
      <c r="I22" s="175">
        <f t="shared" si="2"/>
        <v>0</v>
      </c>
      <c r="J22" s="164">
        <f t="shared" si="3"/>
        <v>2</v>
      </c>
    </row>
    <row r="23" spans="2:10" s="151" customFormat="1" ht="16" customHeight="1">
      <c r="B23" s="182">
        <v>0</v>
      </c>
      <c r="C23" s="183">
        <v>0</v>
      </c>
      <c r="D23" s="184" t="s">
        <v>827</v>
      </c>
      <c r="F23" s="174">
        <f t="shared" si="4"/>
        <v>-0.85999999999999988</v>
      </c>
      <c r="G23" s="175">
        <f t="shared" si="0"/>
        <v>0</v>
      </c>
      <c r="H23" s="175">
        <f t="shared" si="1"/>
        <v>0</v>
      </c>
      <c r="I23" s="175">
        <f t="shared" si="2"/>
        <v>0</v>
      </c>
      <c r="J23" s="164">
        <f t="shared" si="3"/>
        <v>2</v>
      </c>
    </row>
    <row r="24" spans="2:10" s="151" customFormat="1" ht="16" customHeight="1">
      <c r="B24" s="185">
        <f t="shared" ref="B24:B31" si="5">B23+45</f>
        <v>45</v>
      </c>
      <c r="C24" s="186">
        <f t="shared" ref="C24:C31" si="6">B24-22.5</f>
        <v>22.5</v>
      </c>
      <c r="D24" s="187" t="s">
        <v>828</v>
      </c>
      <c r="F24" s="174">
        <f t="shared" si="4"/>
        <v>-0.84999999999999987</v>
      </c>
      <c r="G24" s="175">
        <f t="shared" si="0"/>
        <v>0</v>
      </c>
      <c r="H24" s="175">
        <f t="shared" si="1"/>
        <v>0</v>
      </c>
      <c r="I24" s="175">
        <f t="shared" si="2"/>
        <v>0</v>
      </c>
      <c r="J24" s="164">
        <f t="shared" si="3"/>
        <v>2</v>
      </c>
    </row>
    <row r="25" spans="2:10" s="151" customFormat="1" ht="16" customHeight="1">
      <c r="B25" s="185">
        <f t="shared" si="5"/>
        <v>90</v>
      </c>
      <c r="C25" s="186">
        <f t="shared" si="6"/>
        <v>67.5</v>
      </c>
      <c r="D25" s="187" t="s">
        <v>829</v>
      </c>
      <c r="F25" s="174">
        <f t="shared" si="4"/>
        <v>-0.83999999999999986</v>
      </c>
      <c r="G25" s="175">
        <f t="shared" si="0"/>
        <v>0</v>
      </c>
      <c r="H25" s="175">
        <f t="shared" si="1"/>
        <v>0</v>
      </c>
      <c r="I25" s="175">
        <f t="shared" si="2"/>
        <v>0</v>
      </c>
      <c r="J25" s="164">
        <f t="shared" si="3"/>
        <v>2</v>
      </c>
    </row>
    <row r="26" spans="2:10" s="151" customFormat="1" ht="16" customHeight="1">
      <c r="B26" s="185">
        <f t="shared" si="5"/>
        <v>135</v>
      </c>
      <c r="C26" s="186">
        <f t="shared" si="6"/>
        <v>112.5</v>
      </c>
      <c r="D26" s="187" t="s">
        <v>830</v>
      </c>
      <c r="F26" s="174">
        <f t="shared" si="4"/>
        <v>-0.82999999999999985</v>
      </c>
      <c r="G26" s="175">
        <f t="shared" si="0"/>
        <v>0</v>
      </c>
      <c r="H26" s="175">
        <f t="shared" si="1"/>
        <v>0</v>
      </c>
      <c r="I26" s="175">
        <f t="shared" si="2"/>
        <v>0</v>
      </c>
      <c r="J26" s="164">
        <f t="shared" si="3"/>
        <v>2</v>
      </c>
    </row>
    <row r="27" spans="2:10" s="151" customFormat="1" ht="16" customHeight="1">
      <c r="B27" s="185">
        <f t="shared" si="5"/>
        <v>180</v>
      </c>
      <c r="C27" s="186">
        <f t="shared" si="6"/>
        <v>157.5</v>
      </c>
      <c r="D27" s="187" t="s">
        <v>831</v>
      </c>
      <c r="F27" s="174">
        <f t="shared" si="4"/>
        <v>-0.81999999999999984</v>
      </c>
      <c r="G27" s="175">
        <f t="shared" si="0"/>
        <v>0</v>
      </c>
      <c r="H27" s="175">
        <f t="shared" si="1"/>
        <v>0</v>
      </c>
      <c r="I27" s="175">
        <f t="shared" si="2"/>
        <v>0</v>
      </c>
      <c r="J27" s="164">
        <f t="shared" si="3"/>
        <v>2</v>
      </c>
    </row>
    <row r="28" spans="2:10" s="151" customFormat="1" ht="16" customHeight="1">
      <c r="B28" s="185">
        <f t="shared" si="5"/>
        <v>225</v>
      </c>
      <c r="C28" s="186">
        <f t="shared" si="6"/>
        <v>202.5</v>
      </c>
      <c r="D28" s="187" t="s">
        <v>832</v>
      </c>
      <c r="F28" s="174">
        <f t="shared" si="4"/>
        <v>-0.80999999999999983</v>
      </c>
      <c r="G28" s="175">
        <f t="shared" si="0"/>
        <v>0</v>
      </c>
      <c r="H28" s="175">
        <f t="shared" si="1"/>
        <v>0</v>
      </c>
      <c r="I28" s="175">
        <f t="shared" si="2"/>
        <v>0</v>
      </c>
      <c r="J28" s="164">
        <f t="shared" si="3"/>
        <v>2</v>
      </c>
    </row>
    <row r="29" spans="2:10" s="151" customFormat="1" ht="16" customHeight="1">
      <c r="B29" s="185">
        <f t="shared" si="5"/>
        <v>270</v>
      </c>
      <c r="C29" s="186">
        <f t="shared" si="6"/>
        <v>247.5</v>
      </c>
      <c r="D29" s="187" t="s">
        <v>833</v>
      </c>
      <c r="F29" s="174">
        <f t="shared" si="4"/>
        <v>-0.79999999999999982</v>
      </c>
      <c r="G29" s="175">
        <f t="shared" si="0"/>
        <v>0</v>
      </c>
      <c r="H29" s="175">
        <f t="shared" si="1"/>
        <v>0</v>
      </c>
      <c r="I29" s="175">
        <f t="shared" si="2"/>
        <v>0</v>
      </c>
      <c r="J29" s="164">
        <f t="shared" si="3"/>
        <v>2</v>
      </c>
    </row>
    <row r="30" spans="2:10" s="151" customFormat="1" ht="16" customHeight="1">
      <c r="B30" s="185">
        <f t="shared" si="5"/>
        <v>315</v>
      </c>
      <c r="C30" s="186">
        <f t="shared" si="6"/>
        <v>292.5</v>
      </c>
      <c r="D30" s="187" t="s">
        <v>834</v>
      </c>
      <c r="F30" s="174">
        <f t="shared" si="4"/>
        <v>-0.78999999999999981</v>
      </c>
      <c r="G30" s="175">
        <f t="shared" si="0"/>
        <v>0</v>
      </c>
      <c r="H30" s="175">
        <f t="shared" si="1"/>
        <v>0</v>
      </c>
      <c r="I30" s="175">
        <f t="shared" si="2"/>
        <v>0</v>
      </c>
      <c r="J30" s="164">
        <f t="shared" si="3"/>
        <v>2</v>
      </c>
    </row>
    <row r="31" spans="2:10" s="151" customFormat="1" ht="16" customHeight="1">
      <c r="B31" s="188">
        <f t="shared" si="5"/>
        <v>360</v>
      </c>
      <c r="C31" s="189">
        <f t="shared" si="6"/>
        <v>337.5</v>
      </c>
      <c r="D31" s="190" t="s">
        <v>827</v>
      </c>
      <c r="F31" s="174">
        <f t="shared" si="4"/>
        <v>-0.7799999999999998</v>
      </c>
      <c r="G31" s="175">
        <f t="shared" si="0"/>
        <v>0</v>
      </c>
      <c r="H31" s="175">
        <f t="shared" si="1"/>
        <v>0</v>
      </c>
      <c r="I31" s="175">
        <f t="shared" si="2"/>
        <v>0</v>
      </c>
      <c r="J31" s="164">
        <f t="shared" si="3"/>
        <v>2</v>
      </c>
    </row>
    <row r="32" spans="2:10" s="151" customFormat="1" ht="16" customHeight="1">
      <c r="F32" s="174">
        <f t="shared" si="4"/>
        <v>-0.7699999999999998</v>
      </c>
      <c r="G32" s="175">
        <f t="shared" si="0"/>
        <v>0</v>
      </c>
      <c r="H32" s="175">
        <f t="shared" si="1"/>
        <v>0</v>
      </c>
      <c r="I32" s="175">
        <f t="shared" si="2"/>
        <v>0</v>
      </c>
      <c r="J32" s="164">
        <f t="shared" si="3"/>
        <v>2</v>
      </c>
    </row>
    <row r="33" spans="6:10" s="151" customFormat="1" ht="16" customHeight="1">
      <c r="F33" s="174">
        <f t="shared" si="4"/>
        <v>-0.75999999999999979</v>
      </c>
      <c r="G33" s="175">
        <f t="shared" si="0"/>
        <v>0</v>
      </c>
      <c r="H33" s="175">
        <f t="shared" si="1"/>
        <v>0</v>
      </c>
      <c r="I33" s="175">
        <f t="shared" si="2"/>
        <v>0</v>
      </c>
      <c r="J33" s="164">
        <f t="shared" si="3"/>
        <v>2</v>
      </c>
    </row>
    <row r="34" spans="6:10" s="151" customFormat="1" ht="16" customHeight="1">
      <c r="F34" s="174">
        <f t="shared" si="4"/>
        <v>-0.74999999999999978</v>
      </c>
      <c r="G34" s="175">
        <f t="shared" si="0"/>
        <v>0</v>
      </c>
      <c r="H34" s="175">
        <f t="shared" si="1"/>
        <v>0</v>
      </c>
      <c r="I34" s="175">
        <f t="shared" si="2"/>
        <v>0</v>
      </c>
      <c r="J34" s="164">
        <f t="shared" si="3"/>
        <v>2</v>
      </c>
    </row>
    <row r="35" spans="6:10" s="151" customFormat="1" ht="16" customHeight="1">
      <c r="F35" s="174">
        <f t="shared" si="4"/>
        <v>-0.73999999999999977</v>
      </c>
      <c r="G35" s="175">
        <f t="shared" si="0"/>
        <v>0</v>
      </c>
      <c r="H35" s="175">
        <f t="shared" si="1"/>
        <v>0</v>
      </c>
      <c r="I35" s="175">
        <f t="shared" si="2"/>
        <v>0</v>
      </c>
      <c r="J35" s="164">
        <f t="shared" si="3"/>
        <v>2</v>
      </c>
    </row>
    <row r="36" spans="6:10" s="151" customFormat="1" ht="16" customHeight="1">
      <c r="F36" s="174">
        <f t="shared" si="4"/>
        <v>-0.72999999999999976</v>
      </c>
      <c r="G36" s="175">
        <f t="shared" si="0"/>
        <v>0</v>
      </c>
      <c r="H36" s="175">
        <f t="shared" si="1"/>
        <v>0</v>
      </c>
      <c r="I36" s="175">
        <f t="shared" si="2"/>
        <v>0</v>
      </c>
      <c r="J36" s="164">
        <f t="shared" si="3"/>
        <v>2</v>
      </c>
    </row>
    <row r="37" spans="6:10" s="151" customFormat="1" ht="16" customHeight="1">
      <c r="F37" s="174">
        <f t="shared" si="4"/>
        <v>-0.71999999999999975</v>
      </c>
      <c r="G37" s="175">
        <f t="shared" si="0"/>
        <v>0</v>
      </c>
      <c r="H37" s="175">
        <f t="shared" si="1"/>
        <v>0</v>
      </c>
      <c r="I37" s="175">
        <f t="shared" si="2"/>
        <v>0</v>
      </c>
      <c r="J37" s="164">
        <f t="shared" si="3"/>
        <v>2</v>
      </c>
    </row>
    <row r="38" spans="6:10" s="151" customFormat="1" ht="16" customHeight="1">
      <c r="F38" s="174">
        <f t="shared" si="4"/>
        <v>-0.70999999999999974</v>
      </c>
      <c r="G38" s="175">
        <f t="shared" si="0"/>
        <v>0</v>
      </c>
      <c r="H38" s="175">
        <f t="shared" si="1"/>
        <v>0</v>
      </c>
      <c r="I38" s="175">
        <f t="shared" si="2"/>
        <v>0</v>
      </c>
      <c r="J38" s="164">
        <f t="shared" si="3"/>
        <v>2</v>
      </c>
    </row>
    <row r="39" spans="6:10" s="151" customFormat="1" ht="16" customHeight="1">
      <c r="F39" s="174">
        <f t="shared" si="4"/>
        <v>-0.69999999999999973</v>
      </c>
      <c r="G39" s="175">
        <f t="shared" si="0"/>
        <v>0</v>
      </c>
      <c r="H39" s="175">
        <f t="shared" si="1"/>
        <v>0</v>
      </c>
      <c r="I39" s="175">
        <f t="shared" si="2"/>
        <v>0</v>
      </c>
      <c r="J39" s="164">
        <f t="shared" si="3"/>
        <v>2</v>
      </c>
    </row>
    <row r="40" spans="6:10" s="151" customFormat="1" ht="16" customHeight="1">
      <c r="F40" s="174">
        <f t="shared" si="4"/>
        <v>-0.68999999999999972</v>
      </c>
      <c r="G40" s="175">
        <f t="shared" si="0"/>
        <v>0</v>
      </c>
      <c r="H40" s="175">
        <f t="shared" si="1"/>
        <v>0</v>
      </c>
      <c r="I40" s="175">
        <f t="shared" si="2"/>
        <v>0</v>
      </c>
      <c r="J40" s="164">
        <f t="shared" si="3"/>
        <v>2</v>
      </c>
    </row>
    <row r="41" spans="6:10" s="151" customFormat="1" ht="16" customHeight="1">
      <c r="F41" s="174">
        <f t="shared" si="4"/>
        <v>-0.67999999999999972</v>
      </c>
      <c r="G41" s="175">
        <f t="shared" si="0"/>
        <v>0</v>
      </c>
      <c r="H41" s="175">
        <f t="shared" si="1"/>
        <v>0</v>
      </c>
      <c r="I41" s="175">
        <f t="shared" si="2"/>
        <v>0</v>
      </c>
      <c r="J41" s="164">
        <f t="shared" si="3"/>
        <v>2</v>
      </c>
    </row>
    <row r="42" spans="6:10" s="151" customFormat="1" ht="16" customHeight="1">
      <c r="F42" s="174">
        <f t="shared" si="4"/>
        <v>-0.66999999999999971</v>
      </c>
      <c r="G42" s="175">
        <f t="shared" si="0"/>
        <v>0</v>
      </c>
      <c r="H42" s="175">
        <f t="shared" si="1"/>
        <v>0</v>
      </c>
      <c r="I42" s="175">
        <f t="shared" si="2"/>
        <v>0</v>
      </c>
      <c r="J42" s="164">
        <f t="shared" si="3"/>
        <v>2</v>
      </c>
    </row>
    <row r="43" spans="6:10" s="151" customFormat="1" ht="16" customHeight="1">
      <c r="F43" s="174">
        <f t="shared" si="4"/>
        <v>-0.6599999999999997</v>
      </c>
      <c r="G43" s="175">
        <f t="shared" si="0"/>
        <v>0</v>
      </c>
      <c r="H43" s="175">
        <f t="shared" si="1"/>
        <v>0</v>
      </c>
      <c r="I43" s="175">
        <f t="shared" si="2"/>
        <v>0</v>
      </c>
      <c r="J43" s="164">
        <f t="shared" si="3"/>
        <v>2</v>
      </c>
    </row>
    <row r="44" spans="6:10" s="151" customFormat="1" ht="16" customHeight="1">
      <c r="F44" s="174">
        <f t="shared" si="4"/>
        <v>-0.64999999999999969</v>
      </c>
      <c r="G44" s="175">
        <f t="shared" si="0"/>
        <v>0</v>
      </c>
      <c r="H44" s="175">
        <f t="shared" si="1"/>
        <v>0</v>
      </c>
      <c r="I44" s="175">
        <f t="shared" si="2"/>
        <v>0</v>
      </c>
      <c r="J44" s="164">
        <f t="shared" si="3"/>
        <v>2</v>
      </c>
    </row>
    <row r="45" spans="6:10" s="151" customFormat="1" ht="16" customHeight="1">
      <c r="F45" s="174">
        <f t="shared" si="4"/>
        <v>-0.63999999999999968</v>
      </c>
      <c r="G45" s="175">
        <f t="shared" si="0"/>
        <v>0</v>
      </c>
      <c r="H45" s="175">
        <f t="shared" si="1"/>
        <v>0</v>
      </c>
      <c r="I45" s="175">
        <f t="shared" si="2"/>
        <v>0</v>
      </c>
      <c r="J45" s="164">
        <f t="shared" si="3"/>
        <v>2</v>
      </c>
    </row>
    <row r="46" spans="6:10" s="151" customFormat="1" ht="16" customHeight="1">
      <c r="F46" s="174">
        <f t="shared" si="4"/>
        <v>-0.62999999999999967</v>
      </c>
      <c r="G46" s="175">
        <f t="shared" si="0"/>
        <v>0</v>
      </c>
      <c r="H46" s="175">
        <f t="shared" si="1"/>
        <v>0</v>
      </c>
      <c r="I46" s="175">
        <f t="shared" si="2"/>
        <v>0</v>
      </c>
      <c r="J46" s="164">
        <f t="shared" si="3"/>
        <v>2</v>
      </c>
    </row>
    <row r="47" spans="6:10" s="151" customFormat="1" ht="16" customHeight="1">
      <c r="F47" s="174">
        <f t="shared" si="4"/>
        <v>-0.61999999999999966</v>
      </c>
      <c r="G47" s="175">
        <f t="shared" si="0"/>
        <v>0</v>
      </c>
      <c r="H47" s="175">
        <f t="shared" si="1"/>
        <v>0</v>
      </c>
      <c r="I47" s="175">
        <f t="shared" si="2"/>
        <v>0</v>
      </c>
      <c r="J47" s="164">
        <f t="shared" si="3"/>
        <v>2</v>
      </c>
    </row>
    <row r="48" spans="6:10" s="151" customFormat="1" ht="16" customHeight="1">
      <c r="F48" s="174">
        <f t="shared" si="4"/>
        <v>-0.60999999999999965</v>
      </c>
      <c r="G48" s="175">
        <f t="shared" si="0"/>
        <v>0</v>
      </c>
      <c r="H48" s="175">
        <f t="shared" si="1"/>
        <v>0</v>
      </c>
      <c r="I48" s="175">
        <f t="shared" si="2"/>
        <v>0</v>
      </c>
      <c r="J48" s="164">
        <f t="shared" si="3"/>
        <v>2</v>
      </c>
    </row>
    <row r="49" spans="6:10" s="151" customFormat="1" ht="16" customHeight="1">
      <c r="F49" s="174">
        <f t="shared" si="4"/>
        <v>-0.59999999999999964</v>
      </c>
      <c r="G49" s="175">
        <f t="shared" si="0"/>
        <v>0</v>
      </c>
      <c r="H49" s="175">
        <f t="shared" si="1"/>
        <v>0</v>
      </c>
      <c r="I49" s="175">
        <f t="shared" si="2"/>
        <v>0</v>
      </c>
      <c r="J49" s="164">
        <f t="shared" si="3"/>
        <v>2</v>
      </c>
    </row>
    <row r="50" spans="6:10" s="151" customFormat="1" ht="16" customHeight="1">
      <c r="F50" s="174">
        <f t="shared" si="4"/>
        <v>-0.58999999999999964</v>
      </c>
      <c r="G50" s="175">
        <f t="shared" si="0"/>
        <v>0</v>
      </c>
      <c r="H50" s="175">
        <f t="shared" si="1"/>
        <v>0</v>
      </c>
      <c r="I50" s="175">
        <f t="shared" si="2"/>
        <v>0</v>
      </c>
      <c r="J50" s="164">
        <f t="shared" si="3"/>
        <v>2</v>
      </c>
    </row>
    <row r="51" spans="6:10" s="151" customFormat="1" ht="16" customHeight="1">
      <c r="F51" s="174">
        <f t="shared" si="4"/>
        <v>-0.57999999999999963</v>
      </c>
      <c r="G51" s="175">
        <f t="shared" si="0"/>
        <v>0</v>
      </c>
      <c r="H51" s="175">
        <f t="shared" si="1"/>
        <v>0</v>
      </c>
      <c r="I51" s="175">
        <f t="shared" si="2"/>
        <v>0</v>
      </c>
      <c r="J51" s="164">
        <f t="shared" si="3"/>
        <v>2</v>
      </c>
    </row>
    <row r="52" spans="6:10" s="151" customFormat="1" ht="16" customHeight="1">
      <c r="F52" s="174">
        <f t="shared" si="4"/>
        <v>-0.56999999999999962</v>
      </c>
      <c r="G52" s="175">
        <f t="shared" si="0"/>
        <v>0</v>
      </c>
      <c r="H52" s="175">
        <f t="shared" si="1"/>
        <v>0</v>
      </c>
      <c r="I52" s="175">
        <f t="shared" si="2"/>
        <v>0</v>
      </c>
      <c r="J52" s="164">
        <f t="shared" si="3"/>
        <v>2</v>
      </c>
    </row>
    <row r="53" spans="6:10" s="151" customFormat="1" ht="16" customHeight="1">
      <c r="F53" s="174">
        <f t="shared" si="4"/>
        <v>-0.55999999999999961</v>
      </c>
      <c r="G53" s="175">
        <f t="shared" si="0"/>
        <v>0</v>
      </c>
      <c r="H53" s="175">
        <f t="shared" si="1"/>
        <v>0</v>
      </c>
      <c r="I53" s="175">
        <f t="shared" si="2"/>
        <v>0</v>
      </c>
      <c r="J53" s="164">
        <f t="shared" si="3"/>
        <v>2</v>
      </c>
    </row>
    <row r="54" spans="6:10" s="151" customFormat="1" ht="16" customHeight="1">
      <c r="F54" s="174">
        <f t="shared" si="4"/>
        <v>-0.5499999999999996</v>
      </c>
      <c r="G54" s="175">
        <f t="shared" si="0"/>
        <v>0</v>
      </c>
      <c r="H54" s="175">
        <f t="shared" si="1"/>
        <v>0</v>
      </c>
      <c r="I54" s="175">
        <f t="shared" si="2"/>
        <v>0</v>
      </c>
      <c r="J54" s="164">
        <f t="shared" si="3"/>
        <v>2</v>
      </c>
    </row>
    <row r="55" spans="6:10" s="151" customFormat="1" ht="16" customHeight="1">
      <c r="F55" s="174">
        <f t="shared" si="4"/>
        <v>-0.53999999999999959</v>
      </c>
      <c r="G55" s="175">
        <f t="shared" si="0"/>
        <v>0</v>
      </c>
      <c r="H55" s="175">
        <f t="shared" si="1"/>
        <v>0</v>
      </c>
      <c r="I55" s="175">
        <f t="shared" si="2"/>
        <v>0</v>
      </c>
      <c r="J55" s="164">
        <f t="shared" si="3"/>
        <v>2</v>
      </c>
    </row>
    <row r="56" spans="6:10" s="151" customFormat="1" ht="16" customHeight="1">
      <c r="F56" s="174">
        <f t="shared" si="4"/>
        <v>-0.52999999999999958</v>
      </c>
      <c r="G56" s="175">
        <f t="shared" si="0"/>
        <v>0</v>
      </c>
      <c r="H56" s="175">
        <f t="shared" si="1"/>
        <v>0</v>
      </c>
      <c r="I56" s="175">
        <f t="shared" si="2"/>
        <v>0</v>
      </c>
      <c r="J56" s="164">
        <f t="shared" si="3"/>
        <v>2</v>
      </c>
    </row>
    <row r="57" spans="6:10" s="151" customFormat="1" ht="16" customHeight="1">
      <c r="F57" s="174">
        <f t="shared" si="4"/>
        <v>-0.51999999999999957</v>
      </c>
      <c r="G57" s="175">
        <f t="shared" si="0"/>
        <v>0</v>
      </c>
      <c r="H57" s="175">
        <f t="shared" si="1"/>
        <v>0</v>
      </c>
      <c r="I57" s="175">
        <f t="shared" si="2"/>
        <v>0</v>
      </c>
      <c r="J57" s="164">
        <f t="shared" si="3"/>
        <v>2</v>
      </c>
    </row>
    <row r="58" spans="6:10" s="151" customFormat="1" ht="16" customHeight="1">
      <c r="F58" s="174">
        <f t="shared" si="4"/>
        <v>-0.50999999999999956</v>
      </c>
      <c r="G58" s="175">
        <f t="shared" si="0"/>
        <v>0</v>
      </c>
      <c r="H58" s="175">
        <f t="shared" si="1"/>
        <v>0</v>
      </c>
      <c r="I58" s="175">
        <f t="shared" si="2"/>
        <v>0</v>
      </c>
      <c r="J58" s="164">
        <f t="shared" si="3"/>
        <v>2</v>
      </c>
    </row>
    <row r="59" spans="6:10" s="151" customFormat="1" ht="16" customHeight="1">
      <c r="F59" s="174">
        <f t="shared" si="4"/>
        <v>-0.49999999999999956</v>
      </c>
      <c r="G59" s="175">
        <f t="shared" si="0"/>
        <v>0</v>
      </c>
      <c r="H59" s="175">
        <f t="shared" si="1"/>
        <v>0</v>
      </c>
      <c r="I59" s="175">
        <f t="shared" si="2"/>
        <v>0</v>
      </c>
      <c r="J59" s="164">
        <f t="shared" si="3"/>
        <v>2</v>
      </c>
    </row>
    <row r="60" spans="6:10" s="151" customFormat="1" ht="16" customHeight="1">
      <c r="F60" s="174">
        <f t="shared" si="4"/>
        <v>-0.48999999999999955</v>
      </c>
      <c r="G60" s="175">
        <f t="shared" si="0"/>
        <v>0</v>
      </c>
      <c r="H60" s="175">
        <f t="shared" si="1"/>
        <v>0</v>
      </c>
      <c r="I60" s="175">
        <f t="shared" si="2"/>
        <v>0</v>
      </c>
      <c r="J60" s="164">
        <f t="shared" si="3"/>
        <v>2</v>
      </c>
    </row>
    <row r="61" spans="6:10" s="151" customFormat="1" ht="16" customHeight="1">
      <c r="F61" s="174">
        <f t="shared" si="4"/>
        <v>-0.47999999999999954</v>
      </c>
      <c r="G61" s="175">
        <f t="shared" si="0"/>
        <v>0</v>
      </c>
      <c r="H61" s="175">
        <f t="shared" si="1"/>
        <v>0</v>
      </c>
      <c r="I61" s="175">
        <f t="shared" si="2"/>
        <v>0</v>
      </c>
      <c r="J61" s="164">
        <f t="shared" si="3"/>
        <v>2</v>
      </c>
    </row>
    <row r="62" spans="6:10" s="151" customFormat="1" ht="16" customHeight="1">
      <c r="F62" s="174">
        <f t="shared" si="4"/>
        <v>-0.46999999999999953</v>
      </c>
      <c r="G62" s="175">
        <f t="shared" si="0"/>
        <v>0</v>
      </c>
      <c r="H62" s="175">
        <f t="shared" si="1"/>
        <v>0</v>
      </c>
      <c r="I62" s="175">
        <f t="shared" si="2"/>
        <v>0</v>
      </c>
      <c r="J62" s="164">
        <f t="shared" si="3"/>
        <v>2</v>
      </c>
    </row>
    <row r="63" spans="6:10" s="151" customFormat="1" ht="16" customHeight="1">
      <c r="F63" s="174">
        <f t="shared" si="4"/>
        <v>-0.45999999999999952</v>
      </c>
      <c r="G63" s="175">
        <f t="shared" si="0"/>
        <v>0</v>
      </c>
      <c r="H63" s="175">
        <f t="shared" si="1"/>
        <v>0</v>
      </c>
      <c r="I63" s="175">
        <f t="shared" si="2"/>
        <v>0</v>
      </c>
      <c r="J63" s="164">
        <f t="shared" si="3"/>
        <v>2</v>
      </c>
    </row>
    <row r="64" spans="6:10" ht="16">
      <c r="F64" s="174">
        <f t="shared" si="4"/>
        <v>-0.44999999999999951</v>
      </c>
      <c r="G64" s="175">
        <f t="shared" si="0"/>
        <v>0</v>
      </c>
      <c r="H64" s="175">
        <f t="shared" si="1"/>
        <v>0</v>
      </c>
      <c r="I64" s="175">
        <f t="shared" si="2"/>
        <v>0</v>
      </c>
      <c r="J64" s="164">
        <f t="shared" si="3"/>
        <v>2</v>
      </c>
    </row>
    <row r="65" spans="6:10" ht="16">
      <c r="F65" s="174">
        <f t="shared" si="4"/>
        <v>-0.4399999999999995</v>
      </c>
      <c r="G65" s="175">
        <f t="shared" si="0"/>
        <v>0</v>
      </c>
      <c r="H65" s="175">
        <f t="shared" si="1"/>
        <v>0</v>
      </c>
      <c r="I65" s="175">
        <f t="shared" si="2"/>
        <v>0</v>
      </c>
      <c r="J65" s="164">
        <f t="shared" si="3"/>
        <v>2</v>
      </c>
    </row>
    <row r="66" spans="6:10" ht="16">
      <c r="F66" s="174">
        <f t="shared" si="4"/>
        <v>-0.42999999999999949</v>
      </c>
      <c r="G66" s="175">
        <f t="shared" si="0"/>
        <v>0</v>
      </c>
      <c r="H66" s="175">
        <f t="shared" si="1"/>
        <v>0</v>
      </c>
      <c r="I66" s="175">
        <f t="shared" si="2"/>
        <v>0</v>
      </c>
      <c r="J66" s="164">
        <f t="shared" si="3"/>
        <v>2</v>
      </c>
    </row>
    <row r="67" spans="6:10" ht="16">
      <c r="F67" s="174">
        <f t="shared" si="4"/>
        <v>-0.41999999999999948</v>
      </c>
      <c r="G67" s="175">
        <f t="shared" si="0"/>
        <v>0</v>
      </c>
      <c r="H67" s="175">
        <f t="shared" si="1"/>
        <v>0</v>
      </c>
      <c r="I67" s="175">
        <f t="shared" si="2"/>
        <v>0</v>
      </c>
      <c r="J67" s="164">
        <f t="shared" si="3"/>
        <v>2</v>
      </c>
    </row>
    <row r="68" spans="6:10" ht="16">
      <c r="F68" s="174">
        <f t="shared" si="4"/>
        <v>-0.40999999999999948</v>
      </c>
      <c r="G68" s="175">
        <f t="shared" si="0"/>
        <v>0</v>
      </c>
      <c r="H68" s="175">
        <f t="shared" si="1"/>
        <v>0</v>
      </c>
      <c r="I68" s="175">
        <f t="shared" si="2"/>
        <v>0</v>
      </c>
      <c r="J68" s="164">
        <f t="shared" si="3"/>
        <v>2</v>
      </c>
    </row>
    <row r="69" spans="6:10" ht="16">
      <c r="F69" s="174">
        <f t="shared" si="4"/>
        <v>-0.39999999999999947</v>
      </c>
      <c r="G69" s="175">
        <f t="shared" si="0"/>
        <v>0</v>
      </c>
      <c r="H69" s="175">
        <f t="shared" si="1"/>
        <v>0</v>
      </c>
      <c r="I69" s="175">
        <f t="shared" si="2"/>
        <v>0</v>
      </c>
      <c r="J69" s="164">
        <f t="shared" si="3"/>
        <v>2</v>
      </c>
    </row>
    <row r="70" spans="6:10" ht="16">
      <c r="F70" s="174">
        <f t="shared" si="4"/>
        <v>-0.38999999999999946</v>
      </c>
      <c r="G70" s="175">
        <f t="shared" si="0"/>
        <v>0</v>
      </c>
      <c r="H70" s="175">
        <f t="shared" si="1"/>
        <v>0</v>
      </c>
      <c r="I70" s="175">
        <f t="shared" si="2"/>
        <v>0</v>
      </c>
      <c r="J70" s="164">
        <f t="shared" si="3"/>
        <v>2</v>
      </c>
    </row>
    <row r="71" spans="6:10" ht="16">
      <c r="F71" s="174">
        <f t="shared" si="4"/>
        <v>-0.37999999999999945</v>
      </c>
      <c r="G71" s="175">
        <f t="shared" si="0"/>
        <v>0.2024540861197601</v>
      </c>
      <c r="H71" s="175">
        <f t="shared" si="1"/>
        <v>0</v>
      </c>
      <c r="I71" s="175">
        <f t="shared" si="2"/>
        <v>0</v>
      </c>
      <c r="J71" s="164">
        <f t="shared" si="3"/>
        <v>2</v>
      </c>
    </row>
    <row r="72" spans="6:10" ht="16">
      <c r="F72" s="174">
        <f t="shared" si="4"/>
        <v>-0.36999999999999944</v>
      </c>
      <c r="G72" s="175">
        <f t="shared" si="0"/>
        <v>0.30132682399312327</v>
      </c>
      <c r="H72" s="175">
        <f t="shared" si="1"/>
        <v>0</v>
      </c>
      <c r="I72" s="175">
        <f t="shared" si="2"/>
        <v>0</v>
      </c>
      <c r="J72" s="164">
        <f t="shared" si="3"/>
        <v>2</v>
      </c>
    </row>
    <row r="73" spans="6:10" ht="16">
      <c r="F73" s="174">
        <f t="shared" si="4"/>
        <v>-0.35999999999999943</v>
      </c>
      <c r="G73" s="175">
        <f t="shared" ref="G73:G136" si="7">IFERROR(IF(SQRT(1-(F73*F73)/($J$5*$J$5))&lt;0.05,0,SQRT(1-(F73*F73)/($J$5*$J$5))),0)</f>
        <v>0.37320206428387559</v>
      </c>
      <c r="H73" s="175">
        <f t="shared" ref="H73:H136" si="8">CHOOSE(MATCH($J$3,degrees),IF(F73&lt;0,IFERROR(1-G73,1),0),0,0,IF(F73&gt;0,IFERROR(1-G73,1),0))</f>
        <v>0</v>
      </c>
      <c r="I73" s="175">
        <f t="shared" ref="I73:I136" si="9">CHOOSE(MATCH($J$3,degrees),IF(F73&lt;0,2*G73,2),IF(F73&lt;0,0,1-G73),IF(F73&gt;0,0,1-G73),IF(F73&gt;0,2*G73,2))</f>
        <v>0</v>
      </c>
      <c r="J73" s="164">
        <f t="shared" ref="J73:J136" si="10">CHOOSE(MATCH($J$3,degrees),IF(F73&lt;0,G73+1,2),IF(F73&lt;0,2,2*G73),IF(F73&gt;0,2,2*G73),IF(F73&gt;0,G73+1,2))</f>
        <v>2</v>
      </c>
    </row>
    <row r="74" spans="6:10" ht="16">
      <c r="F74" s="174">
        <f t="shared" ref="F74:F137" si="11">F73+$G$4</f>
        <v>-0.34999999999999942</v>
      </c>
      <c r="G74" s="175">
        <f t="shared" si="7"/>
        <v>0.43177938205810346</v>
      </c>
      <c r="H74" s="175">
        <f t="shared" si="8"/>
        <v>0</v>
      </c>
      <c r="I74" s="175">
        <f t="shared" si="9"/>
        <v>0</v>
      </c>
      <c r="J74" s="164">
        <f t="shared" si="10"/>
        <v>2</v>
      </c>
    </row>
    <row r="75" spans="6:10" ht="16">
      <c r="F75" s="174">
        <f t="shared" si="11"/>
        <v>-0.33999999999999941</v>
      </c>
      <c r="G75" s="175">
        <f t="shared" si="7"/>
        <v>0.48193237784151571</v>
      </c>
      <c r="H75" s="175">
        <f t="shared" si="8"/>
        <v>0</v>
      </c>
      <c r="I75" s="175">
        <f t="shared" si="9"/>
        <v>0</v>
      </c>
      <c r="J75" s="164">
        <f t="shared" si="10"/>
        <v>2</v>
      </c>
    </row>
    <row r="76" spans="6:10" ht="16">
      <c r="F76" s="174">
        <f t="shared" si="11"/>
        <v>-0.3299999999999994</v>
      </c>
      <c r="G76" s="175">
        <f t="shared" si="7"/>
        <v>0.52607597066416678</v>
      </c>
      <c r="H76" s="175">
        <f t="shared" si="8"/>
        <v>0</v>
      </c>
      <c r="I76" s="175">
        <f t="shared" si="9"/>
        <v>0</v>
      </c>
      <c r="J76" s="164">
        <f t="shared" si="10"/>
        <v>2</v>
      </c>
    </row>
    <row r="77" spans="6:10" ht="16">
      <c r="F77" s="174">
        <f t="shared" si="11"/>
        <v>-0.3199999999999994</v>
      </c>
      <c r="G77" s="175">
        <f t="shared" si="7"/>
        <v>0.56561892212450005</v>
      </c>
      <c r="H77" s="175">
        <f t="shared" si="8"/>
        <v>0</v>
      </c>
      <c r="I77" s="175">
        <f t="shared" si="9"/>
        <v>0</v>
      </c>
      <c r="J77" s="164">
        <f t="shared" si="10"/>
        <v>2</v>
      </c>
    </row>
    <row r="78" spans="6:10" ht="16">
      <c r="F78" s="174">
        <f t="shared" si="11"/>
        <v>-0.30999999999999939</v>
      </c>
      <c r="G78" s="175">
        <f t="shared" si="7"/>
        <v>0.60146931033684958</v>
      </c>
      <c r="H78" s="175">
        <f t="shared" si="8"/>
        <v>0</v>
      </c>
      <c r="I78" s="175">
        <f t="shared" si="9"/>
        <v>0</v>
      </c>
      <c r="J78" s="164">
        <f t="shared" si="10"/>
        <v>2</v>
      </c>
    </row>
    <row r="79" spans="6:10" ht="16">
      <c r="F79" s="174">
        <f t="shared" si="11"/>
        <v>-0.29999999999999938</v>
      </c>
      <c r="G79" s="175">
        <f t="shared" si="7"/>
        <v>0.63425359718779495</v>
      </c>
      <c r="H79" s="175">
        <f t="shared" si="8"/>
        <v>0</v>
      </c>
      <c r="I79" s="175">
        <f t="shared" si="9"/>
        <v>0</v>
      </c>
      <c r="J79" s="164">
        <f t="shared" si="10"/>
        <v>2</v>
      </c>
    </row>
    <row r="80" spans="6:10" ht="16">
      <c r="F80" s="174">
        <f t="shared" si="11"/>
        <v>-0.28999999999999937</v>
      </c>
      <c r="G80" s="175">
        <f t="shared" si="7"/>
        <v>0.66442580313455468</v>
      </c>
      <c r="H80" s="175">
        <f t="shared" si="8"/>
        <v>0</v>
      </c>
      <c r="I80" s="175">
        <f t="shared" si="9"/>
        <v>0</v>
      </c>
      <c r="J80" s="164">
        <f t="shared" si="10"/>
        <v>2</v>
      </c>
    </row>
    <row r="81" spans="6:10" ht="16">
      <c r="F81" s="174">
        <f t="shared" si="11"/>
        <v>-0.27999999999999936</v>
      </c>
      <c r="G81" s="175">
        <f t="shared" si="7"/>
        <v>0.69232752238597772</v>
      </c>
      <c r="H81" s="175">
        <f t="shared" si="8"/>
        <v>0</v>
      </c>
      <c r="I81" s="175">
        <f t="shared" si="9"/>
        <v>0</v>
      </c>
      <c r="J81" s="164">
        <f t="shared" si="10"/>
        <v>2</v>
      </c>
    </row>
    <row r="82" spans="6:10" ht="16">
      <c r="F82" s="174">
        <f t="shared" si="11"/>
        <v>-0.26999999999999935</v>
      </c>
      <c r="G82" s="175">
        <f t="shared" si="7"/>
        <v>0.71822341697551395</v>
      </c>
      <c r="H82" s="175">
        <f t="shared" si="8"/>
        <v>0</v>
      </c>
      <c r="I82" s="175">
        <f t="shared" si="9"/>
        <v>0</v>
      </c>
      <c r="J82" s="164">
        <f t="shared" si="10"/>
        <v>2</v>
      </c>
    </row>
    <row r="83" spans="6:10" ht="16">
      <c r="F83" s="174">
        <f t="shared" si="11"/>
        <v>-0.25999999999999934</v>
      </c>
      <c r="G83" s="175">
        <f t="shared" si="7"/>
        <v>0.74232343569877113</v>
      </c>
      <c r="H83" s="175">
        <f t="shared" si="8"/>
        <v>0</v>
      </c>
      <c r="I83" s="175">
        <f t="shared" si="9"/>
        <v>0</v>
      </c>
      <c r="J83" s="164">
        <f t="shared" si="10"/>
        <v>2</v>
      </c>
    </row>
    <row r="84" spans="6:10" ht="16">
      <c r="F84" s="174">
        <f t="shared" si="11"/>
        <v>-0.24999999999999933</v>
      </c>
      <c r="G84" s="175">
        <f t="shared" si="7"/>
        <v>0.76479737037992002</v>
      </c>
      <c r="H84" s="175">
        <f t="shared" si="8"/>
        <v>0</v>
      </c>
      <c r="I84" s="175">
        <f t="shared" si="9"/>
        <v>0</v>
      </c>
      <c r="J84" s="164">
        <f t="shared" si="10"/>
        <v>2</v>
      </c>
    </row>
    <row r="85" spans="6:10" ht="16">
      <c r="F85" s="174">
        <f t="shared" si="11"/>
        <v>-0.23999999999999932</v>
      </c>
      <c r="G85" s="175">
        <f t="shared" si="7"/>
        <v>0.78578475446474616</v>
      </c>
      <c r="H85" s="175">
        <f t="shared" si="8"/>
        <v>0</v>
      </c>
      <c r="I85" s="175">
        <f t="shared" si="9"/>
        <v>0</v>
      </c>
      <c r="J85" s="164">
        <f t="shared" si="10"/>
        <v>2</v>
      </c>
    </row>
    <row r="86" spans="6:10" ht="16">
      <c r="F86" s="174">
        <f t="shared" si="11"/>
        <v>-0.22999999999999932</v>
      </c>
      <c r="G86" s="175">
        <f t="shared" si="7"/>
        <v>0.80540180718394871</v>
      </c>
      <c r="H86" s="175">
        <f t="shared" si="8"/>
        <v>0</v>
      </c>
      <c r="I86" s="175">
        <f t="shared" si="9"/>
        <v>0</v>
      </c>
      <c r="J86" s="164">
        <f t="shared" si="10"/>
        <v>2</v>
      </c>
    </row>
    <row r="87" spans="6:10" ht="16">
      <c r="F87" s="174">
        <f t="shared" si="11"/>
        <v>-0.21999999999999931</v>
      </c>
      <c r="G87" s="175">
        <f t="shared" si="7"/>
        <v>0.82374643534153613</v>
      </c>
      <c r="H87" s="175">
        <f t="shared" si="8"/>
        <v>0</v>
      </c>
      <c r="I87" s="175">
        <f t="shared" si="9"/>
        <v>0</v>
      </c>
      <c r="J87" s="164">
        <f t="shared" si="10"/>
        <v>2</v>
      </c>
    </row>
    <row r="88" spans="6:10" ht="16">
      <c r="F88" s="174">
        <f t="shared" si="11"/>
        <v>-0.2099999999999993</v>
      </c>
      <c r="G88" s="175">
        <f t="shared" si="7"/>
        <v>0.84090191848834128</v>
      </c>
      <c r="H88" s="175">
        <f t="shared" si="8"/>
        <v>0</v>
      </c>
      <c r="I88" s="175">
        <f t="shared" si="9"/>
        <v>0</v>
      </c>
      <c r="J88" s="164">
        <f t="shared" si="10"/>
        <v>2</v>
      </c>
    </row>
    <row r="89" spans="6:10" ht="16">
      <c r="F89" s="174">
        <f t="shared" si="11"/>
        <v>-0.19999999999999929</v>
      </c>
      <c r="G89" s="175">
        <f t="shared" si="7"/>
        <v>0.85693967777996272</v>
      </c>
      <c r="H89" s="175">
        <f t="shared" si="8"/>
        <v>0</v>
      </c>
      <c r="I89" s="175">
        <f t="shared" si="9"/>
        <v>0</v>
      </c>
      <c r="J89" s="164">
        <f t="shared" si="10"/>
        <v>2</v>
      </c>
    </row>
    <row r="90" spans="6:10" ht="16">
      <c r="F90" s="174">
        <f t="shared" si="11"/>
        <v>-0.18999999999999928</v>
      </c>
      <c r="G90" s="175">
        <f t="shared" si="7"/>
        <v>0.87192139224052068</v>
      </c>
      <c r="H90" s="175">
        <f t="shared" si="8"/>
        <v>0</v>
      </c>
      <c r="I90" s="175">
        <f t="shared" si="9"/>
        <v>0</v>
      </c>
      <c r="J90" s="164">
        <f t="shared" si="10"/>
        <v>2</v>
      </c>
    </row>
    <row r="91" spans="6:10" ht="16">
      <c r="F91" s="174">
        <f t="shared" si="11"/>
        <v>-0.17999999999999927</v>
      </c>
      <c r="G91" s="175">
        <f t="shared" si="7"/>
        <v>0.88590064070212615</v>
      </c>
      <c r="H91" s="175">
        <f t="shared" si="8"/>
        <v>0</v>
      </c>
      <c r="I91" s="175">
        <f t="shared" si="9"/>
        <v>0</v>
      </c>
      <c r="J91" s="164">
        <f t="shared" si="10"/>
        <v>2</v>
      </c>
    </row>
    <row r="92" spans="6:10" ht="16">
      <c r="F92" s="174">
        <f t="shared" si="11"/>
        <v>-0.16999999999999926</v>
      </c>
      <c r="G92" s="175">
        <f t="shared" si="7"/>
        <v>0.89892419268979262</v>
      </c>
      <c r="H92" s="175">
        <f t="shared" si="8"/>
        <v>0</v>
      </c>
      <c r="I92" s="175">
        <f t="shared" si="9"/>
        <v>0</v>
      </c>
      <c r="J92" s="164">
        <f t="shared" si="10"/>
        <v>2</v>
      </c>
    </row>
    <row r="93" spans="6:10" ht="16">
      <c r="F93" s="174">
        <f t="shared" si="11"/>
        <v>-0.15999999999999925</v>
      </c>
      <c r="G93" s="175">
        <f t="shared" si="7"/>
        <v>0.91103303522228063</v>
      </c>
      <c r="H93" s="175">
        <f t="shared" si="8"/>
        <v>0</v>
      </c>
      <c r="I93" s="175">
        <f t="shared" si="9"/>
        <v>0</v>
      </c>
      <c r="J93" s="164">
        <f t="shared" si="10"/>
        <v>2</v>
      </c>
    </row>
    <row r="94" spans="6:10" ht="16">
      <c r="F94" s="174">
        <f t="shared" si="11"/>
        <v>-0.14999999999999925</v>
      </c>
      <c r="G94" s="175">
        <f t="shared" si="7"/>
        <v>0.92226319800066581</v>
      </c>
      <c r="H94" s="175">
        <f t="shared" si="8"/>
        <v>0</v>
      </c>
      <c r="I94" s="175">
        <f t="shared" si="9"/>
        <v>0</v>
      </c>
      <c r="J94" s="164">
        <f t="shared" si="10"/>
        <v>2</v>
      </c>
    </row>
    <row r="95" spans="6:10" ht="16">
      <c r="F95" s="174">
        <f t="shared" si="11"/>
        <v>-0.13999999999999924</v>
      </c>
      <c r="G95" s="175">
        <f t="shared" si="7"/>
        <v>0.93264642258643626</v>
      </c>
      <c r="H95" s="175">
        <f t="shared" si="8"/>
        <v>0</v>
      </c>
      <c r="I95" s="175">
        <f t="shared" si="9"/>
        <v>0</v>
      </c>
      <c r="J95" s="164">
        <f t="shared" si="10"/>
        <v>2</v>
      </c>
    </row>
    <row r="96" spans="6:10" ht="16">
      <c r="F96" s="174">
        <f t="shared" si="11"/>
        <v>-0.12999999999999923</v>
      </c>
      <c r="G96" s="175">
        <f t="shared" si="7"/>
        <v>0.9422107093410198</v>
      </c>
      <c r="H96" s="175">
        <f t="shared" si="8"/>
        <v>0</v>
      </c>
      <c r="I96" s="175">
        <f t="shared" si="9"/>
        <v>0</v>
      </c>
      <c r="J96" s="164">
        <f t="shared" si="10"/>
        <v>2</v>
      </c>
    </row>
    <row r="97" spans="6:10" ht="16">
      <c r="F97" s="174">
        <f t="shared" si="11"/>
        <v>-0.11999999999999923</v>
      </c>
      <c r="G97" s="175">
        <f t="shared" si="7"/>
        <v>0.95098076746446669</v>
      </c>
      <c r="H97" s="175">
        <f t="shared" si="8"/>
        <v>0</v>
      </c>
      <c r="I97" s="175">
        <f t="shared" si="9"/>
        <v>0</v>
      </c>
      <c r="J97" s="164">
        <f t="shared" si="10"/>
        <v>2</v>
      </c>
    </row>
    <row r="98" spans="6:10" ht="16">
      <c r="F98" s="174">
        <f t="shared" si="11"/>
        <v>-0.10999999999999924</v>
      </c>
      <c r="G98" s="175">
        <f t="shared" si="7"/>
        <v>0.95897838736567598</v>
      </c>
      <c r="H98" s="175">
        <f t="shared" si="8"/>
        <v>0</v>
      </c>
      <c r="I98" s="175">
        <f t="shared" si="9"/>
        <v>0</v>
      </c>
      <c r="J98" s="164">
        <f t="shared" si="10"/>
        <v>2</v>
      </c>
    </row>
    <row r="99" spans="6:10" ht="16">
      <c r="F99" s="174">
        <f t="shared" si="11"/>
        <v>-9.9999999999999242E-2</v>
      </c>
      <c r="G99" s="175">
        <f t="shared" si="7"/>
        <v>0.96622275011428249</v>
      </c>
      <c r="H99" s="175">
        <f t="shared" si="8"/>
        <v>0</v>
      </c>
      <c r="I99" s="175">
        <f t="shared" si="9"/>
        <v>0</v>
      </c>
      <c r="J99" s="164">
        <f t="shared" si="10"/>
        <v>2</v>
      </c>
    </row>
    <row r="100" spans="6:10" ht="16">
      <c r="F100" s="174">
        <f t="shared" si="11"/>
        <v>-8.9999999999999247E-2</v>
      </c>
      <c r="G100" s="175">
        <f t="shared" si="7"/>
        <v>0.97273068538990271</v>
      </c>
      <c r="H100" s="175">
        <f t="shared" si="8"/>
        <v>0</v>
      </c>
      <c r="I100" s="175">
        <f t="shared" si="9"/>
        <v>0</v>
      </c>
      <c r="J100" s="164">
        <f t="shared" si="10"/>
        <v>2</v>
      </c>
    </row>
    <row r="101" spans="6:10" ht="16">
      <c r="F101" s="174">
        <f t="shared" si="11"/>
        <v>-7.9999999999999252E-2</v>
      </c>
      <c r="G101" s="175">
        <f t="shared" si="7"/>
        <v>0.97851688683260885</v>
      </c>
      <c r="H101" s="175">
        <f t="shared" si="8"/>
        <v>0</v>
      </c>
      <c r="I101" s="175">
        <f t="shared" si="9"/>
        <v>0</v>
      </c>
      <c r="J101" s="164">
        <f t="shared" si="10"/>
        <v>2</v>
      </c>
    </row>
    <row r="102" spans="6:10" ht="16">
      <c r="F102" s="174">
        <f t="shared" si="11"/>
        <v>-6.9999999999999257E-2</v>
      </c>
      <c r="G102" s="175">
        <f t="shared" si="7"/>
        <v>0.9835940917832009</v>
      </c>
      <c r="H102" s="175">
        <f t="shared" si="8"/>
        <v>0</v>
      </c>
      <c r="I102" s="175">
        <f t="shared" si="9"/>
        <v>0</v>
      </c>
      <c r="J102" s="164">
        <f t="shared" si="10"/>
        <v>2</v>
      </c>
    </row>
    <row r="103" spans="6:10" ht="16">
      <c r="F103" s="174">
        <f t="shared" si="11"/>
        <v>-5.9999999999999255E-2</v>
      </c>
      <c r="G103" s="175">
        <f t="shared" si="7"/>
        <v>0.98797323092370615</v>
      </c>
      <c r="H103" s="175">
        <f t="shared" si="8"/>
        <v>0</v>
      </c>
      <c r="I103" s="175">
        <f t="shared" si="9"/>
        <v>0</v>
      </c>
      <c r="J103" s="164">
        <f t="shared" si="10"/>
        <v>2</v>
      </c>
    </row>
    <row r="104" spans="6:10" ht="16">
      <c r="F104" s="174">
        <f t="shared" si="11"/>
        <v>-4.9999999999999253E-2</v>
      </c>
      <c r="G104" s="175">
        <f t="shared" si="7"/>
        <v>0.99166355217362001</v>
      </c>
      <c r="H104" s="175">
        <f t="shared" si="8"/>
        <v>0</v>
      </c>
      <c r="I104" s="175">
        <f t="shared" si="9"/>
        <v>0</v>
      </c>
      <c r="J104" s="164">
        <f t="shared" si="10"/>
        <v>2</v>
      </c>
    </row>
    <row r="105" spans="6:10" ht="16">
      <c r="F105" s="174">
        <f t="shared" si="11"/>
        <v>-3.9999999999999251E-2</v>
      </c>
      <c r="G105" s="175">
        <f t="shared" si="7"/>
        <v>0.99467272228313641</v>
      </c>
      <c r="H105" s="175">
        <f t="shared" si="8"/>
        <v>0</v>
      </c>
      <c r="I105" s="175">
        <f t="shared" si="9"/>
        <v>0</v>
      </c>
      <c r="J105" s="164">
        <f t="shared" si="10"/>
        <v>2</v>
      </c>
    </row>
    <row r="106" spans="6:10" ht="16">
      <c r="F106" s="174">
        <f t="shared" si="11"/>
        <v>-2.9999999999999249E-2</v>
      </c>
      <c r="G106" s="175">
        <f t="shared" si="7"/>
        <v>0.99700690883035348</v>
      </c>
      <c r="H106" s="175">
        <f t="shared" si="8"/>
        <v>0</v>
      </c>
      <c r="I106" s="175">
        <f t="shared" si="9"/>
        <v>0</v>
      </c>
      <c r="J106" s="164">
        <f t="shared" si="10"/>
        <v>2</v>
      </c>
    </row>
    <row r="107" spans="6:10" ht="16">
      <c r="F107" s="174">
        <f t="shared" si="11"/>
        <v>-1.9999999999999248E-2</v>
      </c>
      <c r="G107" s="175">
        <f t="shared" si="7"/>
        <v>0.9986708447299022</v>
      </c>
      <c r="H107" s="175">
        <f t="shared" si="8"/>
        <v>0</v>
      </c>
      <c r="I107" s="175">
        <f t="shared" si="9"/>
        <v>0</v>
      </c>
      <c r="J107" s="164">
        <f t="shared" si="10"/>
        <v>2</v>
      </c>
    </row>
    <row r="108" spans="6:10" ht="16">
      <c r="F108" s="174">
        <f t="shared" si="11"/>
        <v>-9.9999999999992473E-3</v>
      </c>
      <c r="G108" s="175">
        <f t="shared" si="7"/>
        <v>0.99966787686130243</v>
      </c>
      <c r="H108" s="175">
        <f t="shared" si="8"/>
        <v>0</v>
      </c>
      <c r="I108" s="175">
        <f t="shared" si="9"/>
        <v>0</v>
      </c>
      <c r="J108" s="164">
        <f t="shared" si="10"/>
        <v>2</v>
      </c>
    </row>
    <row r="109" spans="6:10" ht="16">
      <c r="F109" s="174">
        <f t="shared" si="11"/>
        <v>7.5286998857393428E-16</v>
      </c>
      <c r="G109" s="175">
        <f t="shared" si="7"/>
        <v>1</v>
      </c>
      <c r="H109" s="175">
        <f t="shared" si="8"/>
        <v>0</v>
      </c>
      <c r="I109" s="175">
        <f t="shared" si="9"/>
        <v>0</v>
      </c>
      <c r="J109" s="164">
        <f t="shared" si="10"/>
        <v>2</v>
      </c>
    </row>
    <row r="110" spans="6:10" ht="16">
      <c r="F110" s="174">
        <f t="shared" si="11"/>
        <v>1.0000000000000753E-2</v>
      </c>
      <c r="G110" s="175">
        <f t="shared" si="7"/>
        <v>0.99966787686130232</v>
      </c>
      <c r="H110" s="175">
        <f t="shared" si="8"/>
        <v>0</v>
      </c>
      <c r="I110" s="175">
        <f t="shared" si="9"/>
        <v>3.3212313869768195E-4</v>
      </c>
      <c r="J110" s="164">
        <f t="shared" si="10"/>
        <v>1.9993357537226046</v>
      </c>
    </row>
    <row r="111" spans="6:10" ht="16">
      <c r="F111" s="174">
        <f t="shared" si="11"/>
        <v>2.0000000000000753E-2</v>
      </c>
      <c r="G111" s="175">
        <f t="shared" si="7"/>
        <v>0.99867084472990197</v>
      </c>
      <c r="H111" s="175">
        <f t="shared" si="8"/>
        <v>0</v>
      </c>
      <c r="I111" s="175">
        <f t="shared" si="9"/>
        <v>1.3291552700980258E-3</v>
      </c>
      <c r="J111" s="164">
        <f t="shared" si="10"/>
        <v>1.9973416894598039</v>
      </c>
    </row>
    <row r="112" spans="6:10" ht="16">
      <c r="F112" s="174">
        <f t="shared" si="11"/>
        <v>3.0000000000000755E-2</v>
      </c>
      <c r="G112" s="175">
        <f t="shared" si="7"/>
        <v>0.99700690883035314</v>
      </c>
      <c r="H112" s="175">
        <f t="shared" si="8"/>
        <v>0</v>
      </c>
      <c r="I112" s="175">
        <f t="shared" si="9"/>
        <v>2.9930911696468554E-3</v>
      </c>
      <c r="J112" s="164">
        <f t="shared" si="10"/>
        <v>1.9940138176607063</v>
      </c>
    </row>
    <row r="113" spans="6:10" ht="16">
      <c r="F113" s="174">
        <f t="shared" si="11"/>
        <v>4.0000000000000757E-2</v>
      </c>
      <c r="G113" s="175">
        <f t="shared" si="7"/>
        <v>0.99467272228313597</v>
      </c>
      <c r="H113" s="175">
        <f t="shared" si="8"/>
        <v>0</v>
      </c>
      <c r="I113" s="175">
        <f t="shared" si="9"/>
        <v>5.3272777168640317E-3</v>
      </c>
      <c r="J113" s="164">
        <f t="shared" si="10"/>
        <v>1.9893454445662719</v>
      </c>
    </row>
    <row r="114" spans="6:10" ht="16">
      <c r="F114" s="174">
        <f t="shared" si="11"/>
        <v>5.0000000000000759E-2</v>
      </c>
      <c r="G114" s="175">
        <f t="shared" si="7"/>
        <v>0.99166355217361957</v>
      </c>
      <c r="H114" s="175">
        <f t="shared" si="8"/>
        <v>0</v>
      </c>
      <c r="I114" s="175">
        <f t="shared" si="9"/>
        <v>8.3364478263804331E-3</v>
      </c>
      <c r="J114" s="164">
        <f t="shared" si="10"/>
        <v>1.9833271043472391</v>
      </c>
    </row>
    <row r="115" spans="6:10" ht="16">
      <c r="F115" s="174">
        <f t="shared" si="11"/>
        <v>6.0000000000000761E-2</v>
      </c>
      <c r="G115" s="175">
        <f t="shared" si="7"/>
        <v>0.98797323092370559</v>
      </c>
      <c r="H115" s="175">
        <f t="shared" si="8"/>
        <v>0</v>
      </c>
      <c r="I115" s="175">
        <f t="shared" si="9"/>
        <v>1.2026769076294408E-2</v>
      </c>
      <c r="J115" s="164">
        <f t="shared" si="10"/>
        <v>1.9759464618474112</v>
      </c>
    </row>
    <row r="116" spans="6:10" ht="16">
      <c r="F116" s="174">
        <f t="shared" si="11"/>
        <v>7.0000000000000756E-2</v>
      </c>
      <c r="G116" s="175">
        <f t="shared" si="7"/>
        <v>0.98359409178320012</v>
      </c>
      <c r="H116" s="175">
        <f t="shared" si="8"/>
        <v>0</v>
      </c>
      <c r="I116" s="175">
        <f t="shared" si="9"/>
        <v>1.640590821679988E-2</v>
      </c>
      <c r="J116" s="164">
        <f t="shared" si="10"/>
        <v>1.9671881835664002</v>
      </c>
    </row>
    <row r="117" spans="6:10" ht="16">
      <c r="F117" s="174">
        <f t="shared" si="11"/>
        <v>8.0000000000000751E-2</v>
      </c>
      <c r="G117" s="175">
        <f t="shared" si="7"/>
        <v>0.97851688683260807</v>
      </c>
      <c r="H117" s="175">
        <f t="shared" si="8"/>
        <v>0</v>
      </c>
      <c r="I117" s="175">
        <f t="shared" si="9"/>
        <v>2.1483113167391932E-2</v>
      </c>
      <c r="J117" s="164">
        <f t="shared" si="10"/>
        <v>1.9570337736652161</v>
      </c>
    </row>
    <row r="118" spans="6:10" ht="16">
      <c r="F118" s="174">
        <f t="shared" si="11"/>
        <v>9.0000000000000746E-2</v>
      </c>
      <c r="G118" s="175">
        <f t="shared" si="7"/>
        <v>0.97273068538990182</v>
      </c>
      <c r="H118" s="175">
        <f t="shared" si="8"/>
        <v>0</v>
      </c>
      <c r="I118" s="175">
        <f t="shared" si="9"/>
        <v>2.7269314610098183E-2</v>
      </c>
      <c r="J118" s="164">
        <f t="shared" si="10"/>
        <v>1.9454613707798036</v>
      </c>
    </row>
    <row r="119" spans="6:10" ht="16">
      <c r="F119" s="174">
        <f t="shared" si="11"/>
        <v>0.10000000000000074</v>
      </c>
      <c r="G119" s="175">
        <f t="shared" si="7"/>
        <v>0.96622275011428138</v>
      </c>
      <c r="H119" s="175">
        <f t="shared" si="8"/>
        <v>0</v>
      </c>
      <c r="I119" s="175">
        <f t="shared" si="9"/>
        <v>3.3777249885718619E-2</v>
      </c>
      <c r="J119" s="164">
        <f t="shared" si="10"/>
        <v>1.9324455002285628</v>
      </c>
    </row>
    <row r="120" spans="6:10" ht="16">
      <c r="F120" s="174">
        <f t="shared" si="11"/>
        <v>0.11000000000000074</v>
      </c>
      <c r="G120" s="175">
        <f t="shared" si="7"/>
        <v>0.95897838736567487</v>
      </c>
      <c r="H120" s="175">
        <f t="shared" si="8"/>
        <v>0</v>
      </c>
      <c r="I120" s="175">
        <f t="shared" si="9"/>
        <v>4.1021612634325133E-2</v>
      </c>
      <c r="J120" s="164">
        <f t="shared" si="10"/>
        <v>1.9179567747313497</v>
      </c>
    </row>
    <row r="121" spans="6:10" ht="16">
      <c r="F121" s="174">
        <f t="shared" si="11"/>
        <v>0.12000000000000073</v>
      </c>
      <c r="G121" s="175">
        <f t="shared" si="7"/>
        <v>0.95098076746446547</v>
      </c>
      <c r="H121" s="175">
        <f t="shared" si="8"/>
        <v>0</v>
      </c>
      <c r="I121" s="175">
        <f t="shared" si="9"/>
        <v>4.9019232535534529E-2</v>
      </c>
      <c r="J121" s="164">
        <f t="shared" si="10"/>
        <v>1.9019615349289309</v>
      </c>
    </row>
    <row r="122" spans="6:10" ht="16">
      <c r="F122" s="174">
        <f t="shared" si="11"/>
        <v>0.13000000000000073</v>
      </c>
      <c r="G122" s="175">
        <f t="shared" si="7"/>
        <v>0.94221070934101847</v>
      </c>
      <c r="H122" s="175">
        <f t="shared" si="8"/>
        <v>0</v>
      </c>
      <c r="I122" s="175">
        <f t="shared" si="9"/>
        <v>5.7789290658981529E-2</v>
      </c>
      <c r="J122" s="164">
        <f t="shared" si="10"/>
        <v>1.8844214186820369</v>
      </c>
    </row>
    <row r="123" spans="6:10" ht="16">
      <c r="F123" s="174">
        <f t="shared" si="11"/>
        <v>0.14000000000000073</v>
      </c>
      <c r="G123" s="175">
        <f t="shared" si="7"/>
        <v>0.93264642258643471</v>
      </c>
      <c r="H123" s="175">
        <f t="shared" si="8"/>
        <v>0</v>
      </c>
      <c r="I123" s="175">
        <f t="shared" si="9"/>
        <v>6.7353577413565291E-2</v>
      </c>
      <c r="J123" s="164">
        <f t="shared" si="10"/>
        <v>1.8652928451728694</v>
      </c>
    </row>
    <row r="124" spans="6:10" ht="16">
      <c r="F124" s="174">
        <f t="shared" si="11"/>
        <v>0.15000000000000074</v>
      </c>
      <c r="G124" s="175">
        <f t="shared" si="7"/>
        <v>0.92226319800066414</v>
      </c>
      <c r="H124" s="175">
        <f t="shared" si="8"/>
        <v>0</v>
      </c>
      <c r="I124" s="175">
        <f t="shared" si="9"/>
        <v>7.7736801999335858E-2</v>
      </c>
      <c r="J124" s="164">
        <f t="shared" si="10"/>
        <v>1.8445263960013283</v>
      </c>
    </row>
    <row r="125" spans="6:10" ht="16">
      <c r="F125" s="174">
        <f t="shared" si="11"/>
        <v>0.16000000000000075</v>
      </c>
      <c r="G125" s="175">
        <f t="shared" si="7"/>
        <v>0.91103303522227896</v>
      </c>
      <c r="H125" s="175">
        <f t="shared" si="8"/>
        <v>0</v>
      </c>
      <c r="I125" s="175">
        <f t="shared" si="9"/>
        <v>8.8966964777721036E-2</v>
      </c>
      <c r="J125" s="164">
        <f t="shared" si="10"/>
        <v>1.8220660704445579</v>
      </c>
    </row>
    <row r="126" spans="6:10" ht="16">
      <c r="F126" s="174">
        <f t="shared" si="11"/>
        <v>0.17000000000000076</v>
      </c>
      <c r="G126" s="175">
        <f t="shared" si="7"/>
        <v>0.89892419268979074</v>
      </c>
      <c r="H126" s="175">
        <f t="shared" si="8"/>
        <v>0</v>
      </c>
      <c r="I126" s="175">
        <f t="shared" si="9"/>
        <v>0.10107580731020926</v>
      </c>
      <c r="J126" s="164">
        <f t="shared" si="10"/>
        <v>1.7978483853795815</v>
      </c>
    </row>
    <row r="127" spans="6:10" ht="16">
      <c r="F127" s="174">
        <f t="shared" si="11"/>
        <v>0.18000000000000077</v>
      </c>
      <c r="G127" s="175">
        <f t="shared" si="7"/>
        <v>0.88590064070212404</v>
      </c>
      <c r="H127" s="175">
        <f t="shared" si="8"/>
        <v>0</v>
      </c>
      <c r="I127" s="175">
        <f t="shared" si="9"/>
        <v>0.11409935929787596</v>
      </c>
      <c r="J127" s="164">
        <f t="shared" si="10"/>
        <v>1.7718012814042481</v>
      </c>
    </row>
    <row r="128" spans="6:10" ht="16">
      <c r="F128" s="174">
        <f t="shared" si="11"/>
        <v>0.19000000000000078</v>
      </c>
      <c r="G128" s="175">
        <f t="shared" si="7"/>
        <v>0.87192139224051857</v>
      </c>
      <c r="H128" s="175">
        <f t="shared" si="8"/>
        <v>0</v>
      </c>
      <c r="I128" s="175">
        <f t="shared" si="9"/>
        <v>0.12807860775948143</v>
      </c>
      <c r="J128" s="164">
        <f t="shared" si="10"/>
        <v>1.7438427844810371</v>
      </c>
    </row>
    <row r="129" spans="6:10" ht="16">
      <c r="F129" s="174">
        <f t="shared" si="11"/>
        <v>0.20000000000000079</v>
      </c>
      <c r="G129" s="175">
        <f t="shared" si="7"/>
        <v>0.85693967777996038</v>
      </c>
      <c r="H129" s="175">
        <f t="shared" si="8"/>
        <v>0</v>
      </c>
      <c r="I129" s="175">
        <f t="shared" si="9"/>
        <v>0.14306032222003962</v>
      </c>
      <c r="J129" s="164">
        <f t="shared" si="10"/>
        <v>1.7138793555599208</v>
      </c>
    </row>
    <row r="130" spans="6:10" ht="16">
      <c r="F130" s="174">
        <f t="shared" si="11"/>
        <v>0.2100000000000008</v>
      </c>
      <c r="G130" s="175">
        <f t="shared" si="7"/>
        <v>0.84090191848833873</v>
      </c>
      <c r="H130" s="175">
        <f t="shared" si="8"/>
        <v>0</v>
      </c>
      <c r="I130" s="175">
        <f t="shared" si="9"/>
        <v>0.15909808151166127</v>
      </c>
      <c r="J130" s="164">
        <f t="shared" si="10"/>
        <v>1.6818038369766775</v>
      </c>
    </row>
    <row r="131" spans="6:10" ht="16">
      <c r="F131" s="174">
        <f t="shared" si="11"/>
        <v>0.22000000000000081</v>
      </c>
      <c r="G131" s="175">
        <f t="shared" si="7"/>
        <v>0.82374643534153358</v>
      </c>
      <c r="H131" s="175">
        <f t="shared" si="8"/>
        <v>0</v>
      </c>
      <c r="I131" s="175">
        <f t="shared" si="9"/>
        <v>0.17625356465846642</v>
      </c>
      <c r="J131" s="164">
        <f t="shared" si="10"/>
        <v>1.6474928706830672</v>
      </c>
    </row>
    <row r="132" spans="6:10" ht="16">
      <c r="F132" s="174">
        <f t="shared" si="11"/>
        <v>0.23000000000000081</v>
      </c>
      <c r="G132" s="175">
        <f t="shared" si="7"/>
        <v>0.80540180718394583</v>
      </c>
      <c r="H132" s="175">
        <f t="shared" si="8"/>
        <v>0</v>
      </c>
      <c r="I132" s="175">
        <f t="shared" si="9"/>
        <v>0.19459819281605417</v>
      </c>
      <c r="J132" s="164">
        <f t="shared" si="10"/>
        <v>1.6108036143678917</v>
      </c>
    </row>
    <row r="133" spans="6:10" ht="16">
      <c r="F133" s="174">
        <f t="shared" si="11"/>
        <v>0.24000000000000082</v>
      </c>
      <c r="G133" s="175">
        <f t="shared" si="7"/>
        <v>0.78578475446474316</v>
      </c>
      <c r="H133" s="175">
        <f t="shared" si="8"/>
        <v>0</v>
      </c>
      <c r="I133" s="175">
        <f t="shared" si="9"/>
        <v>0.21421524553525684</v>
      </c>
      <c r="J133" s="164">
        <f t="shared" si="10"/>
        <v>1.5715695089294863</v>
      </c>
    </row>
    <row r="134" spans="6:10" ht="16">
      <c r="F134" s="174">
        <f t="shared" si="11"/>
        <v>0.25000000000000083</v>
      </c>
      <c r="G134" s="175">
        <f t="shared" si="7"/>
        <v>0.76479737037991669</v>
      </c>
      <c r="H134" s="175">
        <f t="shared" si="8"/>
        <v>0</v>
      </c>
      <c r="I134" s="175">
        <f t="shared" si="9"/>
        <v>0.23520262962008331</v>
      </c>
      <c r="J134" s="164">
        <f t="shared" si="10"/>
        <v>1.5295947407598334</v>
      </c>
    </row>
    <row r="135" spans="6:10" ht="16">
      <c r="F135" s="174">
        <f t="shared" si="11"/>
        <v>0.26000000000000084</v>
      </c>
      <c r="G135" s="175">
        <f t="shared" si="7"/>
        <v>0.74232343569876769</v>
      </c>
      <c r="H135" s="175">
        <f t="shared" si="8"/>
        <v>0</v>
      </c>
      <c r="I135" s="175">
        <f t="shared" si="9"/>
        <v>0.25767656430123231</v>
      </c>
      <c r="J135" s="164">
        <f t="shared" si="10"/>
        <v>1.4846468713975354</v>
      </c>
    </row>
    <row r="136" spans="6:10" ht="16">
      <c r="F136" s="174">
        <f t="shared" si="11"/>
        <v>0.27000000000000085</v>
      </c>
      <c r="G136" s="175">
        <f t="shared" si="7"/>
        <v>0.71822341697551018</v>
      </c>
      <c r="H136" s="175">
        <f t="shared" si="8"/>
        <v>0</v>
      </c>
      <c r="I136" s="175">
        <f t="shared" si="9"/>
        <v>0.28177658302448982</v>
      </c>
      <c r="J136" s="164">
        <f t="shared" si="10"/>
        <v>1.4364468339510204</v>
      </c>
    </row>
    <row r="137" spans="6:10" ht="16">
      <c r="F137" s="174">
        <f t="shared" si="11"/>
        <v>0.28000000000000086</v>
      </c>
      <c r="G137" s="175">
        <f t="shared" ref="G137:G200" si="12">IFERROR(IF(SQRT(1-(F137*F137)/($J$5*$J$5))&lt;0.05,0,SQRT(1-(F137*F137)/($J$5*$J$5))),0)</f>
        <v>0.69232752238597361</v>
      </c>
      <c r="H137" s="175">
        <f t="shared" ref="H137:H200" si="13">CHOOSE(MATCH($J$3,degrees),IF(F137&lt;0,IFERROR(1-G137,1),0),0,0,IF(F137&gt;0,IFERROR(1-G137,1),0))</f>
        <v>0</v>
      </c>
      <c r="I137" s="175">
        <f t="shared" ref="I137:I200" si="14">CHOOSE(MATCH($J$3,degrees),IF(F137&lt;0,2*G137,2),IF(F137&lt;0,0,1-G137),IF(F137&gt;0,0,1-G137),IF(F137&gt;0,2*G137,2))</f>
        <v>0.30767247761402639</v>
      </c>
      <c r="J137" s="164">
        <f t="shared" ref="J137:J200" si="15">CHOOSE(MATCH($J$3,degrees),IF(F137&lt;0,G137+1,2),IF(F137&lt;0,2,2*G137),IF(F137&gt;0,2,2*G137),IF(F137&gt;0,G137+1,2))</f>
        <v>1.3846550447719472</v>
      </c>
    </row>
    <row r="138" spans="6:10" ht="16">
      <c r="F138" s="174">
        <f t="shared" ref="F138:F201" si="16">F137+$G$4</f>
        <v>0.29000000000000087</v>
      </c>
      <c r="G138" s="175">
        <f t="shared" si="12"/>
        <v>0.66442580313455024</v>
      </c>
      <c r="H138" s="175">
        <f t="shared" si="13"/>
        <v>0</v>
      </c>
      <c r="I138" s="175">
        <f t="shared" si="14"/>
        <v>0.33557419686544976</v>
      </c>
      <c r="J138" s="164">
        <f t="shared" si="15"/>
        <v>1.3288516062691005</v>
      </c>
    </row>
    <row r="139" spans="6:10" ht="16">
      <c r="F139" s="174">
        <f t="shared" si="16"/>
        <v>0.30000000000000088</v>
      </c>
      <c r="G139" s="175">
        <f t="shared" si="12"/>
        <v>0.63425359718779017</v>
      </c>
      <c r="H139" s="175">
        <f t="shared" si="13"/>
        <v>0</v>
      </c>
      <c r="I139" s="175">
        <f t="shared" si="14"/>
        <v>0.36574640281220983</v>
      </c>
      <c r="J139" s="164">
        <f t="shared" si="15"/>
        <v>1.2685071943755803</v>
      </c>
    </row>
    <row r="140" spans="6:10" ht="16">
      <c r="F140" s="174">
        <f t="shared" si="16"/>
        <v>0.31000000000000089</v>
      </c>
      <c r="G140" s="175">
        <f t="shared" si="12"/>
        <v>0.60146931033684436</v>
      </c>
      <c r="H140" s="175">
        <f t="shared" si="13"/>
        <v>0</v>
      </c>
      <c r="I140" s="175">
        <f t="shared" si="14"/>
        <v>0.39853068966315564</v>
      </c>
      <c r="J140" s="164">
        <f t="shared" si="15"/>
        <v>1.2029386206736887</v>
      </c>
    </row>
    <row r="141" spans="6:10" ht="16">
      <c r="F141" s="174">
        <f t="shared" si="16"/>
        <v>0.32000000000000089</v>
      </c>
      <c r="G141" s="175">
        <f t="shared" si="12"/>
        <v>0.56561892212449438</v>
      </c>
      <c r="H141" s="175">
        <f t="shared" si="13"/>
        <v>0</v>
      </c>
      <c r="I141" s="175">
        <f t="shared" si="14"/>
        <v>0.43438107787550562</v>
      </c>
      <c r="J141" s="164">
        <f t="shared" si="15"/>
        <v>1.1312378442489888</v>
      </c>
    </row>
    <row r="142" spans="6:10" ht="16">
      <c r="F142" s="174">
        <f t="shared" si="16"/>
        <v>0.3300000000000009</v>
      </c>
      <c r="G142" s="175">
        <f t="shared" si="12"/>
        <v>0.52607597066416056</v>
      </c>
      <c r="H142" s="175">
        <f t="shared" si="13"/>
        <v>0</v>
      </c>
      <c r="I142" s="175">
        <f t="shared" si="14"/>
        <v>0.47392402933583944</v>
      </c>
      <c r="J142" s="164">
        <f t="shared" si="15"/>
        <v>1.0521519413283211</v>
      </c>
    </row>
    <row r="143" spans="6:10" ht="16">
      <c r="F143" s="174">
        <f t="shared" si="16"/>
        <v>0.34000000000000091</v>
      </c>
      <c r="G143" s="175">
        <f t="shared" si="12"/>
        <v>0.48193237784150866</v>
      </c>
      <c r="H143" s="175">
        <f t="shared" si="13"/>
        <v>0</v>
      </c>
      <c r="I143" s="175">
        <f t="shared" si="14"/>
        <v>0.51806762215849134</v>
      </c>
      <c r="J143" s="164">
        <f t="shared" si="15"/>
        <v>0.96386475568301733</v>
      </c>
    </row>
    <row r="144" spans="6:10" ht="16">
      <c r="F144" s="174">
        <f t="shared" si="16"/>
        <v>0.35000000000000092</v>
      </c>
      <c r="G144" s="175">
        <f t="shared" si="12"/>
        <v>0.43177938205809535</v>
      </c>
      <c r="H144" s="175">
        <f t="shared" si="13"/>
        <v>0</v>
      </c>
      <c r="I144" s="175">
        <f t="shared" si="14"/>
        <v>0.5682206179419047</v>
      </c>
      <c r="J144" s="164">
        <f t="shared" si="15"/>
        <v>0.8635587641161907</v>
      </c>
    </row>
    <row r="145" spans="6:10" ht="16">
      <c r="F145" s="174">
        <f t="shared" si="16"/>
        <v>0.36000000000000093</v>
      </c>
      <c r="G145" s="175">
        <f t="shared" si="12"/>
        <v>0.37320206428386621</v>
      </c>
      <c r="H145" s="175">
        <f t="shared" si="13"/>
        <v>0</v>
      </c>
      <c r="I145" s="175">
        <f t="shared" si="14"/>
        <v>0.62679793571613374</v>
      </c>
      <c r="J145" s="164">
        <f t="shared" si="15"/>
        <v>0.74640412856773242</v>
      </c>
    </row>
    <row r="146" spans="6:10" ht="16">
      <c r="F146" s="174">
        <f t="shared" si="16"/>
        <v>0.37000000000000094</v>
      </c>
      <c r="G146" s="175">
        <f t="shared" si="12"/>
        <v>0.30132682399311095</v>
      </c>
      <c r="H146" s="175">
        <f t="shared" si="13"/>
        <v>0</v>
      </c>
      <c r="I146" s="175">
        <f t="shared" si="14"/>
        <v>0.69867317600688905</v>
      </c>
      <c r="J146" s="164">
        <f t="shared" si="15"/>
        <v>0.6026536479862219</v>
      </c>
    </row>
    <row r="147" spans="6:10" ht="16">
      <c r="F147" s="174">
        <f t="shared" si="16"/>
        <v>0.38000000000000095</v>
      </c>
      <c r="G147" s="175">
        <f t="shared" si="12"/>
        <v>0.20245408611974144</v>
      </c>
      <c r="H147" s="175">
        <f t="shared" si="13"/>
        <v>0</v>
      </c>
      <c r="I147" s="175">
        <f t="shared" si="14"/>
        <v>0.79754591388025853</v>
      </c>
      <c r="J147" s="164">
        <f t="shared" si="15"/>
        <v>0.40490817223948289</v>
      </c>
    </row>
    <row r="148" spans="6:10" ht="16">
      <c r="F148" s="174">
        <f t="shared" si="16"/>
        <v>0.39000000000000096</v>
      </c>
      <c r="G148" s="175">
        <f t="shared" si="12"/>
        <v>0</v>
      </c>
      <c r="H148" s="175">
        <f t="shared" si="13"/>
        <v>0</v>
      </c>
      <c r="I148" s="175">
        <f t="shared" si="14"/>
        <v>1</v>
      </c>
      <c r="J148" s="164">
        <f t="shared" si="15"/>
        <v>0</v>
      </c>
    </row>
    <row r="149" spans="6:10" ht="16">
      <c r="F149" s="174">
        <f t="shared" si="16"/>
        <v>0.40000000000000097</v>
      </c>
      <c r="G149" s="175">
        <f t="shared" si="12"/>
        <v>0</v>
      </c>
      <c r="H149" s="175">
        <f t="shared" si="13"/>
        <v>0</v>
      </c>
      <c r="I149" s="175">
        <f t="shared" si="14"/>
        <v>1</v>
      </c>
      <c r="J149" s="164">
        <f t="shared" si="15"/>
        <v>0</v>
      </c>
    </row>
    <row r="150" spans="6:10" ht="16">
      <c r="F150" s="174">
        <f t="shared" si="16"/>
        <v>0.41000000000000097</v>
      </c>
      <c r="G150" s="175">
        <f t="shared" si="12"/>
        <v>0</v>
      </c>
      <c r="H150" s="175">
        <f t="shared" si="13"/>
        <v>0</v>
      </c>
      <c r="I150" s="175">
        <f t="shared" si="14"/>
        <v>1</v>
      </c>
      <c r="J150" s="164">
        <f t="shared" si="15"/>
        <v>0</v>
      </c>
    </row>
    <row r="151" spans="6:10" ht="16">
      <c r="F151" s="174">
        <f t="shared" si="16"/>
        <v>0.42000000000000098</v>
      </c>
      <c r="G151" s="175">
        <f t="shared" si="12"/>
        <v>0</v>
      </c>
      <c r="H151" s="175">
        <f t="shared" si="13"/>
        <v>0</v>
      </c>
      <c r="I151" s="175">
        <f t="shared" si="14"/>
        <v>1</v>
      </c>
      <c r="J151" s="164">
        <f t="shared" si="15"/>
        <v>0</v>
      </c>
    </row>
    <row r="152" spans="6:10" ht="16">
      <c r="F152" s="174">
        <f t="shared" si="16"/>
        <v>0.43000000000000099</v>
      </c>
      <c r="G152" s="175">
        <f t="shared" si="12"/>
        <v>0</v>
      </c>
      <c r="H152" s="175">
        <f t="shared" si="13"/>
        <v>0</v>
      </c>
      <c r="I152" s="175">
        <f t="shared" si="14"/>
        <v>1</v>
      </c>
      <c r="J152" s="164">
        <f t="shared" si="15"/>
        <v>0</v>
      </c>
    </row>
    <row r="153" spans="6:10" ht="16">
      <c r="F153" s="174">
        <f t="shared" si="16"/>
        <v>0.440000000000001</v>
      </c>
      <c r="G153" s="175">
        <f t="shared" si="12"/>
        <v>0</v>
      </c>
      <c r="H153" s="175">
        <f t="shared" si="13"/>
        <v>0</v>
      </c>
      <c r="I153" s="175">
        <f t="shared" si="14"/>
        <v>1</v>
      </c>
      <c r="J153" s="164">
        <f t="shared" si="15"/>
        <v>0</v>
      </c>
    </row>
    <row r="154" spans="6:10" ht="16">
      <c r="F154" s="174">
        <f t="shared" si="16"/>
        <v>0.45000000000000101</v>
      </c>
      <c r="G154" s="175">
        <f t="shared" si="12"/>
        <v>0</v>
      </c>
      <c r="H154" s="175">
        <f t="shared" si="13"/>
        <v>0</v>
      </c>
      <c r="I154" s="175">
        <f t="shared" si="14"/>
        <v>1</v>
      </c>
      <c r="J154" s="164">
        <f t="shared" si="15"/>
        <v>0</v>
      </c>
    </row>
    <row r="155" spans="6:10" ht="16">
      <c r="F155" s="174">
        <f t="shared" si="16"/>
        <v>0.46000000000000102</v>
      </c>
      <c r="G155" s="175">
        <f t="shared" si="12"/>
        <v>0</v>
      </c>
      <c r="H155" s="175">
        <f t="shared" si="13"/>
        <v>0</v>
      </c>
      <c r="I155" s="175">
        <f t="shared" si="14"/>
        <v>1</v>
      </c>
      <c r="J155" s="164">
        <f t="shared" si="15"/>
        <v>0</v>
      </c>
    </row>
    <row r="156" spans="6:10" ht="16">
      <c r="F156" s="174">
        <f t="shared" si="16"/>
        <v>0.47000000000000103</v>
      </c>
      <c r="G156" s="175">
        <f t="shared" si="12"/>
        <v>0</v>
      </c>
      <c r="H156" s="175">
        <f t="shared" si="13"/>
        <v>0</v>
      </c>
      <c r="I156" s="175">
        <f t="shared" si="14"/>
        <v>1</v>
      </c>
      <c r="J156" s="164">
        <f t="shared" si="15"/>
        <v>0</v>
      </c>
    </row>
    <row r="157" spans="6:10" ht="16">
      <c r="F157" s="174">
        <f t="shared" si="16"/>
        <v>0.48000000000000104</v>
      </c>
      <c r="G157" s="175">
        <f t="shared" si="12"/>
        <v>0</v>
      </c>
      <c r="H157" s="175">
        <f t="shared" si="13"/>
        <v>0</v>
      </c>
      <c r="I157" s="175">
        <f t="shared" si="14"/>
        <v>1</v>
      </c>
      <c r="J157" s="164">
        <f t="shared" si="15"/>
        <v>0</v>
      </c>
    </row>
    <row r="158" spans="6:10" ht="16">
      <c r="F158" s="174">
        <f t="shared" si="16"/>
        <v>0.49000000000000105</v>
      </c>
      <c r="G158" s="175">
        <f t="shared" si="12"/>
        <v>0</v>
      </c>
      <c r="H158" s="175">
        <f t="shared" si="13"/>
        <v>0</v>
      </c>
      <c r="I158" s="175">
        <f t="shared" si="14"/>
        <v>1</v>
      </c>
      <c r="J158" s="164">
        <f t="shared" si="15"/>
        <v>0</v>
      </c>
    </row>
    <row r="159" spans="6:10" ht="16">
      <c r="F159" s="174">
        <f t="shared" si="16"/>
        <v>0.500000000000001</v>
      </c>
      <c r="G159" s="175">
        <f t="shared" si="12"/>
        <v>0</v>
      </c>
      <c r="H159" s="175">
        <f t="shared" si="13"/>
        <v>0</v>
      </c>
      <c r="I159" s="175">
        <f t="shared" si="14"/>
        <v>1</v>
      </c>
      <c r="J159" s="164">
        <f t="shared" si="15"/>
        <v>0</v>
      </c>
    </row>
    <row r="160" spans="6:10" ht="16">
      <c r="F160" s="174">
        <f t="shared" si="16"/>
        <v>0.51000000000000101</v>
      </c>
      <c r="G160" s="175">
        <f t="shared" si="12"/>
        <v>0</v>
      </c>
      <c r="H160" s="175">
        <f t="shared" si="13"/>
        <v>0</v>
      </c>
      <c r="I160" s="175">
        <f t="shared" si="14"/>
        <v>1</v>
      </c>
      <c r="J160" s="164">
        <f t="shared" si="15"/>
        <v>0</v>
      </c>
    </row>
    <row r="161" spans="6:10" ht="16">
      <c r="F161" s="174">
        <f t="shared" si="16"/>
        <v>0.52000000000000102</v>
      </c>
      <c r="G161" s="175">
        <f t="shared" si="12"/>
        <v>0</v>
      </c>
      <c r="H161" s="175">
        <f t="shared" si="13"/>
        <v>0</v>
      </c>
      <c r="I161" s="175">
        <f t="shared" si="14"/>
        <v>1</v>
      </c>
      <c r="J161" s="164">
        <f t="shared" si="15"/>
        <v>0</v>
      </c>
    </row>
    <row r="162" spans="6:10" ht="16">
      <c r="F162" s="174">
        <f t="shared" si="16"/>
        <v>0.53000000000000103</v>
      </c>
      <c r="G162" s="175">
        <f t="shared" si="12"/>
        <v>0</v>
      </c>
      <c r="H162" s="175">
        <f t="shared" si="13"/>
        <v>0</v>
      </c>
      <c r="I162" s="175">
        <f t="shared" si="14"/>
        <v>1</v>
      </c>
      <c r="J162" s="164">
        <f t="shared" si="15"/>
        <v>0</v>
      </c>
    </row>
    <row r="163" spans="6:10" ht="16">
      <c r="F163" s="174">
        <f t="shared" si="16"/>
        <v>0.54000000000000103</v>
      </c>
      <c r="G163" s="175">
        <f t="shared" si="12"/>
        <v>0</v>
      </c>
      <c r="H163" s="175">
        <f t="shared" si="13"/>
        <v>0</v>
      </c>
      <c r="I163" s="175">
        <f t="shared" si="14"/>
        <v>1</v>
      </c>
      <c r="J163" s="164">
        <f t="shared" si="15"/>
        <v>0</v>
      </c>
    </row>
    <row r="164" spans="6:10" ht="16">
      <c r="F164" s="174">
        <f t="shared" si="16"/>
        <v>0.55000000000000104</v>
      </c>
      <c r="G164" s="175">
        <f t="shared" si="12"/>
        <v>0</v>
      </c>
      <c r="H164" s="175">
        <f t="shared" si="13"/>
        <v>0</v>
      </c>
      <c r="I164" s="175">
        <f t="shared" si="14"/>
        <v>1</v>
      </c>
      <c r="J164" s="164">
        <f t="shared" si="15"/>
        <v>0</v>
      </c>
    </row>
    <row r="165" spans="6:10" ht="16">
      <c r="F165" s="174">
        <f t="shared" si="16"/>
        <v>0.56000000000000105</v>
      </c>
      <c r="G165" s="175">
        <f t="shared" si="12"/>
        <v>0</v>
      </c>
      <c r="H165" s="175">
        <f t="shared" si="13"/>
        <v>0</v>
      </c>
      <c r="I165" s="175">
        <f t="shared" si="14"/>
        <v>1</v>
      </c>
      <c r="J165" s="164">
        <f t="shared" si="15"/>
        <v>0</v>
      </c>
    </row>
    <row r="166" spans="6:10" ht="16">
      <c r="F166" s="174">
        <f t="shared" si="16"/>
        <v>0.57000000000000106</v>
      </c>
      <c r="G166" s="175">
        <f t="shared" si="12"/>
        <v>0</v>
      </c>
      <c r="H166" s="175">
        <f t="shared" si="13"/>
        <v>0</v>
      </c>
      <c r="I166" s="175">
        <f t="shared" si="14"/>
        <v>1</v>
      </c>
      <c r="J166" s="164">
        <f t="shared" si="15"/>
        <v>0</v>
      </c>
    </row>
    <row r="167" spans="6:10" ht="16">
      <c r="F167" s="174">
        <f t="shared" si="16"/>
        <v>0.58000000000000107</v>
      </c>
      <c r="G167" s="175">
        <f t="shared" si="12"/>
        <v>0</v>
      </c>
      <c r="H167" s="175">
        <f t="shared" si="13"/>
        <v>0</v>
      </c>
      <c r="I167" s="175">
        <f t="shared" si="14"/>
        <v>1</v>
      </c>
      <c r="J167" s="164">
        <f t="shared" si="15"/>
        <v>0</v>
      </c>
    </row>
    <row r="168" spans="6:10" ht="16">
      <c r="F168" s="174">
        <f t="shared" si="16"/>
        <v>0.59000000000000108</v>
      </c>
      <c r="G168" s="175">
        <f t="shared" si="12"/>
        <v>0</v>
      </c>
      <c r="H168" s="175">
        <f t="shared" si="13"/>
        <v>0</v>
      </c>
      <c r="I168" s="175">
        <f t="shared" si="14"/>
        <v>1</v>
      </c>
      <c r="J168" s="164">
        <f t="shared" si="15"/>
        <v>0</v>
      </c>
    </row>
    <row r="169" spans="6:10" ht="16">
      <c r="F169" s="174">
        <f t="shared" si="16"/>
        <v>0.60000000000000109</v>
      </c>
      <c r="G169" s="175">
        <f t="shared" si="12"/>
        <v>0</v>
      </c>
      <c r="H169" s="175">
        <f t="shared" si="13"/>
        <v>0</v>
      </c>
      <c r="I169" s="175">
        <f t="shared" si="14"/>
        <v>1</v>
      </c>
      <c r="J169" s="164">
        <f t="shared" si="15"/>
        <v>0</v>
      </c>
    </row>
    <row r="170" spans="6:10" ht="16">
      <c r="F170" s="174">
        <f t="shared" si="16"/>
        <v>0.6100000000000011</v>
      </c>
      <c r="G170" s="175">
        <f t="shared" si="12"/>
        <v>0</v>
      </c>
      <c r="H170" s="175">
        <f t="shared" si="13"/>
        <v>0</v>
      </c>
      <c r="I170" s="175">
        <f t="shared" si="14"/>
        <v>1</v>
      </c>
      <c r="J170" s="164">
        <f t="shared" si="15"/>
        <v>0</v>
      </c>
    </row>
    <row r="171" spans="6:10" ht="16">
      <c r="F171" s="174">
        <f t="shared" si="16"/>
        <v>0.62000000000000111</v>
      </c>
      <c r="G171" s="175">
        <f t="shared" si="12"/>
        <v>0</v>
      </c>
      <c r="H171" s="175">
        <f t="shared" si="13"/>
        <v>0</v>
      </c>
      <c r="I171" s="175">
        <f t="shared" si="14"/>
        <v>1</v>
      </c>
      <c r="J171" s="164">
        <f t="shared" si="15"/>
        <v>0</v>
      </c>
    </row>
    <row r="172" spans="6:10" ht="16">
      <c r="F172" s="174">
        <f t="shared" si="16"/>
        <v>0.63000000000000111</v>
      </c>
      <c r="G172" s="175">
        <f t="shared" si="12"/>
        <v>0</v>
      </c>
      <c r="H172" s="175">
        <f t="shared" si="13"/>
        <v>0</v>
      </c>
      <c r="I172" s="175">
        <f t="shared" si="14"/>
        <v>1</v>
      </c>
      <c r="J172" s="164">
        <f t="shared" si="15"/>
        <v>0</v>
      </c>
    </row>
    <row r="173" spans="6:10" ht="16">
      <c r="F173" s="174">
        <f t="shared" si="16"/>
        <v>0.64000000000000112</v>
      </c>
      <c r="G173" s="175">
        <f t="shared" si="12"/>
        <v>0</v>
      </c>
      <c r="H173" s="175">
        <f t="shared" si="13"/>
        <v>0</v>
      </c>
      <c r="I173" s="175">
        <f t="shared" si="14"/>
        <v>1</v>
      </c>
      <c r="J173" s="164">
        <f t="shared" si="15"/>
        <v>0</v>
      </c>
    </row>
    <row r="174" spans="6:10" ht="16">
      <c r="F174" s="174">
        <f t="shared" si="16"/>
        <v>0.65000000000000113</v>
      </c>
      <c r="G174" s="175">
        <f t="shared" si="12"/>
        <v>0</v>
      </c>
      <c r="H174" s="175">
        <f t="shared" si="13"/>
        <v>0</v>
      </c>
      <c r="I174" s="175">
        <f t="shared" si="14"/>
        <v>1</v>
      </c>
      <c r="J174" s="164">
        <f t="shared" si="15"/>
        <v>0</v>
      </c>
    </row>
    <row r="175" spans="6:10" ht="16">
      <c r="F175" s="174">
        <f t="shared" si="16"/>
        <v>0.66000000000000114</v>
      </c>
      <c r="G175" s="175">
        <f t="shared" si="12"/>
        <v>0</v>
      </c>
      <c r="H175" s="175">
        <f t="shared" si="13"/>
        <v>0</v>
      </c>
      <c r="I175" s="175">
        <f t="shared" si="14"/>
        <v>1</v>
      </c>
      <c r="J175" s="164">
        <f t="shared" si="15"/>
        <v>0</v>
      </c>
    </row>
    <row r="176" spans="6:10" ht="16">
      <c r="F176" s="174">
        <f t="shared" si="16"/>
        <v>0.67000000000000115</v>
      </c>
      <c r="G176" s="175">
        <f t="shared" si="12"/>
        <v>0</v>
      </c>
      <c r="H176" s="175">
        <f t="shared" si="13"/>
        <v>0</v>
      </c>
      <c r="I176" s="175">
        <f t="shared" si="14"/>
        <v>1</v>
      </c>
      <c r="J176" s="164">
        <f t="shared" si="15"/>
        <v>0</v>
      </c>
    </row>
    <row r="177" spans="6:10" ht="16">
      <c r="F177" s="174">
        <f t="shared" si="16"/>
        <v>0.68000000000000116</v>
      </c>
      <c r="G177" s="175">
        <f t="shared" si="12"/>
        <v>0</v>
      </c>
      <c r="H177" s="175">
        <f t="shared" si="13"/>
        <v>0</v>
      </c>
      <c r="I177" s="175">
        <f t="shared" si="14"/>
        <v>1</v>
      </c>
      <c r="J177" s="164">
        <f t="shared" si="15"/>
        <v>0</v>
      </c>
    </row>
    <row r="178" spans="6:10" ht="16">
      <c r="F178" s="174">
        <f t="shared" si="16"/>
        <v>0.69000000000000117</v>
      </c>
      <c r="G178" s="175">
        <f t="shared" si="12"/>
        <v>0</v>
      </c>
      <c r="H178" s="175">
        <f t="shared" si="13"/>
        <v>0</v>
      </c>
      <c r="I178" s="175">
        <f t="shared" si="14"/>
        <v>1</v>
      </c>
      <c r="J178" s="164">
        <f t="shared" si="15"/>
        <v>0</v>
      </c>
    </row>
    <row r="179" spans="6:10" ht="16">
      <c r="F179" s="174">
        <f t="shared" si="16"/>
        <v>0.70000000000000118</v>
      </c>
      <c r="G179" s="175">
        <f t="shared" si="12"/>
        <v>0</v>
      </c>
      <c r="H179" s="175">
        <f t="shared" si="13"/>
        <v>0</v>
      </c>
      <c r="I179" s="175">
        <f t="shared" si="14"/>
        <v>1</v>
      </c>
      <c r="J179" s="164">
        <f t="shared" si="15"/>
        <v>0</v>
      </c>
    </row>
    <row r="180" spans="6:10" ht="16">
      <c r="F180" s="174">
        <f t="shared" si="16"/>
        <v>0.71000000000000119</v>
      </c>
      <c r="G180" s="175">
        <f t="shared" si="12"/>
        <v>0</v>
      </c>
      <c r="H180" s="175">
        <f t="shared" si="13"/>
        <v>0</v>
      </c>
      <c r="I180" s="175">
        <f t="shared" si="14"/>
        <v>1</v>
      </c>
      <c r="J180" s="164">
        <f t="shared" si="15"/>
        <v>0</v>
      </c>
    </row>
    <row r="181" spans="6:10" ht="16">
      <c r="F181" s="174">
        <f t="shared" si="16"/>
        <v>0.72000000000000119</v>
      </c>
      <c r="G181" s="175">
        <f t="shared" si="12"/>
        <v>0</v>
      </c>
      <c r="H181" s="175">
        <f t="shared" si="13"/>
        <v>0</v>
      </c>
      <c r="I181" s="175">
        <f t="shared" si="14"/>
        <v>1</v>
      </c>
      <c r="J181" s="164">
        <f t="shared" si="15"/>
        <v>0</v>
      </c>
    </row>
    <row r="182" spans="6:10" ht="16">
      <c r="F182" s="174">
        <f t="shared" si="16"/>
        <v>0.7300000000000012</v>
      </c>
      <c r="G182" s="175">
        <f t="shared" si="12"/>
        <v>0</v>
      </c>
      <c r="H182" s="175">
        <f t="shared" si="13"/>
        <v>0</v>
      </c>
      <c r="I182" s="175">
        <f t="shared" si="14"/>
        <v>1</v>
      </c>
      <c r="J182" s="164">
        <f t="shared" si="15"/>
        <v>0</v>
      </c>
    </row>
    <row r="183" spans="6:10" ht="16">
      <c r="F183" s="174">
        <f t="shared" si="16"/>
        <v>0.74000000000000121</v>
      </c>
      <c r="G183" s="175">
        <f t="shared" si="12"/>
        <v>0</v>
      </c>
      <c r="H183" s="175">
        <f t="shared" si="13"/>
        <v>0</v>
      </c>
      <c r="I183" s="175">
        <f t="shared" si="14"/>
        <v>1</v>
      </c>
      <c r="J183" s="164">
        <f t="shared" si="15"/>
        <v>0</v>
      </c>
    </row>
    <row r="184" spans="6:10" ht="16">
      <c r="F184" s="174">
        <f t="shared" si="16"/>
        <v>0.75000000000000122</v>
      </c>
      <c r="G184" s="175">
        <f t="shared" si="12"/>
        <v>0</v>
      </c>
      <c r="H184" s="175">
        <f t="shared" si="13"/>
        <v>0</v>
      </c>
      <c r="I184" s="175">
        <f t="shared" si="14"/>
        <v>1</v>
      </c>
      <c r="J184" s="164">
        <f t="shared" si="15"/>
        <v>0</v>
      </c>
    </row>
    <row r="185" spans="6:10" ht="16">
      <c r="F185" s="174">
        <f t="shared" si="16"/>
        <v>0.76000000000000123</v>
      </c>
      <c r="G185" s="175">
        <f t="shared" si="12"/>
        <v>0</v>
      </c>
      <c r="H185" s="175">
        <f t="shared" si="13"/>
        <v>0</v>
      </c>
      <c r="I185" s="175">
        <f t="shared" si="14"/>
        <v>1</v>
      </c>
      <c r="J185" s="164">
        <f t="shared" si="15"/>
        <v>0</v>
      </c>
    </row>
    <row r="186" spans="6:10" ht="16">
      <c r="F186" s="174">
        <f t="shared" si="16"/>
        <v>0.77000000000000124</v>
      </c>
      <c r="G186" s="175">
        <f t="shared" si="12"/>
        <v>0</v>
      </c>
      <c r="H186" s="175">
        <f t="shared" si="13"/>
        <v>0</v>
      </c>
      <c r="I186" s="175">
        <f t="shared" si="14"/>
        <v>1</v>
      </c>
      <c r="J186" s="164">
        <f t="shared" si="15"/>
        <v>0</v>
      </c>
    </row>
    <row r="187" spans="6:10" ht="16">
      <c r="F187" s="174">
        <f t="shared" si="16"/>
        <v>0.78000000000000125</v>
      </c>
      <c r="G187" s="175">
        <f t="shared" si="12"/>
        <v>0</v>
      </c>
      <c r="H187" s="175">
        <f t="shared" si="13"/>
        <v>0</v>
      </c>
      <c r="I187" s="175">
        <f t="shared" si="14"/>
        <v>1</v>
      </c>
      <c r="J187" s="164">
        <f t="shared" si="15"/>
        <v>0</v>
      </c>
    </row>
    <row r="188" spans="6:10" ht="16">
      <c r="F188" s="174">
        <f t="shared" si="16"/>
        <v>0.79000000000000126</v>
      </c>
      <c r="G188" s="175">
        <f t="shared" si="12"/>
        <v>0</v>
      </c>
      <c r="H188" s="175">
        <f t="shared" si="13"/>
        <v>0</v>
      </c>
      <c r="I188" s="175">
        <f t="shared" si="14"/>
        <v>1</v>
      </c>
      <c r="J188" s="164">
        <f t="shared" si="15"/>
        <v>0</v>
      </c>
    </row>
    <row r="189" spans="6:10" ht="16">
      <c r="F189" s="174">
        <f t="shared" si="16"/>
        <v>0.80000000000000127</v>
      </c>
      <c r="G189" s="175">
        <f t="shared" si="12"/>
        <v>0</v>
      </c>
      <c r="H189" s="175">
        <f t="shared" si="13"/>
        <v>0</v>
      </c>
      <c r="I189" s="175">
        <f t="shared" si="14"/>
        <v>1</v>
      </c>
      <c r="J189" s="164">
        <f t="shared" si="15"/>
        <v>0</v>
      </c>
    </row>
    <row r="190" spans="6:10" ht="16">
      <c r="F190" s="174">
        <f t="shared" si="16"/>
        <v>0.81000000000000127</v>
      </c>
      <c r="G190" s="175">
        <f t="shared" si="12"/>
        <v>0</v>
      </c>
      <c r="H190" s="175">
        <f t="shared" si="13"/>
        <v>0</v>
      </c>
      <c r="I190" s="175">
        <f t="shared" si="14"/>
        <v>1</v>
      </c>
      <c r="J190" s="164">
        <f t="shared" si="15"/>
        <v>0</v>
      </c>
    </row>
    <row r="191" spans="6:10" ht="16">
      <c r="F191" s="174">
        <f t="shared" si="16"/>
        <v>0.82000000000000128</v>
      </c>
      <c r="G191" s="175">
        <f t="shared" si="12"/>
        <v>0</v>
      </c>
      <c r="H191" s="175">
        <f t="shared" si="13"/>
        <v>0</v>
      </c>
      <c r="I191" s="175">
        <f t="shared" si="14"/>
        <v>1</v>
      </c>
      <c r="J191" s="164">
        <f t="shared" si="15"/>
        <v>0</v>
      </c>
    </row>
    <row r="192" spans="6:10" ht="16">
      <c r="F192" s="174">
        <f t="shared" si="16"/>
        <v>0.83000000000000129</v>
      </c>
      <c r="G192" s="175">
        <f t="shared" si="12"/>
        <v>0</v>
      </c>
      <c r="H192" s="175">
        <f t="shared" si="13"/>
        <v>0</v>
      </c>
      <c r="I192" s="175">
        <f t="shared" si="14"/>
        <v>1</v>
      </c>
      <c r="J192" s="164">
        <f t="shared" si="15"/>
        <v>0</v>
      </c>
    </row>
    <row r="193" spans="6:10" ht="16">
      <c r="F193" s="174">
        <f t="shared" si="16"/>
        <v>0.8400000000000013</v>
      </c>
      <c r="G193" s="175">
        <f t="shared" si="12"/>
        <v>0</v>
      </c>
      <c r="H193" s="175">
        <f t="shared" si="13"/>
        <v>0</v>
      </c>
      <c r="I193" s="175">
        <f t="shared" si="14"/>
        <v>1</v>
      </c>
      <c r="J193" s="164">
        <f t="shared" si="15"/>
        <v>0</v>
      </c>
    </row>
    <row r="194" spans="6:10" ht="16">
      <c r="F194" s="174">
        <f t="shared" si="16"/>
        <v>0.85000000000000131</v>
      </c>
      <c r="G194" s="175">
        <f t="shared" si="12"/>
        <v>0</v>
      </c>
      <c r="H194" s="175">
        <f t="shared" si="13"/>
        <v>0</v>
      </c>
      <c r="I194" s="175">
        <f t="shared" si="14"/>
        <v>1</v>
      </c>
      <c r="J194" s="164">
        <f t="shared" si="15"/>
        <v>0</v>
      </c>
    </row>
    <row r="195" spans="6:10" ht="16">
      <c r="F195" s="174">
        <f t="shared" si="16"/>
        <v>0.86000000000000132</v>
      </c>
      <c r="G195" s="175">
        <f t="shared" si="12"/>
        <v>0</v>
      </c>
      <c r="H195" s="175">
        <f t="shared" si="13"/>
        <v>0</v>
      </c>
      <c r="I195" s="175">
        <f t="shared" si="14"/>
        <v>1</v>
      </c>
      <c r="J195" s="164">
        <f t="shared" si="15"/>
        <v>0</v>
      </c>
    </row>
    <row r="196" spans="6:10" ht="16">
      <c r="F196" s="174">
        <f t="shared" si="16"/>
        <v>0.87000000000000133</v>
      </c>
      <c r="G196" s="175">
        <f t="shared" si="12"/>
        <v>0</v>
      </c>
      <c r="H196" s="175">
        <f t="shared" si="13"/>
        <v>0</v>
      </c>
      <c r="I196" s="175">
        <f t="shared" si="14"/>
        <v>1</v>
      </c>
      <c r="J196" s="164">
        <f t="shared" si="15"/>
        <v>0</v>
      </c>
    </row>
    <row r="197" spans="6:10" ht="16">
      <c r="F197" s="174">
        <f t="shared" si="16"/>
        <v>0.88000000000000134</v>
      </c>
      <c r="G197" s="175">
        <f t="shared" si="12"/>
        <v>0</v>
      </c>
      <c r="H197" s="175">
        <f t="shared" si="13"/>
        <v>0</v>
      </c>
      <c r="I197" s="175">
        <f t="shared" si="14"/>
        <v>1</v>
      </c>
      <c r="J197" s="164">
        <f t="shared" si="15"/>
        <v>0</v>
      </c>
    </row>
    <row r="198" spans="6:10" ht="16">
      <c r="F198" s="174">
        <f t="shared" si="16"/>
        <v>0.89000000000000135</v>
      </c>
      <c r="G198" s="175">
        <f t="shared" si="12"/>
        <v>0</v>
      </c>
      <c r="H198" s="175">
        <f t="shared" si="13"/>
        <v>0</v>
      </c>
      <c r="I198" s="175">
        <f t="shared" si="14"/>
        <v>1</v>
      </c>
      <c r="J198" s="164">
        <f t="shared" si="15"/>
        <v>0</v>
      </c>
    </row>
    <row r="199" spans="6:10" ht="16">
      <c r="F199" s="174">
        <f t="shared" si="16"/>
        <v>0.90000000000000135</v>
      </c>
      <c r="G199" s="175">
        <f t="shared" si="12"/>
        <v>0</v>
      </c>
      <c r="H199" s="175">
        <f t="shared" si="13"/>
        <v>0</v>
      </c>
      <c r="I199" s="175">
        <f t="shared" si="14"/>
        <v>1</v>
      </c>
      <c r="J199" s="164">
        <f t="shared" si="15"/>
        <v>0</v>
      </c>
    </row>
    <row r="200" spans="6:10" ht="16">
      <c r="F200" s="174">
        <f t="shared" si="16"/>
        <v>0.91000000000000136</v>
      </c>
      <c r="G200" s="175">
        <f t="shared" si="12"/>
        <v>0</v>
      </c>
      <c r="H200" s="175">
        <f t="shared" si="13"/>
        <v>0</v>
      </c>
      <c r="I200" s="175">
        <f t="shared" si="14"/>
        <v>1</v>
      </c>
      <c r="J200" s="164">
        <f t="shared" si="15"/>
        <v>0</v>
      </c>
    </row>
    <row r="201" spans="6:10" ht="16">
      <c r="F201" s="174">
        <f t="shared" si="16"/>
        <v>0.92000000000000137</v>
      </c>
      <c r="G201" s="175">
        <f t="shared" ref="G201:G209" si="17">IFERROR(IF(SQRT(1-(F201*F201)/($J$5*$J$5))&lt;0.05,0,SQRT(1-(F201*F201)/($J$5*$J$5))),0)</f>
        <v>0</v>
      </c>
      <c r="H201" s="175">
        <f t="shared" ref="H201:H209" si="18">CHOOSE(MATCH($J$3,degrees),IF(F201&lt;0,IFERROR(1-G201,1),0),0,0,IF(F201&gt;0,IFERROR(1-G201,1),0))</f>
        <v>0</v>
      </c>
      <c r="I201" s="175">
        <f t="shared" ref="I201:I209" si="19">CHOOSE(MATCH($J$3,degrees),IF(F201&lt;0,2*G201,2),IF(F201&lt;0,0,1-G201),IF(F201&gt;0,0,1-G201),IF(F201&gt;0,2*G201,2))</f>
        <v>1</v>
      </c>
      <c r="J201" s="164">
        <f t="shared" ref="J201:J209" si="20">CHOOSE(MATCH($J$3,degrees),IF(F201&lt;0,G201+1,2),IF(F201&lt;0,2,2*G201),IF(F201&gt;0,2,2*G201),IF(F201&gt;0,G201+1,2))</f>
        <v>0</v>
      </c>
    </row>
    <row r="202" spans="6:10" ht="16">
      <c r="F202" s="174">
        <f t="shared" ref="F202:F209" si="21">F201+$G$4</f>
        <v>0.93000000000000138</v>
      </c>
      <c r="G202" s="175">
        <f t="shared" si="17"/>
        <v>0</v>
      </c>
      <c r="H202" s="175">
        <f t="shared" si="18"/>
        <v>0</v>
      </c>
      <c r="I202" s="175">
        <f t="shared" si="19"/>
        <v>1</v>
      </c>
      <c r="J202" s="164">
        <f t="shared" si="20"/>
        <v>0</v>
      </c>
    </row>
    <row r="203" spans="6:10" ht="16">
      <c r="F203" s="174">
        <f t="shared" si="21"/>
        <v>0.94000000000000139</v>
      </c>
      <c r="G203" s="175">
        <f t="shared" si="17"/>
        <v>0</v>
      </c>
      <c r="H203" s="175">
        <f t="shared" si="18"/>
        <v>0</v>
      </c>
      <c r="I203" s="175">
        <f t="shared" si="19"/>
        <v>1</v>
      </c>
      <c r="J203" s="164">
        <f t="shared" si="20"/>
        <v>0</v>
      </c>
    </row>
    <row r="204" spans="6:10" ht="16">
      <c r="F204" s="174">
        <f t="shared" si="21"/>
        <v>0.9500000000000014</v>
      </c>
      <c r="G204" s="175">
        <f t="shared" si="17"/>
        <v>0</v>
      </c>
      <c r="H204" s="175">
        <f t="shared" si="18"/>
        <v>0</v>
      </c>
      <c r="I204" s="175">
        <f t="shared" si="19"/>
        <v>1</v>
      </c>
      <c r="J204" s="164">
        <f t="shared" si="20"/>
        <v>0</v>
      </c>
    </row>
    <row r="205" spans="6:10" ht="16">
      <c r="F205" s="174">
        <f t="shared" si="21"/>
        <v>0.96000000000000141</v>
      </c>
      <c r="G205" s="175">
        <f t="shared" si="17"/>
        <v>0</v>
      </c>
      <c r="H205" s="175">
        <f t="shared" si="18"/>
        <v>0</v>
      </c>
      <c r="I205" s="175">
        <f t="shared" si="19"/>
        <v>1</v>
      </c>
      <c r="J205" s="164">
        <f t="shared" si="20"/>
        <v>0</v>
      </c>
    </row>
    <row r="206" spans="6:10" ht="16">
      <c r="F206" s="174">
        <f t="shared" si="21"/>
        <v>0.97000000000000142</v>
      </c>
      <c r="G206" s="175">
        <f t="shared" si="17"/>
        <v>0</v>
      </c>
      <c r="H206" s="175">
        <f t="shared" si="18"/>
        <v>0</v>
      </c>
      <c r="I206" s="175">
        <f t="shared" si="19"/>
        <v>1</v>
      </c>
      <c r="J206" s="164">
        <f t="shared" si="20"/>
        <v>0</v>
      </c>
    </row>
    <row r="207" spans="6:10" ht="16">
      <c r="F207" s="174">
        <f t="shared" si="21"/>
        <v>0.98000000000000143</v>
      </c>
      <c r="G207" s="175">
        <f t="shared" si="17"/>
        <v>0</v>
      </c>
      <c r="H207" s="175">
        <f t="shared" si="18"/>
        <v>0</v>
      </c>
      <c r="I207" s="175">
        <f t="shared" si="19"/>
        <v>1</v>
      </c>
      <c r="J207" s="164">
        <f t="shared" si="20"/>
        <v>0</v>
      </c>
    </row>
    <row r="208" spans="6:10" ht="16">
      <c r="F208" s="174">
        <f t="shared" si="21"/>
        <v>0.99000000000000143</v>
      </c>
      <c r="G208" s="175">
        <f t="shared" si="17"/>
        <v>0</v>
      </c>
      <c r="H208" s="175">
        <f t="shared" si="18"/>
        <v>0</v>
      </c>
      <c r="I208" s="175">
        <f t="shared" si="19"/>
        <v>1</v>
      </c>
      <c r="J208" s="164">
        <f t="shared" si="20"/>
        <v>0</v>
      </c>
    </row>
    <row r="209" spans="6:10" ht="16">
      <c r="F209" s="192">
        <f t="shared" si="21"/>
        <v>1.0000000000000013</v>
      </c>
      <c r="G209" s="193">
        <f t="shared" si="17"/>
        <v>0</v>
      </c>
      <c r="H209" s="193">
        <f t="shared" si="18"/>
        <v>0</v>
      </c>
      <c r="I209" s="193">
        <f t="shared" si="19"/>
        <v>1</v>
      </c>
      <c r="J209" s="194">
        <f t="shared" si="20"/>
        <v>0</v>
      </c>
    </row>
  </sheetData>
  <sheetProtection sheet="1" objects="1" scenarios="1"/>
  <pageMargins left="0.75" right="0.75" top="1" bottom="1" header="0.5" footer="0.5"/>
  <pageSetup paperSize="8" scale="150" orientation="landscape" horizontalDpi="300" verticalDpi="0" copies="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A00D9-2AAD-6747-BC2D-3C2822A32FD9}">
  <dimension ref="A2:J9"/>
  <sheetViews>
    <sheetView showGridLines="0" topLeftCell="A3" workbookViewId="0">
      <selection activeCell="D5" sqref="D5"/>
    </sheetView>
  </sheetViews>
  <sheetFormatPr baseColWidth="10" defaultRowHeight="16"/>
  <cols>
    <col min="1" max="1" width="10.83203125" style="40"/>
    <col min="2" max="2" width="10.83203125" style="43"/>
    <col min="3" max="3" width="18.33203125" style="43" customWidth="1"/>
    <col min="4" max="4" width="75.83203125" style="40" customWidth="1"/>
    <col min="5" max="10" width="10.83203125" style="40"/>
  </cols>
  <sheetData>
    <row r="2" spans="2:4">
      <c r="B2" s="27" t="s">
        <v>581</v>
      </c>
      <c r="C2" s="27" t="s">
        <v>5</v>
      </c>
      <c r="D2" s="52" t="s">
        <v>582</v>
      </c>
    </row>
    <row r="3" spans="2:4" ht="170">
      <c r="B3" s="53" t="s">
        <v>55</v>
      </c>
      <c r="C3" s="53" t="s">
        <v>578</v>
      </c>
      <c r="D3" s="54" t="s">
        <v>584</v>
      </c>
    </row>
    <row r="4" spans="2:4" ht="150" customHeight="1">
      <c r="B4" s="53" t="s">
        <v>56</v>
      </c>
      <c r="C4" s="53" t="s">
        <v>579</v>
      </c>
      <c r="D4" s="54" t="s">
        <v>585</v>
      </c>
    </row>
    <row r="5" spans="2:4" ht="136">
      <c r="B5" s="53" t="s">
        <v>57</v>
      </c>
      <c r="C5" s="53" t="s">
        <v>600</v>
      </c>
      <c r="D5" s="134" t="s">
        <v>801</v>
      </c>
    </row>
    <row r="6" spans="2:4" ht="119">
      <c r="B6" s="53" t="s">
        <v>602</v>
      </c>
      <c r="C6" s="53" t="s">
        <v>603</v>
      </c>
      <c r="D6" s="54" t="s">
        <v>601</v>
      </c>
    </row>
    <row r="7" spans="2:4" ht="180" customHeight="1">
      <c r="B7" s="53" t="s">
        <v>597</v>
      </c>
      <c r="C7" s="53" t="s">
        <v>598</v>
      </c>
      <c r="D7" s="54" t="s">
        <v>599</v>
      </c>
    </row>
    <row r="8" spans="2:4" ht="119">
      <c r="B8" s="53" t="s">
        <v>606</v>
      </c>
      <c r="C8" s="53" t="s">
        <v>604</v>
      </c>
      <c r="D8" s="54" t="s">
        <v>605</v>
      </c>
    </row>
    <row r="9" spans="2:4" ht="130" customHeight="1">
      <c r="B9" s="53" t="s">
        <v>53</v>
      </c>
      <c r="C9" s="53" t="s">
        <v>580</v>
      </c>
      <c r="D9" s="54" t="s">
        <v>586</v>
      </c>
    </row>
  </sheetData>
  <sheetProtection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1E0AA-39D6-8B48-9D29-3B1CC9BF489B}">
  <dimension ref="B2:J90"/>
  <sheetViews>
    <sheetView showGridLines="0" workbookViewId="0">
      <selection activeCell="N19" sqref="N19"/>
    </sheetView>
  </sheetViews>
  <sheetFormatPr baseColWidth="10" defaultRowHeight="15"/>
  <cols>
    <col min="2" max="2" width="4.5" style="15" customWidth="1"/>
    <col min="3" max="3" width="19.1640625" style="15" bestFit="1" customWidth="1"/>
    <col min="4" max="4" width="16.1640625" style="15" bestFit="1" customWidth="1"/>
    <col min="5" max="5" width="18.1640625" style="15" bestFit="1" customWidth="1"/>
    <col min="6" max="6" width="19.33203125" style="15" bestFit="1" customWidth="1"/>
    <col min="7" max="7" width="16.1640625" style="15" bestFit="1" customWidth="1"/>
    <col min="8" max="8" width="36.5" style="15" bestFit="1" customWidth="1"/>
    <col min="9" max="9" width="40.83203125" style="15" customWidth="1"/>
    <col min="10" max="10" width="19" style="15" bestFit="1" customWidth="1"/>
    <col min="11" max="257" width="8.83203125" customWidth="1"/>
    <col min="258" max="258" width="4.5" customWidth="1"/>
    <col min="259" max="259" width="19.1640625" bestFit="1" customWidth="1"/>
    <col min="260" max="260" width="16.1640625" bestFit="1" customWidth="1"/>
    <col min="261" max="261" width="18.1640625" bestFit="1" customWidth="1"/>
    <col min="262" max="262" width="19.33203125" bestFit="1" customWidth="1"/>
    <col min="263" max="263" width="16.1640625" bestFit="1" customWidth="1"/>
    <col min="264" max="265" width="36.5" bestFit="1" customWidth="1"/>
    <col min="266" max="266" width="19" bestFit="1" customWidth="1"/>
    <col min="267" max="513" width="8.83203125" customWidth="1"/>
    <col min="514" max="514" width="4.5" customWidth="1"/>
    <col min="515" max="515" width="19.1640625" bestFit="1" customWidth="1"/>
    <col min="516" max="516" width="16.1640625" bestFit="1" customWidth="1"/>
    <col min="517" max="517" width="18.1640625" bestFit="1" customWidth="1"/>
    <col min="518" max="518" width="19.33203125" bestFit="1" customWidth="1"/>
    <col min="519" max="519" width="16.1640625" bestFit="1" customWidth="1"/>
    <col min="520" max="521" width="36.5" bestFit="1" customWidth="1"/>
    <col min="522" max="522" width="19" bestFit="1" customWidth="1"/>
    <col min="523" max="769" width="8.83203125" customWidth="1"/>
    <col min="770" max="770" width="4.5" customWidth="1"/>
    <col min="771" max="771" width="19.1640625" bestFit="1" customWidth="1"/>
    <col min="772" max="772" width="16.1640625" bestFit="1" customWidth="1"/>
    <col min="773" max="773" width="18.1640625" bestFit="1" customWidth="1"/>
    <col min="774" max="774" width="19.33203125" bestFit="1" customWidth="1"/>
    <col min="775" max="775" width="16.1640625" bestFit="1" customWidth="1"/>
    <col min="776" max="777" width="36.5" bestFit="1" customWidth="1"/>
    <col min="778" max="778" width="19" bestFit="1" customWidth="1"/>
    <col min="779" max="1025" width="8.83203125" customWidth="1"/>
    <col min="1026" max="1026" width="4.5" customWidth="1"/>
    <col min="1027" max="1027" width="19.1640625" bestFit="1" customWidth="1"/>
    <col min="1028" max="1028" width="16.1640625" bestFit="1" customWidth="1"/>
    <col min="1029" max="1029" width="18.1640625" bestFit="1" customWidth="1"/>
    <col min="1030" max="1030" width="19.33203125" bestFit="1" customWidth="1"/>
    <col min="1031" max="1031" width="16.1640625" bestFit="1" customWidth="1"/>
    <col min="1032" max="1033" width="36.5" bestFit="1" customWidth="1"/>
    <col min="1034" max="1034" width="19" bestFit="1" customWidth="1"/>
    <col min="1035" max="1281" width="8.83203125" customWidth="1"/>
    <col min="1282" max="1282" width="4.5" customWidth="1"/>
    <col min="1283" max="1283" width="19.1640625" bestFit="1" customWidth="1"/>
    <col min="1284" max="1284" width="16.1640625" bestFit="1" customWidth="1"/>
    <col min="1285" max="1285" width="18.1640625" bestFit="1" customWidth="1"/>
    <col min="1286" max="1286" width="19.33203125" bestFit="1" customWidth="1"/>
    <col min="1287" max="1287" width="16.1640625" bestFit="1" customWidth="1"/>
    <col min="1288" max="1289" width="36.5" bestFit="1" customWidth="1"/>
    <col min="1290" max="1290" width="19" bestFit="1" customWidth="1"/>
    <col min="1291" max="1537" width="8.83203125" customWidth="1"/>
    <col min="1538" max="1538" width="4.5" customWidth="1"/>
    <col min="1539" max="1539" width="19.1640625" bestFit="1" customWidth="1"/>
    <col min="1540" max="1540" width="16.1640625" bestFit="1" customWidth="1"/>
    <col min="1541" max="1541" width="18.1640625" bestFit="1" customWidth="1"/>
    <col min="1542" max="1542" width="19.33203125" bestFit="1" customWidth="1"/>
    <col min="1543" max="1543" width="16.1640625" bestFit="1" customWidth="1"/>
    <col min="1544" max="1545" width="36.5" bestFit="1" customWidth="1"/>
    <col min="1546" max="1546" width="19" bestFit="1" customWidth="1"/>
    <col min="1547" max="1793" width="8.83203125" customWidth="1"/>
    <col min="1794" max="1794" width="4.5" customWidth="1"/>
    <col min="1795" max="1795" width="19.1640625" bestFit="1" customWidth="1"/>
    <col min="1796" max="1796" width="16.1640625" bestFit="1" customWidth="1"/>
    <col min="1797" max="1797" width="18.1640625" bestFit="1" customWidth="1"/>
    <col min="1798" max="1798" width="19.33203125" bestFit="1" customWidth="1"/>
    <col min="1799" max="1799" width="16.1640625" bestFit="1" customWidth="1"/>
    <col min="1800" max="1801" width="36.5" bestFit="1" customWidth="1"/>
    <col min="1802" max="1802" width="19" bestFit="1" customWidth="1"/>
    <col min="1803" max="2049" width="8.83203125" customWidth="1"/>
    <col min="2050" max="2050" width="4.5" customWidth="1"/>
    <col min="2051" max="2051" width="19.1640625" bestFit="1" customWidth="1"/>
    <col min="2052" max="2052" width="16.1640625" bestFit="1" customWidth="1"/>
    <col min="2053" max="2053" width="18.1640625" bestFit="1" customWidth="1"/>
    <col min="2054" max="2054" width="19.33203125" bestFit="1" customWidth="1"/>
    <col min="2055" max="2055" width="16.1640625" bestFit="1" customWidth="1"/>
    <col min="2056" max="2057" width="36.5" bestFit="1" customWidth="1"/>
    <col min="2058" max="2058" width="19" bestFit="1" customWidth="1"/>
    <col min="2059" max="2305" width="8.83203125" customWidth="1"/>
    <col min="2306" max="2306" width="4.5" customWidth="1"/>
    <col min="2307" max="2307" width="19.1640625" bestFit="1" customWidth="1"/>
    <col min="2308" max="2308" width="16.1640625" bestFit="1" customWidth="1"/>
    <col min="2309" max="2309" width="18.1640625" bestFit="1" customWidth="1"/>
    <col min="2310" max="2310" width="19.33203125" bestFit="1" customWidth="1"/>
    <col min="2311" max="2311" width="16.1640625" bestFit="1" customWidth="1"/>
    <col min="2312" max="2313" width="36.5" bestFit="1" customWidth="1"/>
    <col min="2314" max="2314" width="19" bestFit="1" customWidth="1"/>
    <col min="2315" max="2561" width="8.83203125" customWidth="1"/>
    <col min="2562" max="2562" width="4.5" customWidth="1"/>
    <col min="2563" max="2563" width="19.1640625" bestFit="1" customWidth="1"/>
    <col min="2564" max="2564" width="16.1640625" bestFit="1" customWidth="1"/>
    <col min="2565" max="2565" width="18.1640625" bestFit="1" customWidth="1"/>
    <col min="2566" max="2566" width="19.33203125" bestFit="1" customWidth="1"/>
    <col min="2567" max="2567" width="16.1640625" bestFit="1" customWidth="1"/>
    <col min="2568" max="2569" width="36.5" bestFit="1" customWidth="1"/>
    <col min="2570" max="2570" width="19" bestFit="1" customWidth="1"/>
    <col min="2571" max="2817" width="8.83203125" customWidth="1"/>
    <col min="2818" max="2818" width="4.5" customWidth="1"/>
    <col min="2819" max="2819" width="19.1640625" bestFit="1" customWidth="1"/>
    <col min="2820" max="2820" width="16.1640625" bestFit="1" customWidth="1"/>
    <col min="2821" max="2821" width="18.1640625" bestFit="1" customWidth="1"/>
    <col min="2822" max="2822" width="19.33203125" bestFit="1" customWidth="1"/>
    <col min="2823" max="2823" width="16.1640625" bestFit="1" customWidth="1"/>
    <col min="2824" max="2825" width="36.5" bestFit="1" customWidth="1"/>
    <col min="2826" max="2826" width="19" bestFit="1" customWidth="1"/>
    <col min="2827" max="3073" width="8.83203125" customWidth="1"/>
    <col min="3074" max="3074" width="4.5" customWidth="1"/>
    <col min="3075" max="3075" width="19.1640625" bestFit="1" customWidth="1"/>
    <col min="3076" max="3076" width="16.1640625" bestFit="1" customWidth="1"/>
    <col min="3077" max="3077" width="18.1640625" bestFit="1" customWidth="1"/>
    <col min="3078" max="3078" width="19.33203125" bestFit="1" customWidth="1"/>
    <col min="3079" max="3079" width="16.1640625" bestFit="1" customWidth="1"/>
    <col min="3080" max="3081" width="36.5" bestFit="1" customWidth="1"/>
    <col min="3082" max="3082" width="19" bestFit="1" customWidth="1"/>
    <col min="3083" max="3329" width="8.83203125" customWidth="1"/>
    <col min="3330" max="3330" width="4.5" customWidth="1"/>
    <col min="3331" max="3331" width="19.1640625" bestFit="1" customWidth="1"/>
    <col min="3332" max="3332" width="16.1640625" bestFit="1" customWidth="1"/>
    <col min="3333" max="3333" width="18.1640625" bestFit="1" customWidth="1"/>
    <col min="3334" max="3334" width="19.33203125" bestFit="1" customWidth="1"/>
    <col min="3335" max="3335" width="16.1640625" bestFit="1" customWidth="1"/>
    <col min="3336" max="3337" width="36.5" bestFit="1" customWidth="1"/>
    <col min="3338" max="3338" width="19" bestFit="1" customWidth="1"/>
    <col min="3339" max="3585" width="8.83203125" customWidth="1"/>
    <col min="3586" max="3586" width="4.5" customWidth="1"/>
    <col min="3587" max="3587" width="19.1640625" bestFit="1" customWidth="1"/>
    <col min="3588" max="3588" width="16.1640625" bestFit="1" customWidth="1"/>
    <col min="3589" max="3589" width="18.1640625" bestFit="1" customWidth="1"/>
    <col min="3590" max="3590" width="19.33203125" bestFit="1" customWidth="1"/>
    <col min="3591" max="3591" width="16.1640625" bestFit="1" customWidth="1"/>
    <col min="3592" max="3593" width="36.5" bestFit="1" customWidth="1"/>
    <col min="3594" max="3594" width="19" bestFit="1" customWidth="1"/>
    <col min="3595" max="3841" width="8.83203125" customWidth="1"/>
    <col min="3842" max="3842" width="4.5" customWidth="1"/>
    <col min="3843" max="3843" width="19.1640625" bestFit="1" customWidth="1"/>
    <col min="3844" max="3844" width="16.1640625" bestFit="1" customWidth="1"/>
    <col min="3845" max="3845" width="18.1640625" bestFit="1" customWidth="1"/>
    <col min="3846" max="3846" width="19.33203125" bestFit="1" customWidth="1"/>
    <col min="3847" max="3847" width="16.1640625" bestFit="1" customWidth="1"/>
    <col min="3848" max="3849" width="36.5" bestFit="1" customWidth="1"/>
    <col min="3850" max="3850" width="19" bestFit="1" customWidth="1"/>
    <col min="3851" max="4097" width="8.83203125" customWidth="1"/>
    <col min="4098" max="4098" width="4.5" customWidth="1"/>
    <col min="4099" max="4099" width="19.1640625" bestFit="1" customWidth="1"/>
    <col min="4100" max="4100" width="16.1640625" bestFit="1" customWidth="1"/>
    <col min="4101" max="4101" width="18.1640625" bestFit="1" customWidth="1"/>
    <col min="4102" max="4102" width="19.33203125" bestFit="1" customWidth="1"/>
    <col min="4103" max="4103" width="16.1640625" bestFit="1" customWidth="1"/>
    <col min="4104" max="4105" width="36.5" bestFit="1" customWidth="1"/>
    <col min="4106" max="4106" width="19" bestFit="1" customWidth="1"/>
    <col min="4107" max="4353" width="8.83203125" customWidth="1"/>
    <col min="4354" max="4354" width="4.5" customWidth="1"/>
    <col min="4355" max="4355" width="19.1640625" bestFit="1" customWidth="1"/>
    <col min="4356" max="4356" width="16.1640625" bestFit="1" customWidth="1"/>
    <col min="4357" max="4357" width="18.1640625" bestFit="1" customWidth="1"/>
    <col min="4358" max="4358" width="19.33203125" bestFit="1" customWidth="1"/>
    <col min="4359" max="4359" width="16.1640625" bestFit="1" customWidth="1"/>
    <col min="4360" max="4361" width="36.5" bestFit="1" customWidth="1"/>
    <col min="4362" max="4362" width="19" bestFit="1" customWidth="1"/>
    <col min="4363" max="4609" width="8.83203125" customWidth="1"/>
    <col min="4610" max="4610" width="4.5" customWidth="1"/>
    <col min="4611" max="4611" width="19.1640625" bestFit="1" customWidth="1"/>
    <col min="4612" max="4612" width="16.1640625" bestFit="1" customWidth="1"/>
    <col min="4613" max="4613" width="18.1640625" bestFit="1" customWidth="1"/>
    <col min="4614" max="4614" width="19.33203125" bestFit="1" customWidth="1"/>
    <col min="4615" max="4615" width="16.1640625" bestFit="1" customWidth="1"/>
    <col min="4616" max="4617" width="36.5" bestFit="1" customWidth="1"/>
    <col min="4618" max="4618" width="19" bestFit="1" customWidth="1"/>
    <col min="4619" max="4865" width="8.83203125" customWidth="1"/>
    <col min="4866" max="4866" width="4.5" customWidth="1"/>
    <col min="4867" max="4867" width="19.1640625" bestFit="1" customWidth="1"/>
    <col min="4868" max="4868" width="16.1640625" bestFit="1" customWidth="1"/>
    <col min="4869" max="4869" width="18.1640625" bestFit="1" customWidth="1"/>
    <col min="4870" max="4870" width="19.33203125" bestFit="1" customWidth="1"/>
    <col min="4871" max="4871" width="16.1640625" bestFit="1" customWidth="1"/>
    <col min="4872" max="4873" width="36.5" bestFit="1" customWidth="1"/>
    <col min="4874" max="4874" width="19" bestFit="1" customWidth="1"/>
    <col min="4875" max="5121" width="8.83203125" customWidth="1"/>
    <col min="5122" max="5122" width="4.5" customWidth="1"/>
    <col min="5123" max="5123" width="19.1640625" bestFit="1" customWidth="1"/>
    <col min="5124" max="5124" width="16.1640625" bestFit="1" customWidth="1"/>
    <col min="5125" max="5125" width="18.1640625" bestFit="1" customWidth="1"/>
    <col min="5126" max="5126" width="19.33203125" bestFit="1" customWidth="1"/>
    <col min="5127" max="5127" width="16.1640625" bestFit="1" customWidth="1"/>
    <col min="5128" max="5129" width="36.5" bestFit="1" customWidth="1"/>
    <col min="5130" max="5130" width="19" bestFit="1" customWidth="1"/>
    <col min="5131" max="5377" width="8.83203125" customWidth="1"/>
    <col min="5378" max="5378" width="4.5" customWidth="1"/>
    <col min="5379" max="5379" width="19.1640625" bestFit="1" customWidth="1"/>
    <col min="5380" max="5380" width="16.1640625" bestFit="1" customWidth="1"/>
    <col min="5381" max="5381" width="18.1640625" bestFit="1" customWidth="1"/>
    <col min="5382" max="5382" width="19.33203125" bestFit="1" customWidth="1"/>
    <col min="5383" max="5383" width="16.1640625" bestFit="1" customWidth="1"/>
    <col min="5384" max="5385" width="36.5" bestFit="1" customWidth="1"/>
    <col min="5386" max="5386" width="19" bestFit="1" customWidth="1"/>
    <col min="5387" max="5633" width="8.83203125" customWidth="1"/>
    <col min="5634" max="5634" width="4.5" customWidth="1"/>
    <col min="5635" max="5635" width="19.1640625" bestFit="1" customWidth="1"/>
    <col min="5636" max="5636" width="16.1640625" bestFit="1" customWidth="1"/>
    <col min="5637" max="5637" width="18.1640625" bestFit="1" customWidth="1"/>
    <col min="5638" max="5638" width="19.33203125" bestFit="1" customWidth="1"/>
    <col min="5639" max="5639" width="16.1640625" bestFit="1" customWidth="1"/>
    <col min="5640" max="5641" width="36.5" bestFit="1" customWidth="1"/>
    <col min="5642" max="5642" width="19" bestFit="1" customWidth="1"/>
    <col min="5643" max="5889" width="8.83203125" customWidth="1"/>
    <col min="5890" max="5890" width="4.5" customWidth="1"/>
    <col min="5891" max="5891" width="19.1640625" bestFit="1" customWidth="1"/>
    <col min="5892" max="5892" width="16.1640625" bestFit="1" customWidth="1"/>
    <col min="5893" max="5893" width="18.1640625" bestFit="1" customWidth="1"/>
    <col min="5894" max="5894" width="19.33203125" bestFit="1" customWidth="1"/>
    <col min="5895" max="5895" width="16.1640625" bestFit="1" customWidth="1"/>
    <col min="5896" max="5897" width="36.5" bestFit="1" customWidth="1"/>
    <col min="5898" max="5898" width="19" bestFit="1" customWidth="1"/>
    <col min="5899" max="6145" width="8.83203125" customWidth="1"/>
    <col min="6146" max="6146" width="4.5" customWidth="1"/>
    <col min="6147" max="6147" width="19.1640625" bestFit="1" customWidth="1"/>
    <col min="6148" max="6148" width="16.1640625" bestFit="1" customWidth="1"/>
    <col min="6149" max="6149" width="18.1640625" bestFit="1" customWidth="1"/>
    <col min="6150" max="6150" width="19.33203125" bestFit="1" customWidth="1"/>
    <col min="6151" max="6151" width="16.1640625" bestFit="1" customWidth="1"/>
    <col min="6152" max="6153" width="36.5" bestFit="1" customWidth="1"/>
    <col min="6154" max="6154" width="19" bestFit="1" customWidth="1"/>
    <col min="6155" max="6401" width="8.83203125" customWidth="1"/>
    <col min="6402" max="6402" width="4.5" customWidth="1"/>
    <col min="6403" max="6403" width="19.1640625" bestFit="1" customWidth="1"/>
    <col min="6404" max="6404" width="16.1640625" bestFit="1" customWidth="1"/>
    <col min="6405" max="6405" width="18.1640625" bestFit="1" customWidth="1"/>
    <col min="6406" max="6406" width="19.33203125" bestFit="1" customWidth="1"/>
    <col min="6407" max="6407" width="16.1640625" bestFit="1" customWidth="1"/>
    <col min="6408" max="6409" width="36.5" bestFit="1" customWidth="1"/>
    <col min="6410" max="6410" width="19" bestFit="1" customWidth="1"/>
    <col min="6411" max="6657" width="8.83203125" customWidth="1"/>
    <col min="6658" max="6658" width="4.5" customWidth="1"/>
    <col min="6659" max="6659" width="19.1640625" bestFit="1" customWidth="1"/>
    <col min="6660" max="6660" width="16.1640625" bestFit="1" customWidth="1"/>
    <col min="6661" max="6661" width="18.1640625" bestFit="1" customWidth="1"/>
    <col min="6662" max="6662" width="19.33203125" bestFit="1" customWidth="1"/>
    <col min="6663" max="6663" width="16.1640625" bestFit="1" customWidth="1"/>
    <col min="6664" max="6665" width="36.5" bestFit="1" customWidth="1"/>
    <col min="6666" max="6666" width="19" bestFit="1" customWidth="1"/>
    <col min="6667" max="6913" width="8.83203125" customWidth="1"/>
    <col min="6914" max="6914" width="4.5" customWidth="1"/>
    <col min="6915" max="6915" width="19.1640625" bestFit="1" customWidth="1"/>
    <col min="6916" max="6916" width="16.1640625" bestFit="1" customWidth="1"/>
    <col min="6917" max="6917" width="18.1640625" bestFit="1" customWidth="1"/>
    <col min="6918" max="6918" width="19.33203125" bestFit="1" customWidth="1"/>
    <col min="6919" max="6919" width="16.1640625" bestFit="1" customWidth="1"/>
    <col min="6920" max="6921" width="36.5" bestFit="1" customWidth="1"/>
    <col min="6922" max="6922" width="19" bestFit="1" customWidth="1"/>
    <col min="6923" max="7169" width="8.83203125" customWidth="1"/>
    <col min="7170" max="7170" width="4.5" customWidth="1"/>
    <col min="7171" max="7171" width="19.1640625" bestFit="1" customWidth="1"/>
    <col min="7172" max="7172" width="16.1640625" bestFit="1" customWidth="1"/>
    <col min="7173" max="7173" width="18.1640625" bestFit="1" customWidth="1"/>
    <col min="7174" max="7174" width="19.33203125" bestFit="1" customWidth="1"/>
    <col min="7175" max="7175" width="16.1640625" bestFit="1" customWidth="1"/>
    <col min="7176" max="7177" width="36.5" bestFit="1" customWidth="1"/>
    <col min="7178" max="7178" width="19" bestFit="1" customWidth="1"/>
    <col min="7179" max="7425" width="8.83203125" customWidth="1"/>
    <col min="7426" max="7426" width="4.5" customWidth="1"/>
    <col min="7427" max="7427" width="19.1640625" bestFit="1" customWidth="1"/>
    <col min="7428" max="7428" width="16.1640625" bestFit="1" customWidth="1"/>
    <col min="7429" max="7429" width="18.1640625" bestFit="1" customWidth="1"/>
    <col min="7430" max="7430" width="19.33203125" bestFit="1" customWidth="1"/>
    <col min="7431" max="7431" width="16.1640625" bestFit="1" customWidth="1"/>
    <col min="7432" max="7433" width="36.5" bestFit="1" customWidth="1"/>
    <col min="7434" max="7434" width="19" bestFit="1" customWidth="1"/>
    <col min="7435" max="7681" width="8.83203125" customWidth="1"/>
    <col min="7682" max="7682" width="4.5" customWidth="1"/>
    <col min="7683" max="7683" width="19.1640625" bestFit="1" customWidth="1"/>
    <col min="7684" max="7684" width="16.1640625" bestFit="1" customWidth="1"/>
    <col min="7685" max="7685" width="18.1640625" bestFit="1" customWidth="1"/>
    <col min="7686" max="7686" width="19.33203125" bestFit="1" customWidth="1"/>
    <col min="7687" max="7687" width="16.1640625" bestFit="1" customWidth="1"/>
    <col min="7688" max="7689" width="36.5" bestFit="1" customWidth="1"/>
    <col min="7690" max="7690" width="19" bestFit="1" customWidth="1"/>
    <col min="7691" max="7937" width="8.83203125" customWidth="1"/>
    <col min="7938" max="7938" width="4.5" customWidth="1"/>
    <col min="7939" max="7939" width="19.1640625" bestFit="1" customWidth="1"/>
    <col min="7940" max="7940" width="16.1640625" bestFit="1" customWidth="1"/>
    <col min="7941" max="7941" width="18.1640625" bestFit="1" customWidth="1"/>
    <col min="7942" max="7942" width="19.33203125" bestFit="1" customWidth="1"/>
    <col min="7943" max="7943" width="16.1640625" bestFit="1" customWidth="1"/>
    <col min="7944" max="7945" width="36.5" bestFit="1" customWidth="1"/>
    <col min="7946" max="7946" width="19" bestFit="1" customWidth="1"/>
    <col min="7947" max="8193" width="8.83203125" customWidth="1"/>
    <col min="8194" max="8194" width="4.5" customWidth="1"/>
    <col min="8195" max="8195" width="19.1640625" bestFit="1" customWidth="1"/>
    <col min="8196" max="8196" width="16.1640625" bestFit="1" customWidth="1"/>
    <col min="8197" max="8197" width="18.1640625" bestFit="1" customWidth="1"/>
    <col min="8198" max="8198" width="19.33203125" bestFit="1" customWidth="1"/>
    <col min="8199" max="8199" width="16.1640625" bestFit="1" customWidth="1"/>
    <col min="8200" max="8201" width="36.5" bestFit="1" customWidth="1"/>
    <col min="8202" max="8202" width="19" bestFit="1" customWidth="1"/>
    <col min="8203" max="8449" width="8.83203125" customWidth="1"/>
    <col min="8450" max="8450" width="4.5" customWidth="1"/>
    <col min="8451" max="8451" width="19.1640625" bestFit="1" customWidth="1"/>
    <col min="8452" max="8452" width="16.1640625" bestFit="1" customWidth="1"/>
    <col min="8453" max="8453" width="18.1640625" bestFit="1" customWidth="1"/>
    <col min="8454" max="8454" width="19.33203125" bestFit="1" customWidth="1"/>
    <col min="8455" max="8455" width="16.1640625" bestFit="1" customWidth="1"/>
    <col min="8456" max="8457" width="36.5" bestFit="1" customWidth="1"/>
    <col min="8458" max="8458" width="19" bestFit="1" customWidth="1"/>
    <col min="8459" max="8705" width="8.83203125" customWidth="1"/>
    <col min="8706" max="8706" width="4.5" customWidth="1"/>
    <col min="8707" max="8707" width="19.1640625" bestFit="1" customWidth="1"/>
    <col min="8708" max="8708" width="16.1640625" bestFit="1" customWidth="1"/>
    <col min="8709" max="8709" width="18.1640625" bestFit="1" customWidth="1"/>
    <col min="8710" max="8710" width="19.33203125" bestFit="1" customWidth="1"/>
    <col min="8711" max="8711" width="16.1640625" bestFit="1" customWidth="1"/>
    <col min="8712" max="8713" width="36.5" bestFit="1" customWidth="1"/>
    <col min="8714" max="8714" width="19" bestFit="1" customWidth="1"/>
    <col min="8715" max="8961" width="8.83203125" customWidth="1"/>
    <col min="8962" max="8962" width="4.5" customWidth="1"/>
    <col min="8963" max="8963" width="19.1640625" bestFit="1" customWidth="1"/>
    <col min="8964" max="8964" width="16.1640625" bestFit="1" customWidth="1"/>
    <col min="8965" max="8965" width="18.1640625" bestFit="1" customWidth="1"/>
    <col min="8966" max="8966" width="19.33203125" bestFit="1" customWidth="1"/>
    <col min="8967" max="8967" width="16.1640625" bestFit="1" customWidth="1"/>
    <col min="8968" max="8969" width="36.5" bestFit="1" customWidth="1"/>
    <col min="8970" max="8970" width="19" bestFit="1" customWidth="1"/>
    <col min="8971" max="9217" width="8.83203125" customWidth="1"/>
    <col min="9218" max="9218" width="4.5" customWidth="1"/>
    <col min="9219" max="9219" width="19.1640625" bestFit="1" customWidth="1"/>
    <col min="9220" max="9220" width="16.1640625" bestFit="1" customWidth="1"/>
    <col min="9221" max="9221" width="18.1640625" bestFit="1" customWidth="1"/>
    <col min="9222" max="9222" width="19.33203125" bestFit="1" customWidth="1"/>
    <col min="9223" max="9223" width="16.1640625" bestFit="1" customWidth="1"/>
    <col min="9224" max="9225" width="36.5" bestFit="1" customWidth="1"/>
    <col min="9226" max="9226" width="19" bestFit="1" customWidth="1"/>
    <col min="9227" max="9473" width="8.83203125" customWidth="1"/>
    <col min="9474" max="9474" width="4.5" customWidth="1"/>
    <col min="9475" max="9475" width="19.1640625" bestFit="1" customWidth="1"/>
    <col min="9476" max="9476" width="16.1640625" bestFit="1" customWidth="1"/>
    <col min="9477" max="9477" width="18.1640625" bestFit="1" customWidth="1"/>
    <col min="9478" max="9478" width="19.33203125" bestFit="1" customWidth="1"/>
    <col min="9479" max="9479" width="16.1640625" bestFit="1" customWidth="1"/>
    <col min="9480" max="9481" width="36.5" bestFit="1" customWidth="1"/>
    <col min="9482" max="9482" width="19" bestFit="1" customWidth="1"/>
    <col min="9483" max="9729" width="8.83203125" customWidth="1"/>
    <col min="9730" max="9730" width="4.5" customWidth="1"/>
    <col min="9731" max="9731" width="19.1640625" bestFit="1" customWidth="1"/>
    <col min="9732" max="9732" width="16.1640625" bestFit="1" customWidth="1"/>
    <col min="9733" max="9733" width="18.1640625" bestFit="1" customWidth="1"/>
    <col min="9734" max="9734" width="19.33203125" bestFit="1" customWidth="1"/>
    <col min="9735" max="9735" width="16.1640625" bestFit="1" customWidth="1"/>
    <col min="9736" max="9737" width="36.5" bestFit="1" customWidth="1"/>
    <col min="9738" max="9738" width="19" bestFit="1" customWidth="1"/>
    <col min="9739" max="9985" width="8.83203125" customWidth="1"/>
    <col min="9986" max="9986" width="4.5" customWidth="1"/>
    <col min="9987" max="9987" width="19.1640625" bestFit="1" customWidth="1"/>
    <col min="9988" max="9988" width="16.1640625" bestFit="1" customWidth="1"/>
    <col min="9989" max="9989" width="18.1640625" bestFit="1" customWidth="1"/>
    <col min="9990" max="9990" width="19.33203125" bestFit="1" customWidth="1"/>
    <col min="9991" max="9991" width="16.1640625" bestFit="1" customWidth="1"/>
    <col min="9992" max="9993" width="36.5" bestFit="1" customWidth="1"/>
    <col min="9994" max="9994" width="19" bestFit="1" customWidth="1"/>
    <col min="9995" max="10241" width="8.83203125" customWidth="1"/>
    <col min="10242" max="10242" width="4.5" customWidth="1"/>
    <col min="10243" max="10243" width="19.1640625" bestFit="1" customWidth="1"/>
    <col min="10244" max="10244" width="16.1640625" bestFit="1" customWidth="1"/>
    <col min="10245" max="10245" width="18.1640625" bestFit="1" customWidth="1"/>
    <col min="10246" max="10246" width="19.33203125" bestFit="1" customWidth="1"/>
    <col min="10247" max="10247" width="16.1640625" bestFit="1" customWidth="1"/>
    <col min="10248" max="10249" width="36.5" bestFit="1" customWidth="1"/>
    <col min="10250" max="10250" width="19" bestFit="1" customWidth="1"/>
    <col min="10251" max="10497" width="8.83203125" customWidth="1"/>
    <col min="10498" max="10498" width="4.5" customWidth="1"/>
    <col min="10499" max="10499" width="19.1640625" bestFit="1" customWidth="1"/>
    <col min="10500" max="10500" width="16.1640625" bestFit="1" customWidth="1"/>
    <col min="10501" max="10501" width="18.1640625" bestFit="1" customWidth="1"/>
    <col min="10502" max="10502" width="19.33203125" bestFit="1" customWidth="1"/>
    <col min="10503" max="10503" width="16.1640625" bestFit="1" customWidth="1"/>
    <col min="10504" max="10505" width="36.5" bestFit="1" customWidth="1"/>
    <col min="10506" max="10506" width="19" bestFit="1" customWidth="1"/>
    <col min="10507" max="10753" width="8.83203125" customWidth="1"/>
    <col min="10754" max="10754" width="4.5" customWidth="1"/>
    <col min="10755" max="10755" width="19.1640625" bestFit="1" customWidth="1"/>
    <col min="10756" max="10756" width="16.1640625" bestFit="1" customWidth="1"/>
    <col min="10757" max="10757" width="18.1640625" bestFit="1" customWidth="1"/>
    <col min="10758" max="10758" width="19.33203125" bestFit="1" customWidth="1"/>
    <col min="10759" max="10759" width="16.1640625" bestFit="1" customWidth="1"/>
    <col min="10760" max="10761" width="36.5" bestFit="1" customWidth="1"/>
    <col min="10762" max="10762" width="19" bestFit="1" customWidth="1"/>
    <col min="10763" max="11009" width="8.83203125" customWidth="1"/>
    <col min="11010" max="11010" width="4.5" customWidth="1"/>
    <col min="11011" max="11011" width="19.1640625" bestFit="1" customWidth="1"/>
    <col min="11012" max="11012" width="16.1640625" bestFit="1" customWidth="1"/>
    <col min="11013" max="11013" width="18.1640625" bestFit="1" customWidth="1"/>
    <col min="11014" max="11014" width="19.33203125" bestFit="1" customWidth="1"/>
    <col min="11015" max="11015" width="16.1640625" bestFit="1" customWidth="1"/>
    <col min="11016" max="11017" width="36.5" bestFit="1" customWidth="1"/>
    <col min="11018" max="11018" width="19" bestFit="1" customWidth="1"/>
    <col min="11019" max="11265" width="8.83203125" customWidth="1"/>
    <col min="11266" max="11266" width="4.5" customWidth="1"/>
    <col min="11267" max="11267" width="19.1640625" bestFit="1" customWidth="1"/>
    <col min="11268" max="11268" width="16.1640625" bestFit="1" customWidth="1"/>
    <col min="11269" max="11269" width="18.1640625" bestFit="1" customWidth="1"/>
    <col min="11270" max="11270" width="19.33203125" bestFit="1" customWidth="1"/>
    <col min="11271" max="11271" width="16.1640625" bestFit="1" customWidth="1"/>
    <col min="11272" max="11273" width="36.5" bestFit="1" customWidth="1"/>
    <col min="11274" max="11274" width="19" bestFit="1" customWidth="1"/>
    <col min="11275" max="11521" width="8.83203125" customWidth="1"/>
    <col min="11522" max="11522" width="4.5" customWidth="1"/>
    <col min="11523" max="11523" width="19.1640625" bestFit="1" customWidth="1"/>
    <col min="11524" max="11524" width="16.1640625" bestFit="1" customWidth="1"/>
    <col min="11525" max="11525" width="18.1640625" bestFit="1" customWidth="1"/>
    <col min="11526" max="11526" width="19.33203125" bestFit="1" customWidth="1"/>
    <col min="11527" max="11527" width="16.1640625" bestFit="1" customWidth="1"/>
    <col min="11528" max="11529" width="36.5" bestFit="1" customWidth="1"/>
    <col min="11530" max="11530" width="19" bestFit="1" customWidth="1"/>
    <col min="11531" max="11777" width="8.83203125" customWidth="1"/>
    <col min="11778" max="11778" width="4.5" customWidth="1"/>
    <col min="11779" max="11779" width="19.1640625" bestFit="1" customWidth="1"/>
    <col min="11780" max="11780" width="16.1640625" bestFit="1" customWidth="1"/>
    <col min="11781" max="11781" width="18.1640625" bestFit="1" customWidth="1"/>
    <col min="11782" max="11782" width="19.33203125" bestFit="1" customWidth="1"/>
    <col min="11783" max="11783" width="16.1640625" bestFit="1" customWidth="1"/>
    <col min="11784" max="11785" width="36.5" bestFit="1" customWidth="1"/>
    <col min="11786" max="11786" width="19" bestFit="1" customWidth="1"/>
    <col min="11787" max="12033" width="8.83203125" customWidth="1"/>
    <col min="12034" max="12034" width="4.5" customWidth="1"/>
    <col min="12035" max="12035" width="19.1640625" bestFit="1" customWidth="1"/>
    <col min="12036" max="12036" width="16.1640625" bestFit="1" customWidth="1"/>
    <col min="12037" max="12037" width="18.1640625" bestFit="1" customWidth="1"/>
    <col min="12038" max="12038" width="19.33203125" bestFit="1" customWidth="1"/>
    <col min="12039" max="12039" width="16.1640625" bestFit="1" customWidth="1"/>
    <col min="12040" max="12041" width="36.5" bestFit="1" customWidth="1"/>
    <col min="12042" max="12042" width="19" bestFit="1" customWidth="1"/>
    <col min="12043" max="12289" width="8.83203125" customWidth="1"/>
    <col min="12290" max="12290" width="4.5" customWidth="1"/>
    <col min="12291" max="12291" width="19.1640625" bestFit="1" customWidth="1"/>
    <col min="12292" max="12292" width="16.1640625" bestFit="1" customWidth="1"/>
    <col min="12293" max="12293" width="18.1640625" bestFit="1" customWidth="1"/>
    <col min="12294" max="12294" width="19.33203125" bestFit="1" customWidth="1"/>
    <col min="12295" max="12295" width="16.1640625" bestFit="1" customWidth="1"/>
    <col min="12296" max="12297" width="36.5" bestFit="1" customWidth="1"/>
    <col min="12298" max="12298" width="19" bestFit="1" customWidth="1"/>
    <col min="12299" max="12545" width="8.83203125" customWidth="1"/>
    <col min="12546" max="12546" width="4.5" customWidth="1"/>
    <col min="12547" max="12547" width="19.1640625" bestFit="1" customWidth="1"/>
    <col min="12548" max="12548" width="16.1640625" bestFit="1" customWidth="1"/>
    <col min="12549" max="12549" width="18.1640625" bestFit="1" customWidth="1"/>
    <col min="12550" max="12550" width="19.33203125" bestFit="1" customWidth="1"/>
    <col min="12551" max="12551" width="16.1640625" bestFit="1" customWidth="1"/>
    <col min="12552" max="12553" width="36.5" bestFit="1" customWidth="1"/>
    <col min="12554" max="12554" width="19" bestFit="1" customWidth="1"/>
    <col min="12555" max="12801" width="8.83203125" customWidth="1"/>
    <col min="12802" max="12802" width="4.5" customWidth="1"/>
    <col min="12803" max="12803" width="19.1640625" bestFit="1" customWidth="1"/>
    <col min="12804" max="12804" width="16.1640625" bestFit="1" customWidth="1"/>
    <col min="12805" max="12805" width="18.1640625" bestFit="1" customWidth="1"/>
    <col min="12806" max="12806" width="19.33203125" bestFit="1" customWidth="1"/>
    <col min="12807" max="12807" width="16.1640625" bestFit="1" customWidth="1"/>
    <col min="12808" max="12809" width="36.5" bestFit="1" customWidth="1"/>
    <col min="12810" max="12810" width="19" bestFit="1" customWidth="1"/>
    <col min="12811" max="13057" width="8.83203125" customWidth="1"/>
    <col min="13058" max="13058" width="4.5" customWidth="1"/>
    <col min="13059" max="13059" width="19.1640625" bestFit="1" customWidth="1"/>
    <col min="13060" max="13060" width="16.1640625" bestFit="1" customWidth="1"/>
    <col min="13061" max="13061" width="18.1640625" bestFit="1" customWidth="1"/>
    <col min="13062" max="13062" width="19.33203125" bestFit="1" customWidth="1"/>
    <col min="13063" max="13063" width="16.1640625" bestFit="1" customWidth="1"/>
    <col min="13064" max="13065" width="36.5" bestFit="1" customWidth="1"/>
    <col min="13066" max="13066" width="19" bestFit="1" customWidth="1"/>
    <col min="13067" max="13313" width="8.83203125" customWidth="1"/>
    <col min="13314" max="13314" width="4.5" customWidth="1"/>
    <col min="13315" max="13315" width="19.1640625" bestFit="1" customWidth="1"/>
    <col min="13316" max="13316" width="16.1640625" bestFit="1" customWidth="1"/>
    <col min="13317" max="13317" width="18.1640625" bestFit="1" customWidth="1"/>
    <col min="13318" max="13318" width="19.33203125" bestFit="1" customWidth="1"/>
    <col min="13319" max="13319" width="16.1640625" bestFit="1" customWidth="1"/>
    <col min="13320" max="13321" width="36.5" bestFit="1" customWidth="1"/>
    <col min="13322" max="13322" width="19" bestFit="1" customWidth="1"/>
    <col min="13323" max="13569" width="8.83203125" customWidth="1"/>
    <col min="13570" max="13570" width="4.5" customWidth="1"/>
    <col min="13571" max="13571" width="19.1640625" bestFit="1" customWidth="1"/>
    <col min="13572" max="13572" width="16.1640625" bestFit="1" customWidth="1"/>
    <col min="13573" max="13573" width="18.1640625" bestFit="1" customWidth="1"/>
    <col min="13574" max="13574" width="19.33203125" bestFit="1" customWidth="1"/>
    <col min="13575" max="13575" width="16.1640625" bestFit="1" customWidth="1"/>
    <col min="13576" max="13577" width="36.5" bestFit="1" customWidth="1"/>
    <col min="13578" max="13578" width="19" bestFit="1" customWidth="1"/>
    <col min="13579" max="13825" width="8.83203125" customWidth="1"/>
    <col min="13826" max="13826" width="4.5" customWidth="1"/>
    <col min="13827" max="13827" width="19.1640625" bestFit="1" customWidth="1"/>
    <col min="13828" max="13828" width="16.1640625" bestFit="1" customWidth="1"/>
    <col min="13829" max="13829" width="18.1640625" bestFit="1" customWidth="1"/>
    <col min="13830" max="13830" width="19.33203125" bestFit="1" customWidth="1"/>
    <col min="13831" max="13831" width="16.1640625" bestFit="1" customWidth="1"/>
    <col min="13832" max="13833" width="36.5" bestFit="1" customWidth="1"/>
    <col min="13834" max="13834" width="19" bestFit="1" customWidth="1"/>
    <col min="13835" max="14081" width="8.83203125" customWidth="1"/>
    <col min="14082" max="14082" width="4.5" customWidth="1"/>
    <col min="14083" max="14083" width="19.1640625" bestFit="1" customWidth="1"/>
    <col min="14084" max="14084" width="16.1640625" bestFit="1" customWidth="1"/>
    <col min="14085" max="14085" width="18.1640625" bestFit="1" customWidth="1"/>
    <col min="14086" max="14086" width="19.33203125" bestFit="1" customWidth="1"/>
    <col min="14087" max="14087" width="16.1640625" bestFit="1" customWidth="1"/>
    <col min="14088" max="14089" width="36.5" bestFit="1" customWidth="1"/>
    <col min="14090" max="14090" width="19" bestFit="1" customWidth="1"/>
    <col min="14091" max="14337" width="8.83203125" customWidth="1"/>
    <col min="14338" max="14338" width="4.5" customWidth="1"/>
    <col min="14339" max="14339" width="19.1640625" bestFit="1" customWidth="1"/>
    <col min="14340" max="14340" width="16.1640625" bestFit="1" customWidth="1"/>
    <col min="14341" max="14341" width="18.1640625" bestFit="1" customWidth="1"/>
    <col min="14342" max="14342" width="19.33203125" bestFit="1" customWidth="1"/>
    <col min="14343" max="14343" width="16.1640625" bestFit="1" customWidth="1"/>
    <col min="14344" max="14345" width="36.5" bestFit="1" customWidth="1"/>
    <col min="14346" max="14346" width="19" bestFit="1" customWidth="1"/>
    <col min="14347" max="14593" width="8.83203125" customWidth="1"/>
    <col min="14594" max="14594" width="4.5" customWidth="1"/>
    <col min="14595" max="14595" width="19.1640625" bestFit="1" customWidth="1"/>
    <col min="14596" max="14596" width="16.1640625" bestFit="1" customWidth="1"/>
    <col min="14597" max="14597" width="18.1640625" bestFit="1" customWidth="1"/>
    <col min="14598" max="14598" width="19.33203125" bestFit="1" customWidth="1"/>
    <col min="14599" max="14599" width="16.1640625" bestFit="1" customWidth="1"/>
    <col min="14600" max="14601" width="36.5" bestFit="1" customWidth="1"/>
    <col min="14602" max="14602" width="19" bestFit="1" customWidth="1"/>
    <col min="14603" max="14849" width="8.83203125" customWidth="1"/>
    <col min="14850" max="14850" width="4.5" customWidth="1"/>
    <col min="14851" max="14851" width="19.1640625" bestFit="1" customWidth="1"/>
    <col min="14852" max="14852" width="16.1640625" bestFit="1" customWidth="1"/>
    <col min="14853" max="14853" width="18.1640625" bestFit="1" customWidth="1"/>
    <col min="14854" max="14854" width="19.33203125" bestFit="1" customWidth="1"/>
    <col min="14855" max="14855" width="16.1640625" bestFit="1" customWidth="1"/>
    <col min="14856" max="14857" width="36.5" bestFit="1" customWidth="1"/>
    <col min="14858" max="14858" width="19" bestFit="1" customWidth="1"/>
    <col min="14859" max="15105" width="8.83203125" customWidth="1"/>
    <col min="15106" max="15106" width="4.5" customWidth="1"/>
    <col min="15107" max="15107" width="19.1640625" bestFit="1" customWidth="1"/>
    <col min="15108" max="15108" width="16.1640625" bestFit="1" customWidth="1"/>
    <col min="15109" max="15109" width="18.1640625" bestFit="1" customWidth="1"/>
    <col min="15110" max="15110" width="19.33203125" bestFit="1" customWidth="1"/>
    <col min="15111" max="15111" width="16.1640625" bestFit="1" customWidth="1"/>
    <col min="15112" max="15113" width="36.5" bestFit="1" customWidth="1"/>
    <col min="15114" max="15114" width="19" bestFit="1" customWidth="1"/>
    <col min="15115" max="15361" width="8.83203125" customWidth="1"/>
    <col min="15362" max="15362" width="4.5" customWidth="1"/>
    <col min="15363" max="15363" width="19.1640625" bestFit="1" customWidth="1"/>
    <col min="15364" max="15364" width="16.1640625" bestFit="1" customWidth="1"/>
    <col min="15365" max="15365" width="18.1640625" bestFit="1" customWidth="1"/>
    <col min="15366" max="15366" width="19.33203125" bestFit="1" customWidth="1"/>
    <col min="15367" max="15367" width="16.1640625" bestFit="1" customWidth="1"/>
    <col min="15368" max="15369" width="36.5" bestFit="1" customWidth="1"/>
    <col min="15370" max="15370" width="19" bestFit="1" customWidth="1"/>
    <col min="15371" max="15617" width="8.83203125" customWidth="1"/>
    <col min="15618" max="15618" width="4.5" customWidth="1"/>
    <col min="15619" max="15619" width="19.1640625" bestFit="1" customWidth="1"/>
    <col min="15620" max="15620" width="16.1640625" bestFit="1" customWidth="1"/>
    <col min="15621" max="15621" width="18.1640625" bestFit="1" customWidth="1"/>
    <col min="15622" max="15622" width="19.33203125" bestFit="1" customWidth="1"/>
    <col min="15623" max="15623" width="16.1640625" bestFit="1" customWidth="1"/>
    <col min="15624" max="15625" width="36.5" bestFit="1" customWidth="1"/>
    <col min="15626" max="15626" width="19" bestFit="1" customWidth="1"/>
    <col min="15627" max="15873" width="8.83203125" customWidth="1"/>
    <col min="15874" max="15874" width="4.5" customWidth="1"/>
    <col min="15875" max="15875" width="19.1640625" bestFit="1" customWidth="1"/>
    <col min="15876" max="15876" width="16.1640625" bestFit="1" customWidth="1"/>
    <col min="15877" max="15877" width="18.1640625" bestFit="1" customWidth="1"/>
    <col min="15878" max="15878" width="19.33203125" bestFit="1" customWidth="1"/>
    <col min="15879" max="15879" width="16.1640625" bestFit="1" customWidth="1"/>
    <col min="15880" max="15881" width="36.5" bestFit="1" customWidth="1"/>
    <col min="15882" max="15882" width="19" bestFit="1" customWidth="1"/>
    <col min="15883" max="16129" width="8.83203125" customWidth="1"/>
    <col min="16130" max="16130" width="4.5" customWidth="1"/>
    <col min="16131" max="16131" width="19.1640625" bestFit="1" customWidth="1"/>
    <col min="16132" max="16132" width="16.1640625" bestFit="1" customWidth="1"/>
    <col min="16133" max="16133" width="18.1640625" bestFit="1" customWidth="1"/>
    <col min="16134" max="16134" width="19.33203125" bestFit="1" customWidth="1"/>
    <col min="16135" max="16135" width="16.1640625" bestFit="1" customWidth="1"/>
    <col min="16136" max="16137" width="36.5" bestFit="1" customWidth="1"/>
    <col min="16138" max="16138" width="19" bestFit="1" customWidth="1"/>
    <col min="16139" max="16384" width="8.83203125" customWidth="1"/>
  </cols>
  <sheetData>
    <row r="2" spans="2:10" ht="17">
      <c r="B2" s="38" t="s">
        <v>69</v>
      </c>
      <c r="C2" s="38" t="s">
        <v>37</v>
      </c>
      <c r="D2" s="38" t="s">
        <v>70</v>
      </c>
      <c r="E2" s="38" t="s">
        <v>71</v>
      </c>
      <c r="F2" s="38" t="s">
        <v>72</v>
      </c>
      <c r="G2" s="38" t="s">
        <v>73</v>
      </c>
      <c r="H2" s="38" t="s">
        <v>74</v>
      </c>
      <c r="I2" s="38" t="s">
        <v>75</v>
      </c>
      <c r="J2" s="39" t="s">
        <v>76</v>
      </c>
    </row>
    <row r="3" spans="2:10" ht="17">
      <c r="B3" s="16">
        <v>1</v>
      </c>
      <c r="C3" s="16" t="s">
        <v>77</v>
      </c>
      <c r="D3" s="16" t="s">
        <v>58</v>
      </c>
      <c r="E3" s="16" t="s">
        <v>78</v>
      </c>
      <c r="F3" s="16" t="s">
        <v>79</v>
      </c>
      <c r="G3" s="16" t="s">
        <v>80</v>
      </c>
      <c r="H3" s="16" t="s">
        <v>81</v>
      </c>
      <c r="I3" s="16" t="s">
        <v>82</v>
      </c>
      <c r="J3" s="17" t="s">
        <v>83</v>
      </c>
    </row>
    <row r="4" spans="2:10" ht="17">
      <c r="B4" s="16">
        <v>2</v>
      </c>
      <c r="C4" s="16" t="s">
        <v>84</v>
      </c>
      <c r="D4" s="16" t="s">
        <v>85</v>
      </c>
      <c r="E4" s="16" t="s">
        <v>86</v>
      </c>
      <c r="F4" s="16" t="s">
        <v>87</v>
      </c>
      <c r="G4" s="16" t="s">
        <v>88</v>
      </c>
      <c r="H4" s="16" t="s">
        <v>89</v>
      </c>
      <c r="I4" s="16" t="s">
        <v>90</v>
      </c>
      <c r="J4" s="17" t="s">
        <v>91</v>
      </c>
    </row>
    <row r="5" spans="2:10" ht="17">
      <c r="B5" s="16">
        <v>3</v>
      </c>
      <c r="C5" s="16" t="s">
        <v>92</v>
      </c>
      <c r="D5" s="16" t="s">
        <v>93</v>
      </c>
      <c r="E5" s="16" t="s">
        <v>92</v>
      </c>
      <c r="F5" s="16" t="s">
        <v>94</v>
      </c>
      <c r="G5" s="16" t="s">
        <v>95</v>
      </c>
      <c r="H5" s="16" t="s">
        <v>96</v>
      </c>
      <c r="I5" s="16" t="s">
        <v>97</v>
      </c>
      <c r="J5" s="17" t="s">
        <v>98</v>
      </c>
    </row>
    <row r="6" spans="2:10" ht="17">
      <c r="B6" s="16">
        <v>5</v>
      </c>
      <c r="C6" s="16" t="s">
        <v>106</v>
      </c>
      <c r="D6" s="16" t="s">
        <v>107</v>
      </c>
      <c r="E6" s="16" t="s">
        <v>108</v>
      </c>
      <c r="F6" s="16" t="s">
        <v>109</v>
      </c>
      <c r="G6" s="16" t="s">
        <v>110</v>
      </c>
      <c r="H6" s="16" t="s">
        <v>81</v>
      </c>
      <c r="I6" s="16" t="s">
        <v>111</v>
      </c>
      <c r="J6" s="17" t="s">
        <v>14</v>
      </c>
    </row>
    <row r="7" spans="2:10" ht="17">
      <c r="B7" s="16">
        <v>4</v>
      </c>
      <c r="C7" s="16" t="s">
        <v>99</v>
      </c>
      <c r="D7" s="16" t="s">
        <v>100</v>
      </c>
      <c r="E7" s="16" t="s">
        <v>101</v>
      </c>
      <c r="F7" s="16" t="s">
        <v>102</v>
      </c>
      <c r="G7" s="16" t="s">
        <v>103</v>
      </c>
      <c r="H7" s="16" t="s">
        <v>81</v>
      </c>
      <c r="I7" s="16" t="s">
        <v>104</v>
      </c>
      <c r="J7" s="17" t="s">
        <v>105</v>
      </c>
    </row>
    <row r="8" spans="2:10" ht="17">
      <c r="B8" s="16">
        <v>6</v>
      </c>
      <c r="C8" s="16" t="s">
        <v>112</v>
      </c>
      <c r="D8" s="16" t="s">
        <v>112</v>
      </c>
      <c r="E8" s="16" t="s">
        <v>113</v>
      </c>
      <c r="F8" s="16" t="s">
        <v>113</v>
      </c>
      <c r="G8" s="16" t="s">
        <v>110</v>
      </c>
      <c r="H8" s="16" t="s">
        <v>81</v>
      </c>
      <c r="I8" s="16" t="s">
        <v>114</v>
      </c>
      <c r="J8" s="17" t="s">
        <v>115</v>
      </c>
    </row>
    <row r="9" spans="2:10" ht="17">
      <c r="B9" s="16">
        <v>7</v>
      </c>
      <c r="C9" s="16" t="s">
        <v>116</v>
      </c>
      <c r="D9" s="16" t="s">
        <v>61</v>
      </c>
      <c r="E9" s="16" t="s">
        <v>117</v>
      </c>
      <c r="F9" s="16" t="s">
        <v>118</v>
      </c>
      <c r="G9" s="16" t="s">
        <v>103</v>
      </c>
      <c r="H9" s="16" t="s">
        <v>81</v>
      </c>
      <c r="I9" s="16" t="s">
        <v>119</v>
      </c>
      <c r="J9" s="17" t="s">
        <v>120</v>
      </c>
    </row>
    <row r="10" spans="2:10" ht="17">
      <c r="B10" s="16">
        <v>8</v>
      </c>
      <c r="C10" s="16" t="s">
        <v>121</v>
      </c>
      <c r="D10" s="16" t="s">
        <v>68</v>
      </c>
      <c r="E10" s="16" t="s">
        <v>122</v>
      </c>
      <c r="F10" s="16" t="s">
        <v>123</v>
      </c>
      <c r="G10" s="16" t="s">
        <v>80</v>
      </c>
      <c r="H10" s="16" t="s">
        <v>81</v>
      </c>
      <c r="I10" s="16" t="s">
        <v>124</v>
      </c>
      <c r="J10" s="17" t="s">
        <v>10</v>
      </c>
    </row>
    <row r="11" spans="2:10" ht="17">
      <c r="B11" s="16">
        <v>9</v>
      </c>
      <c r="C11" s="16" t="s">
        <v>125</v>
      </c>
      <c r="D11" s="16" t="s">
        <v>126</v>
      </c>
      <c r="E11" s="16" t="s">
        <v>127</v>
      </c>
      <c r="F11" s="16" t="s">
        <v>128</v>
      </c>
      <c r="G11" s="16" t="s">
        <v>129</v>
      </c>
      <c r="H11" s="16" t="s">
        <v>81</v>
      </c>
      <c r="I11" s="16" t="s">
        <v>130</v>
      </c>
      <c r="J11" s="17" t="s">
        <v>8</v>
      </c>
    </row>
    <row r="12" spans="2:10" ht="17">
      <c r="B12" s="16">
        <v>10</v>
      </c>
      <c r="C12" s="16" t="s">
        <v>131</v>
      </c>
      <c r="D12" s="16" t="s">
        <v>132</v>
      </c>
      <c r="E12" s="16" t="s">
        <v>133</v>
      </c>
      <c r="F12" s="16" t="s">
        <v>134</v>
      </c>
      <c r="G12" s="16" t="s">
        <v>88</v>
      </c>
      <c r="H12" s="16" t="s">
        <v>89</v>
      </c>
      <c r="I12" s="16" t="s">
        <v>135</v>
      </c>
      <c r="J12" s="17" t="s">
        <v>136</v>
      </c>
    </row>
    <row r="13" spans="2:10" ht="17">
      <c r="B13" s="16">
        <v>11</v>
      </c>
      <c r="C13" s="16" t="s">
        <v>137</v>
      </c>
      <c r="D13" s="16" t="s">
        <v>138</v>
      </c>
      <c r="E13" s="16" t="s">
        <v>139</v>
      </c>
      <c r="F13" s="16" t="s">
        <v>137</v>
      </c>
      <c r="G13" s="16" t="s">
        <v>129</v>
      </c>
      <c r="H13" s="16" t="s">
        <v>140</v>
      </c>
      <c r="I13" s="16" t="s">
        <v>141</v>
      </c>
      <c r="J13" s="17" t="s">
        <v>142</v>
      </c>
    </row>
    <row r="14" spans="2:10" ht="17">
      <c r="B14" s="16">
        <v>16</v>
      </c>
      <c r="C14" s="16" t="s">
        <v>167</v>
      </c>
      <c r="D14" s="16" t="s">
        <v>168</v>
      </c>
      <c r="E14" s="16" t="s">
        <v>169</v>
      </c>
      <c r="F14" s="16" t="s">
        <v>170</v>
      </c>
      <c r="G14" s="16" t="s">
        <v>103</v>
      </c>
      <c r="H14" s="16" t="s">
        <v>81</v>
      </c>
      <c r="I14" s="16" t="s">
        <v>171</v>
      </c>
      <c r="J14" s="17" t="s">
        <v>172</v>
      </c>
    </row>
    <row r="15" spans="2:10" ht="17">
      <c r="B15" s="16">
        <v>17</v>
      </c>
      <c r="C15" s="16" t="s">
        <v>173</v>
      </c>
      <c r="D15" s="16" t="s">
        <v>174</v>
      </c>
      <c r="E15" s="16" t="s">
        <v>175</v>
      </c>
      <c r="F15" s="16" t="s">
        <v>176</v>
      </c>
      <c r="G15" s="16" t="s">
        <v>177</v>
      </c>
      <c r="H15" s="16" t="s">
        <v>178</v>
      </c>
      <c r="I15" s="16" t="s">
        <v>179</v>
      </c>
      <c r="J15" s="17" t="s">
        <v>7</v>
      </c>
    </row>
    <row r="16" spans="2:10" ht="17">
      <c r="B16" s="16">
        <v>18</v>
      </c>
      <c r="C16" s="16" t="s">
        <v>180</v>
      </c>
      <c r="D16" s="16" t="s">
        <v>60</v>
      </c>
      <c r="E16" s="16" t="s">
        <v>181</v>
      </c>
      <c r="F16" s="16" t="s">
        <v>182</v>
      </c>
      <c r="G16" s="16" t="s">
        <v>80</v>
      </c>
      <c r="H16" s="16" t="s">
        <v>81</v>
      </c>
      <c r="I16" s="16" t="s">
        <v>183</v>
      </c>
      <c r="J16" s="17" t="s">
        <v>184</v>
      </c>
    </row>
    <row r="17" spans="2:10" ht="17">
      <c r="B17" s="16">
        <v>19</v>
      </c>
      <c r="C17" s="16" t="s">
        <v>185</v>
      </c>
      <c r="D17" s="16" t="s">
        <v>186</v>
      </c>
      <c r="E17" s="16" t="s">
        <v>187</v>
      </c>
      <c r="F17" s="16" t="s">
        <v>188</v>
      </c>
      <c r="G17" s="16" t="s">
        <v>110</v>
      </c>
      <c r="H17" s="16" t="s">
        <v>81</v>
      </c>
      <c r="I17" s="16" t="s">
        <v>189</v>
      </c>
      <c r="J17" s="17" t="s">
        <v>190</v>
      </c>
    </row>
    <row r="18" spans="2:10" ht="17">
      <c r="B18" s="16">
        <v>20</v>
      </c>
      <c r="C18" s="16" t="s">
        <v>191</v>
      </c>
      <c r="D18" s="16" t="s">
        <v>192</v>
      </c>
      <c r="E18" s="16" t="s">
        <v>193</v>
      </c>
      <c r="F18" s="16" t="s">
        <v>194</v>
      </c>
      <c r="G18" s="16" t="s">
        <v>80</v>
      </c>
      <c r="H18" s="16" t="s">
        <v>81</v>
      </c>
      <c r="I18" s="16" t="s">
        <v>195</v>
      </c>
      <c r="J18" s="17" t="s">
        <v>196</v>
      </c>
    </row>
    <row r="19" spans="2:10" ht="17">
      <c r="B19" s="16">
        <v>21</v>
      </c>
      <c r="C19" s="16" t="s">
        <v>197</v>
      </c>
      <c r="D19" s="16" t="s">
        <v>63</v>
      </c>
      <c r="E19" s="16" t="s">
        <v>198</v>
      </c>
      <c r="F19" s="16" t="s">
        <v>198</v>
      </c>
      <c r="G19" s="16" t="s">
        <v>80</v>
      </c>
      <c r="H19" s="16" t="s">
        <v>81</v>
      </c>
      <c r="I19" s="16" t="s">
        <v>199</v>
      </c>
      <c r="J19" s="17" t="s">
        <v>200</v>
      </c>
    </row>
    <row r="20" spans="2:10" ht="17">
      <c r="B20" s="16">
        <v>22</v>
      </c>
      <c r="C20" s="16" t="s">
        <v>201</v>
      </c>
      <c r="D20" s="16" t="s">
        <v>202</v>
      </c>
      <c r="E20" s="16" t="s">
        <v>203</v>
      </c>
      <c r="F20" s="16" t="s">
        <v>204</v>
      </c>
      <c r="G20" s="16" t="s">
        <v>95</v>
      </c>
      <c r="H20" s="16" t="s">
        <v>96</v>
      </c>
      <c r="I20" s="16" t="s">
        <v>205</v>
      </c>
      <c r="J20" s="17" t="s">
        <v>206</v>
      </c>
    </row>
    <row r="21" spans="2:10" ht="17">
      <c r="B21" s="16">
        <v>23</v>
      </c>
      <c r="C21" s="16" t="s">
        <v>207</v>
      </c>
      <c r="D21" s="16" t="s">
        <v>208</v>
      </c>
      <c r="E21" s="16" t="s">
        <v>209</v>
      </c>
      <c r="F21" s="16" t="s">
        <v>210</v>
      </c>
      <c r="G21" s="16" t="s">
        <v>88</v>
      </c>
      <c r="H21" s="16" t="s">
        <v>89</v>
      </c>
      <c r="I21" s="16" t="s">
        <v>211</v>
      </c>
      <c r="J21" s="17" t="s">
        <v>212</v>
      </c>
    </row>
    <row r="22" spans="2:10" ht="17">
      <c r="B22" s="16">
        <v>14</v>
      </c>
      <c r="C22" s="16" t="s">
        <v>156</v>
      </c>
      <c r="D22" s="16" t="s">
        <v>157</v>
      </c>
      <c r="E22" s="16" t="s">
        <v>158</v>
      </c>
      <c r="F22" s="16" t="s">
        <v>159</v>
      </c>
      <c r="G22" s="16" t="s">
        <v>160</v>
      </c>
      <c r="H22" s="16" t="s">
        <v>81</v>
      </c>
      <c r="I22" s="16" t="s">
        <v>161</v>
      </c>
      <c r="J22" s="17" t="s">
        <v>6</v>
      </c>
    </row>
    <row r="23" spans="2:10" ht="18" customHeight="1">
      <c r="B23" s="16">
        <v>15</v>
      </c>
      <c r="C23" s="16" t="s">
        <v>162</v>
      </c>
      <c r="D23" s="16" t="s">
        <v>163</v>
      </c>
      <c r="E23" s="16" t="s">
        <v>164</v>
      </c>
      <c r="F23" s="16" t="s">
        <v>165</v>
      </c>
      <c r="G23" s="16" t="s">
        <v>160</v>
      </c>
      <c r="H23" s="16" t="s">
        <v>81</v>
      </c>
      <c r="I23" s="16" t="s">
        <v>166</v>
      </c>
      <c r="J23" s="17" t="s">
        <v>12</v>
      </c>
    </row>
    <row r="24" spans="2:10" ht="17">
      <c r="B24" s="16">
        <v>12</v>
      </c>
      <c r="C24" s="16" t="s">
        <v>143</v>
      </c>
      <c r="D24" s="16" t="s">
        <v>144</v>
      </c>
      <c r="E24" s="16" t="s">
        <v>145</v>
      </c>
      <c r="F24" s="16" t="s">
        <v>146</v>
      </c>
      <c r="G24" s="16" t="s">
        <v>103</v>
      </c>
      <c r="H24" s="16" t="s">
        <v>81</v>
      </c>
      <c r="I24" s="16" t="s">
        <v>147</v>
      </c>
      <c r="J24" s="17" t="s">
        <v>148</v>
      </c>
    </row>
    <row r="25" spans="2:10" ht="17">
      <c r="B25" s="16">
        <v>24</v>
      </c>
      <c r="C25" s="16" t="s">
        <v>213</v>
      </c>
      <c r="D25" s="16" t="s">
        <v>214</v>
      </c>
      <c r="E25" s="16" t="s">
        <v>215</v>
      </c>
      <c r="F25" s="16" t="s">
        <v>216</v>
      </c>
      <c r="G25" s="16" t="s">
        <v>177</v>
      </c>
      <c r="H25" s="16" t="s">
        <v>217</v>
      </c>
      <c r="I25" s="16" t="s">
        <v>218</v>
      </c>
      <c r="J25" s="17" t="s">
        <v>219</v>
      </c>
    </row>
    <row r="26" spans="2:10" ht="17">
      <c r="B26" s="16">
        <v>25</v>
      </c>
      <c r="C26" s="16" t="s">
        <v>220</v>
      </c>
      <c r="D26" s="16" t="s">
        <v>221</v>
      </c>
      <c r="E26" s="16" t="s">
        <v>222</v>
      </c>
      <c r="F26" s="16" t="s">
        <v>223</v>
      </c>
      <c r="G26" s="16" t="s">
        <v>129</v>
      </c>
      <c r="H26" s="16" t="s">
        <v>224</v>
      </c>
      <c r="I26" s="16" t="s">
        <v>225</v>
      </c>
      <c r="J26" s="17" t="s">
        <v>226</v>
      </c>
    </row>
    <row r="27" spans="2:10" ht="17">
      <c r="B27" s="16">
        <v>26</v>
      </c>
      <c r="C27" s="16" t="s">
        <v>227</v>
      </c>
      <c r="D27" s="16" t="s">
        <v>228</v>
      </c>
      <c r="E27" s="16" t="s">
        <v>229</v>
      </c>
      <c r="F27" s="16" t="s">
        <v>230</v>
      </c>
      <c r="G27" s="16" t="s">
        <v>110</v>
      </c>
      <c r="H27" s="16" t="s">
        <v>81</v>
      </c>
      <c r="I27" s="16" t="s">
        <v>231</v>
      </c>
      <c r="J27" s="17" t="s">
        <v>232</v>
      </c>
    </row>
    <row r="28" spans="2:10" ht="17">
      <c r="B28" s="16">
        <v>27</v>
      </c>
      <c r="C28" s="16" t="s">
        <v>233</v>
      </c>
      <c r="D28" s="16" t="s">
        <v>234</v>
      </c>
      <c r="E28" s="16" t="s">
        <v>235</v>
      </c>
      <c r="F28" s="16" t="s">
        <v>236</v>
      </c>
      <c r="G28" s="16" t="s">
        <v>129</v>
      </c>
      <c r="H28" s="16" t="s">
        <v>81</v>
      </c>
      <c r="I28" s="16" t="s">
        <v>237</v>
      </c>
      <c r="J28" s="17" t="s">
        <v>238</v>
      </c>
    </row>
    <row r="29" spans="2:10" ht="17">
      <c r="B29" s="16">
        <v>29</v>
      </c>
      <c r="C29" s="16" t="s">
        <v>245</v>
      </c>
      <c r="D29" s="16" t="s">
        <v>246</v>
      </c>
      <c r="E29" s="16" t="s">
        <v>247</v>
      </c>
      <c r="F29" s="16" t="s">
        <v>248</v>
      </c>
      <c r="G29" s="16" t="s">
        <v>110</v>
      </c>
      <c r="H29" s="16" t="s">
        <v>81</v>
      </c>
      <c r="I29" s="16" t="s">
        <v>249</v>
      </c>
      <c r="J29" s="17" t="s">
        <v>250</v>
      </c>
    </row>
    <row r="30" spans="2:10" ht="17">
      <c r="B30" s="16">
        <v>30</v>
      </c>
      <c r="C30" s="16" t="s">
        <v>251</v>
      </c>
      <c r="D30" s="16" t="s">
        <v>252</v>
      </c>
      <c r="E30" s="16" t="s">
        <v>253</v>
      </c>
      <c r="F30" s="16" t="s">
        <v>254</v>
      </c>
      <c r="G30" s="16" t="s">
        <v>110</v>
      </c>
      <c r="H30" s="16" t="s">
        <v>255</v>
      </c>
      <c r="I30" s="16" t="s">
        <v>256</v>
      </c>
      <c r="J30" s="17" t="s">
        <v>15</v>
      </c>
    </row>
    <row r="31" spans="2:10" ht="17">
      <c r="B31" s="16">
        <v>28</v>
      </c>
      <c r="C31" s="16" t="s">
        <v>239</v>
      </c>
      <c r="D31" s="16" t="s">
        <v>240</v>
      </c>
      <c r="E31" s="16" t="s">
        <v>241</v>
      </c>
      <c r="F31" s="16" t="s">
        <v>242</v>
      </c>
      <c r="G31" s="16" t="s">
        <v>110</v>
      </c>
      <c r="H31" s="16" t="s">
        <v>81</v>
      </c>
      <c r="I31" s="16" t="s">
        <v>243</v>
      </c>
      <c r="J31" s="17" t="s">
        <v>244</v>
      </c>
    </row>
    <row r="32" spans="2:10" ht="17">
      <c r="B32" s="16">
        <v>13</v>
      </c>
      <c r="C32" s="16" t="s">
        <v>149</v>
      </c>
      <c r="D32" s="16" t="s">
        <v>150</v>
      </c>
      <c r="E32" s="16" t="s">
        <v>151</v>
      </c>
      <c r="F32" s="16" t="s">
        <v>152</v>
      </c>
      <c r="G32" s="16" t="s">
        <v>129</v>
      </c>
      <c r="H32" s="16" t="s">
        <v>153</v>
      </c>
      <c r="I32" s="16" t="s">
        <v>154</v>
      </c>
      <c r="J32" s="17" t="s">
        <v>155</v>
      </c>
    </row>
    <row r="33" spans="2:10" ht="17">
      <c r="B33" s="16">
        <v>31</v>
      </c>
      <c r="C33" s="16" t="s">
        <v>257</v>
      </c>
      <c r="D33" s="16" t="s">
        <v>258</v>
      </c>
      <c r="E33" s="16" t="s">
        <v>259</v>
      </c>
      <c r="F33" s="16" t="s">
        <v>260</v>
      </c>
      <c r="G33" s="16" t="s">
        <v>110</v>
      </c>
      <c r="H33" s="16" t="s">
        <v>81</v>
      </c>
      <c r="I33" s="16" t="s">
        <v>261</v>
      </c>
      <c r="J33" s="17" t="s">
        <v>21</v>
      </c>
    </row>
    <row r="34" spans="2:10" ht="17">
      <c r="B34" s="16">
        <v>32</v>
      </c>
      <c r="C34" s="16" t="s">
        <v>262</v>
      </c>
      <c r="D34" s="16" t="s">
        <v>263</v>
      </c>
      <c r="E34" s="16" t="s">
        <v>264</v>
      </c>
      <c r="F34" s="16" t="s">
        <v>265</v>
      </c>
      <c r="G34" s="16" t="s">
        <v>177</v>
      </c>
      <c r="H34" s="16" t="s">
        <v>81</v>
      </c>
      <c r="I34" s="16" t="s">
        <v>266</v>
      </c>
      <c r="J34" s="17" t="s">
        <v>267</v>
      </c>
    </row>
    <row r="35" spans="2:10" ht="17">
      <c r="B35" s="16">
        <v>33</v>
      </c>
      <c r="C35" s="16" t="s">
        <v>268</v>
      </c>
      <c r="D35" s="16" t="s">
        <v>269</v>
      </c>
      <c r="E35" s="16" t="s">
        <v>270</v>
      </c>
      <c r="F35" s="16" t="s">
        <v>271</v>
      </c>
      <c r="G35" s="16" t="s">
        <v>95</v>
      </c>
      <c r="H35" s="16" t="s">
        <v>96</v>
      </c>
      <c r="I35" s="16" t="s">
        <v>272</v>
      </c>
      <c r="J35" s="17" t="s">
        <v>273</v>
      </c>
    </row>
    <row r="36" spans="2:10" ht="17">
      <c r="B36" s="16">
        <v>34</v>
      </c>
      <c r="C36" s="16" t="s">
        <v>274</v>
      </c>
      <c r="D36" s="16" t="s">
        <v>275</v>
      </c>
      <c r="E36" s="16" t="s">
        <v>276</v>
      </c>
      <c r="F36" s="16" t="s">
        <v>277</v>
      </c>
      <c r="G36" s="16" t="s">
        <v>129</v>
      </c>
      <c r="H36" s="16" t="s">
        <v>81</v>
      </c>
      <c r="I36" s="16" t="s">
        <v>278</v>
      </c>
      <c r="J36" s="17" t="s">
        <v>279</v>
      </c>
    </row>
    <row r="37" spans="2:10" ht="17">
      <c r="B37" s="16">
        <v>35</v>
      </c>
      <c r="C37" s="16" t="s">
        <v>280</v>
      </c>
      <c r="D37" s="16" t="s">
        <v>281</v>
      </c>
      <c r="E37" s="16" t="s">
        <v>282</v>
      </c>
      <c r="F37" s="16" t="s">
        <v>283</v>
      </c>
      <c r="G37" s="16" t="s">
        <v>177</v>
      </c>
      <c r="H37" s="16" t="s">
        <v>81</v>
      </c>
      <c r="I37" s="16" t="s">
        <v>284</v>
      </c>
      <c r="J37" s="17" t="s">
        <v>285</v>
      </c>
    </row>
    <row r="38" spans="2:10" ht="17">
      <c r="B38" s="16">
        <v>36</v>
      </c>
      <c r="C38" s="16" t="s">
        <v>286</v>
      </c>
      <c r="D38" s="16" t="s">
        <v>67</v>
      </c>
      <c r="E38" s="16" t="s">
        <v>287</v>
      </c>
      <c r="F38" s="16" t="s">
        <v>288</v>
      </c>
      <c r="G38" s="16" t="s">
        <v>177</v>
      </c>
      <c r="H38" s="16" t="s">
        <v>81</v>
      </c>
      <c r="I38" s="16" t="s">
        <v>289</v>
      </c>
      <c r="J38" s="17" t="s">
        <v>13</v>
      </c>
    </row>
    <row r="39" spans="2:10" ht="17">
      <c r="B39" s="16">
        <v>37</v>
      </c>
      <c r="C39" s="16" t="s">
        <v>290</v>
      </c>
      <c r="D39" s="16" t="s">
        <v>291</v>
      </c>
      <c r="E39" s="16" t="s">
        <v>292</v>
      </c>
      <c r="F39" s="16" t="s">
        <v>293</v>
      </c>
      <c r="G39" s="16" t="s">
        <v>88</v>
      </c>
      <c r="H39" s="16" t="s">
        <v>89</v>
      </c>
      <c r="I39" s="16" t="s">
        <v>294</v>
      </c>
      <c r="J39" s="17" t="s">
        <v>293</v>
      </c>
    </row>
    <row r="40" spans="2:10" ht="17">
      <c r="B40" s="16">
        <v>38</v>
      </c>
      <c r="C40" s="16" t="s">
        <v>295</v>
      </c>
      <c r="D40" s="16" t="s">
        <v>296</v>
      </c>
      <c r="E40" s="16" t="s">
        <v>297</v>
      </c>
      <c r="F40" s="16" t="s">
        <v>298</v>
      </c>
      <c r="G40" s="16" t="s">
        <v>103</v>
      </c>
      <c r="H40" s="16" t="s">
        <v>81</v>
      </c>
      <c r="I40" s="16" t="s">
        <v>299</v>
      </c>
      <c r="J40" s="17" t="s">
        <v>19</v>
      </c>
    </row>
    <row r="41" spans="2:10" ht="17">
      <c r="B41" s="16">
        <v>39</v>
      </c>
      <c r="C41" s="16" t="s">
        <v>300</v>
      </c>
      <c r="D41" s="16" t="s">
        <v>301</v>
      </c>
      <c r="E41" s="16" t="s">
        <v>300</v>
      </c>
      <c r="F41" s="16" t="s">
        <v>302</v>
      </c>
      <c r="G41" s="16" t="s">
        <v>95</v>
      </c>
      <c r="H41" s="16" t="s">
        <v>96</v>
      </c>
      <c r="I41" s="16" t="s">
        <v>303</v>
      </c>
      <c r="J41" s="17" t="s">
        <v>304</v>
      </c>
    </row>
    <row r="42" spans="2:10" ht="17">
      <c r="B42" s="16">
        <v>40</v>
      </c>
      <c r="C42" s="16" t="s">
        <v>110</v>
      </c>
      <c r="D42" s="16" t="s">
        <v>305</v>
      </c>
      <c r="E42" s="16" t="s">
        <v>306</v>
      </c>
      <c r="F42" s="16" t="s">
        <v>307</v>
      </c>
      <c r="G42" s="16" t="s">
        <v>110</v>
      </c>
      <c r="H42" s="16" t="s">
        <v>81</v>
      </c>
      <c r="I42" s="16" t="s">
        <v>308</v>
      </c>
      <c r="J42" s="17" t="s">
        <v>309</v>
      </c>
    </row>
    <row r="43" spans="2:10" ht="17">
      <c r="B43" s="16">
        <v>41</v>
      </c>
      <c r="C43" s="16" t="s">
        <v>310</v>
      </c>
      <c r="D43" s="16" t="s">
        <v>311</v>
      </c>
      <c r="E43" s="16" t="s">
        <v>312</v>
      </c>
      <c r="F43" s="16" t="s">
        <v>313</v>
      </c>
      <c r="G43" s="16" t="s">
        <v>88</v>
      </c>
      <c r="H43" s="16" t="s">
        <v>89</v>
      </c>
      <c r="I43" s="16" t="s">
        <v>314</v>
      </c>
      <c r="J43" s="17" t="s">
        <v>315</v>
      </c>
    </row>
    <row r="44" spans="2:10" ht="17">
      <c r="B44" s="16">
        <v>42</v>
      </c>
      <c r="C44" s="16" t="s">
        <v>316</v>
      </c>
      <c r="D44" s="16" t="s">
        <v>317</v>
      </c>
      <c r="E44" s="16" t="s">
        <v>318</v>
      </c>
      <c r="F44" s="16" t="s">
        <v>319</v>
      </c>
      <c r="G44" s="16" t="s">
        <v>110</v>
      </c>
      <c r="H44" s="16" t="s">
        <v>81</v>
      </c>
      <c r="I44" s="16" t="s">
        <v>320</v>
      </c>
      <c r="J44" s="17" t="s">
        <v>321</v>
      </c>
    </row>
    <row r="45" spans="2:10" ht="17">
      <c r="B45" s="16">
        <v>43</v>
      </c>
      <c r="C45" s="16" t="s">
        <v>322</v>
      </c>
      <c r="D45" s="16" t="s">
        <v>323</v>
      </c>
      <c r="E45" s="16" t="s">
        <v>324</v>
      </c>
      <c r="F45" s="16" t="s">
        <v>325</v>
      </c>
      <c r="G45" s="16" t="s">
        <v>95</v>
      </c>
      <c r="H45" s="16" t="s">
        <v>96</v>
      </c>
      <c r="I45" s="16" t="s">
        <v>326</v>
      </c>
      <c r="J45" s="17" t="s">
        <v>327</v>
      </c>
    </row>
    <row r="46" spans="2:10" ht="17">
      <c r="B46" s="16">
        <v>44</v>
      </c>
      <c r="C46" s="16" t="s">
        <v>328</v>
      </c>
      <c r="D46" s="16" t="s">
        <v>329</v>
      </c>
      <c r="E46" s="16" t="s">
        <v>330</v>
      </c>
      <c r="F46" s="16" t="s">
        <v>330</v>
      </c>
      <c r="G46" s="16" t="s">
        <v>95</v>
      </c>
      <c r="H46" s="16" t="s">
        <v>96</v>
      </c>
      <c r="I46" s="16" t="s">
        <v>331</v>
      </c>
      <c r="J46" s="17" t="s">
        <v>332</v>
      </c>
    </row>
    <row r="47" spans="2:10" ht="17">
      <c r="B47" s="16">
        <v>45</v>
      </c>
      <c r="C47" s="16" t="s">
        <v>333</v>
      </c>
      <c r="D47" s="16" t="s">
        <v>334</v>
      </c>
      <c r="E47" s="16" t="s">
        <v>335</v>
      </c>
      <c r="F47" s="16" t="s">
        <v>336</v>
      </c>
      <c r="G47" s="16" t="s">
        <v>80</v>
      </c>
      <c r="H47" s="16" t="s">
        <v>153</v>
      </c>
      <c r="I47" s="16" t="s">
        <v>337</v>
      </c>
      <c r="J47" s="17" t="s">
        <v>338</v>
      </c>
    </row>
    <row r="48" spans="2:10" ht="17">
      <c r="B48" s="16">
        <v>46</v>
      </c>
      <c r="C48" s="16" t="s">
        <v>339</v>
      </c>
      <c r="D48" s="16" t="s">
        <v>339</v>
      </c>
      <c r="E48" s="16" t="s">
        <v>340</v>
      </c>
      <c r="F48" s="16" t="s">
        <v>341</v>
      </c>
      <c r="G48" s="16" t="s">
        <v>103</v>
      </c>
      <c r="H48" s="16" t="s">
        <v>81</v>
      </c>
      <c r="I48" s="16" t="s">
        <v>342</v>
      </c>
      <c r="J48" s="17" t="s">
        <v>22</v>
      </c>
    </row>
    <row r="49" spans="2:10" ht="17">
      <c r="B49" s="16">
        <v>48</v>
      </c>
      <c r="C49" s="16" t="s">
        <v>349</v>
      </c>
      <c r="D49" s="16" t="s">
        <v>350</v>
      </c>
      <c r="E49" s="16" t="s">
        <v>351</v>
      </c>
      <c r="F49" s="16" t="s">
        <v>352</v>
      </c>
      <c r="G49" s="16" t="s">
        <v>160</v>
      </c>
      <c r="H49" s="16" t="s">
        <v>81</v>
      </c>
      <c r="I49" s="16" t="s">
        <v>353</v>
      </c>
      <c r="J49" s="17" t="s">
        <v>354</v>
      </c>
    </row>
    <row r="50" spans="2:10" ht="17">
      <c r="B50" s="16">
        <v>49</v>
      </c>
      <c r="C50" s="16" t="s">
        <v>355</v>
      </c>
      <c r="D50" s="16" t="s">
        <v>356</v>
      </c>
      <c r="E50" s="16" t="s">
        <v>357</v>
      </c>
      <c r="F50" s="16" t="s">
        <v>358</v>
      </c>
      <c r="G50" s="16" t="s">
        <v>103</v>
      </c>
      <c r="H50" s="16" t="s">
        <v>81</v>
      </c>
      <c r="I50" s="16" t="s">
        <v>359</v>
      </c>
      <c r="J50" s="17" t="s">
        <v>360</v>
      </c>
    </row>
    <row r="51" spans="2:10" ht="17">
      <c r="B51" s="16">
        <v>47</v>
      </c>
      <c r="C51" s="16" t="s">
        <v>343</v>
      </c>
      <c r="D51" s="16" t="s">
        <v>344</v>
      </c>
      <c r="E51" s="16" t="s">
        <v>345</v>
      </c>
      <c r="F51" s="16" t="s">
        <v>346</v>
      </c>
      <c r="G51" s="16" t="s">
        <v>129</v>
      </c>
      <c r="H51" s="16" t="s">
        <v>153</v>
      </c>
      <c r="I51" s="16" t="s">
        <v>347</v>
      </c>
      <c r="J51" s="17" t="s">
        <v>348</v>
      </c>
    </row>
    <row r="52" spans="2:10" ht="17">
      <c r="B52" s="16">
        <v>50</v>
      </c>
      <c r="C52" s="16" t="s">
        <v>361</v>
      </c>
      <c r="D52" s="16" t="s">
        <v>362</v>
      </c>
      <c r="E52" s="16" t="s">
        <v>363</v>
      </c>
      <c r="F52" s="16" t="s">
        <v>363</v>
      </c>
      <c r="G52" s="16" t="s">
        <v>110</v>
      </c>
      <c r="H52" s="16" t="s">
        <v>81</v>
      </c>
      <c r="I52" s="16" t="s">
        <v>364</v>
      </c>
      <c r="J52" s="17" t="s">
        <v>365</v>
      </c>
    </row>
    <row r="53" spans="2:10" ht="17">
      <c r="B53" s="16">
        <v>51</v>
      </c>
      <c r="C53" s="16" t="s">
        <v>366</v>
      </c>
      <c r="D53" s="16" t="s">
        <v>367</v>
      </c>
      <c r="E53" s="16" t="s">
        <v>368</v>
      </c>
      <c r="F53" s="16" t="s">
        <v>369</v>
      </c>
      <c r="G53" s="16" t="s">
        <v>129</v>
      </c>
      <c r="H53" s="16" t="s">
        <v>153</v>
      </c>
      <c r="I53" s="16" t="s">
        <v>370</v>
      </c>
      <c r="J53" s="17" t="s">
        <v>371</v>
      </c>
    </row>
    <row r="54" spans="2:10" ht="17">
      <c r="B54" s="16">
        <v>52</v>
      </c>
      <c r="C54" s="16" t="s">
        <v>372</v>
      </c>
      <c r="D54" s="16" t="s">
        <v>373</v>
      </c>
      <c r="E54" s="16" t="s">
        <v>372</v>
      </c>
      <c r="F54" s="16" t="s">
        <v>374</v>
      </c>
      <c r="G54" s="16" t="s">
        <v>110</v>
      </c>
      <c r="H54" s="16" t="s">
        <v>81</v>
      </c>
      <c r="I54" s="16" t="s">
        <v>375</v>
      </c>
      <c r="J54" s="17" t="s">
        <v>9</v>
      </c>
    </row>
    <row r="55" spans="2:10" ht="17">
      <c r="B55" s="16">
        <v>53</v>
      </c>
      <c r="C55" s="16" t="s">
        <v>376</v>
      </c>
      <c r="D55" s="16" t="s">
        <v>365</v>
      </c>
      <c r="E55" s="16" t="s">
        <v>377</v>
      </c>
      <c r="F55" s="16" t="s">
        <v>378</v>
      </c>
      <c r="G55" s="16" t="s">
        <v>88</v>
      </c>
      <c r="H55" s="16" t="s">
        <v>89</v>
      </c>
      <c r="I55" s="16" t="s">
        <v>379</v>
      </c>
      <c r="J55" s="17" t="s">
        <v>380</v>
      </c>
    </row>
    <row r="56" spans="2:10" ht="17">
      <c r="B56" s="16">
        <v>54</v>
      </c>
      <c r="C56" s="16" t="s">
        <v>381</v>
      </c>
      <c r="D56" s="16" t="s">
        <v>382</v>
      </c>
      <c r="E56" s="16" t="s">
        <v>383</v>
      </c>
      <c r="F56" s="16" t="s">
        <v>384</v>
      </c>
      <c r="G56" s="16" t="s">
        <v>88</v>
      </c>
      <c r="H56" s="16" t="s">
        <v>89</v>
      </c>
      <c r="I56" s="16" t="s">
        <v>385</v>
      </c>
      <c r="J56" s="17" t="s">
        <v>386</v>
      </c>
    </row>
    <row r="57" spans="2:10" ht="17">
      <c r="B57" s="16">
        <v>55</v>
      </c>
      <c r="C57" s="16" t="s">
        <v>387</v>
      </c>
      <c r="D57" s="16" t="s">
        <v>388</v>
      </c>
      <c r="E57" s="16" t="s">
        <v>389</v>
      </c>
      <c r="F57" s="16" t="s">
        <v>390</v>
      </c>
      <c r="G57" s="16" t="s">
        <v>160</v>
      </c>
      <c r="H57" s="16" t="s">
        <v>140</v>
      </c>
      <c r="I57" s="16" t="s">
        <v>391</v>
      </c>
      <c r="J57" s="17" t="s">
        <v>392</v>
      </c>
    </row>
    <row r="58" spans="2:10" ht="17">
      <c r="B58" s="16">
        <v>56</v>
      </c>
      <c r="C58" s="16" t="s">
        <v>393</v>
      </c>
      <c r="D58" s="16" t="s">
        <v>394</v>
      </c>
      <c r="E58" s="16" t="s">
        <v>395</v>
      </c>
      <c r="F58" s="16" t="s">
        <v>396</v>
      </c>
      <c r="G58" s="16" t="s">
        <v>95</v>
      </c>
      <c r="H58" s="16" t="s">
        <v>96</v>
      </c>
      <c r="I58" s="16" t="s">
        <v>397</v>
      </c>
      <c r="J58" s="17" t="s">
        <v>398</v>
      </c>
    </row>
    <row r="59" spans="2:10" ht="18">
      <c r="B59" s="16">
        <v>57</v>
      </c>
      <c r="C59" s="16" t="s">
        <v>399</v>
      </c>
      <c r="D59" s="16" t="s">
        <v>400</v>
      </c>
      <c r="E59" s="16" t="s">
        <v>401</v>
      </c>
      <c r="F59" s="16" t="s">
        <v>402</v>
      </c>
      <c r="G59" s="16" t="s">
        <v>88</v>
      </c>
      <c r="H59" s="16" t="s">
        <v>89</v>
      </c>
      <c r="I59" s="16" t="s">
        <v>403</v>
      </c>
      <c r="J59" s="17" t="s">
        <v>404</v>
      </c>
    </row>
    <row r="60" spans="2:10" ht="17">
      <c r="B60" s="16">
        <v>58</v>
      </c>
      <c r="C60" s="16" t="s">
        <v>405</v>
      </c>
      <c r="D60" s="16" t="s">
        <v>406</v>
      </c>
      <c r="E60" s="16" t="s">
        <v>407</v>
      </c>
      <c r="F60" s="16" t="s">
        <v>408</v>
      </c>
      <c r="G60" s="16" t="s">
        <v>88</v>
      </c>
      <c r="H60" s="16" t="s">
        <v>89</v>
      </c>
      <c r="I60" s="16" t="s">
        <v>409</v>
      </c>
      <c r="J60" s="17" t="s">
        <v>410</v>
      </c>
    </row>
    <row r="61" spans="2:10" ht="17">
      <c r="B61" s="16">
        <v>59</v>
      </c>
      <c r="C61" s="16" t="s">
        <v>411</v>
      </c>
      <c r="D61" s="16" t="s">
        <v>412</v>
      </c>
      <c r="E61" s="16" t="s">
        <v>413</v>
      </c>
      <c r="F61" s="16" t="s">
        <v>414</v>
      </c>
      <c r="G61" s="16" t="s">
        <v>110</v>
      </c>
      <c r="H61" s="16" t="s">
        <v>81</v>
      </c>
      <c r="I61" s="16" t="s">
        <v>415</v>
      </c>
      <c r="J61" s="17" t="s">
        <v>416</v>
      </c>
    </row>
    <row r="62" spans="2:10" ht="17">
      <c r="B62" s="16">
        <v>60</v>
      </c>
      <c r="C62" s="16" t="s">
        <v>160</v>
      </c>
      <c r="D62" s="16" t="s">
        <v>65</v>
      </c>
      <c r="E62" s="16" t="s">
        <v>417</v>
      </c>
      <c r="F62" s="16" t="s">
        <v>418</v>
      </c>
      <c r="G62" s="16" t="s">
        <v>160</v>
      </c>
      <c r="H62" s="16" t="s">
        <v>81</v>
      </c>
      <c r="I62" s="16" t="s">
        <v>419</v>
      </c>
      <c r="J62" s="17" t="s">
        <v>11</v>
      </c>
    </row>
    <row r="63" spans="2:10" ht="17">
      <c r="B63" s="16">
        <v>61</v>
      </c>
      <c r="C63" s="16" t="s">
        <v>420</v>
      </c>
      <c r="D63" s="16" t="s">
        <v>421</v>
      </c>
      <c r="E63" s="16" t="s">
        <v>420</v>
      </c>
      <c r="F63" s="16" t="s">
        <v>422</v>
      </c>
      <c r="G63" s="16" t="s">
        <v>95</v>
      </c>
      <c r="H63" s="16" t="s">
        <v>96</v>
      </c>
      <c r="I63" s="16" t="s">
        <v>423</v>
      </c>
      <c r="J63" s="17" t="s">
        <v>424</v>
      </c>
    </row>
    <row r="64" spans="2:10" ht="17">
      <c r="B64" s="16">
        <v>62</v>
      </c>
      <c r="C64" s="16" t="s">
        <v>425</v>
      </c>
      <c r="D64" s="16" t="s">
        <v>426</v>
      </c>
      <c r="E64" s="16" t="s">
        <v>427</v>
      </c>
      <c r="F64" s="16" t="s">
        <v>428</v>
      </c>
      <c r="G64" s="16" t="s">
        <v>80</v>
      </c>
      <c r="H64" s="16" t="s">
        <v>81</v>
      </c>
      <c r="I64" s="16" t="s">
        <v>429</v>
      </c>
      <c r="J64" s="17" t="s">
        <v>430</v>
      </c>
    </row>
    <row r="65" spans="2:10" ht="17">
      <c r="B65" s="16">
        <v>63</v>
      </c>
      <c r="C65" s="16" t="s">
        <v>80</v>
      </c>
      <c r="D65" s="16" t="s">
        <v>64</v>
      </c>
      <c r="E65" s="16" t="s">
        <v>431</v>
      </c>
      <c r="F65" s="16" t="s">
        <v>432</v>
      </c>
      <c r="G65" s="16" t="s">
        <v>80</v>
      </c>
      <c r="H65" s="16" t="s">
        <v>81</v>
      </c>
      <c r="I65" s="16" t="s">
        <v>433</v>
      </c>
      <c r="J65" s="17" t="s">
        <v>434</v>
      </c>
    </row>
    <row r="66" spans="2:10" ht="17">
      <c r="B66" s="16">
        <v>64</v>
      </c>
      <c r="C66" s="16" t="s">
        <v>435</v>
      </c>
      <c r="D66" s="16" t="s">
        <v>436</v>
      </c>
      <c r="E66" s="16" t="s">
        <v>437</v>
      </c>
      <c r="F66" s="16" t="s">
        <v>438</v>
      </c>
      <c r="G66" s="16" t="s">
        <v>95</v>
      </c>
      <c r="H66" s="16" t="s">
        <v>96</v>
      </c>
      <c r="I66" s="16" t="s">
        <v>439</v>
      </c>
      <c r="J66" s="17" t="s">
        <v>440</v>
      </c>
    </row>
    <row r="67" spans="2:10" ht="17">
      <c r="B67" s="16">
        <v>65</v>
      </c>
      <c r="C67" s="16" t="s">
        <v>441</v>
      </c>
      <c r="D67" s="16" t="s">
        <v>442</v>
      </c>
      <c r="E67" s="16" t="s">
        <v>443</v>
      </c>
      <c r="F67" s="16" t="s">
        <v>444</v>
      </c>
      <c r="G67" s="16" t="s">
        <v>88</v>
      </c>
      <c r="H67" s="16" t="s">
        <v>89</v>
      </c>
      <c r="I67" s="16" t="s">
        <v>445</v>
      </c>
      <c r="J67" s="17" t="s">
        <v>446</v>
      </c>
    </row>
    <row r="68" spans="2:10" ht="17">
      <c r="B68" s="16">
        <v>67</v>
      </c>
      <c r="C68" s="16" t="s">
        <v>452</v>
      </c>
      <c r="D68" s="16" t="s">
        <v>453</v>
      </c>
      <c r="E68" s="16" t="s">
        <v>454</v>
      </c>
      <c r="F68" s="16" t="s">
        <v>455</v>
      </c>
      <c r="G68" s="16" t="s">
        <v>177</v>
      </c>
      <c r="H68" s="16" t="s">
        <v>81</v>
      </c>
      <c r="I68" s="16" t="s">
        <v>456</v>
      </c>
      <c r="J68" s="17" t="s">
        <v>20</v>
      </c>
    </row>
    <row r="69" spans="2:10" ht="17">
      <c r="B69" s="16">
        <v>66</v>
      </c>
      <c r="C69" s="16" t="s">
        <v>447</v>
      </c>
      <c r="D69" s="16" t="s">
        <v>62</v>
      </c>
      <c r="E69" s="16" t="s">
        <v>448</v>
      </c>
      <c r="F69" s="16" t="s">
        <v>449</v>
      </c>
      <c r="G69" s="16" t="s">
        <v>103</v>
      </c>
      <c r="H69" s="16" t="s">
        <v>81</v>
      </c>
      <c r="I69" s="16" t="s">
        <v>450</v>
      </c>
      <c r="J69" s="17" t="s">
        <v>451</v>
      </c>
    </row>
    <row r="70" spans="2:10" ht="17">
      <c r="B70" s="16">
        <v>68</v>
      </c>
      <c r="C70" s="16" t="s">
        <v>457</v>
      </c>
      <c r="D70" s="16" t="s">
        <v>458</v>
      </c>
      <c r="E70" s="16" t="s">
        <v>459</v>
      </c>
      <c r="F70" s="16" t="s">
        <v>457</v>
      </c>
      <c r="G70" s="16" t="s">
        <v>177</v>
      </c>
      <c r="H70" s="16" t="s">
        <v>178</v>
      </c>
      <c r="I70" s="16" t="s">
        <v>460</v>
      </c>
      <c r="J70" s="17" t="s">
        <v>461</v>
      </c>
    </row>
    <row r="71" spans="2:10" ht="17">
      <c r="B71" s="16">
        <v>69</v>
      </c>
      <c r="C71" s="16" t="s">
        <v>462</v>
      </c>
      <c r="D71" s="16" t="s">
        <v>463</v>
      </c>
      <c r="E71" s="16" t="s">
        <v>464</v>
      </c>
      <c r="F71" s="16" t="s">
        <v>465</v>
      </c>
      <c r="G71" s="16" t="s">
        <v>177</v>
      </c>
      <c r="H71" s="16" t="s">
        <v>89</v>
      </c>
      <c r="I71" s="16" t="s">
        <v>466</v>
      </c>
      <c r="J71" s="17" t="s">
        <v>467</v>
      </c>
    </row>
    <row r="72" spans="2:10" ht="17">
      <c r="B72" s="16">
        <v>70</v>
      </c>
      <c r="C72" s="16" t="s">
        <v>468</v>
      </c>
      <c r="D72" s="16" t="s">
        <v>469</v>
      </c>
      <c r="E72" s="16" t="s">
        <v>470</v>
      </c>
      <c r="F72" s="16" t="s">
        <v>471</v>
      </c>
      <c r="G72" s="16" t="s">
        <v>88</v>
      </c>
      <c r="H72" s="16" t="s">
        <v>89</v>
      </c>
      <c r="I72" s="16" t="s">
        <v>472</v>
      </c>
      <c r="J72" s="17" t="s">
        <v>473</v>
      </c>
    </row>
    <row r="73" spans="2:10" ht="17">
      <c r="B73" s="16">
        <v>74</v>
      </c>
      <c r="C73" s="16" t="s">
        <v>491</v>
      </c>
      <c r="D73" s="16" t="s">
        <v>492</v>
      </c>
      <c r="E73" s="16" t="s">
        <v>493</v>
      </c>
      <c r="F73" s="16" t="s">
        <v>494</v>
      </c>
      <c r="G73" s="16" t="s">
        <v>88</v>
      </c>
      <c r="H73" s="16" t="s">
        <v>89</v>
      </c>
      <c r="I73" s="16" t="s">
        <v>495</v>
      </c>
      <c r="J73" s="17" t="s">
        <v>496</v>
      </c>
    </row>
    <row r="74" spans="2:10" ht="17">
      <c r="B74" s="16">
        <v>73</v>
      </c>
      <c r="C74" s="16" t="s">
        <v>486</v>
      </c>
      <c r="D74" s="16" t="s">
        <v>487</v>
      </c>
      <c r="E74" s="16" t="s">
        <v>488</v>
      </c>
      <c r="F74" s="16" t="s">
        <v>489</v>
      </c>
      <c r="G74" s="16" t="s">
        <v>103</v>
      </c>
      <c r="H74" s="16" t="s">
        <v>81</v>
      </c>
      <c r="I74" s="16" t="s">
        <v>490</v>
      </c>
      <c r="J74" s="17" t="s">
        <v>18</v>
      </c>
    </row>
    <row r="75" spans="2:10" ht="17">
      <c r="B75" s="16">
        <v>75</v>
      </c>
      <c r="C75" s="16" t="s">
        <v>497</v>
      </c>
      <c r="D75" s="16" t="s">
        <v>498</v>
      </c>
      <c r="E75" s="16" t="s">
        <v>499</v>
      </c>
      <c r="F75" s="16" t="s">
        <v>500</v>
      </c>
      <c r="G75" s="16" t="s">
        <v>110</v>
      </c>
      <c r="H75" s="16" t="s">
        <v>153</v>
      </c>
      <c r="I75" s="16" t="s">
        <v>501</v>
      </c>
      <c r="J75" s="17" t="s">
        <v>502</v>
      </c>
    </row>
    <row r="76" spans="2:10" ht="17">
      <c r="B76" s="16">
        <v>76</v>
      </c>
      <c r="C76" s="16" t="s">
        <v>503</v>
      </c>
      <c r="D76" s="16" t="s">
        <v>504</v>
      </c>
      <c r="E76" s="16" t="s">
        <v>505</v>
      </c>
      <c r="F76" s="16" t="s">
        <v>506</v>
      </c>
      <c r="G76" s="16" t="s">
        <v>110</v>
      </c>
      <c r="H76" s="16" t="s">
        <v>81</v>
      </c>
      <c r="I76" s="16" t="s">
        <v>507</v>
      </c>
      <c r="J76" s="17" t="s">
        <v>508</v>
      </c>
    </row>
    <row r="77" spans="2:10" ht="17">
      <c r="B77" s="16">
        <v>77</v>
      </c>
      <c r="C77" s="16" t="s">
        <v>509</v>
      </c>
      <c r="D77" s="16" t="s">
        <v>510</v>
      </c>
      <c r="E77" s="16" t="s">
        <v>511</v>
      </c>
      <c r="F77" s="16" t="s">
        <v>512</v>
      </c>
      <c r="G77" s="16" t="s">
        <v>110</v>
      </c>
      <c r="H77" s="16" t="s">
        <v>153</v>
      </c>
      <c r="I77" s="16" t="s">
        <v>513</v>
      </c>
      <c r="J77" s="17" t="s">
        <v>514</v>
      </c>
    </row>
    <row r="78" spans="2:10" ht="17">
      <c r="B78" s="16">
        <v>71</v>
      </c>
      <c r="C78" s="16" t="s">
        <v>474</v>
      </c>
      <c r="D78" s="16" t="s">
        <v>475</v>
      </c>
      <c r="E78" s="16" t="s">
        <v>476</v>
      </c>
      <c r="F78" s="16" t="s">
        <v>477</v>
      </c>
      <c r="G78" s="16" t="s">
        <v>110</v>
      </c>
      <c r="H78" s="16" t="s">
        <v>81</v>
      </c>
      <c r="I78" s="16" t="s">
        <v>478</v>
      </c>
      <c r="J78" s="17" t="s">
        <v>479</v>
      </c>
    </row>
    <row r="79" spans="2:10" ht="17">
      <c r="B79" s="16">
        <v>72</v>
      </c>
      <c r="C79" s="16" t="s">
        <v>480</v>
      </c>
      <c r="D79" s="16" t="s">
        <v>481</v>
      </c>
      <c r="E79" s="16" t="s">
        <v>482</v>
      </c>
      <c r="F79" s="16" t="s">
        <v>483</v>
      </c>
      <c r="G79" s="16" t="s">
        <v>103</v>
      </c>
      <c r="H79" s="16" t="s">
        <v>81</v>
      </c>
      <c r="I79" s="16" t="s">
        <v>484</v>
      </c>
      <c r="J79" s="17" t="s">
        <v>485</v>
      </c>
    </row>
    <row r="80" spans="2:10" ht="17">
      <c r="B80" s="16">
        <v>78</v>
      </c>
      <c r="C80" s="16" t="s">
        <v>515</v>
      </c>
      <c r="D80" s="16" t="s">
        <v>66</v>
      </c>
      <c r="E80" s="16" t="s">
        <v>516</v>
      </c>
      <c r="F80" s="16" t="s">
        <v>517</v>
      </c>
      <c r="G80" s="16" t="s">
        <v>103</v>
      </c>
      <c r="H80" s="16" t="s">
        <v>81</v>
      </c>
      <c r="I80" s="16" t="s">
        <v>518</v>
      </c>
      <c r="J80" s="17" t="s">
        <v>16</v>
      </c>
    </row>
    <row r="81" spans="2:10" ht="17">
      <c r="B81" s="16">
        <v>79</v>
      </c>
      <c r="C81" s="16" t="s">
        <v>519</v>
      </c>
      <c r="D81" s="16" t="s">
        <v>520</v>
      </c>
      <c r="E81" s="16" t="s">
        <v>521</v>
      </c>
      <c r="F81" s="16" t="s">
        <v>522</v>
      </c>
      <c r="G81" s="16" t="s">
        <v>88</v>
      </c>
      <c r="H81" s="16" t="s">
        <v>89</v>
      </c>
      <c r="I81" s="16" t="s">
        <v>523</v>
      </c>
      <c r="J81" s="17" t="s">
        <v>524</v>
      </c>
    </row>
    <row r="82" spans="2:10" ht="17">
      <c r="B82" s="16">
        <v>81</v>
      </c>
      <c r="C82" s="16" t="s">
        <v>530</v>
      </c>
      <c r="D82" s="16" t="s">
        <v>531</v>
      </c>
      <c r="E82" s="16" t="s">
        <v>532</v>
      </c>
      <c r="F82" s="16" t="s">
        <v>533</v>
      </c>
      <c r="G82" s="16" t="s">
        <v>110</v>
      </c>
      <c r="H82" s="16" t="s">
        <v>534</v>
      </c>
      <c r="I82" s="16" t="s">
        <v>535</v>
      </c>
      <c r="J82" s="17" t="s">
        <v>536</v>
      </c>
    </row>
    <row r="83" spans="2:10" ht="17">
      <c r="B83" s="16">
        <v>80</v>
      </c>
      <c r="C83" s="16" t="s">
        <v>525</v>
      </c>
      <c r="D83" s="16" t="s">
        <v>59</v>
      </c>
      <c r="E83" s="16" t="s">
        <v>526</v>
      </c>
      <c r="F83" s="16" t="s">
        <v>527</v>
      </c>
      <c r="G83" s="16" t="s">
        <v>80</v>
      </c>
      <c r="H83" s="16" t="s">
        <v>81</v>
      </c>
      <c r="I83" s="16" t="s">
        <v>528</v>
      </c>
      <c r="J83" s="17" t="s">
        <v>529</v>
      </c>
    </row>
    <row r="84" spans="2:10" ht="17">
      <c r="B84" s="16">
        <v>82</v>
      </c>
      <c r="C84" s="16" t="s">
        <v>537</v>
      </c>
      <c r="D84" s="16" t="s">
        <v>538</v>
      </c>
      <c r="E84" s="16" t="s">
        <v>539</v>
      </c>
      <c r="F84" s="16" t="s">
        <v>540</v>
      </c>
      <c r="G84" s="16" t="s">
        <v>95</v>
      </c>
      <c r="H84" s="16" t="s">
        <v>534</v>
      </c>
      <c r="I84" s="16" t="s">
        <v>541</v>
      </c>
      <c r="J84" s="17" t="s">
        <v>542</v>
      </c>
    </row>
    <row r="85" spans="2:10" ht="17">
      <c r="B85" s="16">
        <v>83</v>
      </c>
      <c r="C85" s="16" t="s">
        <v>129</v>
      </c>
      <c r="D85" s="16" t="s">
        <v>543</v>
      </c>
      <c r="E85" s="16" t="s">
        <v>544</v>
      </c>
      <c r="F85" s="16" t="s">
        <v>545</v>
      </c>
      <c r="G85" s="16" t="s">
        <v>129</v>
      </c>
      <c r="H85" s="16" t="s">
        <v>81</v>
      </c>
      <c r="I85" s="16" t="s">
        <v>546</v>
      </c>
      <c r="J85" s="17" t="s">
        <v>547</v>
      </c>
    </row>
    <row r="86" spans="2:10" ht="17">
      <c r="B86" s="16">
        <v>84</v>
      </c>
      <c r="C86" s="16" t="s">
        <v>548</v>
      </c>
      <c r="D86" s="16" t="s">
        <v>549</v>
      </c>
      <c r="E86" s="16" t="s">
        <v>550</v>
      </c>
      <c r="F86" s="16" t="s">
        <v>551</v>
      </c>
      <c r="G86" s="16" t="s">
        <v>129</v>
      </c>
      <c r="H86" s="16" t="s">
        <v>81</v>
      </c>
      <c r="I86" s="16" t="s">
        <v>552</v>
      </c>
      <c r="J86" s="17" t="s">
        <v>553</v>
      </c>
    </row>
    <row r="87" spans="2:10" ht="17">
      <c r="B87" s="16">
        <v>85</v>
      </c>
      <c r="C87" s="16" t="s">
        <v>554</v>
      </c>
      <c r="D87" s="16" t="s">
        <v>555</v>
      </c>
      <c r="E87" s="16" t="s">
        <v>556</v>
      </c>
      <c r="F87" s="16" t="s">
        <v>557</v>
      </c>
      <c r="G87" s="16" t="s">
        <v>177</v>
      </c>
      <c r="H87" s="16" t="s">
        <v>178</v>
      </c>
      <c r="I87" s="16" t="s">
        <v>558</v>
      </c>
      <c r="J87" s="17" t="s">
        <v>559</v>
      </c>
    </row>
    <row r="88" spans="2:10" ht="17">
      <c r="B88" s="16">
        <v>86</v>
      </c>
      <c r="C88" s="16" t="s">
        <v>560</v>
      </c>
      <c r="D88" s="16" t="s">
        <v>561</v>
      </c>
      <c r="E88" s="16" t="s">
        <v>562</v>
      </c>
      <c r="F88" s="16" t="s">
        <v>563</v>
      </c>
      <c r="G88" s="16" t="s">
        <v>103</v>
      </c>
      <c r="H88" s="16" t="s">
        <v>81</v>
      </c>
      <c r="I88" s="16" t="s">
        <v>564</v>
      </c>
      <c r="J88" s="17" t="s">
        <v>17</v>
      </c>
    </row>
    <row r="89" spans="2:10" ht="17">
      <c r="B89" s="16">
        <v>87</v>
      </c>
      <c r="C89" s="16" t="s">
        <v>565</v>
      </c>
      <c r="D89" s="16" t="s">
        <v>566</v>
      </c>
      <c r="E89" s="16" t="s">
        <v>567</v>
      </c>
      <c r="F89" s="16" t="s">
        <v>568</v>
      </c>
      <c r="G89" s="16" t="s">
        <v>95</v>
      </c>
      <c r="H89" s="16" t="s">
        <v>96</v>
      </c>
      <c r="I89" s="16" t="s">
        <v>569</v>
      </c>
      <c r="J89" s="17" t="s">
        <v>570</v>
      </c>
    </row>
    <row r="90" spans="2:10" ht="17">
      <c r="B90" s="16">
        <v>88</v>
      </c>
      <c r="C90" s="16" t="s">
        <v>571</v>
      </c>
      <c r="D90" s="16" t="s">
        <v>572</v>
      </c>
      <c r="E90" s="16" t="s">
        <v>573</v>
      </c>
      <c r="F90" s="16" t="s">
        <v>574</v>
      </c>
      <c r="G90" s="16" t="s">
        <v>110</v>
      </c>
      <c r="H90" s="16" t="s">
        <v>153</v>
      </c>
      <c r="I90" s="16" t="s">
        <v>575</v>
      </c>
      <c r="J90" s="17" t="s">
        <v>576</v>
      </c>
    </row>
  </sheetData>
  <sheetProtection sheet="1" objects="1" scenarios="1"/>
  <autoFilter ref="B2:J2" xr:uid="{5661E0AA-39D6-8B48-9D29-3B1CC9BF489B}">
    <sortState xmlns:xlrd2="http://schemas.microsoft.com/office/spreadsheetml/2017/richdata2" ref="B3:J90">
      <sortCondition ref="D2:D90"/>
    </sortState>
  </autoFilter>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8184E-9DE8-FD45-A785-F7E3BBA21390}">
  <dimension ref="A1"/>
  <sheetViews>
    <sheetView showGridLines="0" topLeftCell="A29" workbookViewId="0">
      <selection activeCell="N152" sqref="N152"/>
    </sheetView>
  </sheetViews>
  <sheetFormatPr baseColWidth="10" defaultRowHeight="15"/>
  <sheetData/>
  <sheetProtection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Introduction</vt:lpstr>
      <vt:lpstr>Monthly Highlights</vt:lpstr>
      <vt:lpstr>Visibility</vt:lpstr>
      <vt:lpstr>Illumination</vt:lpstr>
      <vt:lpstr>Types</vt:lpstr>
      <vt:lpstr>Constellations</vt:lpstr>
      <vt:lpstr>Background</vt:lpstr>
      <vt:lpstr>Visibility!Print_Area</vt:lpstr>
    </vt:vector>
  </TitlesOfParts>
  <Manager/>
  <Company>Astronomy Morsels</Company>
  <LinksUpToDate>false</LinksUpToDate>
  <SharedDoc>false</SharedDoc>
  <HyperlinkBase>www.astronomy-morsels.ch</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Monthly Astronomy Highlights</dc:title>
  <dc:subject/>
  <dc:creator>Anton Viola</dc:creator>
  <cp:keywords/>
  <dc:description/>
  <cp:lastModifiedBy>Anton Viola</cp:lastModifiedBy>
  <dcterms:created xsi:type="dcterms:W3CDTF">2009-01-01T15:24:05Z</dcterms:created>
  <dcterms:modified xsi:type="dcterms:W3CDTF">2024-08-09T07:42:12Z</dcterms:modified>
  <cp:category/>
</cp:coreProperties>
</file>