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codeName="ThisWorkbook" autoCompressPictures="0"/>
  <mc:AlternateContent xmlns:mc="http://schemas.openxmlformats.org/markup-compatibility/2006">
    <mc:Choice Requires="x15">
      <x15ac:absPath xmlns:x15ac="http://schemas.microsoft.com/office/spreadsheetml/2010/11/ac" url="/Users/hanssassenburg/Library/CloudStorage/Dropbox/X_Private/20_Astronomy/Morsels/"/>
    </mc:Choice>
  </mc:AlternateContent>
  <xr:revisionPtr revIDLastSave="0" documentId="13_ncr:1_{FA9BCFCF-5962-CC44-A7A4-DFA602FD67B3}" xr6:coauthVersionLast="47" xr6:coauthVersionMax="47" xr10:uidLastSave="{00000000-0000-0000-0000-000000000000}"/>
  <bookViews>
    <workbookView xWindow="6700" yWindow="5360" windowWidth="31200" windowHeight="20880" xr2:uid="{00000000-000D-0000-FFFF-FFFF00000000}"/>
  </bookViews>
  <sheets>
    <sheet name="Introduction" sheetId="9" r:id="rId1"/>
    <sheet name="Solar Coordinates" sheetId="17" r:id="rId2"/>
    <sheet name="Background" sheetId="18" r:id="rId3"/>
  </sheets>
  <definedNames>
    <definedName name="A_B1">#REF!</definedName>
    <definedName name="A_B2">#REF!</definedName>
    <definedName name="A_B3">#REF!</definedName>
    <definedName name="A_C1">#REF!</definedName>
    <definedName name="A_C2">#REF!</definedName>
    <definedName name="A_CF">#REF!</definedName>
    <definedName name="A_D1">#REF!</definedName>
    <definedName name="A_D2">#REF!</definedName>
    <definedName name="A_E1">#REF!</definedName>
    <definedName name="A_E2">#REF!</definedName>
    <definedName name="A_E3">#REF!</definedName>
    <definedName name="A_E4">#REF!</definedName>
    <definedName name="A_E5">#REF!</definedName>
    <definedName name="A_E6">#REF!</definedName>
    <definedName name="A_F1">#REF!</definedName>
    <definedName name="A_F2">#REF!</definedName>
    <definedName name="A_G1">#REF!</definedName>
    <definedName name="A_G2">#REF!</definedName>
    <definedName name="A_H1">#REF!</definedName>
    <definedName name="A_H2">#REF!</definedName>
    <definedName name="A_I1">#REF!</definedName>
    <definedName name="A_jup1">#REF!</definedName>
    <definedName name="A_jup2">#REF!</definedName>
    <definedName name="A_jup3">#REF!</definedName>
    <definedName name="A_jup4">#REF!</definedName>
    <definedName name="A_K1">#REF!</definedName>
    <definedName name="A_K2">#REF!</definedName>
    <definedName name="A_L1">#REF!</definedName>
    <definedName name="A_L2">#REF!</definedName>
    <definedName name="A_lun1">#REF!</definedName>
    <definedName name="A_lun2">#REF!</definedName>
    <definedName name="A_lun3">#REF!</definedName>
    <definedName name="A_lun4">#REF!</definedName>
    <definedName name="A_M1">#REF!</definedName>
    <definedName name="A_M2">#REF!</definedName>
    <definedName name="A_M3">#REF!</definedName>
    <definedName name="A_mars1">#REF!</definedName>
    <definedName name="A_mars2">#REF!</definedName>
    <definedName name="A_mars3">#REF!</definedName>
    <definedName name="A_mars4">#REF!</definedName>
    <definedName name="A_mer1">#REF!</definedName>
    <definedName name="A_mer2">#REF!</definedName>
    <definedName name="A_N1">#REF!</definedName>
    <definedName name="A_N2">#REF!</definedName>
    <definedName name="A_N3">#REF!</definedName>
    <definedName name="A_O1">#REF!</definedName>
    <definedName name="A_P1">#REF!</definedName>
    <definedName name="A_P2">#REF!</definedName>
    <definedName name="A_Q1">#REF!</definedName>
    <definedName name="A_sat1">#REF!</definedName>
    <definedName name="A_sat2">#REF!</definedName>
    <definedName name="A_sat3">#REF!</definedName>
    <definedName name="A_sat4">#REF!</definedName>
    <definedName name="A_sun1">#REF!</definedName>
    <definedName name="A_sun2">#REF!</definedName>
    <definedName name="A_sun3">#REF!</definedName>
    <definedName name="A_ven1">#REF!</definedName>
    <definedName name="A_X">#REF!</definedName>
    <definedName name="AU">#REF!</definedName>
    <definedName name="DR">#REF!</definedName>
    <definedName name="ER">#REF!</definedName>
    <definedName name="MoonPhaseTable">#REF!</definedName>
    <definedName name="RD">#REF!</definedName>
    <definedName name="RSA">#REF!</definedName>
    <definedName name="S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9" i="17" l="1"/>
  <c r="D18" i="17"/>
  <c r="D73" i="17"/>
  <c r="D72" i="17"/>
  <c r="D23" i="17"/>
  <c r="D15" i="17" l="1"/>
  <c r="D27" i="17" s="1"/>
  <c r="D13" i="17" l="1"/>
  <c r="D12" i="17"/>
  <c r="D10" i="17"/>
  <c r="D11" i="17" l="1"/>
  <c r="D14" i="17" s="1"/>
  <c r="D16" i="17" l="1"/>
  <c r="D31" i="17" l="1"/>
  <c r="D32" i="17" s="1"/>
  <c r="D24" i="17"/>
  <c r="D25" i="17" s="1"/>
  <c r="D26" i="17" s="1"/>
  <c r="D28" i="17" s="1"/>
  <c r="D29" i="17" s="1"/>
  <c r="D47" i="17" l="1"/>
  <c r="D46" i="17"/>
  <c r="D45" i="17"/>
  <c r="D44" i="17"/>
  <c r="D40" i="17"/>
  <c r="D48" i="17"/>
  <c r="D49" i="17"/>
  <c r="D50" i="17"/>
  <c r="D42" i="17"/>
  <c r="D35" i="17"/>
  <c r="D34" i="17"/>
  <c r="D33" i="17"/>
  <c r="D52" i="17" l="1"/>
  <c r="D51" i="17"/>
  <c r="D53" i="17" s="1"/>
  <c r="D36" i="17"/>
  <c r="D37" i="17" s="1"/>
  <c r="D55" i="17" l="1"/>
  <c r="D56" i="17"/>
  <c r="D57" i="17"/>
  <c r="D41" i="17"/>
  <c r="D38" i="17"/>
  <c r="D39" i="17" s="1"/>
  <c r="D64" i="17" l="1"/>
  <c r="D63" i="17"/>
  <c r="D62" i="17"/>
  <c r="D58" i="17"/>
  <c r="D59" i="17"/>
  <c r="D66" i="17"/>
  <c r="D65" i="17" l="1"/>
  <c r="D68" i="17" s="1"/>
  <c r="D71" i="17"/>
  <c r="D69" i="17"/>
  <c r="D70" i="17"/>
</calcChain>
</file>

<file path=xl/sharedStrings.xml><?xml version="1.0" encoding="utf-8"?>
<sst xmlns="http://schemas.openxmlformats.org/spreadsheetml/2006/main" count="92" uniqueCount="84">
  <si>
    <t>Email</t>
  </si>
  <si>
    <t>All Rights Reserved:  © Astronomy Morsels.</t>
  </si>
  <si>
    <t>I'm solely responsible for the input and express no warranty.  Use at your own risk.</t>
  </si>
  <si>
    <t>Nonetheless, this spreadsheet has been carefully reviewed, and calculation results have been compared with other applications.</t>
  </si>
  <si>
    <r>
      <rPr>
        <b/>
        <sz val="14"/>
        <color theme="0"/>
        <rFont val="Calibri (Body)"/>
      </rPr>
      <t>Compiled by</t>
    </r>
    <r>
      <rPr>
        <sz val="14"/>
        <color theme="0"/>
        <rFont val="Calibri (Body)"/>
      </rPr>
      <t>: Anton Viola (Astronomy Morsels).</t>
    </r>
  </si>
  <si>
    <t>Latitude</t>
    <phoneticPr fontId="2"/>
  </si>
  <si>
    <t>Year</t>
    <phoneticPr fontId="2"/>
  </si>
  <si>
    <t>Month</t>
    <phoneticPr fontId="2"/>
  </si>
  <si>
    <t>Day</t>
    <phoneticPr fontId="2"/>
  </si>
  <si>
    <t>Inputs</t>
  </si>
  <si>
    <t>Reference: Meeus, Astronomical Algorithms, First Edition, pp. 151-157.</t>
  </si>
  <si>
    <t xml:space="preserve">Longitude </t>
  </si>
  <si>
    <t>Date</t>
  </si>
  <si>
    <t>Time</t>
  </si>
  <si>
    <t>Leap year?</t>
  </si>
  <si>
    <t>Day nr.</t>
  </si>
  <si>
    <t xml:space="preserve">JDE </t>
  </si>
  <si>
    <t>θ</t>
  </si>
  <si>
    <t>Ω</t>
  </si>
  <si>
    <t>M</t>
  </si>
  <si>
    <t>e</t>
  </si>
  <si>
    <t>C</t>
  </si>
  <si>
    <t>v</t>
  </si>
  <si>
    <t>R</t>
  </si>
  <si>
    <t>λ</t>
  </si>
  <si>
    <r>
      <t>ε</t>
    </r>
    <r>
      <rPr>
        <vertAlign val="subscript"/>
        <sz val="14"/>
        <color rgb="FF000000"/>
        <rFont val="-webkit-standard"/>
      </rPr>
      <t>0</t>
    </r>
  </si>
  <si>
    <t>α</t>
  </si>
  <si>
    <t>δ</t>
  </si>
  <si>
    <t>β</t>
  </si>
  <si>
    <t>(west: -, east: +)</t>
  </si>
  <si>
    <t>Fraction</t>
  </si>
  <si>
    <r>
      <t>θ</t>
    </r>
    <r>
      <rPr>
        <vertAlign val="subscript"/>
        <sz val="12"/>
        <rFont val="Calibri (Body)"/>
      </rPr>
      <t>0</t>
    </r>
  </si>
  <si>
    <t>Sideral Time (G)</t>
  </si>
  <si>
    <t>LST</t>
  </si>
  <si>
    <t>RA</t>
  </si>
  <si>
    <t>Dec</t>
  </si>
  <si>
    <t>Local Hour Angle</t>
  </si>
  <si>
    <t>Altitude</t>
  </si>
  <si>
    <t>Azimuth</t>
  </si>
  <si>
    <t>P (deg - rad)</t>
  </si>
  <si>
    <t>JDE (UT 00:0:0）</t>
  </si>
  <si>
    <t>T     (UT 00:00)</t>
  </si>
  <si>
    <t>mean anomaly</t>
  </si>
  <si>
    <t>eccentricity Earth's orbit</t>
  </si>
  <si>
    <t>Sun's equation of center</t>
  </si>
  <si>
    <t>Sun's true longitude</t>
  </si>
  <si>
    <t>Sun's true anomaly</t>
  </si>
  <si>
    <t>Sun's radius vector</t>
  </si>
  <si>
    <t>mean longitude</t>
  </si>
  <si>
    <t>Time (degrees)</t>
  </si>
  <si>
    <t>JDE (time)</t>
  </si>
  <si>
    <t>T     (time)</t>
  </si>
  <si>
    <t>V1.0</t>
  </si>
  <si>
    <r>
      <rPr>
        <b/>
        <sz val="14"/>
        <color theme="0"/>
        <rFont val="Calibri (Body)"/>
      </rPr>
      <t>Latest update</t>
    </r>
    <r>
      <rPr>
        <sz val="14"/>
        <color theme="0"/>
        <rFont val="Calibri (Body)"/>
      </rPr>
      <t>: 5th May, 2024.</t>
    </r>
  </si>
  <si>
    <t>We can express the Sun's location in the sky using two values, imaging it travels on a sphere's surface. Unlike a flat Cartesian plane, it is more convenient to use angles instead of x- and y-coordinates. The most common way to tell someone the Sun's position is to give its azimuth and altitude angles, which closely relate to spherical coordinates. This spreadsheet calculates the sun's position for a given date, time and location.</t>
  </si>
  <si>
    <t>Δε</t>
  </si>
  <si>
    <t>Δψ</t>
  </si>
  <si>
    <t>L'</t>
  </si>
  <si>
    <t>L</t>
  </si>
  <si>
    <t>mean longitude Sun</t>
  </si>
  <si>
    <t>nutation in longitude</t>
  </si>
  <si>
    <t>nutation in obliquity</t>
  </si>
  <si>
    <t>ε</t>
  </si>
  <si>
    <t>longitude ascending node</t>
  </si>
  <si>
    <t>mean longitude Moon</t>
  </si>
  <si>
    <t>X</t>
  </si>
  <si>
    <t>Y</t>
  </si>
  <si>
    <t>Z</t>
  </si>
  <si>
    <t>nutation effects</t>
  </si>
  <si>
    <r>
      <rPr>
        <u/>
        <sz val="12"/>
        <rFont val="Calibri (Body)"/>
      </rPr>
      <t>mean</t>
    </r>
    <r>
      <rPr>
        <sz val="12"/>
        <rFont val="Calibri"/>
        <family val="2"/>
        <scheme val="minor"/>
      </rPr>
      <t xml:space="preserve"> obliquity of ecliptic</t>
    </r>
  </si>
  <si>
    <r>
      <rPr>
        <u/>
        <sz val="12"/>
        <rFont val="Calibri (Body)"/>
      </rPr>
      <t>true</t>
    </r>
    <r>
      <rPr>
        <sz val="12"/>
        <rFont val="Calibri"/>
        <family val="2"/>
        <scheme val="minor"/>
      </rPr>
      <t xml:space="preserve"> obliquity</t>
    </r>
  </si>
  <si>
    <t>Sun's right ascension</t>
  </si>
  <si>
    <t>Sun's declination</t>
  </si>
  <si>
    <r>
      <t>L</t>
    </r>
    <r>
      <rPr>
        <vertAlign val="subscript"/>
        <sz val="12"/>
        <rFont val="Calibri (Body)"/>
      </rPr>
      <t>0</t>
    </r>
  </si>
  <si>
    <t>D</t>
  </si>
  <si>
    <t>M'</t>
  </si>
  <si>
    <t>F</t>
  </si>
  <si>
    <r>
      <t>ε</t>
    </r>
    <r>
      <rPr>
        <vertAlign val="subscript"/>
        <sz val="12"/>
        <color rgb="FF202122"/>
        <rFont val="Calibri (Body)"/>
      </rPr>
      <t>corrected</t>
    </r>
  </si>
  <si>
    <r>
      <t>α</t>
    </r>
    <r>
      <rPr>
        <vertAlign val="subscript"/>
        <sz val="12"/>
        <rFont val="Calibri (Body)"/>
      </rPr>
      <t>app</t>
    </r>
  </si>
  <si>
    <r>
      <t>δ</t>
    </r>
    <r>
      <rPr>
        <vertAlign val="subscript"/>
        <sz val="12"/>
        <rFont val="Calibri (Body)"/>
      </rPr>
      <t>app</t>
    </r>
  </si>
  <si>
    <t>Sun's right ascension (apparent)</t>
  </si>
  <si>
    <t>Sun's declination (apparent)</t>
  </si>
  <si>
    <t>for apparent position</t>
  </si>
  <si>
    <t>rectangular coordinates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</si>
</sst>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x16r2:formatCode16="[$-en-CH,1]dd/mm/yyyy;@"/>
    <numFmt numFmtId="165" formatCode="#,##0.00000"/>
    <numFmt numFmtId="166" formatCode="0.000000"/>
    <numFmt numFmtId="167" formatCode="0.0000"/>
  </numFmts>
  <fonts count="25">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u/>
      <sz val="12"/>
      <color theme="10"/>
      <name val="Calibri"/>
      <family val="2"/>
      <scheme val="minor"/>
    </font>
    <font>
      <i/>
      <sz val="14"/>
      <color theme="0"/>
      <name val="Calibri"/>
      <family val="2"/>
    </font>
    <font>
      <sz val="14"/>
      <color theme="0"/>
      <name val="Calibri (Body)"/>
    </font>
    <font>
      <b/>
      <sz val="14"/>
      <color theme="0"/>
      <name val="Calibri (Body)"/>
    </font>
    <font>
      <u/>
      <sz val="14"/>
      <color theme="0"/>
      <name val="Calibri"/>
      <family val="2"/>
      <scheme val="minor"/>
    </font>
    <font>
      <u/>
      <sz val="14"/>
      <color theme="0"/>
      <name val="Calibri (Body)"/>
    </font>
    <font>
      <u/>
      <sz val="12"/>
      <color theme="0"/>
      <name val="Calibri"/>
      <family val="2"/>
    </font>
    <font>
      <sz val="9"/>
      <color theme="0"/>
      <name val="Calibri"/>
      <family val="2"/>
    </font>
    <font>
      <sz val="11"/>
      <color theme="1"/>
      <name val="Calibri"/>
      <family val="2"/>
      <scheme val="minor"/>
    </font>
    <font>
      <sz val="12"/>
      <color theme="0"/>
      <name val="Calibri"/>
      <family val="2"/>
      <scheme val="minor"/>
    </font>
    <font>
      <sz val="11"/>
      <name val="ＭＳ Ｐゴシック"/>
      <family val="2"/>
      <charset val="128"/>
    </font>
    <font>
      <sz val="12"/>
      <name val="Calibri"/>
      <family val="2"/>
      <scheme val="minor"/>
    </font>
    <font>
      <b/>
      <sz val="12"/>
      <name val="Calibri"/>
      <family val="2"/>
      <scheme val="minor"/>
    </font>
    <font>
      <sz val="9"/>
      <color theme="1"/>
      <name val="Calibri"/>
      <family val="2"/>
      <scheme val="minor"/>
    </font>
    <font>
      <b/>
      <sz val="16"/>
      <color theme="1"/>
      <name val="Calibri"/>
      <family val="2"/>
      <scheme val="minor"/>
    </font>
    <font>
      <vertAlign val="subscript"/>
      <sz val="14"/>
      <color rgb="FF000000"/>
      <name val="-webkit-standard"/>
    </font>
    <font>
      <vertAlign val="subscript"/>
      <sz val="12"/>
      <name val="Calibri (Body)"/>
    </font>
    <font>
      <sz val="12"/>
      <color rgb="FF202122"/>
      <name val="Calibri"/>
      <family val="2"/>
      <scheme val="minor"/>
    </font>
    <font>
      <u/>
      <sz val="12"/>
      <name val="Calibri (Body)"/>
    </font>
    <font>
      <vertAlign val="subscript"/>
      <sz val="12"/>
      <color rgb="FF202122"/>
      <name val="Calibri (Body)"/>
    </font>
  </fonts>
  <fills count="10">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xf numFmtId="0" fontId="5" fillId="0" borderId="0" applyNumberFormat="0" applyFill="0" applyBorder="0" applyAlignment="0" applyProtection="0"/>
    <xf numFmtId="0" fontId="13" fillId="0" borderId="0"/>
    <xf numFmtId="0" fontId="15" fillId="0" borderId="0"/>
    <xf numFmtId="0" fontId="18" fillId="0" borderId="0"/>
  </cellStyleXfs>
  <cellXfs count="66">
    <xf numFmtId="0" fontId="0" fillId="0" borderId="0" xfId="0"/>
    <xf numFmtId="0" fontId="2" fillId="0" borderId="0" xfId="41"/>
    <xf numFmtId="0" fontId="2" fillId="2" borderId="0" xfId="41" applyFill="1"/>
    <xf numFmtId="0" fontId="0" fillId="2" borderId="0" xfId="0" applyFill="1"/>
    <xf numFmtId="0" fontId="7" fillId="3" borderId="1" xfId="41" applyFont="1" applyFill="1" applyBorder="1" applyAlignment="1">
      <alignment horizontal="left"/>
    </xf>
    <xf numFmtId="0" fontId="7" fillId="3" borderId="2" xfId="41" applyFont="1" applyFill="1" applyBorder="1" applyAlignment="1">
      <alignment horizontal="center"/>
    </xf>
    <xf numFmtId="0" fontId="7" fillId="3" borderId="2" xfId="41" applyFont="1" applyFill="1" applyBorder="1"/>
    <xf numFmtId="0" fontId="9" fillId="3" borderId="3" xfId="42" applyFont="1" applyFill="1" applyBorder="1" applyAlignment="1">
      <alignment horizontal="center"/>
    </xf>
    <xf numFmtId="0" fontId="10" fillId="3" borderId="4" xfId="42" applyFont="1" applyFill="1" applyBorder="1" applyAlignment="1">
      <alignment horizontal="left"/>
    </xf>
    <xf numFmtId="0" fontId="7" fillId="3" borderId="0" xfId="41" applyFont="1" applyFill="1" applyAlignment="1">
      <alignment horizontal="center"/>
    </xf>
    <xf numFmtId="0" fontId="7" fillId="3" borderId="0" xfId="41" applyFont="1" applyFill="1"/>
    <xf numFmtId="0" fontId="7" fillId="3" borderId="5" xfId="41" applyFont="1" applyFill="1" applyBorder="1" applyAlignment="1">
      <alignment horizontal="center"/>
    </xf>
    <xf numFmtId="0" fontId="7" fillId="3" borderId="6" xfId="42" applyFont="1" applyFill="1" applyBorder="1" applyAlignment="1">
      <alignment horizontal="left"/>
    </xf>
    <xf numFmtId="0" fontId="7" fillId="3" borderId="8" xfId="42" applyFont="1" applyFill="1" applyBorder="1" applyAlignment="1">
      <alignment horizontal="left"/>
    </xf>
    <xf numFmtId="0" fontId="7" fillId="3" borderId="8" xfId="41" applyFont="1" applyFill="1" applyBorder="1"/>
    <xf numFmtId="0" fontId="8" fillId="3" borderId="7" xfId="41" applyFont="1" applyFill="1" applyBorder="1" applyAlignment="1">
      <alignment horizontal="center"/>
    </xf>
    <xf numFmtId="0" fontId="16" fillId="0" borderId="0" xfId="44" applyFont="1" applyAlignment="1">
      <alignment vertical="center"/>
    </xf>
    <xf numFmtId="0" fontId="19" fillId="6" borderId="0" xfId="45" applyFont="1" applyFill="1"/>
    <xf numFmtId="0" fontId="16" fillId="0" borderId="0" xfId="44" applyFont="1" applyAlignment="1">
      <alignment horizontal="center" vertical="center"/>
    </xf>
    <xf numFmtId="0" fontId="17" fillId="5" borderId="0" xfId="44" applyFont="1" applyFill="1" applyAlignment="1">
      <alignment horizontal="center" vertical="center"/>
    </xf>
    <xf numFmtId="0" fontId="19" fillId="7" borderId="0" xfId="45" applyFont="1" applyFill="1"/>
    <xf numFmtId="0" fontId="16" fillId="6" borderId="0" xfId="44" applyFont="1" applyFill="1" applyAlignment="1">
      <alignment vertical="center"/>
    </xf>
    <xf numFmtId="0" fontId="16" fillId="0" borderId="12" xfId="44" applyFont="1" applyBorder="1" applyAlignment="1">
      <alignment vertical="center"/>
    </xf>
    <xf numFmtId="164" fontId="17" fillId="5" borderId="12" xfId="44" applyNumberFormat="1" applyFont="1" applyFill="1" applyBorder="1" applyAlignment="1" applyProtection="1">
      <alignment horizontal="center" vertical="center"/>
      <protection locked="0"/>
    </xf>
    <xf numFmtId="21" fontId="17" fillId="5" borderId="12" xfId="44" applyNumberFormat="1" applyFont="1" applyFill="1" applyBorder="1" applyAlignment="1">
      <alignment horizontal="center" vertical="center"/>
    </xf>
    <xf numFmtId="0" fontId="16" fillId="0" borderId="12" xfId="44" applyFont="1" applyBorder="1" applyAlignment="1" applyProtection="1">
      <alignment horizontal="center" vertical="center"/>
      <protection locked="0"/>
    </xf>
    <xf numFmtId="0" fontId="16" fillId="0" borderId="12" xfId="44" applyFont="1" applyBorder="1" applyAlignment="1">
      <alignment horizontal="center" vertical="center"/>
    </xf>
    <xf numFmtId="165" fontId="16" fillId="0" borderId="12" xfId="44" applyNumberFormat="1" applyFont="1" applyBorder="1" applyAlignment="1">
      <alignment horizontal="center" vertical="center"/>
    </xf>
    <xf numFmtId="165" fontId="16" fillId="0" borderId="0" xfId="44" applyNumberFormat="1" applyFont="1" applyAlignment="1">
      <alignment vertical="center"/>
    </xf>
    <xf numFmtId="166" fontId="16" fillId="0" borderId="12" xfId="44" applyNumberFormat="1" applyFont="1" applyBorder="1" applyAlignment="1">
      <alignment horizontal="center" vertical="center"/>
    </xf>
    <xf numFmtId="167" fontId="17" fillId="5" borderId="12" xfId="44" applyNumberFormat="1" applyFont="1" applyFill="1" applyBorder="1" applyAlignment="1" applyProtection="1">
      <alignment horizontal="center" vertical="center"/>
      <protection locked="0"/>
    </xf>
    <xf numFmtId="0" fontId="19" fillId="0" borderId="0" xfId="45" applyFont="1"/>
    <xf numFmtId="0" fontId="14" fillId="0" borderId="0" xfId="44" applyFont="1" applyAlignment="1">
      <alignment vertical="center"/>
    </xf>
    <xf numFmtId="0" fontId="16" fillId="4" borderId="1" xfId="44" applyFont="1" applyFill="1" applyBorder="1" applyAlignment="1">
      <alignment vertical="center"/>
    </xf>
    <xf numFmtId="165" fontId="16" fillId="4" borderId="3" xfId="44" applyNumberFormat="1" applyFont="1" applyFill="1" applyBorder="1" applyAlignment="1">
      <alignment vertical="center"/>
    </xf>
    <xf numFmtId="0" fontId="16" fillId="4" borderId="4" xfId="44" applyFont="1" applyFill="1" applyBorder="1" applyAlignment="1">
      <alignment vertical="center"/>
    </xf>
    <xf numFmtId="165" fontId="16" fillId="4" borderId="5" xfId="44" applyNumberFormat="1" applyFont="1" applyFill="1" applyBorder="1" applyAlignment="1">
      <alignment vertical="center"/>
    </xf>
    <xf numFmtId="0" fontId="16" fillId="4" borderId="6" xfId="44" applyFont="1" applyFill="1" applyBorder="1" applyAlignment="1">
      <alignment vertical="center"/>
    </xf>
    <xf numFmtId="165" fontId="16" fillId="4" borderId="7" xfId="44" applyNumberFormat="1" applyFont="1" applyFill="1" applyBorder="1" applyAlignment="1">
      <alignment vertical="center"/>
    </xf>
    <xf numFmtId="0" fontId="16" fillId="8" borderId="4" xfId="44" applyFont="1" applyFill="1" applyBorder="1" applyAlignment="1">
      <alignment vertical="center"/>
    </xf>
    <xf numFmtId="165" fontId="16" fillId="8" borderId="5" xfId="44" applyNumberFormat="1" applyFont="1" applyFill="1" applyBorder="1" applyAlignment="1">
      <alignment vertical="center"/>
    </xf>
    <xf numFmtId="165" fontId="1" fillId="2" borderId="12" xfId="44" applyNumberFormat="1" applyFont="1" applyFill="1" applyBorder="1" applyAlignment="1">
      <alignment vertical="center"/>
    </xf>
    <xf numFmtId="0" fontId="22" fillId="0" borderId="0" xfId="0" applyFont="1" applyAlignment="1">
      <alignment vertical="center"/>
    </xf>
    <xf numFmtId="0" fontId="16" fillId="4" borderId="4" xfId="44" applyFont="1" applyFill="1" applyBorder="1"/>
    <xf numFmtId="0" fontId="16" fillId="9" borderId="4" xfId="44" applyFont="1" applyFill="1" applyBorder="1" applyAlignment="1">
      <alignment vertical="center"/>
    </xf>
    <xf numFmtId="0" fontId="16" fillId="9" borderId="5" xfId="44" applyFont="1" applyFill="1" applyBorder="1" applyAlignment="1">
      <alignment vertical="center"/>
    </xf>
    <xf numFmtId="0" fontId="22" fillId="9" borderId="4" xfId="0" applyFont="1" applyFill="1" applyBorder="1"/>
    <xf numFmtId="0" fontId="22" fillId="9" borderId="4" xfId="0" applyFont="1" applyFill="1" applyBorder="1" applyAlignment="1">
      <alignment vertical="center"/>
    </xf>
    <xf numFmtId="165" fontId="16" fillId="9" borderId="5" xfId="44" applyNumberFormat="1" applyFont="1" applyFill="1" applyBorder="1" applyAlignment="1">
      <alignment vertical="center"/>
    </xf>
    <xf numFmtId="0" fontId="6" fillId="3" borderId="0" xfId="41" applyFont="1" applyFill="1" applyAlignment="1">
      <alignment horizontal="center" vertical="center" wrapText="1"/>
    </xf>
    <xf numFmtId="0" fontId="11" fillId="3" borderId="1" xfId="42" applyFont="1" applyFill="1" applyBorder="1" applyAlignment="1">
      <alignment horizontal="center"/>
    </xf>
    <xf numFmtId="0" fontId="11" fillId="3" borderId="2" xfId="42" applyFont="1" applyFill="1" applyBorder="1" applyAlignment="1">
      <alignment horizontal="center"/>
    </xf>
    <xf numFmtId="0" fontId="11" fillId="3" borderId="9" xfId="42" applyFont="1" applyFill="1" applyBorder="1" applyAlignment="1">
      <alignment horizontal="center"/>
    </xf>
    <xf numFmtId="0" fontId="12" fillId="3" borderId="4" xfId="0" applyFont="1" applyFill="1" applyBorder="1" applyAlignment="1">
      <alignment horizontal="center"/>
    </xf>
    <xf numFmtId="0" fontId="12" fillId="3" borderId="0" xfId="0" applyFont="1" applyFill="1" applyAlignment="1">
      <alignment horizontal="center"/>
    </xf>
    <xf numFmtId="0" fontId="12" fillId="3" borderId="10" xfId="0" applyFont="1" applyFill="1" applyBorder="1" applyAlignment="1">
      <alignment horizontal="center"/>
    </xf>
    <xf numFmtId="0" fontId="12" fillId="3" borderId="6" xfId="0" applyFont="1" applyFill="1" applyBorder="1" applyAlignment="1">
      <alignment horizontal="center"/>
    </xf>
    <xf numFmtId="0" fontId="12" fillId="3" borderId="8" xfId="0" applyFont="1" applyFill="1" applyBorder="1" applyAlignment="1">
      <alignment horizontal="center"/>
    </xf>
    <xf numFmtId="0" fontId="12" fillId="3" borderId="11" xfId="0" applyFont="1" applyFill="1" applyBorder="1" applyAlignment="1">
      <alignment horizontal="center"/>
    </xf>
    <xf numFmtId="0" fontId="16" fillId="0" borderId="13" xfId="44" applyFont="1" applyBorder="1" applyAlignment="1">
      <alignment horizontal="center" vertical="center" textRotation="90"/>
    </xf>
    <xf numFmtId="0" fontId="16" fillId="0" borderId="14" xfId="44" applyFont="1" applyBorder="1" applyAlignment="1">
      <alignment horizontal="center" vertical="center" textRotation="90"/>
    </xf>
    <xf numFmtId="0" fontId="16" fillId="0" borderId="15" xfId="44" applyFont="1" applyBorder="1" applyAlignment="1">
      <alignment horizontal="center" vertical="center" textRotation="90"/>
    </xf>
    <xf numFmtId="0" fontId="16" fillId="0" borderId="4" xfId="44" applyFont="1" applyBorder="1" applyAlignment="1">
      <alignment horizontal="left" vertical="center"/>
    </xf>
    <xf numFmtId="0" fontId="16" fillId="0" borderId="0" xfId="44" applyFont="1" applyAlignment="1">
      <alignment horizontal="left" vertical="center"/>
    </xf>
    <xf numFmtId="0" fontId="16" fillId="8" borderId="6" xfId="44" applyFont="1" applyFill="1" applyBorder="1" applyAlignment="1">
      <alignment vertical="center"/>
    </xf>
    <xf numFmtId="165" fontId="16" fillId="8" borderId="7" xfId="44" applyNumberFormat="1" applyFont="1" applyFill="1" applyBorder="1" applyAlignment="1">
      <alignment vertical="center"/>
    </xf>
  </cellXfs>
  <cellStyles count="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2" xfId="42" xr:uid="{C380AA0A-E10B-1C43-9286-02819B081BC7}"/>
    <cellStyle name="Normal" xfId="0" builtinId="0"/>
    <cellStyle name="Normal 2" xfId="41" xr:uid="{0D0AB34C-A1A9-7D42-A14C-E95ACB658DC4}"/>
    <cellStyle name="Normal 3" xfId="44" xr:uid="{48F4CE55-52E5-B741-8787-0CB02C6E3909}"/>
    <cellStyle name="Normal 4" xfId="43" xr:uid="{58AA1869-D9A5-F042-A460-3D15104DE221}"/>
    <cellStyle name="Normal 5" xfId="45" xr:uid="{A67E6128-EE07-AF49-B538-666D4336E6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Sun position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scatterChart>
        <c:scatterStyle val="lineMarker"/>
        <c:varyColors val="0"/>
        <c:ser>
          <c:idx val="0"/>
          <c:order val="0"/>
          <c:tx>
            <c:v>Sun</c:v>
          </c:tx>
          <c:spPr>
            <a:ln w="28575" cap="rnd">
              <a:noFill/>
              <a:round/>
            </a:ln>
            <a:effectLst/>
          </c:spPr>
          <c:marker>
            <c:symbol val="circle"/>
            <c:size val="10"/>
            <c:spPr>
              <a:solidFill>
                <a:srgbClr val="FFFF00"/>
              </a:solidFill>
              <a:ln w="9525">
                <a:solidFill>
                  <a:schemeClr val="accent1"/>
                </a:solidFill>
              </a:ln>
              <a:effectLst/>
            </c:spPr>
          </c:marker>
          <c:dLbls>
            <c:dLbl>
              <c:idx val="0"/>
              <c:layout>
                <c:manualLayout>
                  <c:x val="-3.4782608695652265E-2"/>
                  <c:y val="-4.878048780487805E-2"/>
                </c:manualLayout>
              </c:layout>
              <c:tx>
                <c:rich>
                  <a:bodyPr/>
                  <a:lstStyle/>
                  <a:p>
                    <a:r>
                      <a:rPr lang="en-US"/>
                      <a:t>Sun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095-C047-9303-C6CD6BFF16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'Solar Coordinates'!$D$18</c:f>
              <c:numCache>
                <c:formatCode>#,##0.00000</c:formatCode>
                <c:ptCount val="1"/>
                <c:pt idx="0">
                  <c:v>-172.62285606662809</c:v>
                </c:pt>
              </c:numCache>
            </c:numRef>
          </c:xVal>
          <c:yVal>
            <c:numRef>
              <c:f>'Solar Coordinates'!$D$19</c:f>
              <c:numCache>
                <c:formatCode>#,##0.00000</c:formatCode>
                <c:ptCount val="1"/>
                <c:pt idx="0">
                  <c:v>-62.586312161782558</c:v>
                </c:pt>
              </c:numCache>
            </c:numRef>
          </c:yVal>
          <c:smooth val="0"/>
          <c:extLst>
            <c:ext xmlns:c16="http://schemas.microsoft.com/office/drawing/2014/chart" uri="{C3380CC4-5D6E-409C-BE32-E72D297353CC}">
              <c16:uniqueId val="{00000000-6095-C047-9303-C6CD6BFF16AC}"/>
            </c:ext>
          </c:extLst>
        </c:ser>
        <c:dLbls>
          <c:showLegendKey val="0"/>
          <c:showVal val="0"/>
          <c:showCatName val="0"/>
          <c:showSerName val="0"/>
          <c:showPercent val="0"/>
          <c:showBubbleSize val="0"/>
        </c:dLbls>
        <c:axId val="1187459471"/>
        <c:axId val="1187287327"/>
      </c:scatterChart>
      <c:valAx>
        <c:axId val="1187459471"/>
        <c:scaling>
          <c:orientation val="minMax"/>
          <c:max val="180"/>
          <c:min val="-18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Azimuth (degrees)</a:t>
                </a:r>
              </a:p>
            </c:rich>
          </c:tx>
          <c:layout>
            <c:manualLayout>
              <c:xMode val="edge"/>
              <c:yMode val="edge"/>
              <c:x val="0.40544725387587421"/>
              <c:y val="0.9300608155687856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1187287327"/>
        <c:crosses val="autoZero"/>
        <c:crossBetween val="midCat"/>
        <c:majorUnit val="30"/>
      </c:valAx>
      <c:valAx>
        <c:axId val="1187287327"/>
        <c:scaling>
          <c:orientation val="minMax"/>
          <c:max val="90"/>
          <c:min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Altitude</a:t>
                </a:r>
                <a:r>
                  <a:rPr lang="en-GB" baseline="0"/>
                  <a:t> (degrees)</a:t>
                </a:r>
                <a:endParaRPr lang="en-GB"/>
              </a:p>
            </c:rich>
          </c:tx>
          <c:layout>
            <c:manualLayout>
              <c:xMode val="edge"/>
              <c:yMode val="edge"/>
              <c:x val="9.9378881987577643E-3"/>
              <c:y val="0.36122943473529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1187459471"/>
        <c:crosses val="autoZero"/>
        <c:crossBetween val="midCat"/>
        <c:majorUnit val="1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s://www.astronomy-morsels.ch/morsels"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596900</xdr:colOff>
      <xdr:row>38</xdr:row>
      <xdr:rowOff>114300</xdr:rowOff>
    </xdr:from>
    <xdr:to>
      <xdr:col>9</xdr:col>
      <xdr:colOff>215900</xdr:colOff>
      <xdr:row>48</xdr:row>
      <xdr:rowOff>25400</xdr:rowOff>
    </xdr:to>
    <xdr:pic>
      <xdr:nvPicPr>
        <xdr:cNvPr id="3" name="Picture 2">
          <a:hlinkClick xmlns:r="http://schemas.openxmlformats.org/officeDocument/2006/relationships" r:id="rId1"/>
          <a:extLst>
            <a:ext uri="{FF2B5EF4-FFF2-40B4-BE49-F238E27FC236}">
              <a16:creationId xmlns:a16="http://schemas.microsoft.com/office/drawing/2014/main" id="{986149BC-8520-4C4B-E9DC-263481011423}"/>
            </a:ext>
          </a:extLst>
        </xdr:cNvPr>
        <xdr:cNvPicPr>
          <a:picLocks noChangeAspect="1"/>
        </xdr:cNvPicPr>
      </xdr:nvPicPr>
      <xdr:blipFill>
        <a:blip xmlns:r="http://schemas.openxmlformats.org/officeDocument/2006/relationships" r:embed="rId2"/>
        <a:stretch>
          <a:fillRect/>
        </a:stretch>
      </xdr:blipFill>
      <xdr:spPr>
        <a:xfrm>
          <a:off x="2247900" y="9969500"/>
          <a:ext cx="5397500" cy="1943100"/>
        </a:xfrm>
        <a:prstGeom prst="rect">
          <a:avLst/>
        </a:prstGeom>
      </xdr:spPr>
    </xdr:pic>
    <xdr:clientData/>
  </xdr:twoCellAnchor>
  <xdr:twoCellAnchor editAs="oneCell">
    <xdr:from>
      <xdr:col>3</xdr:col>
      <xdr:colOff>316694</xdr:colOff>
      <xdr:row>16</xdr:row>
      <xdr:rowOff>12700</xdr:rowOff>
    </xdr:from>
    <xdr:to>
      <xdr:col>8</xdr:col>
      <xdr:colOff>381000</xdr:colOff>
      <xdr:row>32</xdr:row>
      <xdr:rowOff>177581</xdr:rowOff>
    </xdr:to>
    <xdr:pic>
      <xdr:nvPicPr>
        <xdr:cNvPr id="4" name="Picture 3" descr="Solar Position — Solar Resource Assessment in Python">
          <a:extLst>
            <a:ext uri="{FF2B5EF4-FFF2-40B4-BE49-F238E27FC236}">
              <a16:creationId xmlns:a16="http://schemas.microsoft.com/office/drawing/2014/main" id="{EFD04E06-E1C8-5B18-0D9A-A8C2C102EC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93194" y="3365500"/>
          <a:ext cx="4191806" cy="3416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374650</xdr:colOff>
      <xdr:row>3</xdr:row>
      <xdr:rowOff>177800</xdr:rowOff>
    </xdr:from>
    <xdr:to>
      <xdr:col>11</xdr:col>
      <xdr:colOff>0</xdr:colOff>
      <xdr:row>19</xdr:row>
      <xdr:rowOff>50800</xdr:rowOff>
    </xdr:to>
    <xdr:graphicFrame macro="">
      <xdr:nvGraphicFramePr>
        <xdr:cNvPr id="2" name="Chart 1">
          <a:extLst>
            <a:ext uri="{FF2B5EF4-FFF2-40B4-BE49-F238E27FC236}">
              <a16:creationId xmlns:a16="http://schemas.microsoft.com/office/drawing/2014/main" id="{7999BB9E-C2F4-DD00-862F-BF9DE82188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736600</xdr:colOff>
      <xdr:row>5</xdr:row>
      <xdr:rowOff>50800</xdr:rowOff>
    </xdr:from>
    <xdr:to>
      <xdr:col>16</xdr:col>
      <xdr:colOff>228600</xdr:colOff>
      <xdr:row>27</xdr:row>
      <xdr:rowOff>139700</xdr:rowOff>
    </xdr:to>
    <xdr:pic>
      <xdr:nvPicPr>
        <xdr:cNvPr id="2" name="Picture 1">
          <a:extLst>
            <a:ext uri="{FF2B5EF4-FFF2-40B4-BE49-F238E27FC236}">
              <a16:creationId xmlns:a16="http://schemas.microsoft.com/office/drawing/2014/main" id="{010C1720-6239-2B69-2A87-DEF362E0B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1600" y="1003300"/>
          <a:ext cx="4445000" cy="427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812800</xdr:colOff>
      <xdr:row>1</xdr:row>
      <xdr:rowOff>165100</xdr:rowOff>
    </xdr:from>
    <xdr:to>
      <xdr:col>10</xdr:col>
      <xdr:colOff>63500</xdr:colOff>
      <xdr:row>31</xdr:row>
      <xdr:rowOff>101600</xdr:rowOff>
    </xdr:to>
    <xdr:pic>
      <xdr:nvPicPr>
        <xdr:cNvPr id="3" name="Picture 2">
          <a:extLst>
            <a:ext uri="{FF2B5EF4-FFF2-40B4-BE49-F238E27FC236}">
              <a16:creationId xmlns:a16="http://schemas.microsoft.com/office/drawing/2014/main" id="{3DD230BE-13A9-1023-05CA-3781D32C7972}"/>
            </a:ext>
          </a:extLst>
        </xdr:cNvPr>
        <xdr:cNvPicPr>
          <a:picLocks noChangeAspect="1"/>
        </xdr:cNvPicPr>
      </xdr:nvPicPr>
      <xdr:blipFill>
        <a:blip xmlns:r="http://schemas.openxmlformats.org/officeDocument/2006/relationships" r:embed="rId2"/>
        <a:stretch>
          <a:fillRect/>
        </a:stretch>
      </xdr:blipFill>
      <xdr:spPr>
        <a:xfrm>
          <a:off x="812800" y="355600"/>
          <a:ext cx="7505700" cy="5651500"/>
        </a:xfrm>
        <a:prstGeom prst="rect">
          <a:avLst/>
        </a:prstGeom>
        <a:ln>
          <a:solidFill>
            <a:schemeClr val="tx1"/>
          </a:solidFill>
        </a:ln>
      </xdr:spPr>
    </xdr:pic>
    <xdr:clientData/>
  </xdr:twoCellAnchor>
  <xdr:twoCellAnchor editAs="oneCell">
    <xdr:from>
      <xdr:col>0</xdr:col>
      <xdr:colOff>812800</xdr:colOff>
      <xdr:row>31</xdr:row>
      <xdr:rowOff>101600</xdr:rowOff>
    </xdr:from>
    <xdr:to>
      <xdr:col>10</xdr:col>
      <xdr:colOff>76200</xdr:colOff>
      <xdr:row>65</xdr:row>
      <xdr:rowOff>101600</xdr:rowOff>
    </xdr:to>
    <xdr:pic>
      <xdr:nvPicPr>
        <xdr:cNvPr id="4" name="Picture 3">
          <a:extLst>
            <a:ext uri="{FF2B5EF4-FFF2-40B4-BE49-F238E27FC236}">
              <a16:creationId xmlns:a16="http://schemas.microsoft.com/office/drawing/2014/main" id="{FD5DF925-8D9A-C499-8F10-FC295F937E75}"/>
            </a:ext>
          </a:extLst>
        </xdr:cNvPr>
        <xdr:cNvPicPr>
          <a:picLocks noChangeAspect="1"/>
        </xdr:cNvPicPr>
      </xdr:nvPicPr>
      <xdr:blipFill>
        <a:blip xmlns:r="http://schemas.openxmlformats.org/officeDocument/2006/relationships" r:embed="rId3"/>
        <a:stretch>
          <a:fillRect/>
        </a:stretch>
      </xdr:blipFill>
      <xdr:spPr>
        <a:xfrm>
          <a:off x="812800" y="6007100"/>
          <a:ext cx="7518400" cy="647700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stronomy-morsels.ch/" TargetMode="External"/><Relationship Id="rId1" Type="http://schemas.openxmlformats.org/officeDocument/2006/relationships/hyperlink" Target="mailto:anton@astronomy-morsels.ch?subject=Eclipse%20Dat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B940F-4CFD-5843-94DF-BBFEAA1B2116}">
  <sheetPr codeName="Sheet4"/>
  <dimension ref="A2:Q39"/>
  <sheetViews>
    <sheetView showGridLines="0" tabSelected="1" workbookViewId="0">
      <selection activeCell="B3" sqref="B3:K9"/>
    </sheetView>
  </sheetViews>
  <sheetFormatPr baseColWidth="10" defaultRowHeight="16"/>
  <cols>
    <col min="1" max="12" width="10.83203125" style="2"/>
    <col min="13" max="16384" width="10.83203125" style="1"/>
  </cols>
  <sheetData>
    <row r="2" spans="2:11" ht="15" customHeight="1"/>
    <row r="3" spans="2:11" ht="16" customHeight="1">
      <c r="B3" s="49" t="s">
        <v>54</v>
      </c>
      <c r="C3" s="49"/>
      <c r="D3" s="49"/>
      <c r="E3" s="49"/>
      <c r="F3" s="49"/>
      <c r="G3" s="49"/>
      <c r="H3" s="49"/>
      <c r="I3" s="49"/>
      <c r="J3" s="49"/>
      <c r="K3" s="49"/>
    </row>
    <row r="4" spans="2:11" ht="16" customHeight="1">
      <c r="B4" s="49"/>
      <c r="C4" s="49"/>
      <c r="D4" s="49"/>
      <c r="E4" s="49"/>
      <c r="F4" s="49"/>
      <c r="G4" s="49"/>
      <c r="H4" s="49"/>
      <c r="I4" s="49"/>
      <c r="J4" s="49"/>
      <c r="K4" s="49"/>
    </row>
    <row r="5" spans="2:11" ht="16" customHeight="1">
      <c r="B5" s="49"/>
      <c r="C5" s="49"/>
      <c r="D5" s="49"/>
      <c r="E5" s="49"/>
      <c r="F5" s="49"/>
      <c r="G5" s="49"/>
      <c r="H5" s="49"/>
      <c r="I5" s="49"/>
      <c r="J5" s="49"/>
      <c r="K5" s="49"/>
    </row>
    <row r="6" spans="2:11" ht="16" customHeight="1">
      <c r="B6" s="49"/>
      <c r="C6" s="49"/>
      <c r="D6" s="49"/>
      <c r="E6" s="49"/>
      <c r="F6" s="49"/>
      <c r="G6" s="49"/>
      <c r="H6" s="49"/>
      <c r="I6" s="49"/>
      <c r="J6" s="49"/>
      <c r="K6" s="49"/>
    </row>
    <row r="7" spans="2:11" ht="16" customHeight="1">
      <c r="B7" s="49"/>
      <c r="C7" s="49"/>
      <c r="D7" s="49"/>
      <c r="E7" s="49"/>
      <c r="F7" s="49"/>
      <c r="G7" s="49"/>
      <c r="H7" s="49"/>
      <c r="I7" s="49"/>
      <c r="J7" s="49"/>
      <c r="K7" s="49"/>
    </row>
    <row r="8" spans="2:11" ht="16" customHeight="1">
      <c r="B8" s="49"/>
      <c r="C8" s="49"/>
      <c r="D8" s="49"/>
      <c r="E8" s="49"/>
      <c r="F8" s="49"/>
      <c r="G8" s="49"/>
      <c r="H8" s="49"/>
      <c r="I8" s="49"/>
      <c r="J8" s="49"/>
      <c r="K8" s="49"/>
    </row>
    <row r="9" spans="2:11" ht="16" customHeight="1">
      <c r="B9" s="49"/>
      <c r="C9" s="49"/>
      <c r="D9" s="49"/>
      <c r="E9" s="49"/>
      <c r="F9" s="49"/>
      <c r="G9" s="49"/>
      <c r="H9" s="49"/>
      <c r="I9" s="49"/>
      <c r="J9" s="49"/>
      <c r="K9" s="49"/>
    </row>
    <row r="13" spans="2:11" ht="19">
      <c r="D13" s="4" t="s">
        <v>4</v>
      </c>
      <c r="E13" s="5"/>
      <c r="F13" s="6"/>
      <c r="G13" s="6"/>
      <c r="H13" s="6"/>
      <c r="I13" s="7" t="s">
        <v>0</v>
      </c>
    </row>
    <row r="14" spans="2:11" ht="19">
      <c r="D14" s="8"/>
      <c r="E14" s="9"/>
      <c r="F14" s="10"/>
      <c r="G14" s="10"/>
      <c r="H14" s="10"/>
      <c r="I14" s="11"/>
    </row>
    <row r="15" spans="2:11" ht="19">
      <c r="D15" s="12" t="s">
        <v>53</v>
      </c>
      <c r="E15" s="13"/>
      <c r="F15" s="14"/>
      <c r="G15" s="14"/>
      <c r="H15" s="14"/>
      <c r="I15" s="15" t="s">
        <v>52</v>
      </c>
    </row>
    <row r="25" spans="3:16">
      <c r="C25" s="3"/>
    </row>
    <row r="27" spans="3:16">
      <c r="P27"/>
    </row>
    <row r="28" spans="3:16">
      <c r="D28" s="3"/>
    </row>
    <row r="33" spans="1:17">
      <c r="Q33"/>
    </row>
    <row r="34" spans="1:17">
      <c r="A34" s="3"/>
    </row>
    <row r="35" spans="1:17">
      <c r="B35" s="50" t="s">
        <v>1</v>
      </c>
      <c r="C35" s="51"/>
      <c r="D35" s="51"/>
      <c r="E35" s="51"/>
      <c r="F35" s="51"/>
      <c r="G35" s="51"/>
      <c r="H35" s="51"/>
      <c r="I35" s="51"/>
      <c r="J35" s="51"/>
      <c r="K35" s="52"/>
    </row>
    <row r="36" spans="1:17">
      <c r="B36" s="53" t="s">
        <v>2</v>
      </c>
      <c r="C36" s="54"/>
      <c r="D36" s="54"/>
      <c r="E36" s="54"/>
      <c r="F36" s="54"/>
      <c r="G36" s="54"/>
      <c r="H36" s="54"/>
      <c r="I36" s="54"/>
      <c r="J36" s="54"/>
      <c r="K36" s="55"/>
    </row>
    <row r="37" spans="1:17">
      <c r="B37" s="56" t="s">
        <v>3</v>
      </c>
      <c r="C37" s="57"/>
      <c r="D37" s="57"/>
      <c r="E37" s="57"/>
      <c r="F37" s="57"/>
      <c r="G37" s="57"/>
      <c r="H37" s="57"/>
      <c r="I37" s="57"/>
      <c r="J37" s="57"/>
      <c r="K37" s="58"/>
    </row>
    <row r="39" spans="1:17">
      <c r="Q39"/>
    </row>
  </sheetData>
  <sheetProtection sheet="1" objects="1" scenarios="1"/>
  <mergeCells count="4">
    <mergeCell ref="B3:K9"/>
    <mergeCell ref="B35:K35"/>
    <mergeCell ref="B36:K36"/>
    <mergeCell ref="B37:K37"/>
  </mergeCells>
  <hyperlinks>
    <hyperlink ref="I13" r:id="rId1" xr:uid="{60E68FAD-CE54-204D-BE8F-AA8992F34899}"/>
    <hyperlink ref="B35" r:id="rId2" display="http://www.astronomy-morsels.ch/" xr:uid="{658673F1-EC19-9849-A093-CD89D563BEA6}"/>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3F69C-B988-6C40-B056-B8439BE51A08}">
  <dimension ref="B2:K73"/>
  <sheetViews>
    <sheetView showGridLines="0" topLeftCell="A37" zoomScaleNormal="100" workbookViewId="0">
      <selection activeCell="B82" sqref="B82"/>
    </sheetView>
  </sheetViews>
  <sheetFormatPr baseColWidth="10" defaultColWidth="9" defaultRowHeight="16"/>
  <cols>
    <col min="1" max="2" width="9" style="16"/>
    <col min="3" max="4" width="15.83203125" style="16" customWidth="1"/>
    <col min="5" max="5" width="18.33203125" style="16" customWidth="1"/>
    <col min="6" max="6" width="9.6640625" style="16" bestFit="1" customWidth="1"/>
    <col min="7" max="202" width="9" style="16"/>
    <col min="203" max="203" width="29.33203125" style="16" customWidth="1"/>
    <col min="204" max="204" width="13.6640625" style="16" customWidth="1"/>
    <col min="205" max="228" width="15.83203125" style="16" customWidth="1"/>
    <col min="229" max="458" width="9" style="16"/>
    <col min="459" max="459" width="29.33203125" style="16" customWidth="1"/>
    <col min="460" max="460" width="13.6640625" style="16" customWidth="1"/>
    <col min="461" max="484" width="15.83203125" style="16" customWidth="1"/>
    <col min="485" max="714" width="9" style="16"/>
    <col min="715" max="715" width="29.33203125" style="16" customWidth="1"/>
    <col min="716" max="716" width="13.6640625" style="16" customWidth="1"/>
    <col min="717" max="740" width="15.83203125" style="16" customWidth="1"/>
    <col min="741" max="970" width="9" style="16"/>
    <col min="971" max="971" width="29.33203125" style="16" customWidth="1"/>
    <col min="972" max="972" width="13.6640625" style="16" customWidth="1"/>
    <col min="973" max="996" width="15.83203125" style="16" customWidth="1"/>
    <col min="997" max="1226" width="9" style="16"/>
    <col min="1227" max="1227" width="29.33203125" style="16" customWidth="1"/>
    <col min="1228" max="1228" width="13.6640625" style="16" customWidth="1"/>
    <col min="1229" max="1252" width="15.83203125" style="16" customWidth="1"/>
    <col min="1253" max="1482" width="9" style="16"/>
    <col min="1483" max="1483" width="29.33203125" style="16" customWidth="1"/>
    <col min="1484" max="1484" width="13.6640625" style="16" customWidth="1"/>
    <col min="1485" max="1508" width="15.83203125" style="16" customWidth="1"/>
    <col min="1509" max="1738" width="9" style="16"/>
    <col min="1739" max="1739" width="29.33203125" style="16" customWidth="1"/>
    <col min="1740" max="1740" width="13.6640625" style="16" customWidth="1"/>
    <col min="1741" max="1764" width="15.83203125" style="16" customWidth="1"/>
    <col min="1765" max="1994" width="9" style="16"/>
    <col min="1995" max="1995" width="29.33203125" style="16" customWidth="1"/>
    <col min="1996" max="1996" width="13.6640625" style="16" customWidth="1"/>
    <col min="1997" max="2020" width="15.83203125" style="16" customWidth="1"/>
    <col min="2021" max="2250" width="9" style="16"/>
    <col min="2251" max="2251" width="29.33203125" style="16" customWidth="1"/>
    <col min="2252" max="2252" width="13.6640625" style="16" customWidth="1"/>
    <col min="2253" max="2276" width="15.83203125" style="16" customWidth="1"/>
    <col min="2277" max="2506" width="9" style="16"/>
    <col min="2507" max="2507" width="29.33203125" style="16" customWidth="1"/>
    <col min="2508" max="2508" width="13.6640625" style="16" customWidth="1"/>
    <col min="2509" max="2532" width="15.83203125" style="16" customWidth="1"/>
    <col min="2533" max="2762" width="9" style="16"/>
    <col min="2763" max="2763" width="29.33203125" style="16" customWidth="1"/>
    <col min="2764" max="2764" width="13.6640625" style="16" customWidth="1"/>
    <col min="2765" max="2788" width="15.83203125" style="16" customWidth="1"/>
    <col min="2789" max="3018" width="9" style="16"/>
    <col min="3019" max="3019" width="29.33203125" style="16" customWidth="1"/>
    <col min="3020" max="3020" width="13.6640625" style="16" customWidth="1"/>
    <col min="3021" max="3044" width="15.83203125" style="16" customWidth="1"/>
    <col min="3045" max="3274" width="9" style="16"/>
    <col min="3275" max="3275" width="29.33203125" style="16" customWidth="1"/>
    <col min="3276" max="3276" width="13.6640625" style="16" customWidth="1"/>
    <col min="3277" max="3300" width="15.83203125" style="16" customWidth="1"/>
    <col min="3301" max="3530" width="9" style="16"/>
    <col min="3531" max="3531" width="29.33203125" style="16" customWidth="1"/>
    <col min="3532" max="3532" width="13.6640625" style="16" customWidth="1"/>
    <col min="3533" max="3556" width="15.83203125" style="16" customWidth="1"/>
    <col min="3557" max="3786" width="9" style="16"/>
    <col min="3787" max="3787" width="29.33203125" style="16" customWidth="1"/>
    <col min="3788" max="3788" width="13.6640625" style="16" customWidth="1"/>
    <col min="3789" max="3812" width="15.83203125" style="16" customWidth="1"/>
    <col min="3813" max="4042" width="9" style="16"/>
    <col min="4043" max="4043" width="29.33203125" style="16" customWidth="1"/>
    <col min="4044" max="4044" width="13.6640625" style="16" customWidth="1"/>
    <col min="4045" max="4068" width="15.83203125" style="16" customWidth="1"/>
    <col min="4069" max="4298" width="9" style="16"/>
    <col min="4299" max="4299" width="29.33203125" style="16" customWidth="1"/>
    <col min="4300" max="4300" width="13.6640625" style="16" customWidth="1"/>
    <col min="4301" max="4324" width="15.83203125" style="16" customWidth="1"/>
    <col min="4325" max="4554" width="9" style="16"/>
    <col min="4555" max="4555" width="29.33203125" style="16" customWidth="1"/>
    <col min="4556" max="4556" width="13.6640625" style="16" customWidth="1"/>
    <col min="4557" max="4580" width="15.83203125" style="16" customWidth="1"/>
    <col min="4581" max="4810" width="9" style="16"/>
    <col min="4811" max="4811" width="29.33203125" style="16" customWidth="1"/>
    <col min="4812" max="4812" width="13.6640625" style="16" customWidth="1"/>
    <col min="4813" max="4836" width="15.83203125" style="16" customWidth="1"/>
    <col min="4837" max="5066" width="9" style="16"/>
    <col min="5067" max="5067" width="29.33203125" style="16" customWidth="1"/>
    <col min="5068" max="5068" width="13.6640625" style="16" customWidth="1"/>
    <col min="5069" max="5092" width="15.83203125" style="16" customWidth="1"/>
    <col min="5093" max="5322" width="9" style="16"/>
    <col min="5323" max="5323" width="29.33203125" style="16" customWidth="1"/>
    <col min="5324" max="5324" width="13.6640625" style="16" customWidth="1"/>
    <col min="5325" max="5348" width="15.83203125" style="16" customWidth="1"/>
    <col min="5349" max="5578" width="9" style="16"/>
    <col min="5579" max="5579" width="29.33203125" style="16" customWidth="1"/>
    <col min="5580" max="5580" width="13.6640625" style="16" customWidth="1"/>
    <col min="5581" max="5604" width="15.83203125" style="16" customWidth="1"/>
    <col min="5605" max="5834" width="9" style="16"/>
    <col min="5835" max="5835" width="29.33203125" style="16" customWidth="1"/>
    <col min="5836" max="5836" width="13.6640625" style="16" customWidth="1"/>
    <col min="5837" max="5860" width="15.83203125" style="16" customWidth="1"/>
    <col min="5861" max="6090" width="9" style="16"/>
    <col min="6091" max="6091" width="29.33203125" style="16" customWidth="1"/>
    <col min="6092" max="6092" width="13.6640625" style="16" customWidth="1"/>
    <col min="6093" max="6116" width="15.83203125" style="16" customWidth="1"/>
    <col min="6117" max="6346" width="9" style="16"/>
    <col min="6347" max="6347" width="29.33203125" style="16" customWidth="1"/>
    <col min="6348" max="6348" width="13.6640625" style="16" customWidth="1"/>
    <col min="6349" max="6372" width="15.83203125" style="16" customWidth="1"/>
    <col min="6373" max="6602" width="9" style="16"/>
    <col min="6603" max="6603" width="29.33203125" style="16" customWidth="1"/>
    <col min="6604" max="6604" width="13.6640625" style="16" customWidth="1"/>
    <col min="6605" max="6628" width="15.83203125" style="16" customWidth="1"/>
    <col min="6629" max="6858" width="9" style="16"/>
    <col min="6859" max="6859" width="29.33203125" style="16" customWidth="1"/>
    <col min="6860" max="6860" width="13.6640625" style="16" customWidth="1"/>
    <col min="6861" max="6884" width="15.83203125" style="16" customWidth="1"/>
    <col min="6885" max="7114" width="9" style="16"/>
    <col min="7115" max="7115" width="29.33203125" style="16" customWidth="1"/>
    <col min="7116" max="7116" width="13.6640625" style="16" customWidth="1"/>
    <col min="7117" max="7140" width="15.83203125" style="16" customWidth="1"/>
    <col min="7141" max="7370" width="9" style="16"/>
    <col min="7371" max="7371" width="29.33203125" style="16" customWidth="1"/>
    <col min="7372" max="7372" width="13.6640625" style="16" customWidth="1"/>
    <col min="7373" max="7396" width="15.83203125" style="16" customWidth="1"/>
    <col min="7397" max="7626" width="9" style="16"/>
    <col min="7627" max="7627" width="29.33203125" style="16" customWidth="1"/>
    <col min="7628" max="7628" width="13.6640625" style="16" customWidth="1"/>
    <col min="7629" max="7652" width="15.83203125" style="16" customWidth="1"/>
    <col min="7653" max="7882" width="9" style="16"/>
    <col min="7883" max="7883" width="29.33203125" style="16" customWidth="1"/>
    <col min="7884" max="7884" width="13.6640625" style="16" customWidth="1"/>
    <col min="7885" max="7908" width="15.83203125" style="16" customWidth="1"/>
    <col min="7909" max="8138" width="9" style="16"/>
    <col min="8139" max="8139" width="29.33203125" style="16" customWidth="1"/>
    <col min="8140" max="8140" width="13.6640625" style="16" customWidth="1"/>
    <col min="8141" max="8164" width="15.83203125" style="16" customWidth="1"/>
    <col min="8165" max="8394" width="9" style="16"/>
    <col min="8395" max="8395" width="29.33203125" style="16" customWidth="1"/>
    <col min="8396" max="8396" width="13.6640625" style="16" customWidth="1"/>
    <col min="8397" max="8420" width="15.83203125" style="16" customWidth="1"/>
    <col min="8421" max="8650" width="9" style="16"/>
    <col min="8651" max="8651" width="29.33203125" style="16" customWidth="1"/>
    <col min="8652" max="8652" width="13.6640625" style="16" customWidth="1"/>
    <col min="8653" max="8676" width="15.83203125" style="16" customWidth="1"/>
    <col min="8677" max="8906" width="9" style="16"/>
    <col min="8907" max="8907" width="29.33203125" style="16" customWidth="1"/>
    <col min="8908" max="8908" width="13.6640625" style="16" customWidth="1"/>
    <col min="8909" max="8932" width="15.83203125" style="16" customWidth="1"/>
    <col min="8933" max="9162" width="9" style="16"/>
    <col min="9163" max="9163" width="29.33203125" style="16" customWidth="1"/>
    <col min="9164" max="9164" width="13.6640625" style="16" customWidth="1"/>
    <col min="9165" max="9188" width="15.83203125" style="16" customWidth="1"/>
    <col min="9189" max="9418" width="9" style="16"/>
    <col min="9419" max="9419" width="29.33203125" style="16" customWidth="1"/>
    <col min="9420" max="9420" width="13.6640625" style="16" customWidth="1"/>
    <col min="9421" max="9444" width="15.83203125" style="16" customWidth="1"/>
    <col min="9445" max="9674" width="9" style="16"/>
    <col min="9675" max="9675" width="29.33203125" style="16" customWidth="1"/>
    <col min="9676" max="9676" width="13.6640625" style="16" customWidth="1"/>
    <col min="9677" max="9700" width="15.83203125" style="16" customWidth="1"/>
    <col min="9701" max="9930" width="9" style="16"/>
    <col min="9931" max="9931" width="29.33203125" style="16" customWidth="1"/>
    <col min="9932" max="9932" width="13.6640625" style="16" customWidth="1"/>
    <col min="9933" max="9956" width="15.83203125" style="16" customWidth="1"/>
    <col min="9957" max="10186" width="9" style="16"/>
    <col min="10187" max="10187" width="29.33203125" style="16" customWidth="1"/>
    <col min="10188" max="10188" width="13.6640625" style="16" customWidth="1"/>
    <col min="10189" max="10212" width="15.83203125" style="16" customWidth="1"/>
    <col min="10213" max="10442" width="9" style="16"/>
    <col min="10443" max="10443" width="29.33203125" style="16" customWidth="1"/>
    <col min="10444" max="10444" width="13.6640625" style="16" customWidth="1"/>
    <col min="10445" max="10468" width="15.83203125" style="16" customWidth="1"/>
    <col min="10469" max="10698" width="9" style="16"/>
    <col min="10699" max="10699" width="29.33203125" style="16" customWidth="1"/>
    <col min="10700" max="10700" width="13.6640625" style="16" customWidth="1"/>
    <col min="10701" max="10724" width="15.83203125" style="16" customWidth="1"/>
    <col min="10725" max="10954" width="9" style="16"/>
    <col min="10955" max="10955" width="29.33203125" style="16" customWidth="1"/>
    <col min="10956" max="10956" width="13.6640625" style="16" customWidth="1"/>
    <col min="10957" max="10980" width="15.83203125" style="16" customWidth="1"/>
    <col min="10981" max="11210" width="9" style="16"/>
    <col min="11211" max="11211" width="29.33203125" style="16" customWidth="1"/>
    <col min="11212" max="11212" width="13.6640625" style="16" customWidth="1"/>
    <col min="11213" max="11236" width="15.83203125" style="16" customWidth="1"/>
    <col min="11237" max="11466" width="9" style="16"/>
    <col min="11467" max="11467" width="29.33203125" style="16" customWidth="1"/>
    <col min="11468" max="11468" width="13.6640625" style="16" customWidth="1"/>
    <col min="11469" max="11492" width="15.83203125" style="16" customWidth="1"/>
    <col min="11493" max="11722" width="9" style="16"/>
    <col min="11723" max="11723" width="29.33203125" style="16" customWidth="1"/>
    <col min="11724" max="11724" width="13.6640625" style="16" customWidth="1"/>
    <col min="11725" max="11748" width="15.83203125" style="16" customWidth="1"/>
    <col min="11749" max="11978" width="9" style="16"/>
    <col min="11979" max="11979" width="29.33203125" style="16" customWidth="1"/>
    <col min="11980" max="11980" width="13.6640625" style="16" customWidth="1"/>
    <col min="11981" max="12004" width="15.83203125" style="16" customWidth="1"/>
    <col min="12005" max="12234" width="9" style="16"/>
    <col min="12235" max="12235" width="29.33203125" style="16" customWidth="1"/>
    <col min="12236" max="12236" width="13.6640625" style="16" customWidth="1"/>
    <col min="12237" max="12260" width="15.83203125" style="16" customWidth="1"/>
    <col min="12261" max="12490" width="9" style="16"/>
    <col min="12491" max="12491" width="29.33203125" style="16" customWidth="1"/>
    <col min="12492" max="12492" width="13.6640625" style="16" customWidth="1"/>
    <col min="12493" max="12516" width="15.83203125" style="16" customWidth="1"/>
    <col min="12517" max="12746" width="9" style="16"/>
    <col min="12747" max="12747" width="29.33203125" style="16" customWidth="1"/>
    <col min="12748" max="12748" width="13.6640625" style="16" customWidth="1"/>
    <col min="12749" max="12772" width="15.83203125" style="16" customWidth="1"/>
    <col min="12773" max="13002" width="9" style="16"/>
    <col min="13003" max="13003" width="29.33203125" style="16" customWidth="1"/>
    <col min="13004" max="13004" width="13.6640625" style="16" customWidth="1"/>
    <col min="13005" max="13028" width="15.83203125" style="16" customWidth="1"/>
    <col min="13029" max="13258" width="9" style="16"/>
    <col min="13259" max="13259" width="29.33203125" style="16" customWidth="1"/>
    <col min="13260" max="13260" width="13.6640625" style="16" customWidth="1"/>
    <col min="13261" max="13284" width="15.83203125" style="16" customWidth="1"/>
    <col min="13285" max="13514" width="9" style="16"/>
    <col min="13515" max="13515" width="29.33203125" style="16" customWidth="1"/>
    <col min="13516" max="13516" width="13.6640625" style="16" customWidth="1"/>
    <col min="13517" max="13540" width="15.83203125" style="16" customWidth="1"/>
    <col min="13541" max="13770" width="9" style="16"/>
    <col min="13771" max="13771" width="29.33203125" style="16" customWidth="1"/>
    <col min="13772" max="13772" width="13.6640625" style="16" customWidth="1"/>
    <col min="13773" max="13796" width="15.83203125" style="16" customWidth="1"/>
    <col min="13797" max="14026" width="9" style="16"/>
    <col min="14027" max="14027" width="29.33203125" style="16" customWidth="1"/>
    <col min="14028" max="14028" width="13.6640625" style="16" customWidth="1"/>
    <col min="14029" max="14052" width="15.83203125" style="16" customWidth="1"/>
    <col min="14053" max="14282" width="9" style="16"/>
    <col min="14283" max="14283" width="29.33203125" style="16" customWidth="1"/>
    <col min="14284" max="14284" width="13.6640625" style="16" customWidth="1"/>
    <col min="14285" max="14308" width="15.83203125" style="16" customWidth="1"/>
    <col min="14309" max="14538" width="9" style="16"/>
    <col min="14539" max="14539" width="29.33203125" style="16" customWidth="1"/>
    <col min="14540" max="14540" width="13.6640625" style="16" customWidth="1"/>
    <col min="14541" max="14564" width="15.83203125" style="16" customWidth="1"/>
    <col min="14565" max="14794" width="9" style="16"/>
    <col min="14795" max="14795" width="29.33203125" style="16" customWidth="1"/>
    <col min="14796" max="14796" width="13.6640625" style="16" customWidth="1"/>
    <col min="14797" max="14820" width="15.83203125" style="16" customWidth="1"/>
    <col min="14821" max="15050" width="9" style="16"/>
    <col min="15051" max="15051" width="29.33203125" style="16" customWidth="1"/>
    <col min="15052" max="15052" width="13.6640625" style="16" customWidth="1"/>
    <col min="15053" max="15076" width="15.83203125" style="16" customWidth="1"/>
    <col min="15077" max="15306" width="9" style="16"/>
    <col min="15307" max="15307" width="29.33203125" style="16" customWidth="1"/>
    <col min="15308" max="15308" width="13.6640625" style="16" customWidth="1"/>
    <col min="15309" max="15332" width="15.83203125" style="16" customWidth="1"/>
    <col min="15333" max="15562" width="9" style="16"/>
    <col min="15563" max="15563" width="29.33203125" style="16" customWidth="1"/>
    <col min="15564" max="15564" width="13.6640625" style="16" customWidth="1"/>
    <col min="15565" max="15588" width="15.83203125" style="16" customWidth="1"/>
    <col min="15589" max="15818" width="9" style="16"/>
    <col min="15819" max="15819" width="29.33203125" style="16" customWidth="1"/>
    <col min="15820" max="15820" width="13.6640625" style="16" customWidth="1"/>
    <col min="15821" max="15844" width="15.83203125" style="16" customWidth="1"/>
    <col min="15845" max="16074" width="9" style="16"/>
    <col min="16075" max="16075" width="29.33203125" style="16" customWidth="1"/>
    <col min="16076" max="16076" width="13.6640625" style="16" customWidth="1"/>
    <col min="16077" max="16100" width="15.83203125" style="16" customWidth="1"/>
    <col min="16101" max="16384" width="9" style="16"/>
  </cols>
  <sheetData>
    <row r="2" spans="3:9" ht="21">
      <c r="C2" s="17" t="s">
        <v>10</v>
      </c>
      <c r="D2" s="21"/>
      <c r="E2" s="21"/>
      <c r="F2" s="21"/>
      <c r="G2" s="21"/>
      <c r="H2" s="21"/>
      <c r="I2" s="21"/>
    </row>
    <row r="3" spans="3:9" ht="16" customHeight="1">
      <c r="C3" s="31"/>
    </row>
    <row r="4" spans="3:9" ht="16" customHeight="1">
      <c r="C4" s="20"/>
    </row>
    <row r="5" spans="3:9">
      <c r="D5" s="19" t="s">
        <v>9</v>
      </c>
    </row>
    <row r="6" spans="3:9">
      <c r="C6" s="22" t="s">
        <v>12</v>
      </c>
      <c r="D6" s="23">
        <v>33890</v>
      </c>
    </row>
    <row r="7" spans="3:9">
      <c r="C7" s="22" t="s">
        <v>13</v>
      </c>
      <c r="D7" s="24">
        <v>0</v>
      </c>
    </row>
    <row r="8" spans="3:9">
      <c r="C8" s="22" t="s">
        <v>11</v>
      </c>
      <c r="D8" s="30">
        <v>0</v>
      </c>
      <c r="E8" s="16" t="s">
        <v>29</v>
      </c>
    </row>
    <row r="9" spans="3:9">
      <c r="C9" s="22" t="s">
        <v>5</v>
      </c>
      <c r="D9" s="30">
        <v>35</v>
      </c>
    </row>
    <row r="10" spans="3:9">
      <c r="C10" s="22" t="s">
        <v>6</v>
      </c>
      <c r="D10" s="25">
        <f>YEAR(D6)</f>
        <v>1992</v>
      </c>
    </row>
    <row r="11" spans="3:9">
      <c r="C11" s="22" t="s">
        <v>14</v>
      </c>
      <c r="D11" s="25" t="str">
        <f>IF(OR(MOD(D10,400)=0,AND(MOD(D10,4)=0,MOD(D10,100)&lt;&gt;0)),"Y", "N")</f>
        <v>Y</v>
      </c>
    </row>
    <row r="12" spans="3:9">
      <c r="C12" s="22" t="s">
        <v>7</v>
      </c>
      <c r="D12" s="26">
        <f>MONTH(D6)</f>
        <v>10</v>
      </c>
    </row>
    <row r="13" spans="3:9">
      <c r="C13" s="22" t="s">
        <v>8</v>
      </c>
      <c r="D13" s="26">
        <f>DAY(D6)</f>
        <v>13</v>
      </c>
    </row>
    <row r="14" spans="3:9">
      <c r="C14" s="22" t="s">
        <v>15</v>
      </c>
      <c r="D14" s="26">
        <f>INT(275*D12/9)-IF(D11="Y",1,2)*INT((D12+9)/12)+D13-30</f>
        <v>287</v>
      </c>
    </row>
    <row r="15" spans="3:9">
      <c r="C15" s="22" t="s">
        <v>30</v>
      </c>
      <c r="D15" s="29">
        <f>(3600*HOUR(D7)+60*MINUTE(D7)+SECOND(D7))/(24*3600)</f>
        <v>0</v>
      </c>
    </row>
    <row r="16" spans="3:9">
      <c r="C16" s="22" t="s">
        <v>16</v>
      </c>
      <c r="D16" s="27">
        <f>367*D10-INT(7/4*D10)-INT(3*(INT((D10-8/7)/100)+1)/4)+1721059.5-1+D14+(3600*HOUR(D7)+60*MINUTE(D7)+SECOND(D7))/(24*3600)</f>
        <v>2448908.5</v>
      </c>
    </row>
    <row r="17" spans="3:5">
      <c r="D17" s="18"/>
    </row>
    <row r="18" spans="3:5">
      <c r="C18" s="22" t="s">
        <v>38</v>
      </c>
      <c r="D18" s="41">
        <f>D72</f>
        <v>-172.62285606662809</v>
      </c>
      <c r="E18" s="32">
        <v>0</v>
      </c>
    </row>
    <row r="19" spans="3:5">
      <c r="C19" s="22" t="s">
        <v>37</v>
      </c>
      <c r="D19" s="41">
        <f>D73</f>
        <v>-62.586312161782558</v>
      </c>
      <c r="E19" s="32">
        <v>0</v>
      </c>
    </row>
    <row r="20" spans="3:5">
      <c r="D20" s="18"/>
    </row>
    <row r="21" spans="3:5">
      <c r="D21" s="18"/>
    </row>
    <row r="22" spans="3:5">
      <c r="D22" s="18"/>
    </row>
    <row r="23" spans="3:5">
      <c r="C23" s="33" t="s">
        <v>39</v>
      </c>
      <c r="D23" s="34">
        <f>PI()/180</f>
        <v>1.7453292519943295E-2</v>
      </c>
    </row>
    <row r="24" spans="3:5">
      <c r="C24" s="35" t="s">
        <v>40</v>
      </c>
      <c r="D24" s="36">
        <f>D16-D15</f>
        <v>2448908.5</v>
      </c>
    </row>
    <row r="25" spans="3:5">
      <c r="C25" s="35" t="s">
        <v>41</v>
      </c>
      <c r="D25" s="36">
        <f>(D24-2451545)/36525</f>
        <v>-7.2183436002737855E-2</v>
      </c>
    </row>
    <row r="26" spans="3:5" ht="18">
      <c r="C26" s="35" t="s">
        <v>31</v>
      </c>
      <c r="D26" s="36">
        <f>MOD(100.46061837+36000.770053608*D25+0.000387933*POWER(D25,2)-POWER(D25,3)/38710000,360)</f>
        <v>21.801339177419322</v>
      </c>
    </row>
    <row r="27" spans="3:5">
      <c r="C27" s="35" t="s">
        <v>49</v>
      </c>
      <c r="D27" s="36">
        <f>D15*360</f>
        <v>0</v>
      </c>
    </row>
    <row r="28" spans="3:5">
      <c r="C28" s="35" t="s">
        <v>32</v>
      </c>
      <c r="D28" s="36">
        <f>D26+D27*1.00273790935</f>
        <v>21.801339177419322</v>
      </c>
    </row>
    <row r="29" spans="3:5">
      <c r="C29" s="37" t="s">
        <v>33</v>
      </c>
      <c r="D29" s="38">
        <f>D28+D8</f>
        <v>21.801339177419322</v>
      </c>
    </row>
    <row r="30" spans="3:5">
      <c r="D30" s="28"/>
    </row>
    <row r="31" spans="3:5">
      <c r="C31" s="33" t="s">
        <v>50</v>
      </c>
      <c r="D31" s="34">
        <f>D16</f>
        <v>2448908.5</v>
      </c>
    </row>
    <row r="32" spans="3:5">
      <c r="C32" s="35" t="s">
        <v>51</v>
      </c>
      <c r="D32" s="36">
        <f>(D31-2451545)/36525</f>
        <v>-7.2183436002737855E-2</v>
      </c>
    </row>
    <row r="33" spans="2:11" ht="18">
      <c r="C33" s="35" t="s">
        <v>73</v>
      </c>
      <c r="D33" s="36">
        <f>MOD(280.46645+36000.76983*D32+0.0003032*POWER(D32,2),360)</f>
        <v>201.80718650670724</v>
      </c>
      <c r="E33" s="16" t="s">
        <v>48</v>
      </c>
    </row>
    <row r="34" spans="2:11">
      <c r="C34" s="35" t="s">
        <v>19</v>
      </c>
      <c r="D34" s="36">
        <f>MOD(357.5291+35999.0503*D32-0.0001559*POWER(D32,2)-0.00000048*POWER(D32,3),360)</f>
        <v>278.99395569848093</v>
      </c>
      <c r="E34" s="16" t="s">
        <v>42</v>
      </c>
    </row>
    <row r="35" spans="2:11">
      <c r="C35" s="35" t="s">
        <v>20</v>
      </c>
      <c r="D35" s="36">
        <f>MOD(0.016708617-0.000042037*D32-0.0000001236*POWER(D32,2),360)</f>
        <v>1.6711650731087817E-2</v>
      </c>
      <c r="E35" s="16" t="s">
        <v>43</v>
      </c>
    </row>
    <row r="36" spans="2:11">
      <c r="C36" s="35" t="s">
        <v>21</v>
      </c>
      <c r="D36" s="36">
        <f>(1.9146-0.004817*D32-0.000014*POWER(D32,2))*SIN(D23*D34)+(0.019993-0.000101*D32)*SIN(D23*2*D34)+0.00029*SIN(D23*3*D34)</f>
        <v>-1.897321025690953</v>
      </c>
      <c r="E36" s="16" t="s">
        <v>44</v>
      </c>
    </row>
    <row r="37" spans="2:11">
      <c r="C37" s="35" t="s">
        <v>17</v>
      </c>
      <c r="D37" s="36">
        <f>D33+D36</f>
        <v>199.90986548101628</v>
      </c>
      <c r="E37" s="16" t="s">
        <v>45</v>
      </c>
    </row>
    <row r="38" spans="2:11">
      <c r="C38" s="35" t="s">
        <v>22</v>
      </c>
      <c r="D38" s="36">
        <f>D34+D36</f>
        <v>277.09663467279</v>
      </c>
      <c r="E38" s="16" t="s">
        <v>46</v>
      </c>
    </row>
    <row r="39" spans="2:11">
      <c r="C39" s="35" t="s">
        <v>23</v>
      </c>
      <c r="D39" s="36">
        <f>(1.000001018*(1-POWER(D35,2))/(1+D35*COS(D23*D38)))</f>
        <v>0.99766195494210796</v>
      </c>
      <c r="E39" s="16" t="s">
        <v>47</v>
      </c>
    </row>
    <row r="40" spans="2:11">
      <c r="C40" s="35" t="s">
        <v>18</v>
      </c>
      <c r="D40" s="36">
        <f>MOD(125.04-1934.136*D32,360)</f>
        <v>264.65258217659141</v>
      </c>
    </row>
    <row r="41" spans="2:11">
      <c r="C41" s="35" t="s">
        <v>24</v>
      </c>
      <c r="D41" s="36">
        <f>D37-0.00569-0.00478*SIN(D23*D40)</f>
        <v>199.90893467803357</v>
      </c>
    </row>
    <row r="42" spans="2:11" ht="20">
      <c r="C42" s="43" t="s">
        <v>25</v>
      </c>
      <c r="D42" s="36">
        <f>23+(26/60)+(21.448/3600)-(46.815/3600)*D25-(0.00059/3600)*POWER(D25,2)+(0.001813/3600)*POWER(D25,3)</f>
        <v>23.440229795500116</v>
      </c>
      <c r="E42" s="16" t="s">
        <v>69</v>
      </c>
    </row>
    <row r="43" spans="2:11">
      <c r="C43" s="43"/>
      <c r="D43" s="36"/>
      <c r="J43" s="42"/>
      <c r="K43" s="28"/>
    </row>
    <row r="44" spans="2:11">
      <c r="C44" s="43" t="s">
        <v>74</v>
      </c>
      <c r="D44" s="36">
        <f>MOD(297.85036+445267.11148*D32-0.0019142*POWER(D32,2)+(POWER(D32,3)/189474),360)</f>
        <v>196.94030438365007</v>
      </c>
      <c r="J44" s="42"/>
      <c r="K44" s="28"/>
    </row>
    <row r="45" spans="2:11">
      <c r="C45" s="43" t="s">
        <v>19</v>
      </c>
      <c r="D45" s="36">
        <f>MOD(357.52722+35999.05*D32-0.0001603*POWER(D32,2)-(POWER(D32,3)/300000),360)</f>
        <v>278.99209733165844</v>
      </c>
      <c r="J45" s="42"/>
      <c r="K45" s="28"/>
    </row>
    <row r="46" spans="2:11">
      <c r="C46" s="43" t="s">
        <v>75</v>
      </c>
      <c r="D46" s="36">
        <f>MOD(134.96298+477198.867398*D32+0.0086972*POWER(D32,2)+(POWER(D32,3)/56250),360)</f>
        <v>249.10911990710883</v>
      </c>
      <c r="J46" s="42"/>
      <c r="K46" s="28"/>
    </row>
    <row r="47" spans="2:11">
      <c r="C47" s="43" t="s">
        <v>76</v>
      </c>
      <c r="D47" s="36">
        <f>MOD(93.27191+483202.017538*D32-0.0036825*POWER(D32,2)+(POWER(D32,3)/327270),360)</f>
        <v>134.08998146333761</v>
      </c>
      <c r="J47" s="42"/>
      <c r="K47" s="28"/>
    </row>
    <row r="48" spans="2:11">
      <c r="B48" s="59" t="s">
        <v>68</v>
      </c>
      <c r="C48" s="44" t="s">
        <v>58</v>
      </c>
      <c r="D48" s="45">
        <f>MOD(280.4665+36000.7698*D32,360)</f>
        <v>201.80723709240237</v>
      </c>
      <c r="E48" s="16" t="s">
        <v>59</v>
      </c>
      <c r="J48" s="42"/>
      <c r="K48" s="28"/>
    </row>
    <row r="49" spans="2:11">
      <c r="B49" s="60"/>
      <c r="C49" s="44" t="s">
        <v>57</v>
      </c>
      <c r="D49" s="45">
        <f>MOD(218.3165+481267.8813*D32,360)</f>
        <v>38.747190008209145</v>
      </c>
      <c r="E49" s="16" t="s">
        <v>64</v>
      </c>
      <c r="J49" s="42"/>
      <c r="K49" s="28"/>
    </row>
    <row r="50" spans="2:11">
      <c r="B50" s="60"/>
      <c r="C50" s="44" t="s">
        <v>18</v>
      </c>
      <c r="D50" s="45">
        <f>MOD(125.04452-1934.136261*D32+0.0020708*POWER(D32,2)+POWER(D32,3)/327270,360)</f>
        <v>264.65713180511557</v>
      </c>
      <c r="E50" s="16" t="s">
        <v>63</v>
      </c>
      <c r="J50" s="42"/>
      <c r="K50" s="28"/>
    </row>
    <row r="51" spans="2:11">
      <c r="B51" s="60"/>
      <c r="C51" s="46" t="s">
        <v>55</v>
      </c>
      <c r="D51" s="45">
        <f>(9.2*COS(D23*D50)+0.57*COS(D23*2*D48)+0.1*COS(D23*2*D49)-0.09*COS(D23*2*D50))/3600</f>
        <v>-9.2747667618311313E-5</v>
      </c>
      <c r="E51" s="16" t="s">
        <v>61</v>
      </c>
      <c r="J51" s="42"/>
      <c r="K51" s="28"/>
    </row>
    <row r="52" spans="2:11">
      <c r="B52" s="60"/>
      <c r="C52" s="46" t="s">
        <v>56</v>
      </c>
      <c r="D52" s="45">
        <f>(-17.2*SIN(D23*D50)-1.32*SIN(D23*2*D48)-0.23*SIN(D23*2*D49)+0.21*SIN(D23*2*D50))/3600</f>
        <v>4.4525354102995683E-3</v>
      </c>
      <c r="E52" s="16" t="s">
        <v>60</v>
      </c>
      <c r="J52" s="42"/>
      <c r="K52" s="28"/>
    </row>
    <row r="53" spans="2:11">
      <c r="B53" s="61"/>
      <c r="C53" s="47" t="s">
        <v>62</v>
      </c>
      <c r="D53" s="48">
        <f>D42+D51</f>
        <v>23.440137047832497</v>
      </c>
      <c r="E53" s="16" t="s">
        <v>70</v>
      </c>
      <c r="J53" s="42"/>
      <c r="K53" s="28"/>
    </row>
    <row r="54" spans="2:11">
      <c r="C54" s="43"/>
      <c r="D54" s="36"/>
      <c r="J54" s="42"/>
      <c r="K54" s="28"/>
    </row>
    <row r="55" spans="2:11">
      <c r="C55" s="39" t="s">
        <v>26</v>
      </c>
      <c r="D55" s="40">
        <f>MOD(ATAN2(COS(D23*D37),COS(D23*D53)*SIN(D23*D37))/D23,360)</f>
        <v>198.38166953211064</v>
      </c>
      <c r="E55" s="16" t="s">
        <v>71</v>
      </c>
    </row>
    <row r="56" spans="2:11">
      <c r="C56" s="39" t="s">
        <v>27</v>
      </c>
      <c r="D56" s="40">
        <f>ASIN(SIN(D23*D53)*SIN(D23*D37))/D23</f>
        <v>-7.7854644432826987</v>
      </c>
      <c r="E56" s="16" t="s">
        <v>72</v>
      </c>
    </row>
    <row r="57" spans="2:11" ht="18">
      <c r="C57" s="39" t="s">
        <v>77</v>
      </c>
      <c r="D57" s="40">
        <f>D53+0.00256*COS(D23*D50)</f>
        <v>23.439898672014447</v>
      </c>
      <c r="E57" s="16" t="s">
        <v>82</v>
      </c>
    </row>
    <row r="58" spans="2:11" ht="18">
      <c r="C58" s="39" t="s">
        <v>78</v>
      </c>
      <c r="D58" s="40">
        <f>MOD(ATAN2(COS(D23*D41),COS(D23*D57)*SIN(D23*D41))/D23,360)</f>
        <v>198.38083050660617</v>
      </c>
      <c r="E58" s="16" t="s">
        <v>80</v>
      </c>
    </row>
    <row r="59" spans="2:11" ht="18">
      <c r="C59" s="39" t="s">
        <v>79</v>
      </c>
      <c r="D59" s="40">
        <f>ASIN(SIN(D23*D57)*SIN(D23*D41))/D23</f>
        <v>-7.7850379023073613</v>
      </c>
      <c r="E59" s="16" t="s">
        <v>81</v>
      </c>
    </row>
    <row r="60" spans="2:11">
      <c r="C60" s="35"/>
      <c r="D60" s="36"/>
    </row>
    <row r="61" spans="2:11">
      <c r="C61" s="35" t="s">
        <v>28</v>
      </c>
      <c r="D61" s="36">
        <v>0</v>
      </c>
    </row>
    <row r="62" spans="2:11">
      <c r="C62" s="35" t="s">
        <v>65</v>
      </c>
      <c r="D62" s="36">
        <f>D39*COS(D23*D61)*COS(D23*D41)</f>
        <v>-0.93803672506304048</v>
      </c>
      <c r="E62" s="62" t="s">
        <v>83</v>
      </c>
      <c r="F62" s="63"/>
    </row>
    <row r="63" spans="2:11">
      <c r="C63" s="35" t="s">
        <v>66</v>
      </c>
      <c r="D63" s="36">
        <f>D39*COS(D23*D61)*SIN(D23*D41)*COS(D23*D53)-SIN(D23*D61)*SIN(D23*D53)</f>
        <v>-0.31169419362994882</v>
      </c>
      <c r="E63" s="62"/>
      <c r="F63" s="63"/>
    </row>
    <row r="64" spans="2:11">
      <c r="C64" s="35" t="s">
        <v>67</v>
      </c>
      <c r="D64" s="36">
        <f>D39*COS(D23*D61)*SIN(D23*D41)*SIN(D23*D53)+SIN(D23*D61)*COS(D23*D53)</f>
        <v>-0.1351414386089273</v>
      </c>
      <c r="E64" s="62"/>
      <c r="F64" s="63"/>
    </row>
    <row r="65" spans="3:6">
      <c r="C65" s="39" t="s">
        <v>34</v>
      </c>
      <c r="D65" s="40">
        <f>ATAN2(D62,D63)/D23</f>
        <v>-161.61920042086697</v>
      </c>
    </row>
    <row r="66" spans="3:6">
      <c r="C66" s="39" t="s">
        <v>35</v>
      </c>
      <c r="D66" s="40">
        <f>ASIN(D64)/D23</f>
        <v>-7.7667986746637974</v>
      </c>
    </row>
    <row r="67" spans="3:6">
      <c r="C67" s="35"/>
      <c r="D67" s="36"/>
    </row>
    <row r="68" spans="3:6">
      <c r="C68" s="35" t="s">
        <v>36</v>
      </c>
      <c r="D68" s="36">
        <f>D29-D65</f>
        <v>183.4205395982863</v>
      </c>
    </row>
    <row r="69" spans="3:6">
      <c r="C69" s="35" t="s">
        <v>65</v>
      </c>
      <c r="D69" s="36">
        <f>COS(D23*(D9-90))*COS(D23*D66)*COS(-D68*D23)+SIN(D23*(D9-90))*SIN(D23*D66)</f>
        <v>-0.45660079199724857</v>
      </c>
      <c r="E69" s="62" t="s">
        <v>83</v>
      </c>
      <c r="F69" s="63"/>
    </row>
    <row r="70" spans="3:6">
      <c r="C70" s="35" t="s">
        <v>66</v>
      </c>
      <c r="D70" s="36">
        <f>COS(D23*D66)*SIN(-D68*D23)</f>
        <v>5.911688175270665E-2</v>
      </c>
      <c r="E70" s="62"/>
      <c r="F70" s="63"/>
    </row>
    <row r="71" spans="3:6">
      <c r="C71" s="35" t="s">
        <v>67</v>
      </c>
      <c r="D71" s="36">
        <f>-SIN(D23*(D9-90))*COS(D23*D66)*COS(-D68*D23)+COS(D23*(D9-90))*SIN(D23*D66)</f>
        <v>-0.8877054190661009</v>
      </c>
      <c r="E71" s="62"/>
      <c r="F71" s="63"/>
    </row>
    <row r="72" spans="3:6">
      <c r="C72" s="39" t="s">
        <v>38</v>
      </c>
      <c r="D72" s="40">
        <f>-ATAN2(D69,D70)/D23</f>
        <v>-172.62285606662809</v>
      </c>
    </row>
    <row r="73" spans="3:6">
      <c r="C73" s="64" t="s">
        <v>37</v>
      </c>
      <c r="D73" s="65">
        <f>ASIN(D71)/D23</f>
        <v>-62.586312161782558</v>
      </c>
    </row>
  </sheetData>
  <sheetProtection sheet="1" objects="1" scenarios="1"/>
  <mergeCells count="3">
    <mergeCell ref="B48:B53"/>
    <mergeCell ref="E62:F64"/>
    <mergeCell ref="E69:F71"/>
  </mergeCells>
  <pageMargins left="0.75" right="0.75" top="1" bottom="1"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3031A-8C19-A948-843A-B4313A7D53D9}">
  <dimension ref="A1"/>
  <sheetViews>
    <sheetView showGridLines="0" workbookViewId="0">
      <selection activeCell="O35" sqref="O35"/>
    </sheetView>
  </sheetViews>
  <sheetFormatPr baseColWidth="10" defaultRowHeight="1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Solar Coordinates</vt:lpstr>
      <vt:lpstr>Background</vt:lpstr>
    </vt:vector>
  </TitlesOfParts>
  <Manager/>
  <Company>Astronomy Morsels</Company>
  <LinksUpToDate>false</LinksUpToDate>
  <SharedDoc>false</SharedDoc>
  <HyperlinkBase>www.astronomy-morsels.ch</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Sun Position</dc:title>
  <dc:subject/>
  <dc:creator>Anton Viola</dc:creator>
  <cp:keywords/>
  <dc:description/>
  <cp:lastModifiedBy>Anton Viola</cp:lastModifiedBy>
  <dcterms:created xsi:type="dcterms:W3CDTF">2009-01-01T15:24:05Z</dcterms:created>
  <dcterms:modified xsi:type="dcterms:W3CDTF">2024-05-08T08:40:54Z</dcterms:modified>
  <cp:category/>
</cp:coreProperties>
</file>