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3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hanssassenburg/Library/CloudStorage/Dropbox/X_Private/20_Astronomy/Morsels/"/>
    </mc:Choice>
  </mc:AlternateContent>
  <xr:revisionPtr revIDLastSave="0" documentId="13_ncr:1_{7804B4CF-946E-2541-AC5C-006F4ED87023}" xr6:coauthVersionLast="47" xr6:coauthVersionMax="47" xr10:uidLastSave="{00000000-0000-0000-0000-000000000000}"/>
  <bookViews>
    <workbookView xWindow="3940" yWindow="3140" windowWidth="43900" windowHeight="20840" xr2:uid="{00000000-000D-0000-FFFF-FFFF00000000}"/>
  </bookViews>
  <sheets>
    <sheet name="Introduction" sheetId="9" r:id="rId1"/>
    <sheet name="Visibility" sheetId="16" r:id="rId2"/>
    <sheet name="Illumination" sheetId="18" r:id="rId3"/>
    <sheet name="Catalogue" sheetId="17" r:id="rId4"/>
  </sheets>
  <definedNames>
    <definedName name="degrees">{0;90;180;270}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20" i="16" l="1"/>
  <c r="F20" i="16"/>
  <c r="E21" i="16"/>
  <c r="F21" i="16"/>
  <c r="E22" i="16"/>
  <c r="F22" i="16"/>
  <c r="E23" i="16"/>
  <c r="F23" i="16"/>
  <c r="E24" i="16"/>
  <c r="F24" i="16"/>
  <c r="F19" i="16"/>
  <c r="E19" i="16"/>
  <c r="B25" i="18"/>
  <c r="B26" i="18" s="1"/>
  <c r="C26" i="18" s="1"/>
  <c r="C24" i="18"/>
  <c r="B24" i="18"/>
  <c r="F10" i="18"/>
  <c r="F11" i="18" s="1"/>
  <c r="G4" i="18"/>
  <c r="C2" i="18"/>
  <c r="C14" i="16"/>
  <c r="C13" i="16"/>
  <c r="S5" i="16"/>
  <c r="E25" i="16" l="1"/>
  <c r="F25" i="16"/>
  <c r="B27" i="18"/>
  <c r="F12" i="18"/>
  <c r="C25" i="18"/>
  <c r="S3" i="16"/>
  <c r="S4" i="16"/>
  <c r="T7" i="16"/>
  <c r="I7" i="16"/>
  <c r="H9" i="16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H21" i="16" s="1"/>
  <c r="H22" i="16" s="1"/>
  <c r="H23" i="16" s="1"/>
  <c r="H24" i="16" s="1"/>
  <c r="H25" i="16" s="1"/>
  <c r="H26" i="16" s="1"/>
  <c r="H27" i="16" s="1"/>
  <c r="H28" i="16" s="1"/>
  <c r="H29" i="16" s="1"/>
  <c r="H30" i="16" s="1"/>
  <c r="H31" i="16" s="1"/>
  <c r="H32" i="16" s="1"/>
  <c r="H33" i="16" s="1"/>
  <c r="H34" i="16" s="1"/>
  <c r="H35" i="16" s="1"/>
  <c r="H36" i="16" s="1"/>
  <c r="H37" i="16" s="1"/>
  <c r="H38" i="16" s="1"/>
  <c r="H39" i="16" s="1"/>
  <c r="H40" i="16" s="1"/>
  <c r="H41" i="16" s="1"/>
  <c r="H42" i="16" s="1"/>
  <c r="H43" i="16" s="1"/>
  <c r="H44" i="16" s="1"/>
  <c r="H45" i="16" s="1"/>
  <c r="H46" i="16" s="1"/>
  <c r="H47" i="16" s="1"/>
  <c r="H48" i="16" s="1"/>
  <c r="H49" i="16" s="1"/>
  <c r="H50" i="16" s="1"/>
  <c r="H51" i="16" s="1"/>
  <c r="H52" i="16" s="1"/>
  <c r="H53" i="16" s="1"/>
  <c r="H54" i="16" s="1"/>
  <c r="H55" i="16" s="1"/>
  <c r="H56" i="16" s="1"/>
  <c r="H57" i="16" s="1"/>
  <c r="H58" i="16" s="1"/>
  <c r="H59" i="16" s="1"/>
  <c r="H60" i="16" s="1"/>
  <c r="H61" i="16" s="1"/>
  <c r="H62" i="16" s="1"/>
  <c r="H63" i="16" s="1"/>
  <c r="H64" i="16" s="1"/>
  <c r="H65" i="16" s="1"/>
  <c r="H66" i="16" s="1"/>
  <c r="H67" i="16" s="1"/>
  <c r="H68" i="16" s="1"/>
  <c r="H69" i="16" s="1"/>
  <c r="H70" i="16" s="1"/>
  <c r="H71" i="16" s="1"/>
  <c r="H72" i="16" s="1"/>
  <c r="H73" i="16" s="1"/>
  <c r="H74" i="16" s="1"/>
  <c r="H75" i="16" s="1"/>
  <c r="H76" i="16" s="1"/>
  <c r="H77" i="16" s="1"/>
  <c r="H78" i="16" s="1"/>
  <c r="H79" i="16" s="1"/>
  <c r="H80" i="16" s="1"/>
  <c r="H81" i="16" s="1"/>
  <c r="H82" i="16" s="1"/>
  <c r="H83" i="16" s="1"/>
  <c r="H84" i="16" s="1"/>
  <c r="H85" i="16" s="1"/>
  <c r="H86" i="16" s="1"/>
  <c r="H87" i="16" s="1"/>
  <c r="H88" i="16" s="1"/>
  <c r="H89" i="16" s="1"/>
  <c r="H90" i="16" s="1"/>
  <c r="H91" i="16" s="1"/>
  <c r="H92" i="16" s="1"/>
  <c r="H93" i="16" s="1"/>
  <c r="H94" i="16" s="1"/>
  <c r="H95" i="16" s="1"/>
  <c r="H96" i="16" s="1"/>
  <c r="H97" i="16" s="1"/>
  <c r="H98" i="16" s="1"/>
  <c r="H99" i="16" s="1"/>
  <c r="H100" i="16" s="1"/>
  <c r="H101" i="16" s="1"/>
  <c r="H102" i="16" s="1"/>
  <c r="H103" i="16" s="1"/>
  <c r="H104" i="16" s="1"/>
  <c r="H105" i="16" s="1"/>
  <c r="H106" i="16" s="1"/>
  <c r="H107" i="16" s="1"/>
  <c r="P109" i="16"/>
  <c r="C15" i="16"/>
  <c r="C7" i="16"/>
  <c r="C8" i="16" s="1"/>
  <c r="C10" i="16" s="1"/>
  <c r="C20" i="18" s="1"/>
  <c r="D20" i="18" l="1"/>
  <c r="C3" i="18"/>
  <c r="F13" i="18"/>
  <c r="B28" i="18"/>
  <c r="C27" i="18"/>
  <c r="C9" i="16"/>
  <c r="C11" i="16"/>
  <c r="C16" i="16" s="1"/>
  <c r="C4" i="18" l="1"/>
  <c r="C6" i="18"/>
  <c r="C5" i="18"/>
  <c r="C28" i="18"/>
  <c r="B29" i="18"/>
  <c r="F14" i="18"/>
  <c r="C7" i="18" l="1"/>
  <c r="C8" i="18" s="1"/>
  <c r="F15" i="18"/>
  <c r="B30" i="18"/>
  <c r="C29" i="18"/>
  <c r="C21" i="18" l="1"/>
  <c r="G2" i="18" s="1"/>
  <c r="J3" i="18" s="1"/>
  <c r="I14" i="18" s="1"/>
  <c r="W3" i="16"/>
  <c r="B36" i="16"/>
  <c r="J14" i="18"/>
  <c r="J10" i="18"/>
  <c r="I10" i="18"/>
  <c r="B31" i="18"/>
  <c r="C31" i="18" s="1"/>
  <c r="C30" i="18"/>
  <c r="F16" i="18"/>
  <c r="I9" i="18" l="1"/>
  <c r="H15" i="18"/>
  <c r="I11" i="18"/>
  <c r="J12" i="18"/>
  <c r="J13" i="18"/>
  <c r="I12" i="18"/>
  <c r="I13" i="18"/>
  <c r="J9" i="18"/>
  <c r="J11" i="18"/>
  <c r="H11" i="18"/>
  <c r="J4" i="18"/>
  <c r="J5" i="18" s="1"/>
  <c r="G16" i="18" s="1"/>
  <c r="H12" i="18"/>
  <c r="H10" i="18"/>
  <c r="H13" i="18"/>
  <c r="H9" i="18"/>
  <c r="H14" i="18"/>
  <c r="I15" i="18"/>
  <c r="F17" i="18"/>
  <c r="J16" i="18"/>
  <c r="H16" i="18"/>
  <c r="I16" i="18"/>
  <c r="G12" i="18" l="1"/>
  <c r="G9" i="18"/>
  <c r="G11" i="18"/>
  <c r="G10" i="18"/>
  <c r="G13" i="18"/>
  <c r="G14" i="18"/>
  <c r="G15" i="18"/>
  <c r="J15" i="18" s="1"/>
  <c r="F18" i="18"/>
  <c r="G17" i="18"/>
  <c r="I17" i="18"/>
  <c r="H17" i="18"/>
  <c r="J17" i="18"/>
  <c r="G18" i="18" l="1"/>
  <c r="F19" i="18"/>
  <c r="J18" i="18"/>
  <c r="I18" i="18"/>
  <c r="H18" i="18"/>
  <c r="F20" i="18" l="1"/>
  <c r="G19" i="18"/>
  <c r="J19" i="18"/>
  <c r="I19" i="18"/>
  <c r="H19" i="18"/>
  <c r="F21" i="18" l="1"/>
  <c r="G20" i="18"/>
  <c r="H20" i="18"/>
  <c r="I20" i="18"/>
  <c r="J20" i="18"/>
  <c r="F22" i="18" l="1"/>
  <c r="G21" i="18"/>
  <c r="J21" i="18"/>
  <c r="H21" i="18"/>
  <c r="I21" i="18"/>
  <c r="F23" i="18" l="1"/>
  <c r="G22" i="18"/>
  <c r="J22" i="18" s="1"/>
  <c r="I22" i="18"/>
  <c r="H22" i="18"/>
  <c r="G23" i="18" l="1"/>
  <c r="F24" i="18"/>
  <c r="I23" i="18"/>
  <c r="J23" i="18"/>
  <c r="H23" i="18"/>
  <c r="G24" i="18" l="1"/>
  <c r="F25" i="18"/>
  <c r="H24" i="18"/>
  <c r="J24" i="18"/>
  <c r="I24" i="18"/>
  <c r="F26" i="18" l="1"/>
  <c r="G25" i="18"/>
  <c r="I25" i="18"/>
  <c r="H25" i="18"/>
  <c r="J25" i="18"/>
  <c r="G26" i="18" l="1"/>
  <c r="I26" i="18" s="1"/>
  <c r="F27" i="18"/>
  <c r="J26" i="18"/>
  <c r="H26" i="18"/>
  <c r="F28" i="18" l="1"/>
  <c r="G27" i="18"/>
  <c r="I27" i="18"/>
  <c r="H27" i="18"/>
  <c r="J27" i="18"/>
  <c r="G28" i="18" l="1"/>
  <c r="F29" i="18"/>
  <c r="J28" i="18"/>
  <c r="H28" i="18"/>
  <c r="I28" i="18"/>
  <c r="F30" i="18" l="1"/>
  <c r="G29" i="18"/>
  <c r="J29" i="18"/>
  <c r="H29" i="18"/>
  <c r="I29" i="18"/>
  <c r="G30" i="18" l="1"/>
  <c r="I30" i="18" s="1"/>
  <c r="F31" i="18"/>
  <c r="J30" i="18"/>
  <c r="H30" i="18"/>
  <c r="F32" i="18" l="1"/>
  <c r="G31" i="18"/>
  <c r="J31" i="18"/>
  <c r="H31" i="18"/>
  <c r="I31" i="18"/>
  <c r="F33" i="18" l="1"/>
  <c r="G32" i="18"/>
  <c r="I32" i="18"/>
  <c r="J32" i="18"/>
  <c r="H32" i="18"/>
  <c r="G33" i="18" l="1"/>
  <c r="F34" i="18"/>
  <c r="I33" i="18"/>
  <c r="H33" i="18"/>
  <c r="J33" i="18"/>
  <c r="G34" i="18" l="1"/>
  <c r="F35" i="18"/>
  <c r="H34" i="18"/>
  <c r="J34" i="18"/>
  <c r="I34" i="18"/>
  <c r="F36" i="18" l="1"/>
  <c r="G35" i="18"/>
  <c r="H35" i="18"/>
  <c r="I35" i="18"/>
  <c r="J35" i="18"/>
  <c r="F37" i="18" l="1"/>
  <c r="G36" i="18"/>
  <c r="J36" i="18"/>
  <c r="H36" i="18"/>
  <c r="I36" i="18"/>
  <c r="F38" i="18" l="1"/>
  <c r="G37" i="18"/>
  <c r="H37" i="18"/>
  <c r="J37" i="18"/>
  <c r="I37" i="18"/>
  <c r="F39" i="18" l="1"/>
  <c r="G38" i="18"/>
  <c r="I38" i="18"/>
  <c r="J38" i="18"/>
  <c r="H38" i="18"/>
  <c r="G39" i="18" l="1"/>
  <c r="F40" i="18"/>
  <c r="J39" i="18"/>
  <c r="I39" i="18"/>
  <c r="H39" i="18"/>
  <c r="G40" i="18" l="1"/>
  <c r="F41" i="18"/>
  <c r="H40" i="18"/>
  <c r="J40" i="18"/>
  <c r="I40" i="18"/>
  <c r="F42" i="18" l="1"/>
  <c r="G41" i="18"/>
  <c r="I41" i="18"/>
  <c r="J41" i="18"/>
  <c r="H41" i="18"/>
  <c r="F43" i="18" l="1"/>
  <c r="G42" i="18"/>
  <c r="I42" i="18"/>
  <c r="H42" i="18"/>
  <c r="J42" i="18"/>
  <c r="G43" i="18" l="1"/>
  <c r="F44" i="18"/>
  <c r="J43" i="18"/>
  <c r="H43" i="18"/>
  <c r="I43" i="18"/>
  <c r="F45" i="18" l="1"/>
  <c r="G44" i="18"/>
  <c r="H44" i="18"/>
  <c r="I44" i="18"/>
  <c r="J44" i="18"/>
  <c r="F46" i="18" l="1"/>
  <c r="G45" i="18"/>
  <c r="J45" i="18"/>
  <c r="I45" i="18"/>
  <c r="H45" i="18"/>
  <c r="G46" i="18" l="1"/>
  <c r="F47" i="18"/>
  <c r="H46" i="18"/>
  <c r="I46" i="18"/>
  <c r="J46" i="18"/>
  <c r="G47" i="18" l="1"/>
  <c r="F48" i="18"/>
  <c r="I47" i="18"/>
  <c r="H47" i="18"/>
  <c r="J47" i="18"/>
  <c r="F49" i="18" l="1"/>
  <c r="G48" i="18"/>
  <c r="J48" i="18"/>
  <c r="I48" i="18"/>
  <c r="H48" i="18"/>
  <c r="G49" i="18" l="1"/>
  <c r="F50" i="18"/>
  <c r="I49" i="18"/>
  <c r="J49" i="18"/>
  <c r="H49" i="18"/>
  <c r="G50" i="18" l="1"/>
  <c r="F51" i="18"/>
  <c r="J50" i="18"/>
  <c r="H50" i="18"/>
  <c r="I50" i="18"/>
  <c r="F52" i="18" l="1"/>
  <c r="G51" i="18"/>
  <c r="H51" i="18"/>
  <c r="I51" i="18"/>
  <c r="J51" i="18"/>
  <c r="F53" i="18" l="1"/>
  <c r="G52" i="18"/>
  <c r="J52" i="18"/>
  <c r="I52" i="18"/>
  <c r="H52" i="18"/>
  <c r="F54" i="18" l="1"/>
  <c r="G53" i="18"/>
  <c r="H53" i="18"/>
  <c r="I53" i="18"/>
  <c r="J53" i="18"/>
  <c r="F55" i="18" l="1"/>
  <c r="G54" i="18"/>
  <c r="I54" i="18"/>
  <c r="H54" i="18"/>
  <c r="J54" i="18"/>
  <c r="F56" i="18" l="1"/>
  <c r="G55" i="18"/>
  <c r="H55" i="18"/>
  <c r="J55" i="18"/>
  <c r="I55" i="18"/>
  <c r="G56" i="18" l="1"/>
  <c r="F57" i="18"/>
  <c r="H56" i="18"/>
  <c r="I56" i="18"/>
  <c r="J56" i="18"/>
  <c r="F58" i="18" l="1"/>
  <c r="G57" i="18"/>
  <c r="H57" i="18"/>
  <c r="J57" i="18"/>
  <c r="I57" i="18"/>
  <c r="F59" i="18" l="1"/>
  <c r="G58" i="18"/>
  <c r="I58" i="18"/>
  <c r="H58" i="18"/>
  <c r="J58" i="18"/>
  <c r="G59" i="18" l="1"/>
  <c r="F60" i="18"/>
  <c r="H59" i="18"/>
  <c r="J59" i="18"/>
  <c r="I59" i="18"/>
  <c r="F61" i="18" l="1"/>
  <c r="G60" i="18"/>
  <c r="I60" i="18"/>
  <c r="H60" i="18"/>
  <c r="J60" i="18"/>
  <c r="F62" i="18" l="1"/>
  <c r="G61" i="18"/>
  <c r="I61" i="18"/>
  <c r="H61" i="18"/>
  <c r="J61" i="18"/>
  <c r="G62" i="18" l="1"/>
  <c r="F63" i="18"/>
  <c r="I62" i="18"/>
  <c r="H62" i="18"/>
  <c r="J62" i="18"/>
  <c r="F64" i="18" l="1"/>
  <c r="G63" i="18"/>
  <c r="H63" i="18"/>
  <c r="I63" i="18"/>
  <c r="J63" i="18"/>
  <c r="F65" i="18" l="1"/>
  <c r="G64" i="18"/>
  <c r="J64" i="18"/>
  <c r="I64" i="18"/>
  <c r="H64" i="18"/>
  <c r="G65" i="18" l="1"/>
  <c r="F66" i="18"/>
  <c r="I65" i="18"/>
  <c r="J65" i="18"/>
  <c r="H65" i="18"/>
  <c r="F67" i="18" l="1"/>
  <c r="G66" i="18"/>
  <c r="I66" i="18"/>
  <c r="J66" i="18"/>
  <c r="H66" i="18"/>
  <c r="F68" i="18" l="1"/>
  <c r="G67" i="18"/>
  <c r="J67" i="18"/>
  <c r="H67" i="18"/>
  <c r="I67" i="18"/>
  <c r="F69" i="18" l="1"/>
  <c r="G68" i="18"/>
  <c r="J68" i="18"/>
  <c r="H68" i="18"/>
  <c r="I68" i="18"/>
  <c r="G69" i="18" l="1"/>
  <c r="F70" i="18"/>
  <c r="H69" i="18"/>
  <c r="J69" i="18"/>
  <c r="I69" i="18"/>
  <c r="F71" i="18" l="1"/>
  <c r="G70" i="18"/>
  <c r="I70" i="18"/>
  <c r="J70" i="18"/>
  <c r="H70" i="18"/>
  <c r="F72" i="18" l="1"/>
  <c r="G71" i="18"/>
  <c r="I71" i="18"/>
  <c r="H71" i="18"/>
  <c r="J71" i="18"/>
  <c r="G72" i="18" l="1"/>
  <c r="F73" i="18"/>
  <c r="I72" i="18"/>
  <c r="H72" i="18"/>
  <c r="J72" i="18"/>
  <c r="F74" i="18" l="1"/>
  <c r="G73" i="18"/>
  <c r="H73" i="18"/>
  <c r="J73" i="18"/>
  <c r="I73" i="18"/>
  <c r="F75" i="18" l="1"/>
  <c r="G74" i="18"/>
  <c r="H74" i="18"/>
  <c r="J74" i="18"/>
  <c r="I74" i="18"/>
  <c r="G75" i="18" l="1"/>
  <c r="F76" i="18"/>
  <c r="I75" i="18"/>
  <c r="J75" i="18"/>
  <c r="H75" i="18"/>
  <c r="F77" i="18" l="1"/>
  <c r="G76" i="18"/>
  <c r="I76" i="18"/>
  <c r="J76" i="18"/>
  <c r="H76" i="18"/>
  <c r="F78" i="18" l="1"/>
  <c r="G77" i="18"/>
  <c r="H77" i="18"/>
  <c r="J77" i="18"/>
  <c r="I77" i="18"/>
  <c r="G78" i="18" l="1"/>
  <c r="F79" i="18"/>
  <c r="I78" i="18"/>
  <c r="J78" i="18"/>
  <c r="H78" i="18"/>
  <c r="G79" i="18" l="1"/>
  <c r="F80" i="18"/>
  <c r="I79" i="18"/>
  <c r="J79" i="18"/>
  <c r="H79" i="18"/>
  <c r="G80" i="18" l="1"/>
  <c r="F81" i="18"/>
  <c r="I80" i="18"/>
  <c r="J80" i="18"/>
  <c r="H80" i="18"/>
  <c r="G81" i="18" l="1"/>
  <c r="F82" i="18"/>
  <c r="I81" i="18"/>
  <c r="H81" i="18"/>
  <c r="J81" i="18"/>
  <c r="F83" i="18" l="1"/>
  <c r="G82" i="18"/>
  <c r="H82" i="18"/>
  <c r="I82" i="18"/>
  <c r="J82" i="18"/>
  <c r="F84" i="18" l="1"/>
  <c r="G83" i="18"/>
  <c r="J83" i="18"/>
  <c r="I83" i="18"/>
  <c r="H83" i="18"/>
  <c r="F85" i="18" l="1"/>
  <c r="G84" i="18"/>
  <c r="H84" i="18"/>
  <c r="I84" i="18"/>
  <c r="J84" i="18"/>
  <c r="G85" i="18" l="1"/>
  <c r="F86" i="18"/>
  <c r="I85" i="18"/>
  <c r="J85" i="18"/>
  <c r="H85" i="18"/>
  <c r="F87" i="18" l="1"/>
  <c r="G86" i="18"/>
  <c r="J86" i="18"/>
  <c r="I86" i="18"/>
  <c r="H86" i="18"/>
  <c r="F88" i="18" l="1"/>
  <c r="G87" i="18"/>
  <c r="I87" i="18"/>
  <c r="H87" i="18"/>
  <c r="J87" i="18"/>
  <c r="G88" i="18" l="1"/>
  <c r="F89" i="18"/>
  <c r="J88" i="18"/>
  <c r="I88" i="18"/>
  <c r="H88" i="18"/>
  <c r="F90" i="18" l="1"/>
  <c r="G89" i="18"/>
  <c r="H89" i="18"/>
  <c r="I89" i="18"/>
  <c r="J89" i="18"/>
  <c r="F91" i="18" l="1"/>
  <c r="G90" i="18"/>
  <c r="J90" i="18"/>
  <c r="I90" i="18"/>
  <c r="H90" i="18"/>
  <c r="G91" i="18" l="1"/>
  <c r="F92" i="18"/>
  <c r="J91" i="18"/>
  <c r="I91" i="18"/>
  <c r="H91" i="18"/>
  <c r="F93" i="18" l="1"/>
  <c r="G92" i="18"/>
  <c r="J92" i="18"/>
  <c r="I92" i="18"/>
  <c r="H92" i="18"/>
  <c r="F94" i="18" l="1"/>
  <c r="G93" i="18"/>
  <c r="I93" i="18"/>
  <c r="H93" i="18"/>
  <c r="J93" i="18"/>
  <c r="G94" i="18" l="1"/>
  <c r="F95" i="18"/>
  <c r="J94" i="18"/>
  <c r="I94" i="18"/>
  <c r="H94" i="18"/>
  <c r="F96" i="18" l="1"/>
  <c r="G95" i="18"/>
  <c r="H95" i="18"/>
  <c r="I95" i="18"/>
  <c r="J95" i="18"/>
  <c r="F97" i="18" l="1"/>
  <c r="G96" i="18"/>
  <c r="J96" i="18"/>
  <c r="H96" i="18"/>
  <c r="I96" i="18"/>
  <c r="G97" i="18" l="1"/>
  <c r="F98" i="18"/>
  <c r="H97" i="18"/>
  <c r="I97" i="18"/>
  <c r="J97" i="18"/>
  <c r="G98" i="18" l="1"/>
  <c r="F99" i="18"/>
  <c r="H98" i="18"/>
  <c r="J98" i="18"/>
  <c r="I98" i="18"/>
  <c r="F100" i="18" l="1"/>
  <c r="G99" i="18"/>
  <c r="I99" i="18"/>
  <c r="J99" i="18"/>
  <c r="H99" i="18"/>
  <c r="F101" i="18" l="1"/>
  <c r="G100" i="18"/>
  <c r="I100" i="18"/>
  <c r="J100" i="18"/>
  <c r="H100" i="18"/>
  <c r="G101" i="18" l="1"/>
  <c r="F102" i="18"/>
  <c r="J101" i="18"/>
  <c r="I101" i="18"/>
  <c r="H101" i="18"/>
  <c r="F103" i="18" l="1"/>
  <c r="G102" i="18"/>
  <c r="J102" i="18"/>
  <c r="H102" i="18"/>
  <c r="I102" i="18"/>
  <c r="F104" i="18" l="1"/>
  <c r="G103" i="18"/>
  <c r="J103" i="18"/>
  <c r="H103" i="18"/>
  <c r="I103" i="18"/>
  <c r="G104" i="18" l="1"/>
  <c r="F105" i="18"/>
  <c r="J104" i="18"/>
  <c r="H104" i="18"/>
  <c r="I104" i="18"/>
  <c r="F106" i="18" l="1"/>
  <c r="G105" i="18"/>
  <c r="J105" i="18"/>
  <c r="I105" i="18"/>
  <c r="H105" i="18"/>
  <c r="F107" i="18" l="1"/>
  <c r="G106" i="18"/>
  <c r="H106" i="18"/>
  <c r="J106" i="18"/>
  <c r="I106" i="18"/>
  <c r="G107" i="18" l="1"/>
  <c r="F108" i="18"/>
  <c r="J107" i="18"/>
  <c r="H107" i="18"/>
  <c r="I107" i="18"/>
  <c r="F109" i="18" l="1"/>
  <c r="G108" i="18"/>
  <c r="J108" i="18"/>
  <c r="H108" i="18"/>
  <c r="I108" i="18"/>
  <c r="F110" i="18" l="1"/>
  <c r="G109" i="18"/>
  <c r="J109" i="18"/>
  <c r="H109" i="18"/>
  <c r="I109" i="18"/>
  <c r="G110" i="18" l="1"/>
  <c r="F111" i="18"/>
  <c r="J110" i="18"/>
  <c r="H110" i="18"/>
  <c r="I110" i="18"/>
  <c r="F112" i="18" l="1"/>
  <c r="G111" i="18"/>
  <c r="I111" i="18"/>
  <c r="H111" i="18"/>
  <c r="J111" i="18"/>
  <c r="F113" i="18" l="1"/>
  <c r="G112" i="18"/>
  <c r="J112" i="18" s="1"/>
  <c r="H112" i="18"/>
  <c r="I112" i="18"/>
  <c r="G113" i="18" l="1"/>
  <c r="F114" i="18"/>
  <c r="H113" i="18"/>
  <c r="I113" i="18"/>
  <c r="J113" i="18"/>
  <c r="G114" i="18" l="1"/>
  <c r="F115" i="18"/>
  <c r="I114" i="18"/>
  <c r="J114" i="18"/>
  <c r="H114" i="18"/>
  <c r="F116" i="18" l="1"/>
  <c r="G115" i="18"/>
  <c r="I115" i="18"/>
  <c r="H115" i="18"/>
  <c r="J115" i="18"/>
  <c r="F117" i="18" l="1"/>
  <c r="G116" i="18"/>
  <c r="J116" i="18"/>
  <c r="H116" i="18"/>
  <c r="I116" i="18"/>
  <c r="F118" i="18" l="1"/>
  <c r="G117" i="18"/>
  <c r="J117" i="18"/>
  <c r="H117" i="18"/>
  <c r="I117" i="18"/>
  <c r="F119" i="18" l="1"/>
  <c r="G118" i="18"/>
  <c r="I118" i="18"/>
  <c r="H118" i="18"/>
  <c r="J118" i="18"/>
  <c r="F120" i="18" l="1"/>
  <c r="G119" i="18"/>
  <c r="J119" i="18"/>
  <c r="H119" i="18"/>
  <c r="I119" i="18"/>
  <c r="G120" i="18" l="1"/>
  <c r="I120" i="18" s="1"/>
  <c r="F121" i="18"/>
  <c r="J120" i="18"/>
  <c r="H120" i="18"/>
  <c r="F122" i="18" l="1"/>
  <c r="G121" i="18"/>
  <c r="I121" i="18"/>
  <c r="H121" i="18"/>
  <c r="J121" i="18"/>
  <c r="F123" i="18" l="1"/>
  <c r="G122" i="18"/>
  <c r="I122" i="18"/>
  <c r="H122" i="18"/>
  <c r="J122" i="18"/>
  <c r="G123" i="18" l="1"/>
  <c r="F124" i="18"/>
  <c r="J123" i="18"/>
  <c r="I123" i="18"/>
  <c r="H123" i="18"/>
  <c r="F125" i="18" l="1"/>
  <c r="G124" i="18"/>
  <c r="H124" i="18"/>
  <c r="J124" i="18"/>
  <c r="I124" i="18"/>
  <c r="F126" i="18" l="1"/>
  <c r="G125" i="18"/>
  <c r="J125" i="18"/>
  <c r="I125" i="18"/>
  <c r="H125" i="18"/>
  <c r="G126" i="18" l="1"/>
  <c r="F127" i="18"/>
  <c r="J126" i="18"/>
  <c r="H126" i="18"/>
  <c r="I126" i="18"/>
  <c r="G127" i="18" l="1"/>
  <c r="F128" i="18"/>
  <c r="H127" i="18"/>
  <c r="I127" i="18"/>
  <c r="J127" i="18"/>
  <c r="G128" i="18" l="1"/>
  <c r="J128" i="18" s="1"/>
  <c r="F129" i="18"/>
  <c r="I128" i="18"/>
  <c r="H128" i="18"/>
  <c r="G129" i="18" l="1"/>
  <c r="F130" i="18"/>
  <c r="I129" i="18"/>
  <c r="J129" i="18"/>
  <c r="H129" i="18"/>
  <c r="G130" i="18" l="1"/>
  <c r="F131" i="18"/>
  <c r="J130" i="18"/>
  <c r="I130" i="18"/>
  <c r="H130" i="18"/>
  <c r="F132" i="18" l="1"/>
  <c r="G131" i="18"/>
  <c r="I131" i="18"/>
  <c r="J131" i="18"/>
  <c r="H131" i="18"/>
  <c r="F133" i="18" l="1"/>
  <c r="G132" i="18"/>
  <c r="J132" i="18" s="1"/>
  <c r="I132" i="18"/>
  <c r="H132" i="18"/>
  <c r="F134" i="18" l="1"/>
  <c r="G133" i="18"/>
  <c r="H133" i="18"/>
  <c r="I133" i="18"/>
  <c r="J133" i="18"/>
  <c r="F135" i="18" l="1"/>
  <c r="G134" i="18"/>
  <c r="J134" i="18"/>
  <c r="H134" i="18"/>
  <c r="I134" i="18"/>
  <c r="F136" i="18" l="1"/>
  <c r="G135" i="18"/>
  <c r="H135" i="18"/>
  <c r="I135" i="18"/>
  <c r="J135" i="18"/>
  <c r="G136" i="18" l="1"/>
  <c r="F137" i="18"/>
  <c r="J136" i="18"/>
  <c r="I136" i="18"/>
  <c r="H136" i="18"/>
  <c r="F138" i="18" l="1"/>
  <c r="G137" i="18"/>
  <c r="J137" i="18"/>
  <c r="I137" i="18"/>
  <c r="H137" i="18"/>
  <c r="F139" i="18" l="1"/>
  <c r="G138" i="18"/>
  <c r="I138" i="18"/>
  <c r="H138" i="18"/>
  <c r="J138" i="18"/>
  <c r="G139" i="18" l="1"/>
  <c r="F140" i="18"/>
  <c r="J139" i="18"/>
  <c r="H139" i="18"/>
  <c r="I139" i="18"/>
  <c r="F141" i="18" l="1"/>
  <c r="G140" i="18"/>
  <c r="I140" i="18"/>
  <c r="H140" i="18"/>
  <c r="J140" i="18"/>
  <c r="F142" i="18" l="1"/>
  <c r="G141" i="18"/>
  <c r="I141" i="18"/>
  <c r="H141" i="18"/>
  <c r="J141" i="18"/>
  <c r="G142" i="18" l="1"/>
  <c r="F143" i="18"/>
  <c r="I142" i="18"/>
  <c r="J142" i="18"/>
  <c r="H142" i="18"/>
  <c r="G143" i="18" l="1"/>
  <c r="F144" i="18"/>
  <c r="H143" i="18"/>
  <c r="I143" i="18"/>
  <c r="J143" i="18"/>
  <c r="F145" i="18" l="1"/>
  <c r="G144" i="18"/>
  <c r="J144" i="18"/>
  <c r="I144" i="18"/>
  <c r="H144" i="18"/>
  <c r="G145" i="18" l="1"/>
  <c r="F146" i="18"/>
  <c r="J145" i="18"/>
  <c r="H145" i="18"/>
  <c r="I145" i="18"/>
  <c r="G146" i="18" l="1"/>
  <c r="F147" i="18"/>
  <c r="J146" i="18"/>
  <c r="H146" i="18"/>
  <c r="I146" i="18"/>
  <c r="F148" i="18" l="1"/>
  <c r="G147" i="18"/>
  <c r="H147" i="18"/>
  <c r="J147" i="18"/>
  <c r="I147" i="18"/>
  <c r="F149" i="18" l="1"/>
  <c r="G148" i="18"/>
  <c r="J148" i="18"/>
  <c r="H148" i="18"/>
  <c r="I148" i="18"/>
  <c r="F150" i="18" l="1"/>
  <c r="G149" i="18"/>
  <c r="J149" i="18"/>
  <c r="H149" i="18"/>
  <c r="I149" i="18"/>
  <c r="F151" i="18" l="1"/>
  <c r="G150" i="18"/>
  <c r="I150" i="18"/>
  <c r="J150" i="18"/>
  <c r="H150" i="18"/>
  <c r="F152" i="18" l="1"/>
  <c r="G151" i="18"/>
  <c r="H151" i="18"/>
  <c r="I151" i="18"/>
  <c r="J151" i="18"/>
  <c r="G152" i="18" l="1"/>
  <c r="F153" i="18"/>
  <c r="I152" i="18"/>
  <c r="H152" i="18"/>
  <c r="J152" i="18"/>
  <c r="F154" i="18" l="1"/>
  <c r="G153" i="18"/>
  <c r="H153" i="18"/>
  <c r="I153" i="18"/>
  <c r="J153" i="18"/>
  <c r="F155" i="18" l="1"/>
  <c r="G154" i="18"/>
  <c r="H154" i="18"/>
  <c r="J154" i="18"/>
  <c r="I154" i="18"/>
  <c r="G155" i="18" l="1"/>
  <c r="F156" i="18"/>
  <c r="J155" i="18"/>
  <c r="I155" i="18"/>
  <c r="H155" i="18"/>
  <c r="F157" i="18" l="1"/>
  <c r="G156" i="18"/>
  <c r="I156" i="18" s="1"/>
  <c r="H156" i="18"/>
  <c r="J156" i="18" l="1"/>
  <c r="F158" i="18"/>
  <c r="G157" i="18"/>
  <c r="I157" i="18" s="1"/>
  <c r="H157" i="18"/>
  <c r="J157" i="18" l="1"/>
  <c r="G158" i="18"/>
  <c r="F159" i="18"/>
  <c r="I158" i="18"/>
  <c r="J158" i="18"/>
  <c r="H158" i="18"/>
  <c r="F160" i="18" l="1"/>
  <c r="G159" i="18"/>
  <c r="I159" i="18"/>
  <c r="J159" i="18"/>
  <c r="H159" i="18"/>
  <c r="F161" i="18" l="1"/>
  <c r="G160" i="18"/>
  <c r="J160" i="18"/>
  <c r="I160" i="18"/>
  <c r="H160" i="18"/>
  <c r="G161" i="18" l="1"/>
  <c r="F162" i="18"/>
  <c r="I161" i="18"/>
  <c r="H161" i="18"/>
  <c r="J161" i="18"/>
  <c r="F163" i="18" l="1"/>
  <c r="G162" i="18"/>
  <c r="J162" i="18"/>
  <c r="I162" i="18"/>
  <c r="H162" i="18"/>
  <c r="F164" i="18" l="1"/>
  <c r="G163" i="18"/>
  <c r="J163" i="18"/>
  <c r="I163" i="18"/>
  <c r="H163" i="18"/>
  <c r="F165" i="18" l="1"/>
  <c r="G164" i="18"/>
  <c r="J164" i="18"/>
  <c r="H164" i="18"/>
  <c r="I164" i="18"/>
  <c r="G165" i="18" l="1"/>
  <c r="F166" i="18"/>
  <c r="H165" i="18"/>
  <c r="J165" i="18"/>
  <c r="I165" i="18"/>
  <c r="F167" i="18" l="1"/>
  <c r="G166" i="18"/>
  <c r="H166" i="18"/>
  <c r="J166" i="18"/>
  <c r="I166" i="18"/>
  <c r="F168" i="18" l="1"/>
  <c r="G167" i="18"/>
  <c r="I167" i="18"/>
  <c r="H167" i="18"/>
  <c r="J167" i="18"/>
  <c r="G168" i="18" l="1"/>
  <c r="F169" i="18"/>
  <c r="I168" i="18"/>
  <c r="J168" i="18"/>
  <c r="H168" i="18"/>
  <c r="F170" i="18" l="1"/>
  <c r="G169" i="18"/>
  <c r="I169" i="18"/>
  <c r="J169" i="18"/>
  <c r="H169" i="18"/>
  <c r="F171" i="18" l="1"/>
  <c r="G170" i="18"/>
  <c r="J170" i="18"/>
  <c r="I170" i="18"/>
  <c r="H170" i="18"/>
  <c r="G171" i="18" l="1"/>
  <c r="F172" i="18"/>
  <c r="I171" i="18"/>
  <c r="H171" i="18"/>
  <c r="J171" i="18"/>
  <c r="F173" i="18" l="1"/>
  <c r="G172" i="18"/>
  <c r="H172" i="18"/>
  <c r="J172" i="18"/>
  <c r="I172" i="18"/>
  <c r="F174" i="18" l="1"/>
  <c r="G173" i="18"/>
  <c r="H173" i="18"/>
  <c r="I173" i="18"/>
  <c r="J173" i="18"/>
  <c r="G174" i="18" l="1"/>
  <c r="F175" i="18"/>
  <c r="I174" i="18"/>
  <c r="J174" i="18"/>
  <c r="H174" i="18"/>
  <c r="G175" i="18" l="1"/>
  <c r="F176" i="18"/>
  <c r="H175" i="18"/>
  <c r="J175" i="18"/>
  <c r="I175" i="18"/>
  <c r="F177" i="18" l="1"/>
  <c r="G176" i="18"/>
  <c r="J176" i="18"/>
  <c r="I176" i="18"/>
  <c r="H176" i="18"/>
  <c r="G177" i="18" l="1"/>
  <c r="F178" i="18"/>
  <c r="H177" i="18"/>
  <c r="I177" i="18"/>
  <c r="J177" i="18"/>
  <c r="F179" i="18" l="1"/>
  <c r="G178" i="18"/>
  <c r="H178" i="18"/>
  <c r="J178" i="18"/>
  <c r="I178" i="18"/>
  <c r="F180" i="18" l="1"/>
  <c r="G179" i="18"/>
  <c r="I179" i="18"/>
  <c r="J179" i="18"/>
  <c r="H179" i="18"/>
  <c r="F181" i="18" l="1"/>
  <c r="G180" i="18"/>
  <c r="I180" i="18"/>
  <c r="J180" i="18"/>
  <c r="H180" i="18"/>
  <c r="F182" i="18" l="1"/>
  <c r="G181" i="18"/>
  <c r="I181" i="18"/>
  <c r="H181" i="18"/>
  <c r="J181" i="18"/>
  <c r="F183" i="18" l="1"/>
  <c r="G182" i="18"/>
  <c r="J182" i="18" s="1"/>
  <c r="H182" i="18"/>
  <c r="I182" i="18" l="1"/>
  <c r="F184" i="18"/>
  <c r="G183" i="18"/>
  <c r="J183" i="18" s="1"/>
  <c r="H183" i="18"/>
  <c r="I183" i="18" l="1"/>
  <c r="G184" i="18"/>
  <c r="J184" i="18" s="1"/>
  <c r="F185" i="18"/>
  <c r="H184" i="18"/>
  <c r="I184" i="18" l="1"/>
  <c r="F186" i="18"/>
  <c r="G185" i="18"/>
  <c r="I185" i="18" s="1"/>
  <c r="H185" i="18"/>
  <c r="J185" i="18" l="1"/>
  <c r="F187" i="18"/>
  <c r="G186" i="18"/>
  <c r="J186" i="18" s="1"/>
  <c r="H186" i="18"/>
  <c r="I186" i="18" l="1"/>
  <c r="G187" i="18"/>
  <c r="I187" i="18" s="1"/>
  <c r="F188" i="18"/>
  <c r="H187" i="18"/>
  <c r="J187" i="18" l="1"/>
  <c r="F189" i="18"/>
  <c r="G188" i="18"/>
  <c r="J188" i="18" s="1"/>
  <c r="H188" i="18"/>
  <c r="I188" i="18" l="1"/>
  <c r="F190" i="18"/>
  <c r="G189" i="18"/>
  <c r="H189" i="18"/>
  <c r="I189" i="18"/>
  <c r="J189" i="18"/>
  <c r="G190" i="18" l="1"/>
  <c r="F191" i="18"/>
  <c r="J190" i="18"/>
  <c r="H190" i="18"/>
  <c r="I190" i="18"/>
  <c r="F192" i="18" l="1"/>
  <c r="G191" i="18"/>
  <c r="I191" i="18"/>
  <c r="H191" i="18"/>
  <c r="J191" i="18"/>
  <c r="F193" i="18" l="1"/>
  <c r="G192" i="18"/>
  <c r="I192" i="18" s="1"/>
  <c r="H192" i="18"/>
  <c r="J192" i="18"/>
  <c r="G193" i="18" l="1"/>
  <c r="F194" i="18"/>
  <c r="H193" i="18"/>
  <c r="I193" i="18"/>
  <c r="J193" i="18"/>
  <c r="G194" i="18" l="1"/>
  <c r="F195" i="18"/>
  <c r="J194" i="18"/>
  <c r="H194" i="18"/>
  <c r="I194" i="18"/>
  <c r="F196" i="18" l="1"/>
  <c r="G195" i="18"/>
  <c r="I195" i="18"/>
  <c r="H195" i="18"/>
  <c r="J195" i="18"/>
  <c r="F197" i="18" l="1"/>
  <c r="G196" i="18"/>
  <c r="I196" i="18" s="1"/>
  <c r="J196" i="18"/>
  <c r="H196" i="18"/>
  <c r="G197" i="18" l="1"/>
  <c r="F198" i="18"/>
  <c r="I197" i="18"/>
  <c r="J197" i="18"/>
  <c r="H197" i="18"/>
  <c r="F199" i="18" l="1"/>
  <c r="G198" i="18"/>
  <c r="H198" i="18"/>
  <c r="I198" i="18"/>
  <c r="J198" i="18"/>
  <c r="F200" i="18" l="1"/>
  <c r="G199" i="18"/>
  <c r="I199" i="18"/>
  <c r="H199" i="18"/>
  <c r="J199" i="18"/>
  <c r="G200" i="18" l="1"/>
  <c r="F201" i="18"/>
  <c r="I200" i="18"/>
  <c r="J200" i="18"/>
  <c r="H200" i="18"/>
  <c r="F202" i="18" l="1"/>
  <c r="G201" i="18"/>
  <c r="J201" i="18"/>
  <c r="H201" i="18"/>
  <c r="I201" i="18"/>
  <c r="F203" i="18" l="1"/>
  <c r="G202" i="18"/>
  <c r="I202" i="18"/>
  <c r="J202" i="18"/>
  <c r="H202" i="18"/>
  <c r="G203" i="18" l="1"/>
  <c r="F204" i="18"/>
  <c r="I203" i="18"/>
  <c r="H203" i="18"/>
  <c r="J203" i="18"/>
  <c r="F205" i="18" l="1"/>
  <c r="G204" i="18"/>
  <c r="H204" i="18"/>
  <c r="I204" i="18"/>
  <c r="J204" i="18"/>
  <c r="F206" i="18" l="1"/>
  <c r="G205" i="18"/>
  <c r="H205" i="18"/>
  <c r="J205" i="18"/>
  <c r="I205" i="18"/>
  <c r="G206" i="18" l="1"/>
  <c r="F207" i="18"/>
  <c r="H206" i="18"/>
  <c r="J206" i="18"/>
  <c r="I206" i="18"/>
  <c r="F208" i="18" l="1"/>
  <c r="G207" i="18"/>
  <c r="J207" i="18"/>
  <c r="H207" i="18"/>
  <c r="I207" i="18"/>
  <c r="F209" i="18" l="1"/>
  <c r="G208" i="18"/>
  <c r="H208" i="18"/>
  <c r="J208" i="18"/>
  <c r="I208" i="18"/>
  <c r="G209" i="18" l="1"/>
  <c r="H209" i="18"/>
  <c r="I209" i="18"/>
  <c r="J209" i="18"/>
  <c r="P105" i="16"/>
  <c r="P9" i="16"/>
  <c r="P90" i="16"/>
  <c r="P101" i="16"/>
  <c r="P59" i="16"/>
  <c r="P35" i="16"/>
  <c r="P103" i="16"/>
  <c r="P98" i="16"/>
  <c r="P55" i="16"/>
  <c r="P31" i="16"/>
  <c r="P104" i="16"/>
  <c r="P67" i="16"/>
  <c r="P75" i="16"/>
  <c r="P40" i="16"/>
  <c r="P99" i="16"/>
  <c r="P12" i="16"/>
  <c r="P97" i="16"/>
  <c r="P91" i="16"/>
  <c r="P81" i="16"/>
  <c r="P64" i="16"/>
  <c r="P70" i="16"/>
  <c r="P106" i="16"/>
  <c r="P37" i="16"/>
  <c r="P80" i="16"/>
  <c r="P88" i="16"/>
  <c r="P57" i="16"/>
  <c r="P27" i="16"/>
  <c r="P51" i="16"/>
  <c r="P45" i="16"/>
  <c r="P107" i="16"/>
  <c r="P11" i="16"/>
  <c r="P56" i="16"/>
  <c r="P72" i="16"/>
  <c r="P29" i="16"/>
  <c r="L29" i="16" s="1"/>
  <c r="P15" i="16"/>
  <c r="P33" i="16"/>
  <c r="P23" i="16"/>
  <c r="P20" i="16"/>
  <c r="P34" i="16"/>
  <c r="P96" i="16"/>
  <c r="L96" i="16" s="1"/>
  <c r="P53" i="16"/>
  <c r="P14" i="16"/>
  <c r="L14" i="16" s="1"/>
  <c r="P73" i="16"/>
  <c r="P18" i="16"/>
  <c r="P30" i="16"/>
  <c r="P54" i="16"/>
  <c r="P85" i="16"/>
  <c r="P26" i="16"/>
  <c r="P63" i="16"/>
  <c r="P8" i="16"/>
  <c r="L8" i="16" s="1"/>
  <c r="P58" i="16"/>
  <c r="P22" i="16"/>
  <c r="P82" i="16"/>
  <c r="P44" i="16"/>
  <c r="P69" i="16"/>
  <c r="P38" i="16"/>
  <c r="P94" i="16"/>
  <c r="P17" i="16"/>
  <c r="L17" i="16" s="1"/>
  <c r="P24" i="16"/>
  <c r="P43" i="16"/>
  <c r="P92" i="16"/>
  <c r="P32" i="16"/>
  <c r="P19" i="16"/>
  <c r="P13" i="16"/>
  <c r="P68" i="16"/>
  <c r="P76" i="16"/>
  <c r="L76" i="16" s="1"/>
  <c r="P71" i="16"/>
  <c r="P102" i="16"/>
  <c r="P65" i="16"/>
  <c r="P28" i="16"/>
  <c r="P93" i="16"/>
  <c r="P84" i="16"/>
  <c r="P66" i="16"/>
  <c r="P42" i="16"/>
  <c r="P100" i="16"/>
  <c r="L100" i="16" s="1"/>
  <c r="P79" i="16"/>
  <c r="P46" i="16"/>
  <c r="P89" i="16"/>
  <c r="P87" i="16"/>
  <c r="P83" i="16"/>
  <c r="P61" i="16"/>
  <c r="P21" i="16"/>
  <c r="L21" i="16" s="1"/>
  <c r="P39" i="16"/>
  <c r="L39" i="16" s="1"/>
  <c r="P52" i="16"/>
  <c r="P16" i="16"/>
  <c r="P60" i="16"/>
  <c r="P10" i="16"/>
  <c r="P77" i="16"/>
  <c r="L77" i="16" s="1"/>
  <c r="K77" i="16" s="1"/>
  <c r="G77" i="16" s="1"/>
  <c r="P86" i="16"/>
  <c r="P41" i="16"/>
  <c r="L41" i="16" s="1"/>
  <c r="P62" i="16"/>
  <c r="L62" i="16" s="1"/>
  <c r="P50" i="16"/>
  <c r="P48" i="16"/>
  <c r="P36" i="16"/>
  <c r="P47" i="16"/>
  <c r="P49" i="16"/>
  <c r="P74" i="16"/>
  <c r="P78" i="16"/>
  <c r="L78" i="16" s="1"/>
  <c r="P95" i="16"/>
  <c r="L95" i="16" s="1"/>
  <c r="P25" i="16"/>
  <c r="L101" i="16"/>
  <c r="K101" i="16" s="1"/>
  <c r="L102" i="16"/>
  <c r="K102" i="16" s="1"/>
  <c r="L44" i="16"/>
  <c r="L53" i="16"/>
  <c r="L69" i="16"/>
  <c r="L22" i="16"/>
  <c r="K22" i="16" s="1"/>
  <c r="L54" i="16"/>
  <c r="L52" i="16"/>
  <c r="K52" i="16" s="1"/>
  <c r="L68" i="16"/>
  <c r="L92" i="16"/>
  <c r="L61" i="16"/>
  <c r="L85" i="16"/>
  <c r="L38" i="16"/>
  <c r="K38" i="16" s="1"/>
  <c r="G38" i="16" s="1"/>
  <c r="L23" i="16"/>
  <c r="L63" i="16"/>
  <c r="L16" i="16"/>
  <c r="L32" i="16"/>
  <c r="L56" i="16"/>
  <c r="K56" i="16" s="1"/>
  <c r="G56" i="16" s="1"/>
  <c r="L72" i="16"/>
  <c r="L105" i="16"/>
  <c r="L106" i="16"/>
  <c r="L12" i="16"/>
  <c r="K12" i="16" s="1"/>
  <c r="L84" i="16"/>
  <c r="K84" i="16" s="1"/>
  <c r="L36" i="16"/>
  <c r="L13" i="16"/>
  <c r="L45" i="16"/>
  <c r="L30" i="16"/>
  <c r="L46" i="16"/>
  <c r="L70" i="16"/>
  <c r="L15" i="16"/>
  <c r="L79" i="16"/>
  <c r="K79" i="16" s="1"/>
  <c r="G79" i="16" s="1"/>
  <c r="L40" i="16"/>
  <c r="L80" i="16"/>
  <c r="K80" i="16" s="1"/>
  <c r="G80" i="16" s="1"/>
  <c r="L9" i="16"/>
  <c r="L65" i="16"/>
  <c r="L97" i="16"/>
  <c r="L25" i="16"/>
  <c r="K25" i="16" s="1"/>
  <c r="L81" i="16"/>
  <c r="L10" i="16"/>
  <c r="L18" i="16"/>
  <c r="K18" i="16" s="1"/>
  <c r="L26" i="16"/>
  <c r="K26" i="16" s="1"/>
  <c r="G26" i="16" s="1"/>
  <c r="L34" i="16"/>
  <c r="L42" i="16"/>
  <c r="K42" i="16" s="1"/>
  <c r="G42" i="16" s="1"/>
  <c r="L50" i="16"/>
  <c r="K50" i="16" s="1"/>
  <c r="L58" i="16"/>
  <c r="L82" i="16"/>
  <c r="L90" i="16"/>
  <c r="L98" i="16"/>
  <c r="K98" i="16" s="1"/>
  <c r="G98" i="16" s="1"/>
  <c r="L74" i="16"/>
  <c r="L107" i="16"/>
  <c r="L20" i="16"/>
  <c r="L87" i="16"/>
  <c r="L47" i="16"/>
  <c r="L71" i="16"/>
  <c r="L24" i="16"/>
  <c r="L48" i="16"/>
  <c r="K48" i="16" s="1"/>
  <c r="G48" i="16" s="1"/>
  <c r="L64" i="16"/>
  <c r="K64" i="16" s="1"/>
  <c r="L88" i="16"/>
  <c r="L33" i="16"/>
  <c r="K33" i="16" s="1"/>
  <c r="L89" i="16"/>
  <c r="L49" i="16"/>
  <c r="K49" i="16" s="1"/>
  <c r="L11" i="16"/>
  <c r="L19" i="16"/>
  <c r="L27" i="16"/>
  <c r="L35" i="16"/>
  <c r="L43" i="16"/>
  <c r="K43" i="16" s="1"/>
  <c r="L51" i="16"/>
  <c r="K51" i="16" s="1"/>
  <c r="L59" i="16"/>
  <c r="L67" i="16"/>
  <c r="K67" i="16" s="1"/>
  <c r="L75" i="16"/>
  <c r="L83" i="16"/>
  <c r="L91" i="16"/>
  <c r="L99" i="16"/>
  <c r="K24" i="16" l="1"/>
  <c r="K27" i="16"/>
  <c r="L86" i="16"/>
  <c r="K86" i="16" s="1"/>
  <c r="G86" i="16" s="1"/>
  <c r="K10" i="16"/>
  <c r="K53" i="16"/>
  <c r="G53" i="16" s="1"/>
  <c r="K88" i="16"/>
  <c r="G88" i="16" s="1"/>
  <c r="K55" i="16"/>
  <c r="K60" i="16"/>
  <c r="G60" i="16" s="1"/>
  <c r="K16" i="16"/>
  <c r="G16" i="16" s="1"/>
  <c r="K69" i="16"/>
  <c r="K34" i="16"/>
  <c r="G23" i="16"/>
  <c r="K44" i="16"/>
  <c r="G44" i="16" s="1"/>
  <c r="K20" i="16"/>
  <c r="G20" i="16" s="1"/>
  <c r="K106" i="16"/>
  <c r="G106" i="16" s="1"/>
  <c r="K35" i="16"/>
  <c r="G35" i="16" s="1"/>
  <c r="G59" i="16"/>
  <c r="G19" i="16"/>
  <c r="G61" i="16"/>
  <c r="K65" i="16"/>
  <c r="G65" i="16" s="1"/>
  <c r="K82" i="16"/>
  <c r="G82" i="16" s="1"/>
  <c r="K23" i="16"/>
  <c r="K70" i="16"/>
  <c r="G70" i="16" s="1"/>
  <c r="K59" i="16"/>
  <c r="G97" i="16"/>
  <c r="L60" i="16"/>
  <c r="G27" i="16"/>
  <c r="K74" i="16"/>
  <c r="G74" i="16" s="1"/>
  <c r="K71" i="16"/>
  <c r="G71" i="16" s="1"/>
  <c r="K58" i="16"/>
  <c r="K15" i="16"/>
  <c r="G15" i="16" s="1"/>
  <c r="K81" i="16"/>
  <c r="K90" i="16"/>
  <c r="G34" i="16"/>
  <c r="K14" i="16"/>
  <c r="G14" i="16" s="1"/>
  <c r="G52" i="16"/>
  <c r="K61" i="16"/>
  <c r="K91" i="16"/>
  <c r="K9" i="16"/>
  <c r="G90" i="16"/>
  <c r="G40" i="16"/>
  <c r="G105" i="16"/>
  <c r="L28" i="16"/>
  <c r="K28" i="16" s="1"/>
  <c r="G28" i="16" s="1"/>
  <c r="K47" i="16"/>
  <c r="G47" i="16" s="1"/>
  <c r="K68" i="16"/>
  <c r="G68" i="16" s="1"/>
  <c r="K63" i="16"/>
  <c r="G63" i="16" s="1"/>
  <c r="K72" i="16"/>
  <c r="K97" i="16"/>
  <c r="K105" i="16"/>
  <c r="L57" i="16"/>
  <c r="K57" i="16" s="1"/>
  <c r="G57" i="16" s="1"/>
  <c r="L104" i="16"/>
  <c r="K104" i="16" s="1"/>
  <c r="G104" i="16" s="1"/>
  <c r="K36" i="16"/>
  <c r="G36" i="16" s="1"/>
  <c r="K87" i="16"/>
  <c r="G87" i="16" s="1"/>
  <c r="G9" i="16"/>
  <c r="L73" i="16"/>
  <c r="K73" i="16" s="1"/>
  <c r="G99" i="16"/>
  <c r="L66" i="16"/>
  <c r="L55" i="16"/>
  <c r="G72" i="16"/>
  <c r="L93" i="16"/>
  <c r="K93" i="16" s="1"/>
  <c r="G93" i="16" s="1"/>
  <c r="K89" i="16"/>
  <c r="G89" i="16" s="1"/>
  <c r="K19" i="16"/>
  <c r="K85" i="16"/>
  <c r="G85" i="16" s="1"/>
  <c r="K11" i="16"/>
  <c r="G11" i="16" s="1"/>
  <c r="K99" i="16"/>
  <c r="G69" i="16"/>
  <c r="G91" i="16"/>
  <c r="G58" i="16"/>
  <c r="L31" i="16"/>
  <c r="L94" i="16"/>
  <c r="K46" i="16"/>
  <c r="G46" i="16" s="1"/>
  <c r="K32" i="16"/>
  <c r="G32" i="16" s="1"/>
  <c r="K54" i="16"/>
  <c r="K107" i="16"/>
  <c r="G107" i="16" s="1"/>
  <c r="K40" i="16"/>
  <c r="G81" i="16"/>
  <c r="G54" i="16"/>
  <c r="K92" i="16"/>
  <c r="G92" i="16" s="1"/>
  <c r="K30" i="16"/>
  <c r="G30" i="16" s="1"/>
  <c r="K45" i="16"/>
  <c r="G45" i="16" s="1"/>
  <c r="K75" i="16"/>
  <c r="G75" i="16" s="1"/>
  <c r="G10" i="16"/>
  <c r="G24" i="16"/>
  <c r="K78" i="16"/>
  <c r="G78" i="16" s="1"/>
  <c r="G39" i="16"/>
  <c r="K21" i="16"/>
  <c r="G21" i="16" s="1"/>
  <c r="K76" i="16"/>
  <c r="G76" i="16" s="1"/>
  <c r="K8" i="16"/>
  <c r="G8" i="16" s="1"/>
  <c r="G55" i="16"/>
  <c r="G17" i="16"/>
  <c r="G62" i="16"/>
  <c r="G67" i="16"/>
  <c r="G49" i="16"/>
  <c r="G64" i="16"/>
  <c r="G84" i="16"/>
  <c r="K95" i="16"/>
  <c r="G95" i="16" s="1"/>
  <c r="K62" i="16"/>
  <c r="K39" i="16"/>
  <c r="K100" i="16"/>
  <c r="G100" i="16" s="1"/>
  <c r="K41" i="16"/>
  <c r="G41" i="16" s="1"/>
  <c r="K17" i="16"/>
  <c r="K29" i="16"/>
  <c r="G29" i="16" s="1"/>
  <c r="G51" i="16"/>
  <c r="G18" i="16"/>
  <c r="G12" i="16"/>
  <c r="L103" i="16"/>
  <c r="G43" i="16"/>
  <c r="K83" i="16"/>
  <c r="G83" i="16" s="1"/>
  <c r="K13" i="16"/>
  <c r="G13" i="16" s="1"/>
  <c r="K96" i="16"/>
  <c r="G96" i="16" s="1"/>
  <c r="L37" i="16"/>
  <c r="K37" i="16" s="1"/>
  <c r="G102" i="16"/>
  <c r="G33" i="16"/>
  <c r="G25" i="16"/>
  <c r="G101" i="16"/>
  <c r="G50" i="16"/>
  <c r="G22" i="16"/>
  <c r="K94" i="16" l="1"/>
  <c r="G94" i="16" s="1"/>
  <c r="K66" i="16"/>
  <c r="G66" i="16" s="1"/>
  <c r="K31" i="16"/>
  <c r="G31" i="16" s="1"/>
  <c r="G73" i="16"/>
  <c r="K103" i="16"/>
  <c r="G103" i="16" s="1"/>
  <c r="G37" i="16"/>
  <c r="R8" i="16" l="1" a="1"/>
  <c r="W5" i="16" s="1"/>
  <c r="W4" i="16"/>
  <c r="R8" i="1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<sst xmlns="http://schemas.openxmlformats.org/spreadsheetml/2006/main" count="396" uniqueCount="281">
  <si>
    <t>Email</t>
  </si>
  <si>
    <t>All Rights Reserved:  © Astronomy Morsels.</t>
  </si>
  <si>
    <t>I'm solely responsible for the input and express no warranty.  Use at your own risk.</t>
  </si>
  <si>
    <t>Nonetheless, this spreadsheet has been carefully reviewed, and calculation results have been compared with other applications.</t>
  </si>
  <si>
    <r>
      <rPr>
        <b/>
        <sz val="14"/>
        <color theme="0"/>
        <rFont val="Calibri (Body)"/>
      </rPr>
      <t>Compiled by</t>
    </r>
    <r>
      <rPr>
        <sz val="14"/>
        <color theme="0"/>
        <rFont val="Calibri (Body)"/>
      </rPr>
      <t>: Anton Viola (Astronomy Morsels).</t>
    </r>
  </si>
  <si>
    <t>min</t>
  </si>
  <si>
    <t>max</t>
  </si>
  <si>
    <t>Inputs</t>
  </si>
  <si>
    <t>Azimuth</t>
  </si>
  <si>
    <t>Altitude</t>
  </si>
  <si>
    <t>RA</t>
  </si>
  <si>
    <t>Decl</t>
  </si>
  <si>
    <t>HA</t>
  </si>
  <si>
    <t>Date</t>
  </si>
  <si>
    <t>Time</t>
  </si>
  <si>
    <t>Timezone</t>
  </si>
  <si>
    <t>Leap year?</t>
  </si>
  <si>
    <t>Day nr.</t>
  </si>
  <si>
    <t>Weekday</t>
  </si>
  <si>
    <t>JDE</t>
  </si>
  <si>
    <t>Delta days</t>
  </si>
  <si>
    <t>φ    (latitude)</t>
  </si>
  <si>
    <t>L     (longitude)</t>
  </si>
  <si>
    <t>UT  (hours)</t>
  </si>
  <si>
    <t>LST (degrees)</t>
  </si>
  <si>
    <t>NGC</t>
  </si>
  <si>
    <t>NGC 246</t>
  </si>
  <si>
    <t>NGC 2392</t>
  </si>
  <si>
    <t>NGC 3242</t>
  </si>
  <si>
    <t>NGC 6543</t>
  </si>
  <si>
    <t>NGC 6826</t>
  </si>
  <si>
    <t>NGC 7008</t>
  </si>
  <si>
    <t>NGC 7009</t>
  </si>
  <si>
    <t>Helix Nebula</t>
  </si>
  <si>
    <t>Saturn Nebula</t>
  </si>
  <si>
    <t>Skull Nebula</t>
  </si>
  <si>
    <t>Cat's Eye Nebula</t>
  </si>
  <si>
    <t>Butterfly Nebula</t>
  </si>
  <si>
    <t>Crystal Ball Nebula</t>
  </si>
  <si>
    <t>Little Dumbbell Nebula</t>
  </si>
  <si>
    <t>NGC 7293</t>
  </si>
  <si>
    <t>NGC 3132</t>
  </si>
  <si>
    <t>NGC 1360</t>
  </si>
  <si>
    <t>NGC 1514</t>
  </si>
  <si>
    <t>NGC 6302</t>
  </si>
  <si>
    <t>N#</t>
  </si>
  <si>
    <t>Common Name</t>
  </si>
  <si>
    <t>Field of view limits (azimuth, altitude)</t>
  </si>
  <si>
    <t>Visible objects (based on criteria)</t>
  </si>
  <si>
    <t>Location</t>
  </si>
  <si>
    <t>Home</t>
  </si>
  <si>
    <t>Marker name</t>
  </si>
  <si>
    <t>Observed?</t>
  </si>
  <si>
    <t>values</t>
  </si>
  <si>
    <t>Can for instance be used to indicate whether an object is of special interest</t>
  </si>
  <si>
    <t>x</t>
  </si>
  <si>
    <t>-</t>
  </si>
  <si>
    <t>Date, time, and location</t>
  </si>
  <si>
    <t>Locations</t>
  </si>
  <si>
    <t>Name</t>
  </si>
  <si>
    <t>φ (latitude)</t>
  </si>
  <si>
    <t>L (longitude)</t>
  </si>
  <si>
    <t>DtoR</t>
  </si>
  <si>
    <t>Angle</t>
  </si>
  <si>
    <t>T</t>
  </si>
  <si>
    <t># points</t>
  </si>
  <si>
    <t>dgr</t>
  </si>
  <si>
    <t>D</t>
  </si>
  <si>
    <t>stepsize</t>
  </si>
  <si>
    <t>cos</t>
  </si>
  <si>
    <t>M</t>
  </si>
  <si>
    <t>minor semi axis</t>
  </si>
  <si>
    <t>M'</t>
  </si>
  <si>
    <t>major semi axis</t>
  </si>
  <si>
    <t>i</t>
  </si>
  <si>
    <t>k</t>
  </si>
  <si>
    <t>ellipse</t>
  </si>
  <si>
    <t>black bottom</t>
  </si>
  <si>
    <t>transparent</t>
  </si>
  <si>
    <t>black top</t>
  </si>
  <si>
    <r>
      <t>JDE</t>
    </r>
    <r>
      <rPr>
        <vertAlign val="subscript"/>
        <sz val="12"/>
        <rFont val="Calibri"/>
        <family val="2"/>
      </rPr>
      <t>new moon</t>
    </r>
  </si>
  <si>
    <t>reference date (08.05.2024)</t>
  </si>
  <si>
    <t>delta</t>
  </si>
  <si>
    <t>angle</t>
  </si>
  <si>
    <t>New moon</t>
  </si>
  <si>
    <t>Waxing crescent</t>
  </si>
  <si>
    <t>First quarter</t>
  </si>
  <si>
    <t>Waxing gibbous</t>
  </si>
  <si>
    <t>Full moon</t>
  </si>
  <si>
    <t>Waning gibbous</t>
  </si>
  <si>
    <t>Last quarter</t>
  </si>
  <si>
    <t>Waning crescent</t>
  </si>
  <si>
    <t>yes</t>
  </si>
  <si>
    <t>no</t>
  </si>
  <si>
    <t>include?</t>
  </si>
  <si>
    <t>#</t>
  </si>
  <si>
    <t>perc.</t>
  </si>
  <si>
    <t>Andromeda Galaxy</t>
  </si>
  <si>
    <t>Sculptor Galaxy</t>
  </si>
  <si>
    <t>Pac-Man Nebula</t>
  </si>
  <si>
    <t>ET Cluster</t>
  </si>
  <si>
    <t>Triangulum Galaxy</t>
  </si>
  <si>
    <t>Double Cluster Duo</t>
  </si>
  <si>
    <t>The Rose Galaxies</t>
  </si>
  <si>
    <t>Heart Nebula</t>
  </si>
  <si>
    <t>Soul Nebula</t>
  </si>
  <si>
    <t>Abell 426 Galaxy Cluster</t>
  </si>
  <si>
    <t>Robins Egg Nebula</t>
  </si>
  <si>
    <t>Pleiades</t>
  </si>
  <si>
    <t>California Nebula</t>
  </si>
  <si>
    <t>Eridanus Interacting Galaxy Duo</t>
  </si>
  <si>
    <t>Witch Head Nebula</t>
  </si>
  <si>
    <t>Flaming Star Nebula</t>
  </si>
  <si>
    <t>Tadpole Nebula</t>
  </si>
  <si>
    <t>Spider and the Fly</t>
  </si>
  <si>
    <t>Crab Nebula</t>
  </si>
  <si>
    <t>Orion Nebula</t>
  </si>
  <si>
    <t>Horsehead Nebula</t>
  </si>
  <si>
    <t>Flame Nebula</t>
  </si>
  <si>
    <t xml:space="preserve">Orion Reflection Nebula </t>
  </si>
  <si>
    <t>Lower's Nebula</t>
  </si>
  <si>
    <t>Jellyfish Nebula</t>
  </si>
  <si>
    <t>Rosette Nebula</t>
  </si>
  <si>
    <t>Hubble's Variable Nebula</t>
  </si>
  <si>
    <t>Christmas Tree Cluster</t>
  </si>
  <si>
    <t>Gourd Nebula</t>
  </si>
  <si>
    <t>Seagull Nebula</t>
  </si>
  <si>
    <t>Thor’s Helmet</t>
  </si>
  <si>
    <t>Medusa Nebula</t>
  </si>
  <si>
    <t>Eskimo Nebula</t>
  </si>
  <si>
    <t>Skull &amp; Crossbones Nebula</t>
  </si>
  <si>
    <t>Headphone Nebula</t>
  </si>
  <si>
    <t>Vela Bridge Nebula</t>
  </si>
  <si>
    <t>Vela Spiral Flame Nebula</t>
  </si>
  <si>
    <t>Vela Pencil Nebula</t>
  </si>
  <si>
    <t>Cigar &amp; Bode's Galaxy Duo</t>
  </si>
  <si>
    <t>Eight Burst Nebula</t>
  </si>
  <si>
    <t>Hickson 44 Galaxy Group</t>
  </si>
  <si>
    <t>Ghost of Jupiter</t>
  </si>
  <si>
    <t>Owl Nebula</t>
  </si>
  <si>
    <t>Leo Galaxy Duo</t>
  </si>
  <si>
    <t>Hamburger Galaxy</t>
  </si>
  <si>
    <t>Antennae Galaxy Duo</t>
  </si>
  <si>
    <t>M106 Galaxy</t>
  </si>
  <si>
    <t>Markarian's Chain</t>
  </si>
  <si>
    <t>Sombrero Galaxy</t>
  </si>
  <si>
    <t>Whale &amp; Hockey Stick Galaxy Duo</t>
  </si>
  <si>
    <t>Ringed Galaxy</t>
  </si>
  <si>
    <t>Croc's Eye Galaxy</t>
  </si>
  <si>
    <t>Black Eye Galaxy</t>
  </si>
  <si>
    <t>Sunflower Galaxy</t>
  </si>
  <si>
    <t>Centaurus A</t>
  </si>
  <si>
    <t>Omega Centauri</t>
  </si>
  <si>
    <t>Whirlpool Galaxy</t>
  </si>
  <si>
    <t>Heron Galaxies</t>
  </si>
  <si>
    <t>Pinwheel Galaxy</t>
  </si>
  <si>
    <t>Draco Galaxy Trio</t>
  </si>
  <si>
    <t>Hercules Great Globular Cluster</t>
  </si>
  <si>
    <t>Dolphin Dark Nebula</t>
  </si>
  <si>
    <t>Lobster Nebula</t>
  </si>
  <si>
    <t>Trifid Nebula</t>
  </si>
  <si>
    <t>Lagoon Nebula</t>
  </si>
  <si>
    <t>Eagle Nebula</t>
  </si>
  <si>
    <t>Swan Nebula</t>
  </si>
  <si>
    <t>Ring Nebula</t>
  </si>
  <si>
    <t>The Blinking Eye</t>
  </si>
  <si>
    <t>Dumbbell Nebula</t>
  </si>
  <si>
    <t>Tulip Nebula</t>
  </si>
  <si>
    <t>Crescent Nebula</t>
  </si>
  <si>
    <t>Gamma Cygni Nebula</t>
  </si>
  <si>
    <t>Witch's Broom Nebula</t>
  </si>
  <si>
    <t>Pickering`s Triangle</t>
  </si>
  <si>
    <t>Pelican Nebula</t>
  </si>
  <si>
    <t>Eastern Veil Nebula</t>
  </si>
  <si>
    <t>Cygnus Loop</t>
  </si>
  <si>
    <t>North America Nebula</t>
  </si>
  <si>
    <t xml:space="preserve">Fetus Nebula </t>
  </si>
  <si>
    <t>Iris Nebula</t>
  </si>
  <si>
    <t>Squid &amp; Flying Bat Nebula</t>
  </si>
  <si>
    <t>Elephant's Trunk</t>
  </si>
  <si>
    <t>Cocoon Nebula</t>
  </si>
  <si>
    <t>Spare Tire Nebula</t>
  </si>
  <si>
    <t>Shark Nebula</t>
  </si>
  <si>
    <t>Wolf's Cave</t>
  </si>
  <si>
    <t>Stephan's Quintet</t>
  </si>
  <si>
    <t>Deer Lick Galaxy Group</t>
  </si>
  <si>
    <t>Wizard Nebula</t>
  </si>
  <si>
    <t>Cave Nebula</t>
  </si>
  <si>
    <t>Bubble Nebula</t>
  </si>
  <si>
    <t>Garlic Nebula</t>
  </si>
  <si>
    <t>Arp273</t>
  </si>
  <si>
    <t>Abell426</t>
  </si>
  <si>
    <t>Sh2-261</t>
  </si>
  <si>
    <t>Sh2-308</t>
  </si>
  <si>
    <t>Jones-Emberson 1</t>
  </si>
  <si>
    <t>Vela Bridge</t>
  </si>
  <si>
    <t>Vela Spiral Flame</t>
  </si>
  <si>
    <t>Vela Pencil</t>
  </si>
  <si>
    <t>M106</t>
  </si>
  <si>
    <t>M104</t>
  </si>
  <si>
    <t>M101</t>
  </si>
  <si>
    <t>Sh2-101</t>
  </si>
  <si>
    <t>OU4</t>
  </si>
  <si>
    <t>Sh2-155</t>
  </si>
  <si>
    <t>CTB1</t>
  </si>
  <si>
    <t>NGC 253</t>
  </si>
  <si>
    <t>NGC 281</t>
  </si>
  <si>
    <t>NGC 457</t>
  </si>
  <si>
    <t>NGC 869</t>
  </si>
  <si>
    <t>IC 1805</t>
  </si>
  <si>
    <t>IC 1848</t>
  </si>
  <si>
    <t>M31</t>
  </si>
  <si>
    <t>M33</t>
  </si>
  <si>
    <t>M76</t>
  </si>
  <si>
    <t>M45</t>
  </si>
  <si>
    <t>NGC 1499</t>
  </si>
  <si>
    <t>NGC 1532</t>
  </si>
  <si>
    <t>IC 2118</t>
  </si>
  <si>
    <t>IC 405</t>
  </si>
  <si>
    <t>IC 410</t>
  </si>
  <si>
    <t>IC 417</t>
  </si>
  <si>
    <t>M1</t>
  </si>
  <si>
    <t>M42</t>
  </si>
  <si>
    <t>IC 434</t>
  </si>
  <si>
    <t>NGC 2024</t>
  </si>
  <si>
    <t>M78</t>
  </si>
  <si>
    <t>IC 443</t>
  </si>
  <si>
    <t>NGC 2237</t>
  </si>
  <si>
    <t>NGC 2261</t>
  </si>
  <si>
    <t>NGC 2264</t>
  </si>
  <si>
    <t>NGC 2327</t>
  </si>
  <si>
    <t>NGC 2359</t>
  </si>
  <si>
    <t>Abell 21</t>
  </si>
  <si>
    <t>NGC 2467</t>
  </si>
  <si>
    <t>M81</t>
  </si>
  <si>
    <t>Arp 316</t>
  </si>
  <si>
    <t>M97</t>
  </si>
  <si>
    <t>M65</t>
  </si>
  <si>
    <t>NGC 3628</t>
  </si>
  <si>
    <t>Arp 244</t>
  </si>
  <si>
    <t>M86</t>
  </si>
  <si>
    <t>NGC 4631</t>
  </si>
  <si>
    <t>NGC 4725</t>
  </si>
  <si>
    <t>M94</t>
  </si>
  <si>
    <t>M64</t>
  </si>
  <si>
    <t>M63</t>
  </si>
  <si>
    <t>NGC 5128</t>
  </si>
  <si>
    <t>NGC 5139</t>
  </si>
  <si>
    <t>M51</t>
  </si>
  <si>
    <t>Arp 84</t>
  </si>
  <si>
    <t>IC 1396</t>
  </si>
  <si>
    <t>IC 5146</t>
  </si>
  <si>
    <t>IC 5148</t>
  </si>
  <si>
    <t>VdB 150</t>
  </si>
  <si>
    <t>VdB 152</t>
  </si>
  <si>
    <t>Arp 319</t>
  </si>
  <si>
    <t>NGC 7331</t>
  </si>
  <si>
    <t>NGC 7380</t>
  </si>
  <si>
    <t>NGC 7635</t>
  </si>
  <si>
    <t>M13</t>
  </si>
  <si>
    <t>Barnard 252</t>
  </si>
  <si>
    <t>NGC 6357</t>
  </si>
  <si>
    <t>M20</t>
  </si>
  <si>
    <t>M8</t>
  </si>
  <si>
    <t>M16</t>
  </si>
  <si>
    <t>M17</t>
  </si>
  <si>
    <t>M57</t>
  </si>
  <si>
    <t>M27</t>
  </si>
  <si>
    <t>NGC 6888</t>
  </si>
  <si>
    <t>IC 1318</t>
  </si>
  <si>
    <t>NGC 6960</t>
  </si>
  <si>
    <t>NGC 6979</t>
  </si>
  <si>
    <t>IC 5070</t>
  </si>
  <si>
    <t>NGC 6992</t>
  </si>
  <si>
    <t>NGC 7000</t>
  </si>
  <si>
    <t>NGC 7023</t>
  </si>
  <si>
    <t>NGC 5982</t>
  </si>
  <si>
    <t>V1.0</t>
  </si>
  <si>
    <t>This spreadsheet is based on the top 100 astrophotography objects, compiled by Gary Imm. It enables one to specify date/time/timezone and limits regarding the field of view (azimuth, altitude). The objects that are visible will be highlighted.</t>
  </si>
  <si>
    <r>
      <rPr>
        <b/>
        <sz val="14"/>
        <color theme="0"/>
        <rFont val="Calibri (Body)"/>
      </rPr>
      <t>Latest update</t>
    </r>
    <r>
      <rPr>
        <sz val="14"/>
        <color theme="0"/>
        <rFont val="Calibri (Body)"/>
      </rPr>
      <t>: 07th November, 2024</t>
    </r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</si>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</sst>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[$]hh:mm;@" x16r2:formatCode16="[$-en-CH,1]hh:mm;@"/>
    <numFmt numFmtId="166" formatCode="#,##0.000"/>
    <numFmt numFmtId="167" formatCode="0.0000"/>
    <numFmt numFmtId="168" formatCode="0.0%"/>
  </numFmts>
  <fonts count="4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4"/>
      <color theme="0"/>
      <name val="Calibri"/>
      <family val="2"/>
    </font>
    <font>
      <sz val="14"/>
      <color theme="0"/>
      <name val="Calibri (Body)"/>
    </font>
    <font>
      <b/>
      <sz val="14"/>
      <color theme="0"/>
      <name val="Calibri (Body)"/>
    </font>
    <font>
      <u/>
      <sz val="14"/>
      <color theme="0"/>
      <name val="Calibri"/>
      <family val="2"/>
      <scheme val="minor"/>
    </font>
    <font>
      <u/>
      <sz val="14"/>
      <color theme="0"/>
      <name val="Calibri (Body)"/>
    </font>
    <font>
      <u/>
      <sz val="12"/>
      <color theme="0"/>
      <name val="Calibri"/>
      <family val="2"/>
    </font>
    <font>
      <sz val="9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theme="0"/>
      <name val="Calibri"/>
      <family val="2"/>
    </font>
    <font>
      <sz val="12"/>
      <color rgb="FF000000"/>
      <name val="Calibri"/>
      <family val="2"/>
    </font>
    <font>
      <sz val="11"/>
      <name val="ＭＳ Ｐゴシック"/>
      <family val="2"/>
      <charset val="128"/>
    </font>
    <font>
      <sz val="12"/>
      <name val="Calibri"/>
      <family val="2"/>
    </font>
    <font>
      <b/>
      <sz val="12"/>
      <name val="Calibri"/>
      <family val="2"/>
    </font>
    <font>
      <sz val="12"/>
      <color rgb="FF202122"/>
      <name val="Calibri"/>
      <family val="2"/>
    </font>
    <font>
      <sz val="10"/>
      <color indexed="8"/>
      <name val="Arial"/>
      <family val="2"/>
    </font>
    <font>
      <sz val="12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/>
      <name val="Calibri (Body)"/>
    </font>
    <font>
      <sz val="12"/>
      <color theme="1"/>
      <name val="Calibri (Body)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vertAlign val="subscript"/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rgb="FF00000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" fillId="0" borderId="0"/>
    <xf numFmtId="0" fontId="9" fillId="0" borderId="0" applyNumberFormat="0" applyFill="0" applyBorder="0" applyAlignment="0" applyProtection="0"/>
    <xf numFmtId="0" fontId="5" fillId="0" borderId="0"/>
    <xf numFmtId="0" fontId="21" fillId="0" borderId="0"/>
    <xf numFmtId="0" fontId="25" fillId="0" borderId="0"/>
    <xf numFmtId="0" fontId="7" fillId="0" borderId="0" applyNumberFormat="0" applyFill="0" applyBorder="0" applyAlignment="0" applyProtection="0"/>
    <xf numFmtId="0" fontId="32" fillId="0" borderId="0"/>
    <xf numFmtId="0" fontId="33" fillId="0" borderId="0"/>
    <xf numFmtId="0" fontId="2" fillId="0" borderId="0"/>
    <xf numFmtId="0" fontId="34" fillId="0" borderId="0"/>
  </cellStyleXfs>
  <cellXfs count="182">
    <xf numFmtId="0" fontId="0" fillId="0" borderId="0" xfId="0"/>
    <xf numFmtId="0" fontId="11" fillId="2" borderId="1" xfId="41" applyFont="1" applyFill="1" applyBorder="1" applyAlignment="1">
      <alignment horizontal="left"/>
    </xf>
    <xf numFmtId="0" fontId="11" fillId="2" borderId="2" xfId="41" applyFont="1" applyFill="1" applyBorder="1" applyAlignment="1">
      <alignment horizontal="center"/>
    </xf>
    <xf numFmtId="0" fontId="11" fillId="2" borderId="2" xfId="41" applyFont="1" applyFill="1" applyBorder="1"/>
    <xf numFmtId="0" fontId="13" fillId="2" borderId="3" xfId="42" applyFont="1" applyFill="1" applyBorder="1" applyAlignment="1">
      <alignment horizontal="center"/>
    </xf>
    <xf numFmtId="0" fontId="14" fillId="2" borderId="4" xfId="42" applyFont="1" applyFill="1" applyBorder="1" applyAlignment="1">
      <alignment horizontal="left"/>
    </xf>
    <xf numFmtId="0" fontId="11" fillId="2" borderId="0" xfId="41" applyFont="1" applyFill="1" applyAlignment="1">
      <alignment horizontal="center"/>
    </xf>
    <xf numFmtId="0" fontId="11" fillId="2" borderId="0" xfId="41" applyFont="1" applyFill="1"/>
    <xf numFmtId="0" fontId="11" fillId="2" borderId="5" xfId="41" applyFont="1" applyFill="1" applyBorder="1" applyAlignment="1">
      <alignment horizontal="center"/>
    </xf>
    <xf numFmtId="0" fontId="11" fillId="2" borderId="6" xfId="42" applyFont="1" applyFill="1" applyBorder="1" applyAlignment="1">
      <alignment horizontal="left"/>
    </xf>
    <xf numFmtId="0" fontId="11" fillId="2" borderId="8" xfId="42" applyFont="1" applyFill="1" applyBorder="1" applyAlignment="1">
      <alignment horizontal="left"/>
    </xf>
    <xf numFmtId="0" fontId="11" fillId="2" borderId="8" xfId="41" applyFont="1" applyFill="1" applyBorder="1"/>
    <xf numFmtId="0" fontId="12" fillId="2" borderId="7" xfId="41" applyFont="1" applyFill="1" applyBorder="1" applyAlignment="1">
      <alignment horizontal="center"/>
    </xf>
    <xf numFmtId="0" fontId="5" fillId="0" borderId="0" xfId="43"/>
    <xf numFmtId="0" fontId="5" fillId="0" borderId="0" xfId="43" applyAlignment="1">
      <alignment horizontal="center"/>
    </xf>
    <xf numFmtId="0" fontId="17" fillId="0" borderId="0" xfId="43" applyFont="1"/>
    <xf numFmtId="0" fontId="17" fillId="0" borderId="12" xfId="43" applyFont="1" applyBorder="1" applyAlignment="1">
      <alignment horizontal="right"/>
    </xf>
    <xf numFmtId="2" fontId="18" fillId="3" borderId="12" xfId="43" applyNumberFormat="1" applyFont="1" applyFill="1" applyBorder="1" applyAlignment="1" applyProtection="1">
      <alignment horizontal="right"/>
      <protection locked="0"/>
    </xf>
    <xf numFmtId="0" fontId="19" fillId="4" borderId="12" xfId="43" applyFont="1" applyFill="1" applyBorder="1" applyAlignment="1">
      <alignment horizontal="center" vertical="center"/>
    </xf>
    <xf numFmtId="0" fontId="19" fillId="4" borderId="12" xfId="43" applyFont="1" applyFill="1" applyBorder="1" applyAlignment="1">
      <alignment horizontal="right" vertical="center"/>
    </xf>
    <xf numFmtId="0" fontId="17" fillId="0" borderId="12" xfId="43" applyFont="1" applyBorder="1"/>
    <xf numFmtId="0" fontId="17" fillId="0" borderId="0" xfId="43" applyFont="1" applyAlignment="1">
      <alignment horizontal="right"/>
    </xf>
    <xf numFmtId="2" fontId="5" fillId="0" borderId="12" xfId="43" applyNumberFormat="1" applyBorder="1"/>
    <xf numFmtId="0" fontId="22" fillId="0" borderId="12" xfId="44" applyFont="1" applyBorder="1" applyAlignment="1">
      <alignment vertical="center"/>
    </xf>
    <xf numFmtId="0" fontId="24" fillId="0" borderId="12" xfId="43" applyFont="1" applyBorder="1" applyAlignment="1">
      <alignment vertical="center"/>
    </xf>
    <xf numFmtId="2" fontId="5" fillId="0" borderId="12" xfId="43" applyNumberFormat="1" applyBorder="1" applyAlignment="1">
      <alignment horizontal="right"/>
    </xf>
    <xf numFmtId="14" fontId="18" fillId="3" borderId="12" xfId="43" applyNumberFormat="1" applyFont="1" applyFill="1" applyBorder="1" applyAlignment="1" applyProtection="1">
      <alignment horizontal="right"/>
      <protection locked="0"/>
    </xf>
    <xf numFmtId="1" fontId="23" fillId="3" borderId="12" xfId="44" applyNumberFormat="1" applyFont="1" applyFill="1" applyBorder="1" applyAlignment="1" applyProtection="1">
      <alignment horizontal="right" vertical="center"/>
      <protection locked="0"/>
    </xf>
    <xf numFmtId="1" fontId="17" fillId="0" borderId="12" xfId="43" applyNumberFormat="1" applyFont="1" applyBorder="1" applyAlignment="1">
      <alignment horizontal="right"/>
    </xf>
    <xf numFmtId="0" fontId="17" fillId="0" borderId="12" xfId="0" applyFont="1" applyBorder="1" applyAlignment="1">
      <alignment horizontal="center"/>
    </xf>
    <xf numFmtId="2" fontId="20" fillId="0" borderId="12" xfId="0" applyNumberFormat="1" applyFont="1" applyBorder="1" applyAlignment="1">
      <alignment horizontal="right"/>
    </xf>
    <xf numFmtId="2" fontId="17" fillId="0" borderId="0" xfId="0" applyNumberFormat="1" applyFont="1" applyAlignment="1">
      <alignment horizontal="right"/>
    </xf>
    <xf numFmtId="2" fontId="20" fillId="0" borderId="12" xfId="0" quotePrefix="1" applyNumberFormat="1" applyFont="1" applyBorder="1" applyAlignment="1">
      <alignment horizontal="right"/>
    </xf>
    <xf numFmtId="0" fontId="6" fillId="2" borderId="0" xfId="41" applyFill="1"/>
    <xf numFmtId="0" fontId="0" fillId="2" borderId="0" xfId="0" applyFill="1"/>
    <xf numFmtId="0" fontId="27" fillId="5" borderId="15" xfId="43" applyFont="1" applyFill="1" applyBorder="1"/>
    <xf numFmtId="0" fontId="28" fillId="4" borderId="12" xfId="43" applyFont="1" applyFill="1" applyBorder="1" applyAlignment="1">
      <alignment horizontal="right" vertical="center"/>
    </xf>
    <xf numFmtId="0" fontId="28" fillId="4" borderId="12" xfId="43" applyFont="1" applyFill="1" applyBorder="1" applyAlignment="1">
      <alignment horizontal="center" vertical="center"/>
    </xf>
    <xf numFmtId="0" fontId="29" fillId="0" borderId="0" xfId="43" applyFont="1"/>
    <xf numFmtId="0" fontId="5" fillId="0" borderId="4" xfId="43" applyBorder="1"/>
    <xf numFmtId="0" fontId="5" fillId="0" borderId="1" xfId="43" applyBorder="1" applyAlignment="1">
      <alignment horizontal="center"/>
    </xf>
    <xf numFmtId="0" fontId="5" fillId="0" borderId="2" xfId="43" applyBorder="1" applyAlignment="1">
      <alignment horizontal="center"/>
    </xf>
    <xf numFmtId="0" fontId="5" fillId="0" borderId="4" xfId="43" applyBorder="1" applyAlignment="1">
      <alignment horizontal="center"/>
    </xf>
    <xf numFmtId="0" fontId="5" fillId="0" borderId="6" xfId="43" applyBorder="1" applyAlignment="1">
      <alignment horizontal="center"/>
    </xf>
    <xf numFmtId="0" fontId="5" fillId="0" borderId="8" xfId="43" applyBorder="1" applyAlignment="1">
      <alignment horizontal="center"/>
    </xf>
    <xf numFmtId="2" fontId="5" fillId="0" borderId="2" xfId="43" applyNumberFormat="1" applyBorder="1"/>
    <xf numFmtId="2" fontId="5" fillId="0" borderId="3" xfId="43" applyNumberFormat="1" applyBorder="1"/>
    <xf numFmtId="2" fontId="5" fillId="0" borderId="0" xfId="43" applyNumberFormat="1"/>
    <xf numFmtId="2" fontId="5" fillId="0" borderId="5" xfId="43" applyNumberFormat="1" applyBorder="1"/>
    <xf numFmtId="2" fontId="5" fillId="0" borderId="8" xfId="43" applyNumberFormat="1" applyBorder="1"/>
    <xf numFmtId="2" fontId="5" fillId="0" borderId="7" xfId="43" applyNumberFormat="1" applyBorder="1"/>
    <xf numFmtId="0" fontId="18" fillId="3" borderId="7" xfId="43" applyFont="1" applyFill="1" applyBorder="1" applyAlignment="1">
      <alignment horizontal="right"/>
    </xf>
    <xf numFmtId="4" fontId="17" fillId="0" borderId="12" xfId="43" applyNumberFormat="1" applyFont="1" applyBorder="1" applyAlignment="1">
      <alignment horizontal="right"/>
    </xf>
    <xf numFmtId="164" fontId="5" fillId="0" borderId="12" xfId="43" applyNumberFormat="1" applyBorder="1" applyAlignment="1">
      <alignment horizontal="right"/>
    </xf>
    <xf numFmtId="0" fontId="17" fillId="0" borderId="12" xfId="0" applyFont="1" applyBorder="1"/>
    <xf numFmtId="0" fontId="18" fillId="3" borderId="15" xfId="0" applyFont="1" applyFill="1" applyBorder="1" applyAlignment="1" applyProtection="1">
      <alignment horizontal="right"/>
      <protection locked="0"/>
    </xf>
    <xf numFmtId="0" fontId="18" fillId="3" borderId="15" xfId="0" applyFont="1" applyFill="1" applyBorder="1" applyAlignment="1" applyProtection="1">
      <alignment horizontal="center"/>
      <protection locked="0"/>
    </xf>
    <xf numFmtId="0" fontId="5" fillId="0" borderId="4" xfId="43" applyBorder="1" applyAlignment="1">
      <alignment vertical="center"/>
    </xf>
    <xf numFmtId="0" fontId="4" fillId="6" borderId="0" xfId="43" applyFont="1" applyFill="1"/>
    <xf numFmtId="14" fontId="5" fillId="6" borderId="0" xfId="43" applyNumberFormat="1" applyFill="1"/>
    <xf numFmtId="21" fontId="5" fillId="6" borderId="0" xfId="43" applyNumberFormat="1" applyFill="1"/>
    <xf numFmtId="1" fontId="5" fillId="6" borderId="0" xfId="43" applyNumberFormat="1" applyFill="1"/>
    <xf numFmtId="0" fontId="17" fillId="6" borderId="6" xfId="43" applyFont="1" applyFill="1" applyBorder="1"/>
    <xf numFmtId="0" fontId="17" fillId="6" borderId="4" xfId="43" applyFont="1" applyFill="1" applyBorder="1"/>
    <xf numFmtId="0" fontId="17" fillId="6" borderId="0" xfId="43" applyFont="1" applyFill="1"/>
    <xf numFmtId="0" fontId="17" fillId="6" borderId="0" xfId="43" applyFont="1" applyFill="1" applyAlignment="1">
      <alignment horizontal="center"/>
    </xf>
    <xf numFmtId="0" fontId="5" fillId="6" borderId="0" xfId="43" applyFill="1" applyAlignment="1">
      <alignment horizontal="center"/>
    </xf>
    <xf numFmtId="0" fontId="17" fillId="6" borderId="8" xfId="43" applyFont="1" applyFill="1" applyBorder="1"/>
    <xf numFmtId="0" fontId="5" fillId="6" borderId="8" xfId="43" applyFill="1" applyBorder="1" applyAlignment="1">
      <alignment horizontal="center"/>
    </xf>
    <xf numFmtId="0" fontId="5" fillId="6" borderId="5" xfId="43" applyFill="1" applyBorder="1"/>
    <xf numFmtId="0" fontId="5" fillId="6" borderId="7" xfId="43" applyFill="1" applyBorder="1"/>
    <xf numFmtId="0" fontId="5" fillId="6" borderId="6" xfId="43" applyFill="1" applyBorder="1" applyAlignment="1">
      <alignment horizontal="center"/>
    </xf>
    <xf numFmtId="0" fontId="5" fillId="6" borderId="8" xfId="43" applyFill="1" applyBorder="1"/>
    <xf numFmtId="165" fontId="23" fillId="3" borderId="12" xfId="44" applyNumberFormat="1" applyFont="1" applyFill="1" applyBorder="1" applyAlignment="1" applyProtection="1">
      <alignment horizontal="right" vertical="center"/>
      <protection locked="0"/>
    </xf>
    <xf numFmtId="0" fontId="31" fillId="6" borderId="5" xfId="43" applyFont="1" applyFill="1" applyBorder="1" applyAlignment="1">
      <alignment horizontal="right"/>
    </xf>
    <xf numFmtId="0" fontId="17" fillId="0" borderId="12" xfId="0" applyFont="1" applyBorder="1" applyAlignment="1" applyProtection="1">
      <alignment horizontal="center"/>
      <protection locked="0"/>
    </xf>
    <xf numFmtId="0" fontId="27" fillId="0" borderId="0" xfId="43" applyFont="1" applyAlignment="1">
      <alignment horizontal="center"/>
    </xf>
    <xf numFmtId="0" fontId="18" fillId="0" borderId="0" xfId="43" applyFont="1" applyAlignment="1">
      <alignment horizontal="right"/>
    </xf>
    <xf numFmtId="14" fontId="18" fillId="0" borderId="0" xfId="43" applyNumberFormat="1" applyFont="1" applyAlignment="1" applyProtection="1">
      <alignment horizontal="right"/>
      <protection locked="0"/>
    </xf>
    <xf numFmtId="165" fontId="23" fillId="0" borderId="0" xfId="44" applyNumberFormat="1" applyFont="1" applyAlignment="1" applyProtection="1">
      <alignment horizontal="right" vertical="center"/>
      <protection locked="0"/>
    </xf>
    <xf numFmtId="1" fontId="23" fillId="0" borderId="0" xfId="44" applyNumberFormat="1" applyFont="1" applyAlignment="1" applyProtection="1">
      <alignment horizontal="right" vertical="center"/>
      <protection locked="0"/>
    </xf>
    <xf numFmtId="1" fontId="17" fillId="0" borderId="0" xfId="43" applyNumberFormat="1" applyFont="1" applyAlignment="1">
      <alignment horizontal="right"/>
    </xf>
    <xf numFmtId="4" fontId="17" fillId="0" borderId="0" xfId="43" applyNumberFormat="1" applyFont="1" applyAlignment="1">
      <alignment horizontal="right"/>
    </xf>
    <xf numFmtId="0" fontId="18" fillId="0" borderId="0" xfId="0" applyFont="1" applyAlignment="1" applyProtection="1">
      <alignment horizontal="right"/>
      <protection locked="0"/>
    </xf>
    <xf numFmtId="2" fontId="18" fillId="0" borderId="0" xfId="43" applyNumberFormat="1" applyFont="1" applyAlignment="1" applyProtection="1">
      <alignment horizontal="right"/>
      <protection locked="0"/>
    </xf>
    <xf numFmtId="2" fontId="5" fillId="0" borderId="0" xfId="43" applyNumberFormat="1" applyAlignment="1">
      <alignment horizontal="right"/>
    </xf>
    <xf numFmtId="0" fontId="18" fillId="0" borderId="0" xfId="0" applyFont="1" applyAlignment="1" applyProtection="1">
      <alignment horizontal="center"/>
      <protection locked="0"/>
    </xf>
    <xf numFmtId="0" fontId="3" fillId="0" borderId="12" xfId="43" applyFont="1" applyBorder="1" applyAlignment="1">
      <alignment vertical="center"/>
    </xf>
    <xf numFmtId="0" fontId="24" fillId="0" borderId="12" xfId="43" applyFont="1" applyBorder="1" applyAlignment="1">
      <alignment horizontal="right" vertical="center"/>
    </xf>
    <xf numFmtId="0" fontId="17" fillId="0" borderId="12" xfId="43" applyFont="1" applyBorder="1" applyAlignment="1">
      <alignment horizontal="right" vertical="center"/>
    </xf>
    <xf numFmtId="0" fontId="31" fillId="3" borderId="12" xfId="43" applyFont="1" applyFill="1" applyBorder="1" applyAlignment="1" applyProtection="1">
      <alignment vertical="center"/>
      <protection locked="0"/>
    </xf>
    <xf numFmtId="0" fontId="17" fillId="0" borderId="12" xfId="43" applyFont="1" applyBorder="1" applyAlignment="1">
      <alignment horizontal="center"/>
    </xf>
    <xf numFmtId="0" fontId="22" fillId="0" borderId="0" xfId="47" applyFont="1"/>
    <xf numFmtId="0" fontId="2" fillId="7" borderId="1" xfId="48" applyFont="1" applyFill="1" applyBorder="1"/>
    <xf numFmtId="0" fontId="2" fillId="7" borderId="3" xfId="48" applyFont="1" applyFill="1" applyBorder="1"/>
    <xf numFmtId="0" fontId="18" fillId="7" borderId="1" xfId="49" applyFont="1" applyFill="1" applyBorder="1" applyAlignment="1">
      <alignment horizontal="left"/>
    </xf>
    <xf numFmtId="166" fontId="17" fillId="7" borderId="2" xfId="49" applyNumberFormat="1" applyFont="1" applyFill="1" applyBorder="1"/>
    <xf numFmtId="0" fontId="17" fillId="7" borderId="2" xfId="50" applyFont="1" applyFill="1" applyBorder="1"/>
    <xf numFmtId="0" fontId="17" fillId="7" borderId="2" xfId="49" applyFont="1" applyFill="1" applyBorder="1"/>
    <xf numFmtId="0" fontId="17" fillId="7" borderId="3" xfId="50" applyFont="1" applyFill="1" applyBorder="1"/>
    <xf numFmtId="0" fontId="2" fillId="7" borderId="4" xfId="48" applyFont="1" applyFill="1" applyBorder="1"/>
    <xf numFmtId="0" fontId="2" fillId="7" borderId="5" xfId="48" applyFont="1" applyFill="1" applyBorder="1"/>
    <xf numFmtId="0" fontId="17" fillId="7" borderId="4" xfId="50" applyFont="1" applyFill="1" applyBorder="1"/>
    <xf numFmtId="0" fontId="17" fillId="7" borderId="0" xfId="50" applyFont="1" applyFill="1"/>
    <xf numFmtId="166" fontId="17" fillId="7" borderId="5" xfId="50" applyNumberFormat="1" applyFont="1" applyFill="1" applyBorder="1"/>
    <xf numFmtId="2" fontId="17" fillId="7" borderId="5" xfId="50" applyNumberFormat="1" applyFont="1" applyFill="1" applyBorder="1"/>
    <xf numFmtId="0" fontId="17" fillId="7" borderId="5" xfId="50" applyFont="1" applyFill="1" applyBorder="1"/>
    <xf numFmtId="0" fontId="17" fillId="7" borderId="6" xfId="50" applyFont="1" applyFill="1" applyBorder="1"/>
    <xf numFmtId="0" fontId="17" fillId="7" borderId="8" xfId="50" applyFont="1" applyFill="1" applyBorder="1"/>
    <xf numFmtId="0" fontId="17" fillId="7" borderId="7" xfId="50" applyFont="1" applyFill="1" applyBorder="1"/>
    <xf numFmtId="0" fontId="2" fillId="7" borderId="6" xfId="48" applyFont="1" applyFill="1" applyBorder="1"/>
    <xf numFmtId="0" fontId="2" fillId="7" borderId="7" xfId="48" applyFont="1" applyFill="1" applyBorder="1"/>
    <xf numFmtId="0" fontId="18" fillId="7" borderId="4" xfId="50" applyFont="1" applyFill="1" applyBorder="1" applyAlignment="1">
      <alignment horizontal="right"/>
    </xf>
    <xf numFmtId="0" fontId="18" fillId="7" borderId="0" xfId="50" applyFont="1" applyFill="1" applyAlignment="1">
      <alignment horizontal="right"/>
    </xf>
    <xf numFmtId="0" fontId="18" fillId="7" borderId="5" xfId="50" applyFont="1" applyFill="1" applyBorder="1" applyAlignment="1">
      <alignment horizontal="right"/>
    </xf>
    <xf numFmtId="2" fontId="17" fillId="7" borderId="4" xfId="50" applyNumberFormat="1" applyFont="1" applyFill="1" applyBorder="1"/>
    <xf numFmtId="2" fontId="17" fillId="7" borderId="0" xfId="50" applyNumberFormat="1" applyFont="1" applyFill="1"/>
    <xf numFmtId="0" fontId="30" fillId="0" borderId="0" xfId="0" applyFont="1"/>
    <xf numFmtId="0" fontId="22" fillId="7" borderId="1" xfId="47" applyFont="1" applyFill="1" applyBorder="1"/>
    <xf numFmtId="4" fontId="22" fillId="7" borderId="3" xfId="47" applyNumberFormat="1" applyFont="1" applyFill="1" applyBorder="1"/>
    <xf numFmtId="0" fontId="22" fillId="7" borderId="4" xfId="47" applyFont="1" applyFill="1" applyBorder="1"/>
    <xf numFmtId="0" fontId="22" fillId="7" borderId="5" xfId="47" applyFont="1" applyFill="1" applyBorder="1"/>
    <xf numFmtId="0" fontId="2" fillId="7" borderId="7" xfId="48" applyFont="1" applyFill="1" applyBorder="1" applyAlignment="1">
      <alignment horizontal="right"/>
    </xf>
    <xf numFmtId="0" fontId="2" fillId="7" borderId="1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4" xfId="0" applyFont="1" applyFill="1" applyBorder="1"/>
    <xf numFmtId="0" fontId="2" fillId="7" borderId="0" xfId="0" applyFont="1" applyFill="1"/>
    <xf numFmtId="0" fontId="2" fillId="7" borderId="5" xfId="0" applyFont="1" applyFill="1" applyBorder="1"/>
    <xf numFmtId="0" fontId="2" fillId="7" borderId="6" xfId="0" applyFont="1" applyFill="1" applyBorder="1"/>
    <xf numFmtId="0" fontId="2" fillId="7" borderId="8" xfId="0" applyFont="1" applyFill="1" applyBorder="1"/>
    <xf numFmtId="0" fontId="2" fillId="7" borderId="7" xfId="0" applyFont="1" applyFill="1" applyBorder="1"/>
    <xf numFmtId="0" fontId="32" fillId="0" borderId="0" xfId="47"/>
    <xf numFmtId="2" fontId="17" fillId="7" borderId="6" xfId="50" applyNumberFormat="1" applyFont="1" applyFill="1" applyBorder="1"/>
    <xf numFmtId="2" fontId="17" fillId="7" borderId="8" xfId="50" applyNumberFormat="1" applyFont="1" applyFill="1" applyBorder="1"/>
    <xf numFmtId="2" fontId="17" fillId="7" borderId="7" xfId="50" applyNumberFormat="1" applyFont="1" applyFill="1" applyBorder="1"/>
    <xf numFmtId="0" fontId="17" fillId="0" borderId="6" xfId="43" applyFont="1" applyBorder="1"/>
    <xf numFmtId="0" fontId="5" fillId="6" borderId="4" xfId="43" applyFill="1" applyBorder="1" applyAlignment="1">
      <alignment horizontal="left"/>
    </xf>
    <xf numFmtId="0" fontId="4" fillId="6" borderId="4" xfId="43" applyFont="1" applyFill="1" applyBorder="1"/>
    <xf numFmtId="167" fontId="31" fillId="3" borderId="12" xfId="43" applyNumberFormat="1" applyFont="1" applyFill="1" applyBorder="1" applyAlignment="1" applyProtection="1">
      <alignment vertical="center"/>
      <protection locked="0"/>
    </xf>
    <xf numFmtId="167" fontId="17" fillId="0" borderId="12" xfId="43" applyNumberFormat="1" applyFont="1" applyBorder="1" applyAlignment="1">
      <alignment horizontal="right" vertical="center"/>
    </xf>
    <xf numFmtId="0" fontId="36" fillId="0" borderId="0" xfId="0" applyFont="1"/>
    <xf numFmtId="0" fontId="37" fillId="0" borderId="0" xfId="0" applyFont="1"/>
    <xf numFmtId="0" fontId="36" fillId="0" borderId="12" xfId="0" applyFont="1" applyBorder="1" applyAlignment="1" applyProtection="1">
      <alignment horizontal="center"/>
      <protection locked="0"/>
    </xf>
    <xf numFmtId="0" fontId="38" fillId="8" borderId="17" xfId="0" applyFont="1" applyFill="1" applyBorder="1" applyAlignment="1" applyProtection="1">
      <alignment horizontal="center"/>
      <protection locked="0"/>
    </xf>
    <xf numFmtId="0" fontId="18" fillId="3" borderId="12" xfId="0" applyFont="1" applyFill="1" applyBorder="1" applyAlignment="1" applyProtection="1">
      <alignment horizontal="center"/>
      <protection locked="0"/>
    </xf>
    <xf numFmtId="0" fontId="3" fillId="0" borderId="0" xfId="43" applyFont="1" applyAlignment="1">
      <alignment horizontal="center" vertical="center"/>
    </xf>
    <xf numFmtId="0" fontId="17" fillId="0" borderId="12" xfId="0" applyFont="1" applyBorder="1" applyAlignment="1">
      <alignment horizontal="left"/>
    </xf>
    <xf numFmtId="0" fontId="17" fillId="0" borderId="0" xfId="43" applyFont="1" applyAlignment="1">
      <alignment horizontal="right" vertical="center"/>
    </xf>
    <xf numFmtId="0" fontId="17" fillId="0" borderId="0" xfId="43" applyFont="1" applyAlignment="1">
      <alignment horizontal="center"/>
    </xf>
    <xf numFmtId="0" fontId="36" fillId="0" borderId="12" xfId="0" applyFont="1" applyBorder="1" applyAlignment="1">
      <alignment horizontal="right"/>
    </xf>
    <xf numFmtId="0" fontId="36" fillId="0" borderId="15" xfId="0" applyFont="1" applyBorder="1" applyAlignment="1">
      <alignment horizontal="right"/>
    </xf>
    <xf numFmtId="1" fontId="36" fillId="0" borderId="17" xfId="0" applyNumberFormat="1" applyFont="1" applyBorder="1"/>
    <xf numFmtId="168" fontId="36" fillId="0" borderId="7" xfId="0" applyNumberFormat="1" applyFont="1" applyBorder="1"/>
    <xf numFmtId="0" fontId="10" fillId="2" borderId="0" xfId="41" applyFont="1" applyFill="1" applyAlignment="1">
      <alignment horizontal="center" vertical="center" wrapText="1"/>
    </xf>
    <xf numFmtId="0" fontId="15" fillId="2" borderId="1" xfId="42" applyFont="1" applyFill="1" applyBorder="1" applyAlignment="1">
      <alignment horizontal="center"/>
    </xf>
    <xf numFmtId="0" fontId="15" fillId="2" borderId="2" xfId="42" applyFont="1" applyFill="1" applyBorder="1" applyAlignment="1">
      <alignment horizontal="center"/>
    </xf>
    <xf numFmtId="0" fontId="15" fillId="2" borderId="9" xfId="42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7" fillId="0" borderId="13" xfId="43" applyFont="1" applyBorder="1" applyAlignment="1">
      <alignment horizontal="center"/>
    </xf>
    <xf numFmtId="0" fontId="17" fillId="0" borderId="14" xfId="43" applyFont="1" applyBorder="1" applyAlignment="1">
      <alignment horizontal="center"/>
    </xf>
    <xf numFmtId="0" fontId="17" fillId="0" borderId="15" xfId="43" applyFont="1" applyBorder="1" applyAlignment="1">
      <alignment horizontal="center"/>
    </xf>
    <xf numFmtId="0" fontId="27" fillId="5" borderId="13" xfId="43" applyFont="1" applyFill="1" applyBorder="1" applyAlignment="1">
      <alignment horizontal="center"/>
    </xf>
    <xf numFmtId="0" fontId="27" fillId="5" borderId="15" xfId="43" applyFont="1" applyFill="1" applyBorder="1" applyAlignment="1">
      <alignment horizontal="center"/>
    </xf>
    <xf numFmtId="0" fontId="27" fillId="5" borderId="14" xfId="43" applyFont="1" applyFill="1" applyBorder="1" applyAlignment="1">
      <alignment horizontal="center"/>
    </xf>
    <xf numFmtId="0" fontId="30" fillId="0" borderId="16" xfId="43" applyFont="1" applyBorder="1" applyAlignment="1">
      <alignment horizontal="center" vertical="center" wrapText="1"/>
    </xf>
    <xf numFmtId="0" fontId="30" fillId="0" borderId="17" xfId="43" applyFont="1" applyBorder="1" applyAlignment="1">
      <alignment horizontal="center" vertical="center" wrapText="1"/>
    </xf>
    <xf numFmtId="0" fontId="3" fillId="0" borderId="0" xfId="43" applyFont="1" applyAlignment="1">
      <alignment horizontal="center" vertical="center"/>
    </xf>
    <xf numFmtId="0" fontId="1" fillId="6" borderId="0" xfId="43" applyFont="1" applyFill="1" applyAlignment="1">
      <alignment horizontal="center"/>
    </xf>
    <xf numFmtId="0" fontId="1" fillId="6" borderId="8" xfId="43" applyFont="1" applyFill="1" applyBorder="1" applyAlignment="1">
      <alignment horizontal="center"/>
    </xf>
    <xf numFmtId="0" fontId="39" fillId="4" borderId="12" xfId="43" applyFont="1" applyFill="1" applyBorder="1" applyAlignment="1">
      <alignment horizontal="center" vertical="center"/>
    </xf>
    <xf numFmtId="0" fontId="1" fillId="0" borderId="0" xfId="43" applyFont="1" applyAlignment="1">
      <alignment horizontal="center"/>
    </xf>
    <xf numFmtId="2" fontId="17" fillId="0" borderId="15" xfId="0" applyNumberFormat="1" applyFont="1" applyBorder="1" applyAlignment="1">
      <alignment horizontal="right"/>
    </xf>
    <xf numFmtId="2" fontId="20" fillId="0" borderId="15" xfId="0" applyNumberFormat="1" applyFont="1" applyBorder="1" applyAlignment="1">
      <alignment horizontal="right"/>
    </xf>
    <xf numFmtId="2" fontId="26" fillId="0" borderId="15" xfId="45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center"/>
    </xf>
    <xf numFmtId="0" fontId="40" fillId="2" borderId="0" xfId="46" applyFont="1" applyFill="1" applyAlignment="1">
      <alignment horizontal="center"/>
    </xf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6" builtinId="8"/>
    <cellStyle name="Hyperlink 2" xfId="42" xr:uid="{C380AA0A-E10B-1C43-9286-02819B081BC7}"/>
    <cellStyle name="Normal" xfId="0" builtinId="0"/>
    <cellStyle name="Normal 2" xfId="41" xr:uid="{0D0AB34C-A1A9-7D42-A14C-E95ACB658DC4}"/>
    <cellStyle name="Normal 3" xfId="43" xr:uid="{D0C399E2-A941-AA4F-B42F-87A7CE497740}"/>
    <cellStyle name="Normal 3 2" xfId="44" xr:uid="{053FA022-145E-5B4C-8FD3-7620CDCF3F7A}"/>
    <cellStyle name="Normal 3 3" xfId="50" xr:uid="{17DC641F-F3F4-B147-8DC6-DB60B88DE795}"/>
    <cellStyle name="Normal 5 2" xfId="48" xr:uid="{2D171C7C-89F4-1F44-B914-5398DAF31423}"/>
    <cellStyle name="Normal 6 2" xfId="47" xr:uid="{F3A802FF-710E-844B-B2D3-BC83A7B1E7C4}"/>
    <cellStyle name="Normal 7" xfId="49" xr:uid="{F2ABA7B7-1E23-224C-82ED-AECC41F7E0A7}"/>
    <cellStyle name="Normal_Sheet1" xfId="45" xr:uid="{6F5BAE46-80C0-F14C-AAD0-3E74DA968527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8011282171818074E-2"/>
          <c:y val="5.8632036667058407E-3"/>
          <c:w val="0.97273465049997587"/>
          <c:h val="0.98626932728264161"/>
        </c:manualLayout>
      </c:layout>
      <c:areaChart>
        <c:grouping val="stacked"/>
        <c:varyColors val="0"/>
        <c:ser>
          <c:idx val="2"/>
          <c:order val="0"/>
          <c:tx>
            <c:strRef>
              <c:f>Illumination!$H$8</c:f>
              <c:strCache>
                <c:ptCount val="1"/>
                <c:pt idx="0">
                  <c:v>black bottom</c:v>
                </c:pt>
              </c:strCache>
            </c:strRef>
          </c:tx>
          <c:spPr>
            <a:solidFill>
              <a:schemeClr val="tx1"/>
            </a:solidFill>
            <a:ln w="9525">
              <a:solidFill>
                <a:schemeClr val="tx1"/>
              </a:solidFill>
            </a:ln>
            <a:effectLst/>
          </c:spPr>
          <c:val>
            <c:numRef>
              <c:f>Illumination!$H$9:$H$209</c:f>
              <c:numCache>
                <c:formatCode>0.00</c:formatCode>
                <c:ptCount val="2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0-2B4B-BF67-486C404D393C}"/>
            </c:ext>
          </c:extLst>
        </c:ser>
        <c:ser>
          <c:idx val="0"/>
          <c:order val="1"/>
          <c:tx>
            <c:strRef>
              <c:f>Illumination!$I$8</c:f>
              <c:strCache>
                <c:ptCount val="1"/>
                <c:pt idx="0">
                  <c:v>transparent</c:v>
                </c:pt>
              </c:strCache>
            </c:strRef>
          </c:tx>
          <c:spPr>
            <a:noFill/>
            <a:ln w="25400">
              <a:noFill/>
            </a:ln>
            <a:effectLst/>
          </c:spPr>
          <c:val>
            <c:numRef>
              <c:f>Illumination!$I$9:$I$209</c:f>
              <c:numCache>
                <c:formatCode>0.00</c:formatCode>
                <c:ptCount val="2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1.0256153519794253E-4</c:v>
                </c:pt>
                <c:pt idx="102">
                  <c:v>4.1030927990726163E-4</c:v>
                </c:pt>
                <c:pt idx="103">
                  <c:v>9.234328459836183E-4</c:v>
                </c:pt>
                <c:pt idx="104">
                  <c:v>1.6422489029482845E-3</c:v>
                </c:pt>
                <c:pt idx="105">
                  <c:v>2.5672021575505743E-3</c:v>
                </c:pt>
                <c:pt idx="106">
                  <c:v>3.6988667350538185E-3</c:v>
                </c:pt>
                <c:pt idx="107">
                  <c:v>5.037947972305501E-3</c:v>
                </c:pt>
                <c:pt idx="108">
                  <c:v>6.585284635741484E-3</c:v>
                </c:pt>
                <c:pt idx="109">
                  <c:v>8.3418515807546223E-3</c:v>
                </c:pt>
                <c:pt idx="110">
                  <c:v>1.0308762872345723E-2</c:v>
                </c:pt>
                <c:pt idx="111">
                  <c:v>1.2487275390745789E-2</c:v>
                </c:pt>
                <c:pt idx="112">
                  <c:v>1.4878792949789221E-2</c:v>
                </c:pt>
                <c:pt idx="113">
                  <c:v>1.7484870960308818E-2</c:v>
                </c:pt>
                <c:pt idx="114">
                  <c:v>2.0307221675772924E-2</c:v>
                </c:pt>
                <c:pt idx="115">
                  <c:v>2.3347720062892319E-2</c:v>
                </c:pt>
                <c:pt idx="116">
                  <c:v>2.6608410346070865E-2</c:v>
                </c:pt>
                <c:pt idx="117">
                  <c:v>3.0091513281484183E-2</c:v>
                </c:pt>
                <c:pt idx="118">
                  <c:v>3.3799434224371372E-2</c:v>
                </c:pt>
                <c:pt idx="119">
                  <c:v>3.7734772061967514E-2</c:v>
                </c:pt>
                <c:pt idx="120">
                  <c:v>4.19003290945833E-2</c:v>
                </c:pt>
                <c:pt idx="121">
                  <c:v>4.6299121958856992E-2</c:v>
                </c:pt>
                <c:pt idx="122">
                  <c:v>5.0934393700429181E-2</c:v>
                </c:pt>
                <c:pt idx="123">
                  <c:v>5.5809627118533767E-2</c:v>
                </c:pt>
                <c:pt idx="124">
                  <c:v>6.0928559522621994E-2</c:v>
                </c:pt>
                <c:pt idx="125">
                  <c:v>6.6295199061599308E-2</c:v>
                </c:pt>
                <c:pt idx="126">
                  <c:v>7.1913842810095274E-2</c:v>
                </c:pt>
                <c:pt idx="127">
                  <c:v>7.7789096824063653E-2</c:v>
                </c:pt>
                <c:pt idx="128">
                  <c:v>8.3925898410738276E-2</c:v>
                </c:pt>
                <c:pt idx="129">
                  <c:v>9.0329540896531446E-2</c:v>
                </c:pt>
                <c:pt idx="130">
                  <c:v>9.7005701222093621E-2</c:v>
                </c:pt>
                <c:pt idx="131">
                  <c:v>0.10396047074794978</c:v>
                </c:pt>
                <c:pt idx="132">
                  <c:v>0.11120038971879953</c:v>
                </c:pt>
                <c:pt idx="133">
                  <c:v>0.11873248591206009</c:v>
                </c:pt>
                <c:pt idx="134">
                  <c:v>0.12656431808953084</c:v>
                </c:pt>
                <c:pt idx="135">
                  <c:v>0.13470402498392453</c:v>
                </c:pt>
                <c:pt idx="136">
                  <c:v>0.14316038068925629</c:v>
                </c:pt>
                <c:pt idx="137">
                  <c:v>0.15194285749185199</c:v>
                </c:pt>
                <c:pt idx="138">
                  <c:v>0.16106169738500109</c:v>
                </c:pt>
                <c:pt idx="139">
                  <c:v>0.17052799376535255</c:v>
                </c:pt>
                <c:pt idx="140">
                  <c:v>0.18035378512661204</c:v>
                </c:pt>
                <c:pt idx="141">
                  <c:v>0.19055216296381505</c:v>
                </c:pt>
                <c:pt idx="142">
                  <c:v>0.20113739660327701</c:v>
                </c:pt>
                <c:pt idx="143">
                  <c:v>0.21212507831130523</c:v>
                </c:pt>
                <c:pt idx="144">
                  <c:v>0.22353229285237541</c:v>
                </c:pt>
                <c:pt idx="145">
                  <c:v>0.2353778167243924</c:v>
                </c:pt>
                <c:pt idx="146">
                  <c:v>0.24768235367753744</c:v>
                </c:pt>
                <c:pt idx="147">
                  <c:v>0.26046881494008101</c:v>
                </c:pt>
                <c:pt idx="148">
                  <c:v>0.27376265499422858</c:v>
                </c:pt>
                <c:pt idx="149">
                  <c:v>0.28759227700502799</c:v>
                </c:pt>
                <c:pt idx="150">
                  <c:v>0.30198952645273625</c:v>
                </c:pt>
                <c:pt idx="151">
                  <c:v>0.31699029766963416</c:v>
                </c:pt>
                <c:pt idx="152">
                  <c:v>0.33263528661600628</c:v>
                </c:pt>
                <c:pt idx="153">
                  <c:v>0.34897093554916425</c:v>
                </c:pt>
                <c:pt idx="154">
                  <c:v>0.36605063313675734</c:v>
                </c:pt>
                <c:pt idx="155">
                  <c:v>0.38393626009167903</c:v>
                </c:pt>
                <c:pt idx="156">
                  <c:v>0.40270021060585182</c:v>
                </c:pt>
                <c:pt idx="157">
                  <c:v>0.42242808232419615</c:v>
                </c:pt>
                <c:pt idx="158">
                  <c:v>0.44322232743934276</c:v>
                </c:pt>
                <c:pt idx="159">
                  <c:v>0.46520732228894068</c:v>
                </c:pt>
                <c:pt idx="160">
                  <c:v>0.48853659514916137</c:v>
                </c:pt>
                <c:pt idx="161">
                  <c:v>0.5134034568897905</c:v>
                </c:pt>
                <c:pt idx="162">
                  <c:v>0.54005722972423587</c:v>
                </c:pt>
                <c:pt idx="163">
                  <c:v>0.56882917191903137</c:v>
                </c:pt>
                <c:pt idx="164">
                  <c:v>0.6001763026732192</c:v>
                </c:pt>
                <c:pt idx="165">
                  <c:v>0.63476107847460761</c:v>
                </c:pt>
                <c:pt idx="166">
                  <c:v>0.67361108237724787</c:v>
                </c:pt>
                <c:pt idx="167">
                  <c:v>0.71848666782225612</c:v>
                </c:pt>
                <c:pt idx="168">
                  <c:v>0.77293269337567039</c:v>
                </c:pt>
                <c:pt idx="169">
                  <c:v>0.84683622432708483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60-2B4B-BF67-486C404D393C}"/>
            </c:ext>
          </c:extLst>
        </c:ser>
        <c:ser>
          <c:idx val="3"/>
          <c:order val="2"/>
          <c:tx>
            <c:strRef>
              <c:f>Illumination!$J$8</c:f>
              <c:strCache>
                <c:ptCount val="1"/>
                <c:pt idx="0">
                  <c:v>black top</c:v>
                </c:pt>
              </c:strCache>
            </c:strRef>
          </c:tx>
          <c:spPr>
            <a:solidFill>
              <a:schemeClr val="tx1"/>
            </a:solidFill>
            <a:ln w="9525">
              <a:noFill/>
            </a:ln>
            <a:effectLst/>
          </c:spPr>
          <c:val>
            <c:numRef>
              <c:f>Illumination!$J$9:$J$209</c:f>
              <c:numCache>
                <c:formatCode>0.00</c:formatCode>
                <c:ptCount val="20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  <c:pt idx="81">
                  <c:v>2</c:v>
                </c:pt>
                <c:pt idx="82">
                  <c:v>2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2</c:v>
                </c:pt>
                <c:pt idx="87">
                  <c:v>2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2</c:v>
                </c:pt>
                <c:pt idx="92">
                  <c:v>2</c:v>
                </c:pt>
                <c:pt idx="93">
                  <c:v>2</c:v>
                </c:pt>
                <c:pt idx="94">
                  <c:v>2</c:v>
                </c:pt>
                <c:pt idx="95">
                  <c:v>2</c:v>
                </c:pt>
                <c:pt idx="96">
                  <c:v>2</c:v>
                </c:pt>
                <c:pt idx="97">
                  <c:v>2</c:v>
                </c:pt>
                <c:pt idx="98">
                  <c:v>2</c:v>
                </c:pt>
                <c:pt idx="99">
                  <c:v>2</c:v>
                </c:pt>
                <c:pt idx="100">
                  <c:v>2</c:v>
                </c:pt>
                <c:pt idx="101">
                  <c:v>1.9997948769296041</c:v>
                </c:pt>
                <c:pt idx="102">
                  <c:v>1.9991793814401855</c:v>
                </c:pt>
                <c:pt idx="103">
                  <c:v>1.9981531343080328</c:v>
                </c:pt>
                <c:pt idx="104">
                  <c:v>1.9967155021941034</c:v>
                </c:pt>
                <c:pt idx="105">
                  <c:v>1.9948655956848989</c:v>
                </c:pt>
                <c:pt idx="106">
                  <c:v>1.9926022665298924</c:v>
                </c:pt>
                <c:pt idx="107">
                  <c:v>1.989924104055389</c:v>
                </c:pt>
                <c:pt idx="108">
                  <c:v>1.986829430728517</c:v>
                </c:pt>
                <c:pt idx="109">
                  <c:v>1.9833162968384908</c:v>
                </c:pt>
                <c:pt idx="110">
                  <c:v>1.9793824742553086</c:v>
                </c:pt>
                <c:pt idx="111">
                  <c:v>1.9750254492185084</c:v>
                </c:pt>
                <c:pt idx="112">
                  <c:v>1.9702424141004216</c:v>
                </c:pt>
                <c:pt idx="113">
                  <c:v>1.9650302580793824</c:v>
                </c:pt>
                <c:pt idx="114">
                  <c:v>1.9593855566484542</c:v>
                </c:pt>
                <c:pt idx="115">
                  <c:v>1.9533045598742154</c:v>
                </c:pt>
                <c:pt idx="116">
                  <c:v>1.9467831793078583</c:v>
                </c:pt>
                <c:pt idx="117">
                  <c:v>1.9398169734370316</c:v>
                </c:pt>
                <c:pt idx="118">
                  <c:v>1.9324011315512573</c:v>
                </c:pt>
                <c:pt idx="119">
                  <c:v>1.924530455876065</c:v>
                </c:pt>
                <c:pt idx="120">
                  <c:v>1.9161993418108334</c:v>
                </c:pt>
                <c:pt idx="121">
                  <c:v>1.907401756082286</c:v>
                </c:pt>
                <c:pt idx="122">
                  <c:v>1.8981312125991416</c:v>
                </c:pt>
                <c:pt idx="123">
                  <c:v>1.8883807457629325</c:v>
                </c:pt>
                <c:pt idx="124">
                  <c:v>1.878142880954756</c:v>
                </c:pt>
                <c:pt idx="125">
                  <c:v>1.8674096018768014</c:v>
                </c:pt>
                <c:pt idx="126">
                  <c:v>1.8561723143798095</c:v>
                </c:pt>
                <c:pt idx="127">
                  <c:v>1.8444218063518727</c:v>
                </c:pt>
                <c:pt idx="128">
                  <c:v>1.8321482031785234</c:v>
                </c:pt>
                <c:pt idx="129">
                  <c:v>1.8193409182069371</c:v>
                </c:pt>
                <c:pt idx="130">
                  <c:v>1.8059885975558128</c:v>
                </c:pt>
                <c:pt idx="131">
                  <c:v>1.7920790585041004</c:v>
                </c:pt>
                <c:pt idx="132">
                  <c:v>1.7775992205624009</c:v>
                </c:pt>
                <c:pt idx="133">
                  <c:v>1.7625350281758798</c:v>
                </c:pt>
                <c:pt idx="134">
                  <c:v>1.7468713638209383</c:v>
                </c:pt>
                <c:pt idx="135">
                  <c:v>1.7305919500321509</c:v>
                </c:pt>
                <c:pt idx="136">
                  <c:v>1.7136792386214874</c:v>
                </c:pt>
                <c:pt idx="137">
                  <c:v>1.696114285016296</c:v>
                </c:pt>
                <c:pt idx="138">
                  <c:v>1.6778766052299978</c:v>
                </c:pt>
                <c:pt idx="139">
                  <c:v>1.6589440124692949</c:v>
                </c:pt>
                <c:pt idx="140">
                  <c:v>1.6392924297467759</c:v>
                </c:pt>
                <c:pt idx="141">
                  <c:v>1.6188956740723699</c:v>
                </c:pt>
                <c:pt idx="142">
                  <c:v>1.597725206793446</c:v>
                </c:pt>
                <c:pt idx="143">
                  <c:v>1.5757498433773895</c:v>
                </c:pt>
                <c:pt idx="144">
                  <c:v>1.5529354142952492</c:v>
                </c:pt>
                <c:pt idx="145">
                  <c:v>1.5292443665512152</c:v>
                </c:pt>
                <c:pt idx="146">
                  <c:v>1.5046352926449251</c:v>
                </c:pt>
                <c:pt idx="147">
                  <c:v>1.479062370119838</c:v>
                </c:pt>
                <c:pt idx="148">
                  <c:v>1.4524746900115428</c:v>
                </c:pt>
                <c:pt idx="149">
                  <c:v>1.424815445989944</c:v>
                </c:pt>
                <c:pt idx="150">
                  <c:v>1.3960209470945275</c:v>
                </c:pt>
                <c:pt idx="151">
                  <c:v>1.3660194046607317</c:v>
                </c:pt>
                <c:pt idx="152">
                  <c:v>1.3347294267679874</c:v>
                </c:pt>
                <c:pt idx="153">
                  <c:v>1.3020581289016715</c:v>
                </c:pt>
                <c:pt idx="154">
                  <c:v>1.2678987337264853</c:v>
                </c:pt>
                <c:pt idx="155">
                  <c:v>1.2321274798166419</c:v>
                </c:pt>
                <c:pt idx="156">
                  <c:v>1.1945995787882964</c:v>
                </c:pt>
                <c:pt idx="157">
                  <c:v>1.1551438353516077</c:v>
                </c:pt>
                <c:pt idx="158">
                  <c:v>1.1135553451213145</c:v>
                </c:pt>
                <c:pt idx="159">
                  <c:v>1.0695853554221186</c:v>
                </c:pt>
                <c:pt idx="160">
                  <c:v>1.0229268097016773</c:v>
                </c:pt>
                <c:pt idx="161">
                  <c:v>0.973193086220419</c:v>
                </c:pt>
                <c:pt idx="162">
                  <c:v>0.91988554055152827</c:v>
                </c:pt>
                <c:pt idx="163">
                  <c:v>0.86234165616193725</c:v>
                </c:pt>
                <c:pt idx="164">
                  <c:v>0.79964739465356172</c:v>
                </c:pt>
                <c:pt idx="165">
                  <c:v>0.73047784305078489</c:v>
                </c:pt>
                <c:pt idx="166">
                  <c:v>0.65277783524550437</c:v>
                </c:pt>
                <c:pt idx="167">
                  <c:v>0.56302666435548787</c:v>
                </c:pt>
                <c:pt idx="168">
                  <c:v>0.45413461324865922</c:v>
                </c:pt>
                <c:pt idx="169">
                  <c:v>0.30632755134583028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60-2B4B-BF67-486C404D3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9354064"/>
        <c:axId val="239352496"/>
      </c:areaChart>
      <c:catAx>
        <c:axId val="239354064"/>
        <c:scaling>
          <c:orientation val="minMax"/>
        </c:scaling>
        <c:delete val="1"/>
        <c:axPos val="b"/>
        <c:majorTickMark val="none"/>
        <c:minorTickMark val="none"/>
        <c:tickLblPos val="nextTo"/>
        <c:crossAx val="239352496"/>
        <c:crosses val="autoZero"/>
        <c:auto val="1"/>
        <c:lblAlgn val="ctr"/>
        <c:lblOffset val="100"/>
        <c:noMultiLvlLbl val="0"/>
      </c:catAx>
      <c:valAx>
        <c:axId val="239352496"/>
        <c:scaling>
          <c:orientation val="minMax"/>
          <c:max val="2"/>
          <c:min val="0"/>
        </c:scaling>
        <c:delete val="1"/>
        <c:axPos val="l"/>
        <c:numFmt formatCode="0.00" sourceLinked="1"/>
        <c:majorTickMark val="out"/>
        <c:minorTickMark val="none"/>
        <c:tickLblPos val="nextTo"/>
        <c:crossAx val="239354064"/>
        <c:crosses val="autoZero"/>
        <c:crossBetween val="midCat"/>
      </c:valAx>
      <c:spPr>
        <a:blipFill>
          <a:blip xmlns:r="http://schemas.openxmlformats.org/officeDocument/2006/relationships" r:embed="rId3"/>
          <a:stretch>
            <a:fillRect/>
          </a:stretch>
        </a:blipFill>
        <a:ln>
          <a:noFill/>
        </a:ln>
        <a:effectLst/>
      </c:spPr>
    </c:plotArea>
    <c:plotVisOnly val="0"/>
    <c:dispBlanksAs val="gap"/>
    <c:showDLblsOverMax val="0"/>
  </c:chart>
  <c:spPr>
    <a:solidFill>
      <a:schemeClr val="tx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hyperlink" Target="https://www.astronomy-morsels.ch/morsels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Relationship Id="rId5" Type="http://schemas.openxmlformats.org/officeDocument/2006/relationships/image" Target="../media/image8.jpg"/><Relationship Id="rId4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596900</xdr:colOff>
      <xdr:row>42</xdr:row>
      <xdr:rowOff>114300</xdr:rowOff>
    </xdr:from>
    <xdr:to>
      <xdr:col>9</xdr:col>
      <xdr:colOff>215900</xdr:colOff>
      <xdr:row>52</xdr:row>
      <xdr:rowOff>25400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6149BC-8520-4C4B-E9DC-2634810114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7900" y="9969500"/>
          <a:ext cx="5397500" cy="19431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641493</xdr:colOff>
      <xdr:row>17</xdr:row>
      <xdr:rowOff>127000</xdr:rowOff>
    </xdr:from>
    <xdr:to>
      <xdr:col>8</xdr:col>
      <xdr:colOff>755634</xdr:colOff>
      <xdr:row>34</xdr:row>
      <xdr:rowOff>50799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DC1B2B-AEB4-464C-FE78-36FDDDECA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92493" y="3683000"/>
          <a:ext cx="5067141" cy="3378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0</xdr:rowOff>
    </xdr:from>
    <xdr:to>
      <xdr:col>4</xdr:col>
      <xdr:colOff>0</xdr:colOff>
      <xdr:row>49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3AD93A-464A-8447-A845-5ED43D1BFB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101600</xdr:rowOff>
    </xdr:from>
    <xdr:to>
      <xdr:col>0</xdr:col>
      <xdr:colOff>635000</xdr:colOff>
      <xdr:row>10</xdr:row>
      <xdr:rowOff>184896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3EAC3C9-D921-B349-8383-CF5562BCB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24000"/>
          <a:ext cx="635000" cy="43889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</xdr:row>
      <xdr:rowOff>38100</xdr:rowOff>
    </xdr:from>
    <xdr:to>
      <xdr:col>0</xdr:col>
      <xdr:colOff>622426</xdr:colOff>
      <xdr:row>9</xdr:row>
      <xdr:rowOff>69850</xdr:rowOff>
    </xdr:to>
    <xdr:pic>
      <xdr:nvPicPr>
        <xdr:cNvPr id="3" name="Picture 2" hidden="1">
          <a:extLst>
            <a:ext uri="{FF2B5EF4-FFF2-40B4-BE49-F238E27FC236}">
              <a16:creationId xmlns:a16="http://schemas.microsoft.com/office/drawing/2014/main" id="{40F31D8F-0577-E84E-AE29-F0EDEC57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04900"/>
          <a:ext cx="622426" cy="565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</xdr:row>
      <xdr:rowOff>38100</xdr:rowOff>
    </xdr:from>
    <xdr:to>
      <xdr:col>0</xdr:col>
      <xdr:colOff>624417</xdr:colOff>
      <xdr:row>9</xdr:row>
      <xdr:rowOff>3175</xdr:rowOff>
    </xdr:to>
    <xdr:pic>
      <xdr:nvPicPr>
        <xdr:cNvPr id="4" name="Picture 3" hidden="1">
          <a:extLst>
            <a:ext uri="{FF2B5EF4-FFF2-40B4-BE49-F238E27FC236}">
              <a16:creationId xmlns:a16="http://schemas.microsoft.com/office/drawing/2014/main" id="{19176460-13E9-BD4A-83CF-495D850A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1104900"/>
          <a:ext cx="624417" cy="498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932329</xdr:colOff>
      <xdr:row>11</xdr:row>
      <xdr:rowOff>23906</xdr:rowOff>
    </xdr:to>
    <xdr:pic>
      <xdr:nvPicPr>
        <xdr:cNvPr id="5" name="Picture 4" hidden="1">
          <a:extLst>
            <a:ext uri="{FF2B5EF4-FFF2-40B4-BE49-F238E27FC236}">
              <a16:creationId xmlns:a16="http://schemas.microsoft.com/office/drawing/2014/main" id="{9AB2884D-88DB-4B4F-BA29-2652C68EE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889000"/>
          <a:ext cx="1757829" cy="111610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50800</xdr:rowOff>
    </xdr:from>
    <xdr:to>
      <xdr:col>4</xdr:col>
      <xdr:colOff>317500</xdr:colOff>
      <xdr:row>17</xdr:row>
      <xdr:rowOff>8829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36A6515-103A-E64E-94D9-94095BA22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5500" y="1651000"/>
          <a:ext cx="3746500" cy="155822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799536</xdr:colOff>
      <xdr:row>63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9603AFF-02F9-0804-83A0-D275D1EC7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810500"/>
          <a:ext cx="18135036" cy="1209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loudynights.com/topic/605923-the-top-100-astrophotography-objects/" TargetMode="External"/><Relationship Id="rId2" Type="http://schemas.openxmlformats.org/officeDocument/2006/relationships/hyperlink" Target="http://www.astronomy-morsels.ch/" TargetMode="External"/><Relationship Id="rId1" Type="http://schemas.openxmlformats.org/officeDocument/2006/relationships/hyperlink" Target="mailto:anton@astronomy-morsels.ch?subject=Eclipse%20Data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B940F-4CFD-5843-94DF-BBFEAA1B2116}">
  <sheetPr codeName="Sheet4"/>
  <dimension ref="A2:Q43"/>
  <sheetViews>
    <sheetView showGridLines="0" tabSelected="1" workbookViewId="0">
      <selection activeCell="C11" sqref="C11"/>
    </sheetView>
  </sheetViews>
  <sheetFormatPr baseColWidth="10" defaultRowHeight="16"/>
  <cols>
    <col min="1" max="16384" width="10.83203125" style="33"/>
  </cols>
  <sheetData>
    <row r="2" spans="2:11" ht="15" customHeight="1"/>
    <row r="3" spans="2:11" ht="16" customHeight="1">
      <c r="B3" s="154" t="s">
        <v>278</v>
      </c>
      <c r="C3" s="154"/>
      <c r="D3" s="154"/>
      <c r="E3" s="154"/>
      <c r="F3" s="154"/>
      <c r="G3" s="154"/>
      <c r="H3" s="154"/>
      <c r="I3" s="154"/>
      <c r="J3" s="154"/>
      <c r="K3" s="154"/>
    </row>
    <row r="4" spans="2:11" ht="16" customHeight="1">
      <c r="B4" s="154"/>
      <c r="C4" s="154"/>
      <c r="D4" s="154"/>
      <c r="E4" s="154"/>
      <c r="F4" s="154"/>
      <c r="G4" s="154"/>
      <c r="H4" s="154"/>
      <c r="I4" s="154"/>
      <c r="J4" s="154"/>
      <c r="K4" s="154"/>
    </row>
    <row r="5" spans="2:11" ht="16" customHeight="1">
      <c r="B5" s="154"/>
      <c r="C5" s="154"/>
      <c r="D5" s="154"/>
      <c r="E5" s="154"/>
      <c r="F5" s="154"/>
      <c r="G5" s="154"/>
      <c r="H5" s="154"/>
      <c r="I5" s="154"/>
      <c r="J5" s="154"/>
      <c r="K5" s="154"/>
    </row>
    <row r="6" spans="2:11" ht="16" customHeight="1">
      <c r="B6" s="154"/>
      <c r="C6" s="154"/>
      <c r="D6" s="154"/>
      <c r="E6" s="154"/>
      <c r="F6" s="154"/>
      <c r="G6" s="154"/>
      <c r="H6" s="154"/>
      <c r="I6" s="154"/>
      <c r="J6" s="154"/>
      <c r="K6" s="154"/>
    </row>
    <row r="7" spans="2:11" ht="16" customHeight="1">
      <c r="B7" s="154"/>
      <c r="C7" s="154"/>
      <c r="D7" s="154"/>
      <c r="E7" s="154"/>
      <c r="F7" s="154"/>
      <c r="G7" s="154"/>
      <c r="H7" s="154"/>
      <c r="I7" s="154"/>
      <c r="J7" s="154"/>
      <c r="K7" s="154"/>
    </row>
    <row r="8" spans="2:11" ht="16" customHeight="1"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2:11" ht="16" customHeight="1">
      <c r="B9" s="154"/>
      <c r="C9" s="154"/>
      <c r="D9" s="154"/>
      <c r="E9" s="154"/>
      <c r="F9" s="154"/>
      <c r="G9" s="154"/>
      <c r="H9" s="154"/>
      <c r="I9" s="154"/>
      <c r="J9" s="154"/>
      <c r="K9" s="154"/>
    </row>
    <row r="10" spans="2:11">
      <c r="F10" s="181" t="s">
        <v>280</v>
      </c>
    </row>
    <row r="13" spans="2:11" ht="19">
      <c r="D13" s="1" t="s">
        <v>4</v>
      </c>
      <c r="E13" s="2"/>
      <c r="F13" s="3"/>
      <c r="G13" s="3"/>
      <c r="H13" s="3"/>
      <c r="I13" s="4" t="s">
        <v>0</v>
      </c>
    </row>
    <row r="14" spans="2:11" ht="19">
      <c r="D14" s="5"/>
      <c r="E14" s="6"/>
      <c r="F14" s="7"/>
      <c r="G14" s="7"/>
      <c r="H14" s="7"/>
      <c r="I14" s="8"/>
    </row>
    <row r="15" spans="2:11" ht="19">
      <c r="D15" s="9" t="s">
        <v>279</v>
      </c>
      <c r="E15" s="10"/>
      <c r="F15" s="11"/>
      <c r="G15" s="11"/>
      <c r="H15" s="11"/>
      <c r="I15" s="12" t="s">
        <v>277</v>
      </c>
    </row>
    <row r="25" spans="3:16">
      <c r="C25" s="34"/>
    </row>
    <row r="27" spans="3:16">
      <c r="P27" s="34"/>
    </row>
    <row r="28" spans="3:16">
      <c r="D28" s="34"/>
    </row>
    <row r="33" spans="1:17">
      <c r="Q33" s="34"/>
    </row>
    <row r="34" spans="1:17">
      <c r="Q34" s="34"/>
    </row>
    <row r="35" spans="1:17">
      <c r="Q35" s="34"/>
    </row>
    <row r="36" spans="1:17">
      <c r="Q36" s="34"/>
    </row>
    <row r="37" spans="1:17">
      <c r="Q37" s="34"/>
    </row>
    <row r="38" spans="1:17">
      <c r="A38" s="34"/>
    </row>
    <row r="39" spans="1:17">
      <c r="B39" s="155" t="s">
        <v>1</v>
      </c>
      <c r="C39" s="156"/>
      <c r="D39" s="156"/>
      <c r="E39" s="156"/>
      <c r="F39" s="156"/>
      <c r="G39" s="156"/>
      <c r="H39" s="156"/>
      <c r="I39" s="156"/>
      <c r="J39" s="156"/>
      <c r="K39" s="157"/>
    </row>
    <row r="40" spans="1:17">
      <c r="B40" s="158" t="s">
        <v>2</v>
      </c>
      <c r="C40" s="159"/>
      <c r="D40" s="159"/>
      <c r="E40" s="159"/>
      <c r="F40" s="159"/>
      <c r="G40" s="159"/>
      <c r="H40" s="159"/>
      <c r="I40" s="159"/>
      <c r="J40" s="159"/>
      <c r="K40" s="160"/>
    </row>
    <row r="41" spans="1:17">
      <c r="B41" s="161" t="s">
        <v>3</v>
      </c>
      <c r="C41" s="162"/>
      <c r="D41" s="162"/>
      <c r="E41" s="162"/>
      <c r="F41" s="162"/>
      <c r="G41" s="162"/>
      <c r="H41" s="162"/>
      <c r="I41" s="162"/>
      <c r="J41" s="162"/>
      <c r="K41" s="163"/>
    </row>
    <row r="43" spans="1:17">
      <c r="Q43" s="34"/>
    </row>
  </sheetData>
  <sheetProtection sheet="1" objects="1" scenarios="1"/>
  <mergeCells count="4">
    <mergeCell ref="B3:K9"/>
    <mergeCell ref="B39:K39"/>
    <mergeCell ref="B40:K40"/>
    <mergeCell ref="B41:K41"/>
  </mergeCells>
  <hyperlinks>
    <hyperlink ref="I13" r:id="rId1" xr:uid="{60E68FAD-CE54-204D-BE8F-AA8992F34899}"/>
    <hyperlink ref="B39" r:id="rId2" display="http://www.astronomy-morsels.ch/" xr:uid="{658673F1-EC19-9849-A093-CD89D563BEA6}"/>
    <hyperlink ref="F10" r:id="rId3" xr:uid="{BF3A56AA-E2B2-244C-B358-0D8136A5ADDE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5CC5-610B-8844-8C0F-9B63B3EF5C5D}">
  <sheetPr codeName="Sheet1"/>
  <dimension ref="B2:AB109"/>
  <sheetViews>
    <sheetView showGridLines="0" workbookViewId="0">
      <selection activeCell="U20" sqref="U20"/>
    </sheetView>
  </sheetViews>
  <sheetFormatPr baseColWidth="10" defaultRowHeight="16"/>
  <cols>
    <col min="1" max="1" width="10.83203125" style="13"/>
    <col min="2" max="2" width="13.33203125" style="13" customWidth="1"/>
    <col min="3" max="4" width="11.33203125" style="13" customWidth="1"/>
    <col min="5" max="6" width="6.83203125" style="13" customWidth="1"/>
    <col min="7" max="7" width="5.83203125" style="13" customWidth="1"/>
    <col min="8" max="8" width="4.83203125" style="13" customWidth="1"/>
    <col min="9" max="9" width="11.33203125" style="13" customWidth="1"/>
    <col min="10" max="10" width="16.83203125" style="14" customWidth="1"/>
    <col min="11" max="11" width="10.83203125" style="14" customWidth="1"/>
    <col min="12" max="12" width="10.83203125" style="13"/>
    <col min="13" max="13" width="28.33203125" style="176" customWidth="1"/>
    <col min="14" max="14" width="10.83203125" style="14" customWidth="1"/>
    <col min="15" max="16" width="10.83203125" style="13"/>
    <col min="17" max="17" width="5.83203125" style="13" customWidth="1"/>
    <col min="18" max="18" width="10.83203125" style="13" hidden="1" customWidth="1"/>
    <col min="19" max="19" width="4.83203125" style="14" customWidth="1"/>
    <col min="20" max="20" width="11.33203125" style="14" customWidth="1"/>
    <col min="21" max="21" width="16.83203125" style="14" customWidth="1"/>
    <col min="22" max="23" width="10.83203125" style="13"/>
    <col min="24" max="25" width="10.83203125" style="13" hidden="1" customWidth="1"/>
    <col min="26" max="27" width="0.1640625" style="13" hidden="1" customWidth="1"/>
    <col min="28" max="16384" width="10.83203125" style="13"/>
  </cols>
  <sheetData>
    <row r="2" spans="2:28" ht="19">
      <c r="B2" s="167" t="s">
        <v>57</v>
      </c>
      <c r="C2" s="168"/>
      <c r="D2" s="76"/>
      <c r="E2" s="76"/>
      <c r="F2" s="76"/>
      <c r="H2" s="167" t="s">
        <v>47</v>
      </c>
      <c r="I2" s="169"/>
      <c r="J2" s="169"/>
      <c r="K2" s="169"/>
      <c r="L2" s="169"/>
      <c r="M2" s="169"/>
      <c r="N2" s="169"/>
      <c r="O2" s="169"/>
      <c r="P2" s="168"/>
      <c r="R2" s="35"/>
      <c r="S2" s="167" t="s">
        <v>48</v>
      </c>
      <c r="T2" s="169"/>
      <c r="U2" s="169"/>
      <c r="V2" s="169"/>
      <c r="W2" s="169"/>
      <c r="X2" s="169"/>
      <c r="Y2" s="169"/>
      <c r="Z2" s="168"/>
      <c r="AB2" s="39"/>
    </row>
    <row r="3" spans="2:28">
      <c r="B3" s="136"/>
      <c r="C3" s="51" t="s">
        <v>7</v>
      </c>
      <c r="D3" s="77"/>
      <c r="E3" s="77"/>
      <c r="F3" s="77"/>
      <c r="G3" s="15"/>
      <c r="H3" s="63"/>
      <c r="I3" s="64"/>
      <c r="J3" s="65"/>
      <c r="K3" s="16" t="s">
        <v>5</v>
      </c>
      <c r="L3" s="16" t="s">
        <v>5</v>
      </c>
      <c r="M3" s="173"/>
      <c r="N3" s="66"/>
      <c r="O3" s="66"/>
      <c r="P3" s="69"/>
      <c r="S3" s="137" t="str">
        <f>CONCATENATE("Date: ",TEXT(C4,"DD.MM.YYYY"),",   Time: ",TEXT(C5,"HH:MM"))</f>
        <v>Date: 06.11.2024,   Time: 20:00</v>
      </c>
      <c r="T3" s="58"/>
      <c r="U3" s="58"/>
      <c r="V3" s="59"/>
      <c r="W3" s="74" t="str">
        <f>CONCATENATE("Moon: ",TEXT(Illumination!C8*100,"0.00"),"%")</f>
        <v>Moon: 25.40%</v>
      </c>
    </row>
    <row r="4" spans="2:28">
      <c r="B4" s="20" t="s">
        <v>13</v>
      </c>
      <c r="C4" s="26">
        <v>45602</v>
      </c>
      <c r="D4" s="78"/>
      <c r="E4" s="78"/>
      <c r="F4" s="78"/>
      <c r="G4" s="15"/>
      <c r="H4" s="63"/>
      <c r="I4" s="64"/>
      <c r="J4" s="66"/>
      <c r="K4" s="17">
        <v>90</v>
      </c>
      <c r="L4" s="17">
        <v>15</v>
      </c>
      <c r="M4" s="173"/>
      <c r="N4" s="66"/>
      <c r="O4" s="66"/>
      <c r="P4" s="69"/>
      <c r="S4" s="137" t="str">
        <f>CONCATENATE("Latitude: ",TEXT(C13,"0.00"),",      Longitude: ",TEXT(C14,"0.00"),"   (",C12,")")</f>
        <v>Latitude: 46.45,      Longitude: 7.42   (Home)</v>
      </c>
      <c r="T4" s="58"/>
      <c r="U4" s="58"/>
      <c r="V4" s="60"/>
      <c r="W4" s="74" t="str">
        <f>CONCATENATE("# total: ",TEXT(100-COUNTBLANK(($G$8:$G$107)),"0"))</f>
        <v># total: 15</v>
      </c>
    </row>
    <row r="5" spans="2:28">
      <c r="B5" s="23" t="s">
        <v>14</v>
      </c>
      <c r="C5" s="73">
        <v>0.83333333333333337</v>
      </c>
      <c r="D5" s="79"/>
      <c r="E5" s="79"/>
      <c r="F5" s="79"/>
      <c r="G5" s="15"/>
      <c r="H5" s="63"/>
      <c r="I5" s="64"/>
      <c r="J5" s="66"/>
      <c r="K5" s="16" t="s">
        <v>6</v>
      </c>
      <c r="L5" s="16" t="s">
        <v>6</v>
      </c>
      <c r="M5" s="173"/>
      <c r="N5" s="66"/>
      <c r="O5" s="66"/>
      <c r="P5" s="69"/>
      <c r="S5" s="138" t="str">
        <f>CONCATENATE("Limits: ",TEXT(K4,"0")," &lt;= azimuth &lt;= ",TEXT(K6,"0"),",   ",TEXT(L4,"0")," &lt;= altitude &lt;= ",TEXT(L6,"0"))</f>
        <v>Limits: 90 &lt;= azimuth &lt;= 270,   15 &lt;= altitude &lt;= 90</v>
      </c>
      <c r="T5" s="58"/>
      <c r="U5" s="58"/>
      <c r="V5" s="61"/>
      <c r="W5" s="74" t="str">
        <f>CONCATENATE("# selected: ",TEXT(100-COUNTBLANK(($S$8:$S$107)),"0"))</f>
        <v># selected: 15</v>
      </c>
    </row>
    <row r="6" spans="2:28">
      <c r="B6" s="23" t="s">
        <v>15</v>
      </c>
      <c r="C6" s="27">
        <v>1</v>
      </c>
      <c r="D6" s="80"/>
      <c r="E6" s="80"/>
      <c r="F6" s="80"/>
      <c r="G6" s="15"/>
      <c r="H6" s="62"/>
      <c r="I6" s="67"/>
      <c r="J6" s="68"/>
      <c r="K6" s="17">
        <v>270</v>
      </c>
      <c r="L6" s="17">
        <v>90</v>
      </c>
      <c r="M6" s="174"/>
      <c r="N6" s="68"/>
      <c r="O6" s="68"/>
      <c r="P6" s="70"/>
      <c r="S6" s="71"/>
      <c r="T6" s="68"/>
      <c r="U6" s="68"/>
      <c r="V6" s="72"/>
      <c r="W6" s="70"/>
    </row>
    <row r="7" spans="2:28" ht="19">
      <c r="B7" s="20" t="s">
        <v>16</v>
      </c>
      <c r="C7" s="16" t="str">
        <f>IF(OR(MOD(YEAR(C4),400)=0,AND(MOD(YEAR(C4),4)=0,MOD(YEAR(C4),100)&lt;&gt;0)),"Y", "N")</f>
        <v>Y</v>
      </c>
      <c r="D7" s="21"/>
      <c r="E7" s="21"/>
      <c r="F7" s="21"/>
      <c r="G7" s="15"/>
      <c r="H7" s="36" t="s">
        <v>45</v>
      </c>
      <c r="I7" s="37" t="str">
        <f>C17</f>
        <v>Observed?</v>
      </c>
      <c r="J7" s="37" t="s">
        <v>25</v>
      </c>
      <c r="K7" s="36" t="s">
        <v>8</v>
      </c>
      <c r="L7" s="36" t="s">
        <v>9</v>
      </c>
      <c r="M7" s="175" t="s">
        <v>46</v>
      </c>
      <c r="N7" s="36" t="s">
        <v>10</v>
      </c>
      <c r="O7" s="36" t="s">
        <v>11</v>
      </c>
      <c r="P7" s="36" t="s">
        <v>12</v>
      </c>
      <c r="Q7" s="38"/>
      <c r="R7" s="38"/>
      <c r="S7" s="37" t="s">
        <v>45</v>
      </c>
      <c r="T7" s="37" t="str">
        <f>C17</f>
        <v>Observed?</v>
      </c>
      <c r="U7" s="37" t="s">
        <v>25</v>
      </c>
      <c r="V7" s="36" t="s">
        <v>8</v>
      </c>
      <c r="W7" s="36" t="s">
        <v>9</v>
      </c>
      <c r="X7" s="18" t="s">
        <v>46</v>
      </c>
      <c r="Y7" s="19" t="s">
        <v>10</v>
      </c>
      <c r="Z7" s="19" t="s">
        <v>11</v>
      </c>
      <c r="AA7" s="19" t="s">
        <v>12</v>
      </c>
    </row>
    <row r="8" spans="2:28">
      <c r="B8" s="20" t="s">
        <v>17</v>
      </c>
      <c r="C8" s="28">
        <f>INT(275*MONTH(C4)/9)-IF(C7="Y",1,2)*INT((MONTH(C4)+9)/12)+DAY(C4)-30</f>
        <v>311</v>
      </c>
      <c r="D8" s="81"/>
      <c r="E8" s="81"/>
      <c r="F8" s="81"/>
      <c r="G8" s="21" t="str">
        <f>IF(AND(L8&gt;=$L$4,L8&lt;=$L$6,K8&gt;=$K$4,K8&lt;=$K$6),IF(VLOOKUP(I8,$C$19:$D$24,2,FALSE)="yes","*","-"),"")</f>
        <v>*</v>
      </c>
      <c r="H8" s="29">
        <v>1</v>
      </c>
      <c r="I8" s="75" t="s">
        <v>56</v>
      </c>
      <c r="J8" s="29" t="s">
        <v>211</v>
      </c>
      <c r="K8" s="22">
        <f>IF(SIN($P$109*P8)&lt;0,ACOS((SIN($P$109*O8)-SIN($P$109*L8)*SIN($P$109*$C$13))/(COS($P$109*L8)*COS($P$109*$C$13)))/$P$109,360-ACOS((SIN($P$109*O8)-SIN($P$109*L8)*SIN($P$109*$C$13))/(COS($P$109*L8)*COS($P$109*$C$13)))/$P$109)</f>
        <v>91.277712621389227</v>
      </c>
      <c r="L8" s="22">
        <f t="shared" ref="L8:L39" si="0">ASIN(SIN($P$109*O8)*SIN($P$109*$C$13)+COS($P$109*O8)*COS($P$109*$C$13)*COS($P$109*P8))/$P$109</f>
        <v>66.700960718284506</v>
      </c>
      <c r="M8" s="180" t="s">
        <v>97</v>
      </c>
      <c r="N8" s="177">
        <v>0.7122222222222222</v>
      </c>
      <c r="O8" s="30">
        <v>41.268888888888888</v>
      </c>
      <c r="P8" s="22">
        <f t="shared" ref="P8:P39" si="1">$C$16-((N8/24)*360)</f>
        <v>328.25738766681849</v>
      </c>
      <c r="R8" s="13" t="str" cm="1">
        <f t="array" ref="R8:AA22">_xlfn._xlws.FILTER(G8:P107,G8:G107="*","")</f>
        <v>*</v>
      </c>
      <c r="S8" s="40">
        <v>1</v>
      </c>
      <c r="T8" s="41" t="str">
        <v>-</v>
      </c>
      <c r="U8" s="41" t="str">
        <v>M31</v>
      </c>
      <c r="V8" s="45">
        <v>91.277712621389227</v>
      </c>
      <c r="W8" s="46">
        <v>66.700960718284506</v>
      </c>
      <c r="X8" s="13" t="str">
        <v>Andromeda Galaxy</v>
      </c>
      <c r="Y8" s="13">
        <v>0.7122222222222222</v>
      </c>
      <c r="Z8" s="13">
        <v>41.268888888888888</v>
      </c>
      <c r="AA8" s="13">
        <v>328.25738766681849</v>
      </c>
    </row>
    <row r="9" spans="2:28">
      <c r="B9" s="20" t="s">
        <v>18</v>
      </c>
      <c r="C9" s="28" t="str">
        <f>IF(INT(MOD(C10+1.5,7))=1,"Monday",IF(INT(MOD(C10+1.5,7))=2,"Tuesday",IF(INT(MOD(C10+1.5,7))=3,"Wednesday",IF(INT(MOD(C10+1.5,7))=4,"Thursday",IF(INT(MOD(C10+1.5,7))=5,"Friday",IF(INT(MOD(C10+1.5,7))=6,"Saturday","Sunday"))))))</f>
        <v>Wednesday</v>
      </c>
      <c r="D9" s="81"/>
      <c r="E9" s="81"/>
      <c r="F9" s="81"/>
      <c r="G9" s="21" t="str">
        <f t="shared" ref="G9:G72" si="2">IF(AND(L9&gt;=$L$4,L9&lt;=$L$6,K9&gt;=$K$4,K9&lt;=$K$6),IF(VLOOKUP(I9,$C$19:$D$24,2,FALSE)="yes","*","-"),"")</f>
        <v>*</v>
      </c>
      <c r="H9" s="29">
        <f>H8+1</f>
        <v>2</v>
      </c>
      <c r="I9" s="75" t="s">
        <v>56</v>
      </c>
      <c r="J9" s="29" t="s">
        <v>26</v>
      </c>
      <c r="K9" s="22">
        <f t="shared" ref="K9:K72" si="3">IF(SIN($P$109*P9)&lt;0,ACOS((SIN($P$109*O9)-SIN($P$109*L9)*SIN($P$109*$C$13))/(COS($P$109*L9)*COS($P$109*$C$13)))/$P$109,360-ACOS((SIN($P$109*O9)-SIN($P$109*L9)*SIN($P$109*$C$13))/(COS($P$109*L9)*COS($P$109*$C$13)))/$P$109)</f>
        <v>143.48646017863271</v>
      </c>
      <c r="L9" s="22">
        <f t="shared" si="0"/>
        <v>26.265090542962263</v>
      </c>
      <c r="M9" s="180" t="s">
        <v>35</v>
      </c>
      <c r="N9" s="177">
        <v>0.78416666666666668</v>
      </c>
      <c r="O9" s="30">
        <v>-10.128055555555555</v>
      </c>
      <c r="P9" s="22">
        <f t="shared" si="1"/>
        <v>327.17822100015184</v>
      </c>
      <c r="R9" s="13" t="str">
        <v>*</v>
      </c>
      <c r="S9" s="42">
        <v>2</v>
      </c>
      <c r="T9" s="14" t="str">
        <v>-</v>
      </c>
      <c r="U9" s="14" t="str">
        <v>NGC 246</v>
      </c>
      <c r="V9" s="47">
        <v>143.48646017863271</v>
      </c>
      <c r="W9" s="48">
        <v>26.265090542962263</v>
      </c>
      <c r="X9" s="13" t="str">
        <v>Skull Nebula</v>
      </c>
      <c r="Y9" s="13">
        <v>0.78416666666666668</v>
      </c>
      <c r="Z9" s="13">
        <v>-10.128055555555555</v>
      </c>
      <c r="AA9" s="13">
        <v>327.17822100015184</v>
      </c>
    </row>
    <row r="10" spans="2:28">
      <c r="B10" s="20" t="s">
        <v>19</v>
      </c>
      <c r="C10" s="52">
        <f>367*YEAR(C4)-INT(7/4*YEAR(C4))-INT(3*(INT((YEAR(C4)-8/7)/100)+1)/4)+1721059.5-1+C8+(3600*HOUR(C5)+60*MINUTE(C5)+SECOND(C5))/(24*3600)</f>
        <v>2460621.3333333335</v>
      </c>
      <c r="D10" s="82"/>
      <c r="E10" s="82"/>
      <c r="F10" s="82"/>
      <c r="G10" s="21" t="str">
        <f t="shared" si="2"/>
        <v/>
      </c>
      <c r="H10" s="29">
        <f t="shared" ref="H10:H73" si="4">H9+1</f>
        <v>3</v>
      </c>
      <c r="I10" s="75" t="s">
        <v>56</v>
      </c>
      <c r="J10" s="29" t="s">
        <v>205</v>
      </c>
      <c r="K10" s="22">
        <f t="shared" si="3"/>
        <v>149.55393360983683</v>
      </c>
      <c r="L10" s="22">
        <f t="shared" si="0"/>
        <v>12.84066779027002</v>
      </c>
      <c r="M10" s="180" t="s">
        <v>98</v>
      </c>
      <c r="N10" s="177">
        <v>0.79249999999999998</v>
      </c>
      <c r="O10" s="30">
        <v>-24.711666666666666</v>
      </c>
      <c r="P10" s="22">
        <f t="shared" si="1"/>
        <v>327.05322100015184</v>
      </c>
      <c r="R10" s="13" t="str">
        <v>*</v>
      </c>
      <c r="S10" s="42">
        <v>6</v>
      </c>
      <c r="T10" s="14" t="str">
        <v>-</v>
      </c>
      <c r="U10" s="14" t="str">
        <v>M33</v>
      </c>
      <c r="V10" s="47">
        <v>98.780720929706476</v>
      </c>
      <c r="W10" s="48">
        <v>52.387896213546021</v>
      </c>
      <c r="X10" s="13" t="str">
        <v>Triangulum Galaxy</v>
      </c>
      <c r="Y10" s="13">
        <v>1.5641666666666667</v>
      </c>
      <c r="Z10" s="13">
        <v>30.660277777777775</v>
      </c>
      <c r="AA10" s="13">
        <v>315.47822100015185</v>
      </c>
    </row>
    <row r="11" spans="2:28">
      <c r="B11" s="20" t="s">
        <v>20</v>
      </c>
      <c r="C11" s="52">
        <f>C10-2451545</f>
        <v>9076.3333333334886</v>
      </c>
      <c r="D11" s="82"/>
      <c r="E11" s="82"/>
      <c r="F11" s="82"/>
      <c r="G11" s="21" t="str">
        <f t="shared" si="2"/>
        <v/>
      </c>
      <c r="H11" s="29">
        <f t="shared" si="4"/>
        <v>4</v>
      </c>
      <c r="I11" s="75" t="s">
        <v>56</v>
      </c>
      <c r="J11" s="29" t="s">
        <v>206</v>
      </c>
      <c r="K11" s="22">
        <f t="shared" si="3"/>
        <v>51.564151119282229</v>
      </c>
      <c r="L11" s="22">
        <f t="shared" si="0"/>
        <v>66.696028288555823</v>
      </c>
      <c r="M11" s="180" t="s">
        <v>99</v>
      </c>
      <c r="N11" s="177">
        <v>0.88166666666666671</v>
      </c>
      <c r="O11" s="30">
        <v>56.624722222222225</v>
      </c>
      <c r="P11" s="22">
        <f t="shared" si="1"/>
        <v>325.7157210001518</v>
      </c>
      <c r="R11" s="13" t="str">
        <v>*</v>
      </c>
      <c r="S11" s="42">
        <v>75</v>
      </c>
      <c r="T11" s="14" t="str">
        <v>-</v>
      </c>
      <c r="U11" s="14" t="str">
        <v>M27</v>
      </c>
      <c r="V11" s="47">
        <v>246.45793992196889</v>
      </c>
      <c r="W11" s="48">
        <v>50.67332251446949</v>
      </c>
      <c r="X11" s="13" t="str">
        <v>Dumbbell Nebula</v>
      </c>
      <c r="Y11" s="13">
        <v>19.993333333333336</v>
      </c>
      <c r="Z11" s="13">
        <v>22.720833333333331</v>
      </c>
      <c r="AA11" s="13">
        <v>39.040721000151791</v>
      </c>
    </row>
    <row r="12" spans="2:28">
      <c r="B12" s="54" t="s">
        <v>49</v>
      </c>
      <c r="C12" s="55" t="s">
        <v>50</v>
      </c>
      <c r="D12" s="83"/>
      <c r="E12" s="83"/>
      <c r="F12" s="83"/>
      <c r="G12" s="21" t="str">
        <f t="shared" si="2"/>
        <v/>
      </c>
      <c r="H12" s="29">
        <f t="shared" si="4"/>
        <v>5</v>
      </c>
      <c r="I12" s="75" t="s">
        <v>56</v>
      </c>
      <c r="J12" s="29" t="s">
        <v>207</v>
      </c>
      <c r="K12" s="22">
        <f t="shared" si="3"/>
        <v>49.108215775531477</v>
      </c>
      <c r="L12" s="22">
        <f t="shared" si="0"/>
        <v>62.883700694637653</v>
      </c>
      <c r="M12" s="180" t="s">
        <v>100</v>
      </c>
      <c r="N12" s="177">
        <v>1.3263888888888888</v>
      </c>
      <c r="O12" s="30">
        <v>58.286666666666662</v>
      </c>
      <c r="P12" s="22">
        <f t="shared" si="1"/>
        <v>319.04488766681851</v>
      </c>
      <c r="R12" s="13" t="str">
        <v>*</v>
      </c>
      <c r="S12" s="42">
        <v>76</v>
      </c>
      <c r="T12" s="14" t="str">
        <v>-</v>
      </c>
      <c r="U12" s="14" t="str">
        <v>Sh2-101</v>
      </c>
      <c r="V12" s="47">
        <v>263.09474293198531</v>
      </c>
      <c r="W12" s="48">
        <v>58.863076846766617</v>
      </c>
      <c r="X12" s="13" t="str">
        <v>Tulip Nebula</v>
      </c>
      <c r="Y12" s="13">
        <v>19.998611111111114</v>
      </c>
      <c r="Z12" s="13">
        <v>35.276666666666664</v>
      </c>
      <c r="AA12" s="13">
        <v>38.96155433348514</v>
      </c>
    </row>
    <row r="13" spans="2:28">
      <c r="B13" s="24" t="s">
        <v>21</v>
      </c>
      <c r="C13" s="140">
        <f>VLOOKUP(C12,$B$29:$D$33,2,FALSE)</f>
        <v>46.45</v>
      </c>
      <c r="D13" s="84"/>
      <c r="E13" s="84"/>
      <c r="F13" s="84"/>
      <c r="G13" s="21" t="str">
        <f t="shared" si="2"/>
        <v>*</v>
      </c>
      <c r="H13" s="29">
        <f t="shared" si="4"/>
        <v>6</v>
      </c>
      <c r="I13" s="75" t="s">
        <v>56</v>
      </c>
      <c r="J13" s="29" t="s">
        <v>212</v>
      </c>
      <c r="K13" s="22">
        <f t="shared" si="3"/>
        <v>98.780720929706476</v>
      </c>
      <c r="L13" s="22">
        <f t="shared" si="0"/>
        <v>52.387896213546021</v>
      </c>
      <c r="M13" s="180" t="s">
        <v>101</v>
      </c>
      <c r="N13" s="177">
        <v>1.5641666666666667</v>
      </c>
      <c r="O13" s="30">
        <v>30.660277777777775</v>
      </c>
      <c r="P13" s="22">
        <f t="shared" si="1"/>
        <v>315.47822100015185</v>
      </c>
      <c r="R13" s="13" t="str">
        <v>*</v>
      </c>
      <c r="S13" s="42">
        <v>77</v>
      </c>
      <c r="T13" s="14" t="str">
        <v>-</v>
      </c>
      <c r="U13" s="14" t="str">
        <v>NGC 6888</v>
      </c>
      <c r="V13" s="47">
        <v>265.9258787305468</v>
      </c>
      <c r="W13" s="48">
        <v>62.537787711865853</v>
      </c>
      <c r="X13" s="13" t="str">
        <v>Crescent Nebula</v>
      </c>
      <c r="Y13" s="13">
        <v>20.201666666666664</v>
      </c>
      <c r="Z13" s="13">
        <v>38.354722222222222</v>
      </c>
      <c r="AA13" s="13">
        <v>35.915721000151848</v>
      </c>
    </row>
    <row r="14" spans="2:28">
      <c r="B14" s="20" t="s">
        <v>22</v>
      </c>
      <c r="C14" s="140">
        <f>VLOOKUP(C12,$B$29:$D$33,3,FALSE)</f>
        <v>7.42</v>
      </c>
      <c r="D14" s="84"/>
      <c r="E14" s="84"/>
      <c r="F14" s="84"/>
      <c r="G14" s="21" t="str">
        <f t="shared" si="2"/>
        <v/>
      </c>
      <c r="H14" s="29">
        <f t="shared" si="4"/>
        <v>7</v>
      </c>
      <c r="I14" s="75" t="s">
        <v>56</v>
      </c>
      <c r="J14" s="29" t="s">
        <v>213</v>
      </c>
      <c r="K14" s="22">
        <f t="shared" si="3"/>
        <v>62.981737616492907</v>
      </c>
      <c r="L14" s="22">
        <f t="shared" si="0"/>
        <v>59.521723318795424</v>
      </c>
      <c r="M14" s="180" t="s">
        <v>39</v>
      </c>
      <c r="N14" s="177">
        <v>1.7049999999999998</v>
      </c>
      <c r="O14" s="30">
        <v>51.57083333333334</v>
      </c>
      <c r="P14" s="22">
        <f t="shared" si="1"/>
        <v>313.36572100015184</v>
      </c>
      <c r="R14" s="13" t="str">
        <v>*</v>
      </c>
      <c r="S14" s="42">
        <v>78</v>
      </c>
      <c r="T14" s="14" t="str">
        <v>-</v>
      </c>
      <c r="U14" s="14" t="str">
        <v>IC 1318</v>
      </c>
      <c r="V14" s="47">
        <v>267.73218880429982</v>
      </c>
      <c r="W14" s="48">
        <v>65.150470472959043</v>
      </c>
      <c r="X14" s="13" t="str">
        <v>Gamma Cygni Nebula</v>
      </c>
      <c r="Y14" s="13">
        <v>20.370555555555555</v>
      </c>
      <c r="Z14" s="13">
        <v>40.256666666666668</v>
      </c>
      <c r="AA14" s="13">
        <v>33.382387666818488</v>
      </c>
    </row>
    <row r="15" spans="2:28">
      <c r="B15" s="20" t="s">
        <v>23</v>
      </c>
      <c r="C15" s="25">
        <f>MOD(HOUR(C5)+(MINUTE(C5)/60)+(SECOND(C5)/60)-C6,24)</f>
        <v>19</v>
      </c>
      <c r="D15" s="85"/>
      <c r="E15" s="85"/>
      <c r="F15" s="85"/>
      <c r="G15" s="21" t="str">
        <f t="shared" si="2"/>
        <v/>
      </c>
      <c r="H15" s="29">
        <f t="shared" si="4"/>
        <v>8</v>
      </c>
      <c r="I15" s="75" t="s">
        <v>56</v>
      </c>
      <c r="J15" s="29" t="s">
        <v>208</v>
      </c>
      <c r="K15" s="22">
        <f t="shared" si="3"/>
        <v>51.460992870706733</v>
      </c>
      <c r="L15" s="22">
        <f t="shared" si="0"/>
        <v>54.972044159293979</v>
      </c>
      <c r="M15" s="180" t="s">
        <v>102</v>
      </c>
      <c r="N15" s="177">
        <v>2.3166666666666664</v>
      </c>
      <c r="O15" s="30">
        <v>57.12833333333333</v>
      </c>
      <c r="P15" s="22">
        <f t="shared" si="1"/>
        <v>304.19072100015183</v>
      </c>
      <c r="R15" s="13" t="str">
        <v>*</v>
      </c>
      <c r="S15" s="42">
        <v>79</v>
      </c>
      <c r="T15" s="14" t="str">
        <v>-</v>
      </c>
      <c r="U15" s="14" t="str">
        <v>NGC 6960</v>
      </c>
      <c r="V15" s="47">
        <v>242.90893071564187</v>
      </c>
      <c r="W15" s="48">
        <v>63.532700957502939</v>
      </c>
      <c r="X15" s="13" t="str">
        <v>Witch's Broom Nebula</v>
      </c>
      <c r="Y15" s="13">
        <v>20.766111111111112</v>
      </c>
      <c r="Z15" s="13">
        <v>30.594999999999999</v>
      </c>
      <c r="AA15" s="13">
        <v>27.449054333485151</v>
      </c>
    </row>
    <row r="16" spans="2:28">
      <c r="B16" s="20" t="s">
        <v>24</v>
      </c>
      <c r="C16" s="25">
        <f>MOD(100.46+0.985647*C11+C14+15*C15, 360)</f>
        <v>338.94072100015183</v>
      </c>
      <c r="D16" s="85"/>
      <c r="E16" s="85"/>
      <c r="F16" s="85"/>
      <c r="G16" s="21" t="str">
        <f t="shared" si="2"/>
        <v/>
      </c>
      <c r="H16" s="29">
        <f t="shared" si="4"/>
        <v>9</v>
      </c>
      <c r="I16" s="75" t="s">
        <v>56</v>
      </c>
      <c r="J16" s="29" t="s">
        <v>190</v>
      </c>
      <c r="K16" s="22">
        <f t="shared" si="3"/>
        <v>78.84660633729402</v>
      </c>
      <c r="L16" s="22">
        <f t="shared" si="0"/>
        <v>48.942909851340083</v>
      </c>
      <c r="M16" s="180" t="s">
        <v>103</v>
      </c>
      <c r="N16" s="177">
        <v>2.358888888888889</v>
      </c>
      <c r="O16" s="30">
        <v>39.35</v>
      </c>
      <c r="P16" s="22">
        <f t="shared" si="1"/>
        <v>303.5573876668185</v>
      </c>
      <c r="R16" s="13" t="str">
        <v>*</v>
      </c>
      <c r="S16" s="42">
        <v>80</v>
      </c>
      <c r="T16" s="14" t="str">
        <v>-</v>
      </c>
      <c r="U16" s="14" t="str">
        <v>NGC 6979</v>
      </c>
      <c r="V16" s="47">
        <v>243.75442238878648</v>
      </c>
      <c r="W16" s="48">
        <v>65.217875980106399</v>
      </c>
      <c r="X16" s="13" t="str">
        <v>Pickering`s Triangle</v>
      </c>
      <c r="Y16" s="13">
        <v>20.841111111111111</v>
      </c>
      <c r="Z16" s="13">
        <v>32.026666666666664</v>
      </c>
      <c r="AA16" s="13">
        <v>26.324054333485151</v>
      </c>
    </row>
    <row r="17" spans="2:27">
      <c r="B17" s="147" t="s">
        <v>51</v>
      </c>
      <c r="C17" s="56" t="s">
        <v>52</v>
      </c>
      <c r="D17" s="86"/>
      <c r="E17" s="86"/>
      <c r="F17" s="86"/>
      <c r="G17" s="21" t="str">
        <f t="shared" si="2"/>
        <v/>
      </c>
      <c r="H17" s="29">
        <f t="shared" si="4"/>
        <v>10</v>
      </c>
      <c r="I17" s="75" t="s">
        <v>56</v>
      </c>
      <c r="J17" s="29" t="s">
        <v>209</v>
      </c>
      <c r="K17" s="22">
        <f t="shared" si="3"/>
        <v>43.793921597950586</v>
      </c>
      <c r="L17" s="22">
        <f t="shared" si="0"/>
        <v>53.608751582070084</v>
      </c>
      <c r="M17" s="180" t="s">
        <v>104</v>
      </c>
      <c r="N17" s="177">
        <v>2.5463888888888886</v>
      </c>
      <c r="O17" s="30">
        <v>61.461666666666666</v>
      </c>
      <c r="P17" s="22">
        <f t="shared" si="1"/>
        <v>300.7448876668185</v>
      </c>
      <c r="R17" s="13" t="str">
        <v>*</v>
      </c>
      <c r="S17" s="42">
        <v>82</v>
      </c>
      <c r="T17" s="14" t="str">
        <v>-</v>
      </c>
      <c r="U17" s="14" t="str">
        <v>NGC 6992</v>
      </c>
      <c r="V17" s="47">
        <v>241.17627072391821</v>
      </c>
      <c r="W17" s="48">
        <v>65.914640069617434</v>
      </c>
      <c r="X17" s="13" t="str">
        <v>Eastern Veil Nebula</v>
      </c>
      <c r="Y17" s="13">
        <v>20.938611111111111</v>
      </c>
      <c r="Z17" s="13">
        <v>31.743333333333336</v>
      </c>
      <c r="AA17" s="13">
        <v>24.861554333485174</v>
      </c>
    </row>
    <row r="18" spans="2:27">
      <c r="B18" s="57"/>
      <c r="C18" s="29" t="s">
        <v>53</v>
      </c>
      <c r="D18" s="143" t="s">
        <v>94</v>
      </c>
      <c r="E18" s="150" t="s">
        <v>95</v>
      </c>
      <c r="F18" s="151" t="s">
        <v>96</v>
      </c>
      <c r="G18" s="21" t="str">
        <f t="shared" si="2"/>
        <v/>
      </c>
      <c r="H18" s="29">
        <f t="shared" si="4"/>
        <v>11</v>
      </c>
      <c r="I18" s="75" t="s">
        <v>56</v>
      </c>
      <c r="J18" s="29" t="s">
        <v>210</v>
      </c>
      <c r="K18" s="22">
        <f t="shared" si="3"/>
        <v>45.118092595505679</v>
      </c>
      <c r="L18" s="22">
        <f t="shared" si="0"/>
        <v>51.260969598518258</v>
      </c>
      <c r="M18" s="180" t="s">
        <v>105</v>
      </c>
      <c r="N18" s="177">
        <v>2.855</v>
      </c>
      <c r="O18" s="30">
        <v>60.408333333333331</v>
      </c>
      <c r="P18" s="22">
        <f t="shared" si="1"/>
        <v>296.11572100015184</v>
      </c>
      <c r="R18" s="13" t="str">
        <v>*</v>
      </c>
      <c r="S18" s="42">
        <v>83</v>
      </c>
      <c r="T18" s="14" t="str">
        <v>-</v>
      </c>
      <c r="U18" s="14" t="str">
        <v>Cygnus Loop</v>
      </c>
      <c r="V18" s="47">
        <v>241.17627072391821</v>
      </c>
      <c r="W18" s="48">
        <v>65.914640069617434</v>
      </c>
      <c r="X18" s="13" t="str">
        <v>Cygnus Loop</v>
      </c>
      <c r="Y18" s="13">
        <v>20.938611111111111</v>
      </c>
      <c r="Z18" s="13">
        <v>31.743333333333336</v>
      </c>
      <c r="AA18" s="13">
        <v>24.861554333485174</v>
      </c>
    </row>
    <row r="19" spans="2:27">
      <c r="B19" s="170" t="s">
        <v>54</v>
      </c>
      <c r="C19" s="145" t="s">
        <v>56</v>
      </c>
      <c r="D19" s="144" t="s">
        <v>92</v>
      </c>
      <c r="E19" s="152">
        <f>COUNTIF($I$8:$I$107,C19)</f>
        <v>100</v>
      </c>
      <c r="F19" s="153">
        <f>COUNTIF($I$8:$I$107,C19)/100</f>
        <v>1</v>
      </c>
      <c r="G19" s="21" t="str">
        <f t="shared" si="2"/>
        <v/>
      </c>
      <c r="H19" s="29">
        <f t="shared" si="4"/>
        <v>12</v>
      </c>
      <c r="I19" s="75" t="s">
        <v>56</v>
      </c>
      <c r="J19" s="29" t="s">
        <v>191</v>
      </c>
      <c r="K19" s="22">
        <f t="shared" si="3"/>
        <v>68.570729261195709</v>
      </c>
      <c r="L19" s="22">
        <f t="shared" si="0"/>
        <v>40.603868083252785</v>
      </c>
      <c r="M19" s="180" t="s">
        <v>106</v>
      </c>
      <c r="N19" s="178">
        <v>3.3099999999999996</v>
      </c>
      <c r="O19" s="30">
        <v>41.515000000000001</v>
      </c>
      <c r="P19" s="22">
        <f t="shared" si="1"/>
        <v>289.29072100015185</v>
      </c>
      <c r="R19" s="13" t="str">
        <v>*</v>
      </c>
      <c r="S19" s="42">
        <v>87</v>
      </c>
      <c r="T19" s="14" t="str">
        <v>-</v>
      </c>
      <c r="U19" s="14" t="str">
        <v>NGC 7009</v>
      </c>
      <c r="V19" s="47">
        <v>206.01665111473673</v>
      </c>
      <c r="W19" s="48">
        <v>29.342696098330652</v>
      </c>
      <c r="X19" s="13" t="str">
        <v>Saturn Nebula</v>
      </c>
      <c r="Y19" s="13">
        <v>21.069722222222222</v>
      </c>
      <c r="Z19" s="13">
        <v>-10.636111111111111</v>
      </c>
      <c r="AA19" s="13">
        <v>22.894887666818533</v>
      </c>
    </row>
    <row r="20" spans="2:27">
      <c r="B20" s="170"/>
      <c r="C20" s="145"/>
      <c r="D20" s="144"/>
      <c r="E20" s="152">
        <f t="shared" ref="E20:E24" si="5">COUNTIF($I$8:$I$107,C20)</f>
        <v>0</v>
      </c>
      <c r="F20" s="153">
        <f t="shared" ref="F20:F24" si="6">COUNTIF($I$8:$I$107,C20)/100</f>
        <v>0</v>
      </c>
      <c r="G20" s="21" t="str">
        <f t="shared" si="2"/>
        <v/>
      </c>
      <c r="H20" s="29">
        <f t="shared" si="4"/>
        <v>13</v>
      </c>
      <c r="I20" s="75" t="s">
        <v>56</v>
      </c>
      <c r="J20" s="29" t="s">
        <v>42</v>
      </c>
      <c r="K20" s="22">
        <f t="shared" si="3"/>
        <v>117.61839343410543</v>
      </c>
      <c r="L20" s="22">
        <f t="shared" si="0"/>
        <v>-7.2892036542999401</v>
      </c>
      <c r="M20" s="180" t="s">
        <v>107</v>
      </c>
      <c r="N20" s="177">
        <v>3.5541666666666667</v>
      </c>
      <c r="O20" s="30">
        <v>-24.128055555555555</v>
      </c>
      <c r="P20" s="22">
        <f t="shared" si="1"/>
        <v>285.62822100015183</v>
      </c>
      <c r="R20" s="13" t="str">
        <v>*</v>
      </c>
      <c r="S20" s="42">
        <v>94</v>
      </c>
      <c r="T20" s="14" t="str">
        <v>-</v>
      </c>
      <c r="U20" s="14" t="str">
        <v>NGC 7293</v>
      </c>
      <c r="V20" s="47">
        <v>181.58910416228616</v>
      </c>
      <c r="W20" s="48">
        <v>24.37230330192903</v>
      </c>
      <c r="X20" s="13" t="str">
        <v>Helix Nebula</v>
      </c>
      <c r="Y20" s="13">
        <v>22.49388888888889</v>
      </c>
      <c r="Z20" s="13">
        <v>-19.163055555555555</v>
      </c>
      <c r="AA20" s="13">
        <v>1.5323876668184653</v>
      </c>
    </row>
    <row r="21" spans="2:27">
      <c r="B21" s="170"/>
      <c r="C21" s="145"/>
      <c r="D21" s="144"/>
      <c r="E21" s="152">
        <f t="shared" si="5"/>
        <v>0</v>
      </c>
      <c r="F21" s="153">
        <f t="shared" si="6"/>
        <v>0</v>
      </c>
      <c r="G21" s="21" t="str">
        <f t="shared" si="2"/>
        <v/>
      </c>
      <c r="H21" s="29">
        <f t="shared" si="4"/>
        <v>14</v>
      </c>
      <c r="I21" s="75" t="s">
        <v>56</v>
      </c>
      <c r="J21" s="29" t="s">
        <v>214</v>
      </c>
      <c r="K21" s="22">
        <f t="shared" si="3"/>
        <v>80.882750848291934</v>
      </c>
      <c r="L21" s="22">
        <f t="shared" si="0"/>
        <v>25.314717923537888</v>
      </c>
      <c r="M21" s="180" t="s">
        <v>108</v>
      </c>
      <c r="N21" s="177">
        <v>3.7916666666666665</v>
      </c>
      <c r="O21" s="30">
        <v>24.116666666666667</v>
      </c>
      <c r="P21" s="22">
        <f t="shared" si="1"/>
        <v>282.06572100015183</v>
      </c>
      <c r="R21" s="13" t="str">
        <v>*</v>
      </c>
      <c r="S21" s="42">
        <v>95</v>
      </c>
      <c r="T21" s="14" t="str">
        <v>-</v>
      </c>
      <c r="U21" s="14" t="str">
        <v>Arp 319</v>
      </c>
      <c r="V21" s="47">
        <v>179.70925742549207</v>
      </c>
      <c r="W21" s="48">
        <v>77.483200572277241</v>
      </c>
      <c r="X21" s="13" t="str">
        <v>Stephan's Quintet</v>
      </c>
      <c r="Y21" s="13">
        <v>22.601111111111113</v>
      </c>
      <c r="Z21" s="13">
        <v>33.93333333333333</v>
      </c>
      <c r="AA21" s="13">
        <v>-7.5945666514883214E-2</v>
      </c>
    </row>
    <row r="22" spans="2:27">
      <c r="B22" s="170"/>
      <c r="C22" s="145"/>
      <c r="D22" s="144"/>
      <c r="E22" s="152">
        <f t="shared" si="5"/>
        <v>0</v>
      </c>
      <c r="F22" s="153">
        <f t="shared" si="6"/>
        <v>0</v>
      </c>
      <c r="G22" s="21" t="str">
        <f t="shared" si="2"/>
        <v/>
      </c>
      <c r="H22" s="29">
        <f t="shared" si="4"/>
        <v>15</v>
      </c>
      <c r="I22" s="75" t="s">
        <v>56</v>
      </c>
      <c r="J22" s="29" t="s">
        <v>215</v>
      </c>
      <c r="K22" s="22">
        <f t="shared" si="3"/>
        <v>67.758774287133562</v>
      </c>
      <c r="L22" s="22">
        <f t="shared" si="0"/>
        <v>30.546478184082545</v>
      </c>
      <c r="M22" s="180" t="s">
        <v>109</v>
      </c>
      <c r="N22" s="177">
        <v>4.0538888888888884</v>
      </c>
      <c r="O22" s="30">
        <v>36.366666666666667</v>
      </c>
      <c r="P22" s="22">
        <f t="shared" si="1"/>
        <v>278.13238766681849</v>
      </c>
      <c r="R22" s="13" t="str">
        <v>*</v>
      </c>
      <c r="S22" s="42">
        <v>96</v>
      </c>
      <c r="T22" s="14" t="str">
        <v>-</v>
      </c>
      <c r="U22" s="14" t="str">
        <v>NGC 7331</v>
      </c>
      <c r="V22" s="47">
        <v>178.71048722022735</v>
      </c>
      <c r="W22" s="48">
        <v>77.963306137524071</v>
      </c>
      <c r="X22" s="13" t="str">
        <v>Deer Lick Galaxy Group</v>
      </c>
      <c r="Y22" s="13">
        <v>22.617777777777778</v>
      </c>
      <c r="Z22" s="13">
        <v>34.415833333333332</v>
      </c>
      <c r="AA22" s="13">
        <v>-0.32594566651488321</v>
      </c>
    </row>
    <row r="23" spans="2:27">
      <c r="B23" s="170"/>
      <c r="C23" s="145"/>
      <c r="D23" s="144"/>
      <c r="E23" s="152">
        <f t="shared" si="5"/>
        <v>0</v>
      </c>
      <c r="F23" s="153">
        <f t="shared" si="6"/>
        <v>0</v>
      </c>
      <c r="G23" s="21" t="str">
        <f t="shared" si="2"/>
        <v/>
      </c>
      <c r="H23" s="29">
        <f t="shared" si="4"/>
        <v>16</v>
      </c>
      <c r="I23" s="75" t="s">
        <v>56</v>
      </c>
      <c r="J23" s="29" t="s">
        <v>43</v>
      </c>
      <c r="K23" s="22">
        <f t="shared" si="3"/>
        <v>71.790599754995682</v>
      </c>
      <c r="L23" s="22">
        <f t="shared" si="0"/>
        <v>26.046144568415077</v>
      </c>
      <c r="M23" s="180" t="s">
        <v>38</v>
      </c>
      <c r="N23" s="177">
        <v>4.1547222222222224</v>
      </c>
      <c r="O23" s="30">
        <v>30.775833333333331</v>
      </c>
      <c r="P23" s="22">
        <f t="shared" si="1"/>
        <v>276.6198876668185</v>
      </c>
      <c r="S23" s="42"/>
      <c r="V23" s="47"/>
      <c r="W23" s="48"/>
    </row>
    <row r="24" spans="2:27">
      <c r="B24" s="171"/>
      <c r="C24" s="145"/>
      <c r="D24" s="144"/>
      <c r="E24" s="152">
        <f t="shared" si="5"/>
        <v>0</v>
      </c>
      <c r="F24" s="153">
        <f t="shared" si="6"/>
        <v>0</v>
      </c>
      <c r="G24" s="21" t="str">
        <f t="shared" si="2"/>
        <v/>
      </c>
      <c r="H24" s="29">
        <f t="shared" si="4"/>
        <v>17</v>
      </c>
      <c r="I24" s="75" t="s">
        <v>56</v>
      </c>
      <c r="J24" s="29" t="s">
        <v>216</v>
      </c>
      <c r="K24" s="22">
        <f t="shared" si="3"/>
        <v>116.26594763244617</v>
      </c>
      <c r="L24" s="22">
        <f t="shared" si="0"/>
        <v>-18.287154222124318</v>
      </c>
      <c r="M24" s="180" t="s">
        <v>110</v>
      </c>
      <c r="N24" s="179">
        <v>4.2011111111111115</v>
      </c>
      <c r="O24" s="30">
        <v>-31.126111111111111</v>
      </c>
      <c r="P24" s="22">
        <f t="shared" si="1"/>
        <v>275.92405433348517</v>
      </c>
      <c r="S24" s="42"/>
      <c r="V24" s="47"/>
      <c r="W24" s="48"/>
    </row>
    <row r="25" spans="2:27">
      <c r="E25" s="152">
        <f>SUM(E19:E24)</f>
        <v>100</v>
      </c>
      <c r="F25" s="153">
        <f>SUM(F19:F24)</f>
        <v>1</v>
      </c>
      <c r="G25" s="21" t="str">
        <f t="shared" si="2"/>
        <v/>
      </c>
      <c r="H25" s="29">
        <f t="shared" si="4"/>
        <v>18</v>
      </c>
      <c r="I25" s="75" t="s">
        <v>56</v>
      </c>
      <c r="J25" s="29" t="s">
        <v>217</v>
      </c>
      <c r="K25" s="22">
        <f t="shared" si="3"/>
        <v>89.402256626327841</v>
      </c>
      <c r="L25" s="22">
        <f t="shared" si="0"/>
        <v>-9.9006826146131939</v>
      </c>
      <c r="M25" s="180" t="s">
        <v>111</v>
      </c>
      <c r="N25" s="179">
        <v>5.0816666666666661</v>
      </c>
      <c r="O25" s="30">
        <v>-6.75</v>
      </c>
      <c r="P25" s="22">
        <f t="shared" si="1"/>
        <v>262.7157210001518</v>
      </c>
      <c r="S25" s="42"/>
      <c r="V25" s="47"/>
      <c r="W25" s="48"/>
    </row>
    <row r="26" spans="2:27">
      <c r="G26" s="21" t="str">
        <f t="shared" si="2"/>
        <v/>
      </c>
      <c r="H26" s="29">
        <f t="shared" si="4"/>
        <v>19</v>
      </c>
      <c r="I26" s="75" t="s">
        <v>56</v>
      </c>
      <c r="J26" s="29" t="s">
        <v>218</v>
      </c>
      <c r="K26" s="22">
        <f t="shared" si="3"/>
        <v>58.672147811159483</v>
      </c>
      <c r="L26" s="22">
        <f t="shared" si="0"/>
        <v>17.968342803174274</v>
      </c>
      <c r="M26" s="180" t="s">
        <v>112</v>
      </c>
      <c r="N26" s="177">
        <v>5.2747222222222225</v>
      </c>
      <c r="O26" s="30">
        <v>34.356666666666669</v>
      </c>
      <c r="P26" s="22">
        <f t="shared" si="1"/>
        <v>259.81988766681849</v>
      </c>
      <c r="S26" s="42"/>
      <c r="V26" s="47"/>
      <c r="W26" s="48"/>
    </row>
    <row r="27" spans="2:27">
      <c r="B27" s="172" t="s">
        <v>58</v>
      </c>
      <c r="C27" s="172"/>
      <c r="D27" s="172"/>
      <c r="E27" s="146"/>
      <c r="F27" s="146"/>
      <c r="G27" s="21" t="str">
        <f t="shared" si="2"/>
        <v/>
      </c>
      <c r="H27" s="29">
        <f t="shared" si="4"/>
        <v>20</v>
      </c>
      <c r="I27" s="75" t="s">
        <v>56</v>
      </c>
      <c r="J27" s="29" t="s">
        <v>219</v>
      </c>
      <c r="K27" s="22">
        <f t="shared" si="3"/>
        <v>58.40998894768925</v>
      </c>
      <c r="L27" s="22">
        <f t="shared" si="0"/>
        <v>16.386188729739615</v>
      </c>
      <c r="M27" s="180" t="s">
        <v>113</v>
      </c>
      <c r="N27" s="177">
        <v>5.3788888888888886</v>
      </c>
      <c r="O27" s="30">
        <v>33.416666666666664</v>
      </c>
      <c r="P27" s="22">
        <f t="shared" si="1"/>
        <v>258.25738766681849</v>
      </c>
      <c r="S27" s="42"/>
      <c r="V27" s="47"/>
      <c r="W27" s="48"/>
    </row>
    <row r="28" spans="2:27">
      <c r="B28" s="87" t="s">
        <v>59</v>
      </c>
      <c r="C28" s="88" t="s">
        <v>60</v>
      </c>
      <c r="D28" s="89" t="s">
        <v>61</v>
      </c>
      <c r="E28" s="148"/>
      <c r="F28" s="148"/>
      <c r="G28" s="21" t="str">
        <f t="shared" si="2"/>
        <v/>
      </c>
      <c r="H28" s="29">
        <f t="shared" si="4"/>
        <v>21</v>
      </c>
      <c r="I28" s="75" t="s">
        <v>56</v>
      </c>
      <c r="J28" s="29" t="s">
        <v>220</v>
      </c>
      <c r="K28" s="22">
        <f t="shared" si="3"/>
        <v>56.847135543951573</v>
      </c>
      <c r="L28" s="22">
        <f t="shared" si="0"/>
        <v>16.323166314680911</v>
      </c>
      <c r="M28" s="180" t="s">
        <v>114</v>
      </c>
      <c r="N28" s="177">
        <v>5.4683333333333337</v>
      </c>
      <c r="O28" s="30">
        <v>34.423333333333332</v>
      </c>
      <c r="P28" s="22">
        <f t="shared" si="1"/>
        <v>256.91572100015185</v>
      </c>
      <c r="S28" s="42"/>
      <c r="V28" s="47"/>
      <c r="W28" s="48"/>
    </row>
    <row r="29" spans="2:27">
      <c r="B29" s="90" t="s">
        <v>50</v>
      </c>
      <c r="C29" s="139">
        <v>46.45</v>
      </c>
      <c r="D29" s="139">
        <v>7.42</v>
      </c>
      <c r="E29" s="148"/>
      <c r="F29" s="148"/>
      <c r="G29" s="21" t="str">
        <f t="shared" si="2"/>
        <v/>
      </c>
      <c r="H29" s="29">
        <f t="shared" si="4"/>
        <v>22</v>
      </c>
      <c r="I29" s="75" t="s">
        <v>56</v>
      </c>
      <c r="J29" s="29" t="s">
        <v>221</v>
      </c>
      <c r="K29" s="22">
        <f t="shared" si="3"/>
        <v>64.450849995575567</v>
      </c>
      <c r="L29" s="22">
        <f t="shared" si="0"/>
        <v>6.2960251385672255</v>
      </c>
      <c r="M29" s="180" t="s">
        <v>115</v>
      </c>
      <c r="N29" s="179">
        <v>5.5755555555555549</v>
      </c>
      <c r="O29" s="30">
        <v>22.014444444444443</v>
      </c>
      <c r="P29" s="22">
        <f t="shared" si="1"/>
        <v>255.3073876668185</v>
      </c>
      <c r="S29" s="42"/>
      <c r="V29" s="47"/>
      <c r="W29" s="48"/>
    </row>
    <row r="30" spans="2:27">
      <c r="B30" s="90"/>
      <c r="C30" s="139"/>
      <c r="D30" s="139"/>
      <c r="E30" s="148"/>
      <c r="F30" s="148"/>
      <c r="G30" s="21" t="str">
        <f t="shared" si="2"/>
        <v/>
      </c>
      <c r="H30" s="29">
        <f t="shared" si="4"/>
        <v>23</v>
      </c>
      <c r="I30" s="75" t="s">
        <v>56</v>
      </c>
      <c r="J30" s="29" t="s">
        <v>222</v>
      </c>
      <c r="K30" s="22">
        <f t="shared" si="3"/>
        <v>82.309145578522774</v>
      </c>
      <c r="L30" s="22">
        <f t="shared" si="0"/>
        <v>-13.565578939068924</v>
      </c>
      <c r="M30" s="180" t="s">
        <v>116</v>
      </c>
      <c r="N30" s="177">
        <v>5.5877777777777773</v>
      </c>
      <c r="O30" s="30">
        <v>-4.6097222222222216</v>
      </c>
      <c r="P30" s="22">
        <f t="shared" si="1"/>
        <v>255.12405433348516</v>
      </c>
      <c r="S30" s="42"/>
      <c r="V30" s="47"/>
      <c r="W30" s="48"/>
    </row>
    <row r="31" spans="2:27">
      <c r="B31" s="90"/>
      <c r="C31" s="139"/>
      <c r="D31" s="139"/>
      <c r="E31" s="148"/>
      <c r="F31" s="148"/>
      <c r="G31" s="21" t="str">
        <f t="shared" si="2"/>
        <v/>
      </c>
      <c r="H31" s="29">
        <f t="shared" si="4"/>
        <v>24</v>
      </c>
      <c r="I31" s="75" t="s">
        <v>56</v>
      </c>
      <c r="J31" s="29" t="s">
        <v>223</v>
      </c>
      <c r="K31" s="22">
        <f t="shared" si="3"/>
        <v>79.093756153285256</v>
      </c>
      <c r="L31" s="22">
        <f t="shared" si="0"/>
        <v>-12.296744553567985</v>
      </c>
      <c r="M31" s="180" t="s">
        <v>117</v>
      </c>
      <c r="N31" s="179">
        <v>5.6833333333333336</v>
      </c>
      <c r="O31" s="30">
        <v>-1.5466666666666666</v>
      </c>
      <c r="P31" s="22">
        <f t="shared" si="1"/>
        <v>253.69072100015183</v>
      </c>
      <c r="S31" s="42"/>
      <c r="V31" s="47"/>
      <c r="W31" s="48"/>
    </row>
    <row r="32" spans="2:27">
      <c r="B32" s="90"/>
      <c r="C32" s="139"/>
      <c r="D32" s="139"/>
      <c r="E32" s="148"/>
      <c r="F32" s="148"/>
      <c r="G32" s="21" t="str">
        <f t="shared" si="2"/>
        <v/>
      </c>
      <c r="H32" s="29">
        <f t="shared" si="4"/>
        <v>25</v>
      </c>
      <c r="I32" s="75" t="s">
        <v>56</v>
      </c>
      <c r="J32" s="29" t="s">
        <v>224</v>
      </c>
      <c r="K32" s="22">
        <f t="shared" si="3"/>
        <v>77.993568826385413</v>
      </c>
      <c r="L32" s="22">
        <f t="shared" si="0"/>
        <v>-11.379945128631853</v>
      </c>
      <c r="M32" s="180" t="s">
        <v>118</v>
      </c>
      <c r="N32" s="177">
        <v>5.6950000000000003</v>
      </c>
      <c r="O32" s="30">
        <v>-0.14333333333333337</v>
      </c>
      <c r="P32" s="22">
        <f t="shared" si="1"/>
        <v>253.51572100015181</v>
      </c>
      <c r="S32" s="42"/>
      <c r="V32" s="47"/>
      <c r="W32" s="48"/>
    </row>
    <row r="33" spans="2:23">
      <c r="B33" s="90"/>
      <c r="C33" s="139"/>
      <c r="D33" s="139"/>
      <c r="E33" s="148"/>
      <c r="F33" s="148"/>
      <c r="G33" s="21" t="str">
        <f t="shared" si="2"/>
        <v/>
      </c>
      <c r="H33" s="29">
        <f t="shared" si="4"/>
        <v>26</v>
      </c>
      <c r="I33" s="75" t="s">
        <v>56</v>
      </c>
      <c r="J33" s="29" t="s">
        <v>225</v>
      </c>
      <c r="K33" s="22">
        <f t="shared" si="3"/>
        <v>76.88588773057667</v>
      </c>
      <c r="L33" s="22">
        <f t="shared" si="0"/>
        <v>-12.063672276467372</v>
      </c>
      <c r="M33" s="180" t="s">
        <v>119</v>
      </c>
      <c r="N33" s="179">
        <v>5.7791666666666668</v>
      </c>
      <c r="O33" s="30">
        <v>0.08</v>
      </c>
      <c r="P33" s="22">
        <f t="shared" si="1"/>
        <v>252.25322100015183</v>
      </c>
      <c r="S33" s="42"/>
      <c r="V33" s="47"/>
      <c r="W33" s="48"/>
    </row>
    <row r="34" spans="2:23">
      <c r="G34" s="21" t="str">
        <f t="shared" si="2"/>
        <v/>
      </c>
      <c r="H34" s="29">
        <f t="shared" si="4"/>
        <v>27</v>
      </c>
      <c r="I34" s="75" t="s">
        <v>56</v>
      </c>
      <c r="J34" s="29" t="s">
        <v>192</v>
      </c>
      <c r="K34" s="22">
        <f t="shared" si="3"/>
        <v>62.449180291988668</v>
      </c>
      <c r="L34" s="22">
        <f t="shared" si="0"/>
        <v>-3.782010572421068</v>
      </c>
      <c r="M34" s="180" t="s">
        <v>120</v>
      </c>
      <c r="N34" s="31">
        <v>6.1455555555555561</v>
      </c>
      <c r="O34" s="30">
        <v>15.674999999999999</v>
      </c>
      <c r="P34" s="22">
        <f t="shared" si="1"/>
        <v>246.75738766681849</v>
      </c>
      <c r="S34" s="42"/>
      <c r="V34" s="47"/>
      <c r="W34" s="48"/>
    </row>
    <row r="35" spans="2:23">
      <c r="G35" s="21" t="str">
        <f t="shared" si="2"/>
        <v/>
      </c>
      <c r="H35" s="29">
        <f t="shared" si="4"/>
        <v>28</v>
      </c>
      <c r="I35" s="75" t="s">
        <v>56</v>
      </c>
      <c r="J35" s="29" t="s">
        <v>226</v>
      </c>
      <c r="K35" s="22">
        <f t="shared" si="3"/>
        <v>56.699670409291677</v>
      </c>
      <c r="L35" s="22">
        <f t="shared" si="0"/>
        <v>0.37052556429190669</v>
      </c>
      <c r="M35" s="180" t="s">
        <v>121</v>
      </c>
      <c r="N35" s="177">
        <v>6.2766666666666664</v>
      </c>
      <c r="O35" s="30">
        <v>22.516666666666666</v>
      </c>
      <c r="P35" s="22">
        <f t="shared" si="1"/>
        <v>244.79072100015185</v>
      </c>
      <c r="S35" s="42"/>
      <c r="V35" s="47"/>
      <c r="W35" s="48"/>
    </row>
    <row r="36" spans="2:23">
      <c r="B36" s="164" t="str">
        <f>CONCATENATE("Moon's illuminated fraction: ",TEXT(Illumination!C8*100,"0.00"),"%")</f>
        <v>Moon's illuminated fraction: 25.40%</v>
      </c>
      <c r="C36" s="165"/>
      <c r="D36" s="166"/>
      <c r="E36" s="149"/>
      <c r="F36" s="149"/>
      <c r="G36" s="21" t="str">
        <f t="shared" si="2"/>
        <v/>
      </c>
      <c r="H36" s="29">
        <f t="shared" si="4"/>
        <v>29</v>
      </c>
      <c r="I36" s="75" t="s">
        <v>56</v>
      </c>
      <c r="J36" s="29" t="s">
        <v>227</v>
      </c>
      <c r="K36" s="22">
        <f t="shared" si="3"/>
        <v>64.936546053355926</v>
      </c>
      <c r="L36" s="22">
        <f t="shared" si="0"/>
        <v>-15.466237241317906</v>
      </c>
      <c r="M36" s="180" t="s">
        <v>122</v>
      </c>
      <c r="N36" s="179">
        <v>6.5149999999999997</v>
      </c>
      <c r="O36" s="30">
        <v>5.05</v>
      </c>
      <c r="P36" s="22">
        <f t="shared" si="1"/>
        <v>241.21572100015183</v>
      </c>
      <c r="S36" s="42"/>
      <c r="V36" s="47"/>
      <c r="W36" s="48"/>
    </row>
    <row r="37" spans="2:23">
      <c r="G37" s="21" t="str">
        <f t="shared" si="2"/>
        <v/>
      </c>
      <c r="H37" s="29">
        <f t="shared" si="4"/>
        <v>30</v>
      </c>
      <c r="I37" s="75" t="s">
        <v>56</v>
      </c>
      <c r="J37" s="29" t="s">
        <v>228</v>
      </c>
      <c r="K37" s="22">
        <f t="shared" si="3"/>
        <v>60.909783494279147</v>
      </c>
      <c r="L37" s="22">
        <f t="shared" si="0"/>
        <v>-13.828986451026941</v>
      </c>
      <c r="M37" s="180" t="s">
        <v>123</v>
      </c>
      <c r="N37" s="179">
        <v>6.6527777777777786</v>
      </c>
      <c r="O37" s="30">
        <v>8.7444444444444436</v>
      </c>
      <c r="P37" s="22">
        <f t="shared" si="1"/>
        <v>239.14905433348514</v>
      </c>
      <c r="S37" s="42"/>
      <c r="V37" s="47"/>
      <c r="W37" s="48"/>
    </row>
    <row r="38" spans="2:23">
      <c r="G38" s="21" t="str">
        <f t="shared" si="2"/>
        <v/>
      </c>
      <c r="H38" s="29">
        <f t="shared" si="4"/>
        <v>31</v>
      </c>
      <c r="I38" s="75" t="s">
        <v>56</v>
      </c>
      <c r="J38" s="29" t="s">
        <v>229</v>
      </c>
      <c r="K38" s="22">
        <f t="shared" si="3"/>
        <v>59.82868373650161</v>
      </c>
      <c r="L38" s="22">
        <f t="shared" si="0"/>
        <v>-13.184041616095326</v>
      </c>
      <c r="M38" s="180" t="s">
        <v>124</v>
      </c>
      <c r="N38" s="177">
        <v>6.6827777777777779</v>
      </c>
      <c r="O38" s="30">
        <v>9.8949999999999996</v>
      </c>
      <c r="P38" s="22">
        <f t="shared" si="1"/>
        <v>238.69905433348515</v>
      </c>
      <c r="S38" s="42"/>
      <c r="V38" s="47"/>
      <c r="W38" s="48"/>
    </row>
    <row r="39" spans="2:23">
      <c r="G39" s="21" t="str">
        <f t="shared" si="2"/>
        <v/>
      </c>
      <c r="H39" s="29">
        <f t="shared" si="4"/>
        <v>32</v>
      </c>
      <c r="I39" s="75" t="s">
        <v>56</v>
      </c>
      <c r="J39" s="29" t="s">
        <v>193</v>
      </c>
      <c r="K39" s="22">
        <f t="shared" si="3"/>
        <v>80.905269745722165</v>
      </c>
      <c r="L39" s="22">
        <f t="shared" si="0"/>
        <v>-39.382240402251028</v>
      </c>
      <c r="M39" s="180" t="s">
        <v>125</v>
      </c>
      <c r="N39" s="177">
        <v>6.9</v>
      </c>
      <c r="O39" s="30">
        <v>-22.066666666666666</v>
      </c>
      <c r="P39" s="22">
        <f t="shared" si="1"/>
        <v>235.44072100015183</v>
      </c>
      <c r="S39" s="42"/>
      <c r="V39" s="47"/>
      <c r="W39" s="48"/>
    </row>
    <row r="40" spans="2:23">
      <c r="G40" s="21" t="str">
        <f t="shared" si="2"/>
        <v/>
      </c>
      <c r="H40" s="29">
        <f t="shared" si="4"/>
        <v>33</v>
      </c>
      <c r="I40" s="75" t="s">
        <v>56</v>
      </c>
      <c r="J40" s="29" t="s">
        <v>230</v>
      </c>
      <c r="K40" s="22">
        <f t="shared" si="3"/>
        <v>68.94683866857342</v>
      </c>
      <c r="L40" s="22">
        <f t="shared" ref="L40:L71" si="7">ASIN(SIN($P$109*O40)*SIN($P$109*$C$13)+COS($P$109*O40)*COS($P$109*$C$13)*COS($P$109*P40))/$P$109</f>
        <v>-32.866255552373097</v>
      </c>
      <c r="M40" s="180" t="s">
        <v>126</v>
      </c>
      <c r="N40" s="177">
        <v>7.0686111111111112</v>
      </c>
      <c r="O40" s="30">
        <v>-10.68611111111111</v>
      </c>
      <c r="P40" s="22">
        <f t="shared" ref="P40:P71" si="8">$C$16-((N40/24)*360)</f>
        <v>232.91155433348518</v>
      </c>
      <c r="S40" s="42"/>
      <c r="V40" s="47"/>
      <c r="W40" s="48"/>
    </row>
    <row r="41" spans="2:23">
      <c r="G41" s="21" t="str">
        <f t="shared" si="2"/>
        <v/>
      </c>
      <c r="H41" s="29">
        <f t="shared" si="4"/>
        <v>34</v>
      </c>
      <c r="I41" s="75" t="s">
        <v>56</v>
      </c>
      <c r="J41" s="29" t="s">
        <v>231</v>
      </c>
      <c r="K41" s="22">
        <f t="shared" si="3"/>
        <v>67.360048434650096</v>
      </c>
      <c r="L41" s="22">
        <f t="shared" si="7"/>
        <v>-36.74626964951792</v>
      </c>
      <c r="M41" s="180" t="s">
        <v>127</v>
      </c>
      <c r="N41" s="177">
        <v>7.3083333333333336</v>
      </c>
      <c r="O41" s="30">
        <v>-12.773333333333333</v>
      </c>
      <c r="P41" s="22">
        <f t="shared" si="8"/>
        <v>229.31572100015183</v>
      </c>
      <c r="S41" s="42"/>
      <c r="V41" s="47"/>
      <c r="W41" s="48"/>
    </row>
    <row r="42" spans="2:23">
      <c r="G42" s="21" t="str">
        <f t="shared" si="2"/>
        <v/>
      </c>
      <c r="H42" s="29">
        <f t="shared" si="4"/>
        <v>35</v>
      </c>
      <c r="I42" s="75" t="s">
        <v>56</v>
      </c>
      <c r="J42" s="29" t="s">
        <v>232</v>
      </c>
      <c r="K42" s="22">
        <f t="shared" si="3"/>
        <v>47.809145983599755</v>
      </c>
      <c r="L42" s="22">
        <f t="shared" si="7"/>
        <v>-17.100928087902346</v>
      </c>
      <c r="M42" s="180" t="s">
        <v>128</v>
      </c>
      <c r="N42" s="177">
        <v>7.4841666666666669</v>
      </c>
      <c r="O42" s="30">
        <v>13.246666666666666</v>
      </c>
      <c r="P42" s="22">
        <f t="shared" si="8"/>
        <v>226.67822100015184</v>
      </c>
      <c r="S42" s="42"/>
      <c r="V42" s="47"/>
      <c r="W42" s="48"/>
    </row>
    <row r="43" spans="2:23" ht="17" customHeight="1">
      <c r="G43" s="21" t="str">
        <f t="shared" si="2"/>
        <v/>
      </c>
      <c r="H43" s="29">
        <f t="shared" si="4"/>
        <v>36</v>
      </c>
      <c r="I43" s="75" t="s">
        <v>56</v>
      </c>
      <c r="J43" s="29" t="s">
        <v>27</v>
      </c>
      <c r="K43" s="22">
        <f t="shared" si="3"/>
        <v>43.701901252231366</v>
      </c>
      <c r="L43" s="22">
        <f t="shared" si="7"/>
        <v>-10.553547471721492</v>
      </c>
      <c r="M43" s="180" t="s">
        <v>129</v>
      </c>
      <c r="N43" s="177">
        <v>7.4863888888888885</v>
      </c>
      <c r="O43" s="30">
        <v>20.911666666666665</v>
      </c>
      <c r="P43" s="22">
        <f t="shared" si="8"/>
        <v>226.64488766681848</v>
      </c>
      <c r="S43" s="42"/>
      <c r="V43" s="47"/>
      <c r="W43" s="48"/>
    </row>
    <row r="44" spans="2:23" ht="17" customHeight="1">
      <c r="G44" s="21" t="str">
        <f t="shared" si="2"/>
        <v/>
      </c>
      <c r="H44" s="29">
        <f t="shared" si="4"/>
        <v>37</v>
      </c>
      <c r="I44" s="75" t="s">
        <v>56</v>
      </c>
      <c r="J44" s="29" t="s">
        <v>233</v>
      </c>
      <c r="K44" s="22">
        <f t="shared" si="3"/>
        <v>71.496688341600347</v>
      </c>
      <c r="L44" s="22">
        <f t="shared" si="7"/>
        <v>-51.537934820803592</v>
      </c>
      <c r="M44" s="180" t="s">
        <v>130</v>
      </c>
      <c r="N44" s="177">
        <v>7.8738888888888896</v>
      </c>
      <c r="O44" s="30">
        <v>-25.563333333333333</v>
      </c>
      <c r="P44" s="22">
        <f t="shared" si="8"/>
        <v>220.83238766681848</v>
      </c>
      <c r="S44" s="42"/>
      <c r="V44" s="47"/>
      <c r="W44" s="48"/>
    </row>
    <row r="45" spans="2:23" ht="17" customHeight="1">
      <c r="G45" s="21" t="str">
        <f t="shared" si="2"/>
        <v/>
      </c>
      <c r="H45" s="29">
        <f t="shared" si="4"/>
        <v>38</v>
      </c>
      <c r="I45" s="75" t="s">
        <v>56</v>
      </c>
      <c r="J45" s="29" t="s">
        <v>194</v>
      </c>
      <c r="K45" s="22">
        <f t="shared" si="3"/>
        <v>23.132887631009215</v>
      </c>
      <c r="L45" s="22">
        <f t="shared" si="7"/>
        <v>15.365624803812441</v>
      </c>
      <c r="M45" s="180" t="s">
        <v>131</v>
      </c>
      <c r="N45" s="177">
        <v>7.9649999999999999</v>
      </c>
      <c r="O45" s="30">
        <v>53.416666666666664</v>
      </c>
      <c r="P45" s="22">
        <f t="shared" si="8"/>
        <v>219.46572100015183</v>
      </c>
      <c r="S45" s="42"/>
      <c r="V45" s="47"/>
      <c r="W45" s="48"/>
    </row>
    <row r="46" spans="2:23" ht="17" customHeight="1">
      <c r="G46" s="21" t="str">
        <f t="shared" si="2"/>
        <v/>
      </c>
      <c r="H46" s="29">
        <f t="shared" si="4"/>
        <v>39</v>
      </c>
      <c r="I46" s="75" t="s">
        <v>56</v>
      </c>
      <c r="J46" s="29" t="s">
        <v>195</v>
      </c>
      <c r="K46" s="22">
        <f t="shared" si="3"/>
        <v>86.345479873260757</v>
      </c>
      <c r="L46" s="22">
        <f t="shared" si="7"/>
        <v>-68.120430186528509</v>
      </c>
      <c r="M46" s="180" t="s">
        <v>132</v>
      </c>
      <c r="N46" s="177">
        <v>8.6275000000000013</v>
      </c>
      <c r="O46" s="30">
        <v>-41.010833333333331</v>
      </c>
      <c r="P46" s="22">
        <f t="shared" si="8"/>
        <v>209.5282210001518</v>
      </c>
      <c r="S46" s="42"/>
      <c r="V46" s="47"/>
      <c r="W46" s="48"/>
    </row>
    <row r="47" spans="2:23" ht="17" customHeight="1">
      <c r="G47" s="21" t="str">
        <f t="shared" si="2"/>
        <v/>
      </c>
      <c r="H47" s="29">
        <f t="shared" si="4"/>
        <v>40</v>
      </c>
      <c r="I47" s="75" t="s">
        <v>56</v>
      </c>
      <c r="J47" s="29" t="s">
        <v>196</v>
      </c>
      <c r="K47" s="22">
        <f t="shared" si="3"/>
        <v>85.829548453099704</v>
      </c>
      <c r="L47" s="22">
        <f t="shared" si="7"/>
        <v>-71.441024156124413</v>
      </c>
      <c r="M47" s="180" t="s">
        <v>133</v>
      </c>
      <c r="N47" s="177">
        <v>8.9058333333333337</v>
      </c>
      <c r="O47" s="30">
        <v>-42.154722222222219</v>
      </c>
      <c r="P47" s="22">
        <f t="shared" si="8"/>
        <v>205.35322100015182</v>
      </c>
      <c r="S47" s="42"/>
      <c r="V47" s="47"/>
      <c r="W47" s="48"/>
    </row>
    <row r="48" spans="2:23" ht="17" customHeight="1">
      <c r="G48" s="21" t="str">
        <f t="shared" si="2"/>
        <v/>
      </c>
      <c r="H48" s="29">
        <f t="shared" si="4"/>
        <v>41</v>
      </c>
      <c r="I48" s="75" t="s">
        <v>56</v>
      </c>
      <c r="J48" s="29" t="s">
        <v>197</v>
      </c>
      <c r="K48" s="22">
        <f t="shared" si="3"/>
        <v>90.558381152333283</v>
      </c>
      <c r="L48" s="22">
        <f t="shared" si="7"/>
        <v>-73.090307565280455</v>
      </c>
      <c r="M48" s="180" t="s">
        <v>134</v>
      </c>
      <c r="N48" s="178">
        <v>9.0044444444444451</v>
      </c>
      <c r="O48" s="30">
        <v>-44.058333333333337</v>
      </c>
      <c r="P48" s="22">
        <f t="shared" si="8"/>
        <v>203.87405433348513</v>
      </c>
      <c r="S48" s="42"/>
      <c r="V48" s="47"/>
      <c r="W48" s="48"/>
    </row>
    <row r="49" spans="2:23" ht="17" customHeight="1">
      <c r="G49" s="21" t="str">
        <f t="shared" si="2"/>
        <v/>
      </c>
      <c r="H49" s="29">
        <f t="shared" si="4"/>
        <v>42</v>
      </c>
      <c r="I49" s="75" t="s">
        <v>56</v>
      </c>
      <c r="J49" s="29" t="s">
        <v>234</v>
      </c>
      <c r="K49" s="22">
        <f t="shared" si="3"/>
        <v>3.970968899902712</v>
      </c>
      <c r="L49" s="22">
        <f t="shared" si="7"/>
        <v>25.755765545674606</v>
      </c>
      <c r="M49" s="180" t="s">
        <v>135</v>
      </c>
      <c r="N49" s="177">
        <v>9.9258333333333333</v>
      </c>
      <c r="O49" s="30">
        <v>69.065555555555548</v>
      </c>
      <c r="P49" s="22">
        <f t="shared" si="8"/>
        <v>190.05322100015184</v>
      </c>
      <c r="S49" s="42"/>
      <c r="V49" s="47"/>
      <c r="W49" s="48"/>
    </row>
    <row r="50" spans="2:23" ht="17" customHeight="1">
      <c r="G50" s="21" t="str">
        <f t="shared" si="2"/>
        <v/>
      </c>
      <c r="H50" s="29">
        <f t="shared" si="4"/>
        <v>43</v>
      </c>
      <c r="I50" s="75" t="s">
        <v>56</v>
      </c>
      <c r="J50" s="29" t="s">
        <v>41</v>
      </c>
      <c r="K50" s="22">
        <f t="shared" si="3"/>
        <v>39.841451944180278</v>
      </c>
      <c r="L50" s="22">
        <f t="shared" si="7"/>
        <v>-81.347137257045674</v>
      </c>
      <c r="M50" s="180" t="s">
        <v>136</v>
      </c>
      <c r="N50" s="178">
        <v>10.117222222222223</v>
      </c>
      <c r="O50" s="30">
        <v>-39.563611111111115</v>
      </c>
      <c r="P50" s="22">
        <f t="shared" si="8"/>
        <v>187.18238766681847</v>
      </c>
      <c r="S50" s="42"/>
      <c r="V50" s="47"/>
      <c r="W50" s="48"/>
    </row>
    <row r="51" spans="2:23" ht="17" customHeight="1">
      <c r="G51" s="21" t="str">
        <f t="shared" si="2"/>
        <v/>
      </c>
      <c r="H51" s="29">
        <f t="shared" si="4"/>
        <v>44</v>
      </c>
      <c r="I51" s="75" t="s">
        <v>56</v>
      </c>
      <c r="J51" s="29" t="s">
        <v>235</v>
      </c>
      <c r="K51" s="22">
        <f t="shared" si="3"/>
        <v>4.4095619312579757</v>
      </c>
      <c r="L51" s="22">
        <f t="shared" si="7"/>
        <v>-21.616270766708336</v>
      </c>
      <c r="M51" s="180" t="s">
        <v>137</v>
      </c>
      <c r="N51" s="177">
        <v>10.301666666666668</v>
      </c>
      <c r="O51" s="30">
        <v>21.816666666666666</v>
      </c>
      <c r="P51" s="22">
        <f t="shared" si="8"/>
        <v>184.41572100015182</v>
      </c>
      <c r="S51" s="42"/>
      <c r="V51" s="47"/>
      <c r="W51" s="48"/>
    </row>
    <row r="52" spans="2:23" ht="17" customHeight="1">
      <c r="G52" s="21" t="str">
        <f t="shared" si="2"/>
        <v/>
      </c>
      <c r="H52" s="29">
        <f t="shared" si="4"/>
        <v>45</v>
      </c>
      <c r="I52" s="75" t="s">
        <v>56</v>
      </c>
      <c r="J52" s="29" t="s">
        <v>28</v>
      </c>
      <c r="K52" s="22">
        <f t="shared" si="3"/>
        <v>5.3872559884816695</v>
      </c>
      <c r="L52" s="22">
        <f t="shared" si="7"/>
        <v>-60.818167344239065</v>
      </c>
      <c r="M52" s="180" t="s">
        <v>138</v>
      </c>
      <c r="N52" s="177">
        <v>10.412777777777778</v>
      </c>
      <c r="O52" s="30">
        <v>-17.357222222222223</v>
      </c>
      <c r="P52" s="22">
        <f t="shared" si="8"/>
        <v>182.74905433348516</v>
      </c>
      <c r="S52" s="42"/>
      <c r="V52" s="47"/>
      <c r="W52" s="48"/>
    </row>
    <row r="53" spans="2:23" ht="17" customHeight="1">
      <c r="B53" s="141"/>
      <c r="C53" s="141"/>
      <c r="D53" s="141"/>
      <c r="E53" s="141"/>
      <c r="F53" s="141"/>
      <c r="G53" s="21" t="str">
        <f t="shared" si="2"/>
        <v/>
      </c>
      <c r="H53" s="29">
        <f t="shared" si="4"/>
        <v>46</v>
      </c>
      <c r="I53" s="75" t="s">
        <v>56</v>
      </c>
      <c r="J53" s="29" t="s">
        <v>236</v>
      </c>
      <c r="K53" s="22">
        <f t="shared" si="3"/>
        <v>354.30229720920715</v>
      </c>
      <c r="L53" s="22">
        <f t="shared" si="7"/>
        <v>11.803276058234246</v>
      </c>
      <c r="M53" s="180" t="s">
        <v>139</v>
      </c>
      <c r="N53" s="177">
        <v>11.246666666666666</v>
      </c>
      <c r="O53" s="30">
        <v>55.018888888888888</v>
      </c>
      <c r="P53" s="22">
        <f t="shared" si="8"/>
        <v>170.24072100015184</v>
      </c>
      <c r="S53" s="42"/>
      <c r="V53" s="47"/>
      <c r="W53" s="48"/>
    </row>
    <row r="54" spans="2:23" ht="17" customHeight="1">
      <c r="B54" s="141"/>
      <c r="C54" s="141"/>
      <c r="D54" s="141"/>
      <c r="E54" s="141"/>
      <c r="F54" s="141"/>
      <c r="G54" s="21" t="str">
        <f t="shared" si="2"/>
        <v/>
      </c>
      <c r="H54" s="29">
        <f t="shared" si="4"/>
        <v>47</v>
      </c>
      <c r="I54" s="75" t="s">
        <v>56</v>
      </c>
      <c r="J54" s="29" t="s">
        <v>237</v>
      </c>
      <c r="K54" s="22">
        <f t="shared" si="3"/>
        <v>347.88274633877819</v>
      </c>
      <c r="L54" s="22">
        <f t="shared" si="7"/>
        <v>-29.672190769474017</v>
      </c>
      <c r="M54" s="180" t="s">
        <v>140</v>
      </c>
      <c r="N54" s="177">
        <v>11.315555555555557</v>
      </c>
      <c r="O54" s="30">
        <v>13.091944444444445</v>
      </c>
      <c r="P54" s="22">
        <f t="shared" si="8"/>
        <v>169.20738766681848</v>
      </c>
      <c r="S54" s="42"/>
      <c r="V54" s="47"/>
      <c r="W54" s="48"/>
    </row>
    <row r="55" spans="2:23" ht="17" customHeight="1">
      <c r="B55" s="142" t="s">
        <v>92</v>
      </c>
      <c r="C55" s="141"/>
      <c r="D55" s="141"/>
      <c r="E55" s="141"/>
      <c r="F55" s="141"/>
      <c r="G55" s="21" t="str">
        <f t="shared" si="2"/>
        <v/>
      </c>
      <c r="H55" s="29">
        <f t="shared" si="4"/>
        <v>48</v>
      </c>
      <c r="I55" s="75" t="s">
        <v>56</v>
      </c>
      <c r="J55" s="29" t="s">
        <v>238</v>
      </c>
      <c r="K55" s="22">
        <f t="shared" si="3"/>
        <v>347.59581514154644</v>
      </c>
      <c r="L55" s="22">
        <f t="shared" si="7"/>
        <v>-29.131789768580624</v>
      </c>
      <c r="M55" s="180" t="s">
        <v>141</v>
      </c>
      <c r="N55" s="177">
        <v>11.338055555555556</v>
      </c>
      <c r="O55" s="30">
        <v>13.588611111111112</v>
      </c>
      <c r="P55" s="22">
        <f t="shared" si="8"/>
        <v>168.8698876668185</v>
      </c>
      <c r="S55" s="42"/>
      <c r="V55" s="47"/>
      <c r="W55" s="48"/>
    </row>
    <row r="56" spans="2:23" ht="17" customHeight="1">
      <c r="B56" s="142" t="s">
        <v>93</v>
      </c>
      <c r="C56" s="141"/>
      <c r="D56" s="141"/>
      <c r="E56" s="141"/>
      <c r="F56" s="141"/>
      <c r="G56" s="21" t="str">
        <f t="shared" si="2"/>
        <v/>
      </c>
      <c r="H56" s="29">
        <f t="shared" si="4"/>
        <v>49</v>
      </c>
      <c r="I56" s="75" t="s">
        <v>56</v>
      </c>
      <c r="J56" s="29" t="s">
        <v>239</v>
      </c>
      <c r="K56" s="22">
        <f t="shared" si="3"/>
        <v>321.52774760613897</v>
      </c>
      <c r="L56" s="22">
        <f t="shared" si="7"/>
        <v>-55.686858013412859</v>
      </c>
      <c r="M56" s="180" t="s">
        <v>142</v>
      </c>
      <c r="N56" s="177">
        <v>12.031388888888889</v>
      </c>
      <c r="O56" s="30">
        <v>-17.131388888888889</v>
      </c>
      <c r="P56" s="22">
        <f t="shared" si="8"/>
        <v>158.46988766681849</v>
      </c>
      <c r="S56" s="42"/>
      <c r="V56" s="47"/>
      <c r="W56" s="48"/>
    </row>
    <row r="57" spans="2:23" ht="17" customHeight="1">
      <c r="B57" s="141"/>
      <c r="C57" s="141"/>
      <c r="D57" s="141"/>
      <c r="E57" s="141"/>
      <c r="F57" s="141"/>
      <c r="G57" s="21" t="str">
        <f t="shared" si="2"/>
        <v/>
      </c>
      <c r="H57" s="29">
        <f t="shared" si="4"/>
        <v>50</v>
      </c>
      <c r="I57" s="75" t="s">
        <v>56</v>
      </c>
      <c r="J57" s="29" t="s">
        <v>198</v>
      </c>
      <c r="K57" s="22">
        <f t="shared" si="3"/>
        <v>342.72177289598329</v>
      </c>
      <c r="L57" s="22">
        <f t="shared" si="7"/>
        <v>6.4338123396637048</v>
      </c>
      <c r="M57" s="180" t="s">
        <v>143</v>
      </c>
      <c r="N57" s="177">
        <v>12.316111111111113</v>
      </c>
      <c r="O57" s="30">
        <v>47.304444444444442</v>
      </c>
      <c r="P57" s="22">
        <f t="shared" si="8"/>
        <v>154.19905433348515</v>
      </c>
      <c r="S57" s="42"/>
      <c r="V57" s="47"/>
      <c r="W57" s="48"/>
    </row>
    <row r="58" spans="2:23" ht="17" customHeight="1">
      <c r="B58" s="141"/>
      <c r="C58" s="141"/>
      <c r="D58" s="141"/>
      <c r="E58" s="141"/>
      <c r="F58" s="141"/>
      <c r="G58" s="21" t="str">
        <f t="shared" si="2"/>
        <v/>
      </c>
      <c r="H58" s="29">
        <f t="shared" si="4"/>
        <v>51</v>
      </c>
      <c r="I58" s="75" t="s">
        <v>56</v>
      </c>
      <c r="J58" s="29" t="s">
        <v>240</v>
      </c>
      <c r="K58" s="22">
        <f t="shared" si="3"/>
        <v>329.93572252462013</v>
      </c>
      <c r="L58" s="22">
        <f t="shared" si="7"/>
        <v>-25.635097395706499</v>
      </c>
      <c r="M58" s="180" t="s">
        <v>144</v>
      </c>
      <c r="N58" s="177">
        <v>12.436666666666667</v>
      </c>
      <c r="O58" s="30">
        <v>12.946111111111112</v>
      </c>
      <c r="P58" s="22">
        <f t="shared" si="8"/>
        <v>152.39072100015181</v>
      </c>
      <c r="S58" s="42"/>
      <c r="V58" s="47"/>
      <c r="W58" s="48"/>
    </row>
    <row r="59" spans="2:23" ht="17" customHeight="1">
      <c r="B59" s="141"/>
      <c r="C59" s="141"/>
      <c r="D59" s="141"/>
      <c r="E59" s="141"/>
      <c r="F59" s="141"/>
      <c r="G59" s="21" t="str">
        <f t="shared" si="2"/>
        <v/>
      </c>
      <c r="H59" s="29">
        <f t="shared" si="4"/>
        <v>52</v>
      </c>
      <c r="I59" s="75" t="s">
        <v>56</v>
      </c>
      <c r="J59" s="29" t="s">
        <v>199</v>
      </c>
      <c r="K59" s="22">
        <f t="shared" si="3"/>
        <v>313.80186498532055</v>
      </c>
      <c r="L59" s="22">
        <f t="shared" si="7"/>
        <v>-45.326972821889896</v>
      </c>
      <c r="M59" s="180" t="s">
        <v>145</v>
      </c>
      <c r="N59" s="177">
        <v>12.666388888888889</v>
      </c>
      <c r="O59" s="30">
        <v>-10.376944444444444</v>
      </c>
      <c r="P59" s="22">
        <f t="shared" si="8"/>
        <v>148.94488766681849</v>
      </c>
      <c r="S59" s="42"/>
      <c r="V59" s="47"/>
      <c r="W59" s="48"/>
    </row>
    <row r="60" spans="2:23" ht="17" customHeight="1">
      <c r="B60" s="141"/>
      <c r="C60" s="141"/>
      <c r="D60" s="141"/>
      <c r="E60" s="141"/>
      <c r="F60" s="141"/>
      <c r="G60" s="21" t="str">
        <f t="shared" si="2"/>
        <v/>
      </c>
      <c r="H60" s="29">
        <f t="shared" si="4"/>
        <v>53</v>
      </c>
      <c r="I60" s="75" t="s">
        <v>56</v>
      </c>
      <c r="J60" s="29" t="s">
        <v>241</v>
      </c>
      <c r="K60" s="22">
        <f t="shared" si="3"/>
        <v>333.63562817316716</v>
      </c>
      <c r="L60" s="22">
        <f t="shared" si="7"/>
        <v>-6.0200241617553472</v>
      </c>
      <c r="M60" s="180" t="s">
        <v>146</v>
      </c>
      <c r="N60" s="177">
        <v>12.702222222222222</v>
      </c>
      <c r="O60" s="30">
        <v>32.541388888888889</v>
      </c>
      <c r="P60" s="22">
        <f t="shared" si="8"/>
        <v>148.40738766681852</v>
      </c>
      <c r="S60" s="42"/>
      <c r="V60" s="47"/>
      <c r="W60" s="48"/>
    </row>
    <row r="61" spans="2:23" ht="17" customHeight="1">
      <c r="B61" s="141"/>
      <c r="C61" s="141"/>
      <c r="D61" s="141"/>
      <c r="E61" s="141"/>
      <c r="F61" s="141"/>
      <c r="G61" s="21" t="str">
        <f t="shared" si="2"/>
        <v/>
      </c>
      <c r="H61" s="29">
        <f t="shared" si="4"/>
        <v>54</v>
      </c>
      <c r="I61" s="75" t="s">
        <v>56</v>
      </c>
      <c r="J61" s="29" t="s">
        <v>242</v>
      </c>
      <c r="K61" s="22">
        <f t="shared" si="3"/>
        <v>329.24724041453391</v>
      </c>
      <c r="L61" s="22">
        <f t="shared" si="7"/>
        <v>-11.85882590292003</v>
      </c>
      <c r="M61" s="180" t="s">
        <v>147</v>
      </c>
      <c r="N61" s="179">
        <v>12.840833333333334</v>
      </c>
      <c r="O61" s="30">
        <v>25.500833333333333</v>
      </c>
      <c r="P61" s="22">
        <f t="shared" si="8"/>
        <v>146.32822100015181</v>
      </c>
      <c r="S61" s="42"/>
      <c r="V61" s="47"/>
      <c r="W61" s="48"/>
    </row>
    <row r="62" spans="2:23" ht="17" customHeight="1">
      <c r="B62" s="141"/>
      <c r="C62" s="141"/>
      <c r="D62" s="141"/>
      <c r="E62" s="141"/>
      <c r="F62" s="141"/>
      <c r="G62" s="21" t="str">
        <f t="shared" si="2"/>
        <v/>
      </c>
      <c r="H62" s="29">
        <f t="shared" si="4"/>
        <v>55</v>
      </c>
      <c r="I62" s="75" t="s">
        <v>56</v>
      </c>
      <c r="J62" s="29" t="s">
        <v>243</v>
      </c>
      <c r="K62" s="22">
        <f t="shared" si="3"/>
        <v>335.21035278289031</v>
      </c>
      <c r="L62" s="22">
        <f t="shared" si="7"/>
        <v>2.5921667894802298</v>
      </c>
      <c r="M62" s="180" t="s">
        <v>148</v>
      </c>
      <c r="N62" s="179">
        <v>12.848055555555556</v>
      </c>
      <c r="O62" s="30">
        <v>41.12</v>
      </c>
      <c r="P62" s="22">
        <f t="shared" si="8"/>
        <v>146.21988766681849</v>
      </c>
      <c r="S62" s="42"/>
      <c r="V62" s="47"/>
      <c r="W62" s="48"/>
    </row>
    <row r="63" spans="2:23" ht="17" customHeight="1">
      <c r="B63" s="141"/>
      <c r="C63" s="141"/>
      <c r="D63" s="141"/>
      <c r="E63" s="141"/>
      <c r="F63" s="141"/>
      <c r="G63" s="21" t="str">
        <f t="shared" si="2"/>
        <v/>
      </c>
      <c r="H63" s="29">
        <f t="shared" si="4"/>
        <v>56</v>
      </c>
      <c r="I63" s="75" t="s">
        <v>56</v>
      </c>
      <c r="J63" s="29" t="s">
        <v>244</v>
      </c>
      <c r="K63" s="22">
        <f t="shared" si="3"/>
        <v>326.31957384964971</v>
      </c>
      <c r="L63" s="22">
        <f t="shared" si="7"/>
        <v>-14.780203076077667</v>
      </c>
      <c r="M63" s="180" t="s">
        <v>149</v>
      </c>
      <c r="N63" s="177">
        <v>12.945555555555556</v>
      </c>
      <c r="O63" s="30">
        <v>21.68277777777778</v>
      </c>
      <c r="P63" s="22">
        <f t="shared" si="8"/>
        <v>144.75738766681849</v>
      </c>
      <c r="S63" s="42"/>
      <c r="V63" s="47"/>
      <c r="W63" s="48"/>
    </row>
    <row r="64" spans="2:23" ht="17" customHeight="1">
      <c r="B64" s="141"/>
      <c r="C64" s="141"/>
      <c r="D64" s="141"/>
      <c r="E64" s="141"/>
      <c r="F64" s="141"/>
      <c r="G64" s="21" t="str">
        <f t="shared" si="2"/>
        <v/>
      </c>
      <c r="H64" s="29">
        <f t="shared" si="4"/>
        <v>57</v>
      </c>
      <c r="I64" s="75" t="s">
        <v>56</v>
      </c>
      <c r="J64" s="29" t="s">
        <v>245</v>
      </c>
      <c r="K64" s="22">
        <f t="shared" si="3"/>
        <v>331.33497417608686</v>
      </c>
      <c r="L64" s="22">
        <f t="shared" si="7"/>
        <v>5.3520717102922122</v>
      </c>
      <c r="M64" s="180" t="s">
        <v>150</v>
      </c>
      <c r="N64" s="179">
        <v>13.263611111111111</v>
      </c>
      <c r="O64" s="30">
        <v>42.029444444444444</v>
      </c>
      <c r="P64" s="22">
        <f t="shared" si="8"/>
        <v>139.98655433348517</v>
      </c>
      <c r="S64" s="42"/>
      <c r="V64" s="47"/>
      <c r="W64" s="48"/>
    </row>
    <row r="65" spans="2:23" ht="17" customHeight="1">
      <c r="B65" s="141"/>
      <c r="C65" s="141"/>
      <c r="D65" s="141"/>
      <c r="E65" s="141"/>
      <c r="F65" s="141"/>
      <c r="G65" s="21" t="str">
        <f t="shared" si="2"/>
        <v/>
      </c>
      <c r="H65" s="29">
        <f t="shared" si="4"/>
        <v>58</v>
      </c>
      <c r="I65" s="75" t="s">
        <v>56</v>
      </c>
      <c r="J65" s="29" t="s">
        <v>246</v>
      </c>
      <c r="K65" s="22">
        <f t="shared" si="3"/>
        <v>260.98151161638418</v>
      </c>
      <c r="L65" s="22">
        <f t="shared" si="7"/>
        <v>-60.018030587532735</v>
      </c>
      <c r="M65" s="180" t="s">
        <v>151</v>
      </c>
      <c r="N65" s="179">
        <v>13.424444444444443</v>
      </c>
      <c r="O65" s="30">
        <v>-42.981111111111112</v>
      </c>
      <c r="P65" s="22">
        <f t="shared" si="8"/>
        <v>137.57405433348518</v>
      </c>
      <c r="S65" s="42"/>
      <c r="V65" s="47"/>
      <c r="W65" s="48"/>
    </row>
    <row r="66" spans="2:23" ht="17" customHeight="1">
      <c r="B66" s="141"/>
      <c r="C66" s="141"/>
      <c r="D66" s="141"/>
      <c r="E66" s="141"/>
      <c r="F66" s="141"/>
      <c r="G66" s="21" t="str">
        <f t="shared" si="2"/>
        <v/>
      </c>
      <c r="H66" s="29">
        <f t="shared" si="4"/>
        <v>59</v>
      </c>
      <c r="I66" s="75" t="s">
        <v>56</v>
      </c>
      <c r="J66" s="29" t="s">
        <v>247</v>
      </c>
      <c r="K66" s="22">
        <f t="shared" si="3"/>
        <v>254.02508816068817</v>
      </c>
      <c r="L66" s="22">
        <f t="shared" si="7"/>
        <v>-60.928200034815468</v>
      </c>
      <c r="M66" s="180" t="s">
        <v>152</v>
      </c>
      <c r="N66" s="177">
        <v>13.446388888888889</v>
      </c>
      <c r="O66" s="30">
        <v>-46.518611111111106</v>
      </c>
      <c r="P66" s="22">
        <f t="shared" si="8"/>
        <v>137.24488766681847</v>
      </c>
      <c r="S66" s="42"/>
      <c r="V66" s="47"/>
      <c r="W66" s="48"/>
    </row>
    <row r="67" spans="2:23" ht="17" customHeight="1">
      <c r="B67" s="141"/>
      <c r="C67" s="141"/>
      <c r="D67" s="141"/>
      <c r="E67" s="141"/>
      <c r="F67" s="141"/>
      <c r="G67" s="21" t="str">
        <f t="shared" si="2"/>
        <v/>
      </c>
      <c r="H67" s="29">
        <f t="shared" si="4"/>
        <v>60</v>
      </c>
      <c r="I67" s="75" t="s">
        <v>56</v>
      </c>
      <c r="J67" s="29" t="s">
        <v>248</v>
      </c>
      <c r="K67" s="22">
        <f t="shared" si="3"/>
        <v>331.51968550195045</v>
      </c>
      <c r="L67" s="22">
        <f t="shared" si="7"/>
        <v>11.087299657960386</v>
      </c>
      <c r="M67" s="180" t="s">
        <v>153</v>
      </c>
      <c r="N67" s="177">
        <v>13.497777777777777</v>
      </c>
      <c r="O67" s="30">
        <v>47.195833333333333</v>
      </c>
      <c r="P67" s="22">
        <f t="shared" si="8"/>
        <v>136.47405433348518</v>
      </c>
      <c r="S67" s="42"/>
      <c r="V67" s="47"/>
      <c r="W67" s="48"/>
    </row>
    <row r="68" spans="2:23" ht="17" customHeight="1">
      <c r="B68" s="141"/>
      <c r="C68" s="141"/>
      <c r="D68" s="141"/>
      <c r="E68" s="141"/>
      <c r="F68" s="141"/>
      <c r="G68" s="21" t="str">
        <f t="shared" si="2"/>
        <v/>
      </c>
      <c r="H68" s="29">
        <f t="shared" si="4"/>
        <v>61</v>
      </c>
      <c r="I68" s="75" t="s">
        <v>56</v>
      </c>
      <c r="J68" s="29" t="s">
        <v>249</v>
      </c>
      <c r="K68" s="22">
        <f t="shared" si="3"/>
        <v>321.87092528242954</v>
      </c>
      <c r="L68" s="22">
        <f t="shared" si="7"/>
        <v>5.3955612966056785</v>
      </c>
      <c r="M68" s="180" t="s">
        <v>154</v>
      </c>
      <c r="N68" s="179">
        <v>13.977222222222222</v>
      </c>
      <c r="O68" s="30">
        <v>37.424999999999997</v>
      </c>
      <c r="P68" s="22">
        <f t="shared" si="8"/>
        <v>129.28238766681847</v>
      </c>
      <c r="S68" s="42"/>
      <c r="V68" s="47"/>
      <c r="W68" s="48"/>
    </row>
    <row r="69" spans="2:23" ht="17" customHeight="1">
      <c r="B69" s="141"/>
      <c r="C69" s="141"/>
      <c r="D69" s="141"/>
      <c r="E69" s="141"/>
      <c r="F69" s="141"/>
      <c r="G69" s="21" t="str">
        <f t="shared" si="2"/>
        <v/>
      </c>
      <c r="H69" s="29">
        <f t="shared" si="4"/>
        <v>62</v>
      </c>
      <c r="I69" s="75" t="s">
        <v>56</v>
      </c>
      <c r="J69" s="29" t="s">
        <v>200</v>
      </c>
      <c r="K69" s="22">
        <f t="shared" si="3"/>
        <v>330.81353565084737</v>
      </c>
      <c r="L69" s="22">
        <f t="shared" si="7"/>
        <v>19.934732906747509</v>
      </c>
      <c r="M69" s="180" t="s">
        <v>155</v>
      </c>
      <c r="N69" s="177">
        <v>14.053611111111111</v>
      </c>
      <c r="O69" s="30">
        <v>54.348888888888894</v>
      </c>
      <c r="P69" s="22">
        <f t="shared" si="8"/>
        <v>128.13655433348515</v>
      </c>
      <c r="S69" s="42"/>
      <c r="V69" s="47"/>
      <c r="W69" s="48"/>
    </row>
    <row r="70" spans="2:23" ht="17" customHeight="1">
      <c r="B70" s="141"/>
      <c r="C70" s="141"/>
      <c r="D70" s="141"/>
      <c r="E70" s="141"/>
      <c r="F70" s="141"/>
      <c r="G70" s="21" t="str">
        <f t="shared" si="2"/>
        <v/>
      </c>
      <c r="H70" s="29">
        <f t="shared" si="4"/>
        <v>63</v>
      </c>
      <c r="I70" s="75" t="s">
        <v>56</v>
      </c>
      <c r="J70" s="29" t="s">
        <v>276</v>
      </c>
      <c r="K70" s="22">
        <f t="shared" si="3"/>
        <v>324.15826099270873</v>
      </c>
      <c r="L70" s="22">
        <f t="shared" si="7"/>
        <v>32.477699124157468</v>
      </c>
      <c r="M70" s="180" t="s">
        <v>156</v>
      </c>
      <c r="N70" s="177">
        <v>15.644444444444444</v>
      </c>
      <c r="O70" s="30">
        <v>59.355833333333337</v>
      </c>
      <c r="P70" s="22">
        <f t="shared" si="8"/>
        <v>104.27405433348517</v>
      </c>
      <c r="S70" s="42"/>
      <c r="V70" s="47"/>
      <c r="W70" s="48"/>
    </row>
    <row r="71" spans="2:23" ht="17" customHeight="1">
      <c r="G71" s="21" t="str">
        <f t="shared" si="2"/>
        <v/>
      </c>
      <c r="H71" s="29">
        <f t="shared" si="4"/>
        <v>64</v>
      </c>
      <c r="I71" s="75" t="s">
        <v>56</v>
      </c>
      <c r="J71" s="29" t="s">
        <v>259</v>
      </c>
      <c r="K71" s="22">
        <f t="shared" si="3"/>
        <v>296.1287561012096</v>
      </c>
      <c r="L71" s="22">
        <f t="shared" si="7"/>
        <v>26.424320565077696</v>
      </c>
      <c r="M71" s="180" t="s">
        <v>157</v>
      </c>
      <c r="N71" s="177">
        <v>16.694722222222222</v>
      </c>
      <c r="O71" s="30">
        <v>36.459722222222226</v>
      </c>
      <c r="P71" s="22">
        <f t="shared" si="8"/>
        <v>88.519887666818505</v>
      </c>
      <c r="S71" s="42"/>
      <c r="V71" s="47"/>
      <c r="W71" s="48"/>
    </row>
    <row r="72" spans="2:23" ht="17" customHeight="1">
      <c r="G72" s="21" t="str">
        <f t="shared" si="2"/>
        <v/>
      </c>
      <c r="H72" s="29">
        <f t="shared" si="4"/>
        <v>65</v>
      </c>
      <c r="I72" s="75" t="s">
        <v>56</v>
      </c>
      <c r="J72" s="29" t="s">
        <v>44</v>
      </c>
      <c r="K72" s="22">
        <f t="shared" si="3"/>
        <v>237.15314480094099</v>
      </c>
      <c r="L72" s="22">
        <f t="shared" ref="L72:L107" si="9">ASIN(SIN($P$109*O72)*SIN($P$109*$C$13)+COS($P$109*O72)*COS($P$109*$C$13)*COS($P$109*P72))/$P$109</f>
        <v>-20.136890904730684</v>
      </c>
      <c r="M72" s="180" t="s">
        <v>37</v>
      </c>
      <c r="N72" s="179">
        <v>17.228888888888886</v>
      </c>
      <c r="O72" s="30">
        <v>-36.896666666666668</v>
      </c>
      <c r="P72" s="22">
        <f t="shared" ref="P72:P107" si="10">$C$16-((N72/24)*360)</f>
        <v>80.507387666818545</v>
      </c>
      <c r="S72" s="42"/>
      <c r="V72" s="47"/>
      <c r="W72" s="48"/>
    </row>
    <row r="73" spans="2:23" ht="17" customHeight="1">
      <c r="G73" s="21" t="str">
        <f t="shared" ref="G73:G107" si="11">IF(AND(L73&gt;=$L$4,L73&lt;=$L$6,K73&gt;=$K$4,K73&lt;=$K$6),IF(VLOOKUP(I73,$C$19:$D$24,2,FALSE)="yes","*","-"),"")</f>
        <v/>
      </c>
      <c r="H73" s="29">
        <f t="shared" si="4"/>
        <v>66</v>
      </c>
      <c r="I73" s="75" t="s">
        <v>56</v>
      </c>
      <c r="J73" s="29" t="s">
        <v>260</v>
      </c>
      <c r="K73" s="22">
        <f t="shared" ref="K73:K107" si="12">IF(SIN($P$109*P73)&lt;0,ACOS((SIN($P$109*O73)-SIN($P$109*L73)*SIN($P$109*$C$13))/(COS($P$109*L73)*COS($P$109*$C$13)))/$P$109,360-ACOS((SIN($P$109*O73)-SIN($P$109*L73)*SIN($P$109*$C$13))/(COS($P$109*L73)*COS($P$109*$C$13)))/$P$109)</f>
        <v>240.70572338928588</v>
      </c>
      <c r="L73" s="22">
        <f t="shared" si="9"/>
        <v>-16.391262338373568</v>
      </c>
      <c r="M73" s="180" t="s">
        <v>158</v>
      </c>
      <c r="N73" s="177">
        <v>17.254999999999999</v>
      </c>
      <c r="O73" s="30">
        <v>-31.866666666666667</v>
      </c>
      <c r="P73" s="22">
        <f t="shared" si="10"/>
        <v>80.115721000151837</v>
      </c>
      <c r="S73" s="42"/>
      <c r="V73" s="47"/>
      <c r="W73" s="48"/>
    </row>
    <row r="74" spans="2:23" ht="17" customHeight="1">
      <c r="G74" s="21" t="str">
        <f t="shared" si="11"/>
        <v/>
      </c>
      <c r="H74" s="29">
        <f t="shared" ref="H74:H107" si="13">H73+1</f>
        <v>67</v>
      </c>
      <c r="I74" s="75" t="s">
        <v>56</v>
      </c>
      <c r="J74" s="29" t="s">
        <v>261</v>
      </c>
      <c r="K74" s="22">
        <f t="shared" si="12"/>
        <v>237.8242088536542</v>
      </c>
      <c r="L74" s="22">
        <f t="shared" si="9"/>
        <v>-16.367752099732339</v>
      </c>
      <c r="M74" s="180" t="s">
        <v>159</v>
      </c>
      <c r="N74" s="177">
        <v>17.411944444444444</v>
      </c>
      <c r="O74" s="30">
        <v>-33.798333333333332</v>
      </c>
      <c r="P74" s="22">
        <f t="shared" si="10"/>
        <v>77.761554333485151</v>
      </c>
      <c r="S74" s="42"/>
      <c r="V74" s="47"/>
      <c r="W74" s="48"/>
    </row>
    <row r="75" spans="2:23" ht="17" customHeight="1">
      <c r="G75" s="21" t="str">
        <f t="shared" si="11"/>
        <v/>
      </c>
      <c r="H75" s="29">
        <f t="shared" si="13"/>
        <v>68</v>
      </c>
      <c r="I75" s="75" t="s">
        <v>56</v>
      </c>
      <c r="J75" s="29" t="s">
        <v>29</v>
      </c>
      <c r="K75" s="22">
        <f t="shared" si="12"/>
        <v>325.05126358475309</v>
      </c>
      <c r="L75" s="22">
        <f t="shared" si="9"/>
        <v>49.632695004442589</v>
      </c>
      <c r="M75" s="180" t="s">
        <v>36</v>
      </c>
      <c r="N75" s="177">
        <v>17.97583333333333</v>
      </c>
      <c r="O75" s="30">
        <v>66.633055555555543</v>
      </c>
      <c r="P75" s="22">
        <f t="shared" si="10"/>
        <v>69.303221000151893</v>
      </c>
      <c r="S75" s="42"/>
      <c r="V75" s="47"/>
      <c r="W75" s="48"/>
    </row>
    <row r="76" spans="2:23" ht="17" customHeight="1">
      <c r="G76" s="21" t="str">
        <f t="shared" si="11"/>
        <v/>
      </c>
      <c r="H76" s="29">
        <f t="shared" si="13"/>
        <v>69</v>
      </c>
      <c r="I76" s="75" t="s">
        <v>56</v>
      </c>
      <c r="J76" s="29" t="s">
        <v>262</v>
      </c>
      <c r="K76" s="22">
        <f t="shared" si="12"/>
        <v>240.14144483395063</v>
      </c>
      <c r="L76" s="22">
        <f t="shared" si="9"/>
        <v>-1.2564519673971297</v>
      </c>
      <c r="M76" s="180" t="s">
        <v>160</v>
      </c>
      <c r="N76" s="177">
        <v>18.045000000000002</v>
      </c>
      <c r="O76" s="30">
        <v>-21.028333333333336</v>
      </c>
      <c r="P76" s="22">
        <f t="shared" si="10"/>
        <v>68.265721000151814</v>
      </c>
      <c r="S76" s="42"/>
      <c r="V76" s="47"/>
      <c r="W76" s="48"/>
    </row>
    <row r="77" spans="2:23" ht="17" customHeight="1">
      <c r="G77" s="21" t="str">
        <f t="shared" si="11"/>
        <v/>
      </c>
      <c r="H77" s="29">
        <f t="shared" si="13"/>
        <v>70</v>
      </c>
      <c r="I77" s="75" t="s">
        <v>56</v>
      </c>
      <c r="J77" s="29" t="s">
        <v>263</v>
      </c>
      <c r="K77" s="22">
        <f t="shared" si="12"/>
        <v>238.30677476661981</v>
      </c>
      <c r="L77" s="22">
        <f t="shared" si="9"/>
        <v>-3.1024160470083904</v>
      </c>
      <c r="M77" s="180" t="s">
        <v>161</v>
      </c>
      <c r="N77" s="177">
        <v>18.061388888888889</v>
      </c>
      <c r="O77" s="30">
        <v>-23.62</v>
      </c>
      <c r="P77" s="22">
        <f t="shared" si="10"/>
        <v>68.019887666818477</v>
      </c>
      <c r="S77" s="42"/>
      <c r="V77" s="47"/>
      <c r="W77" s="48"/>
    </row>
    <row r="78" spans="2:23" ht="17" customHeight="1">
      <c r="G78" s="21" t="str">
        <f t="shared" si="11"/>
        <v/>
      </c>
      <c r="H78" s="29">
        <f t="shared" si="13"/>
        <v>71</v>
      </c>
      <c r="I78" s="75" t="s">
        <v>56</v>
      </c>
      <c r="J78" s="29" t="s">
        <v>264</v>
      </c>
      <c r="K78" s="22">
        <f t="shared" si="12"/>
        <v>242.74966484994542</v>
      </c>
      <c r="L78" s="22">
        <f t="shared" si="9"/>
        <v>8.0242760178957138</v>
      </c>
      <c r="M78" s="180" t="s">
        <v>162</v>
      </c>
      <c r="N78" s="177">
        <v>18.313333333333333</v>
      </c>
      <c r="O78" s="30">
        <v>-12.193333333333333</v>
      </c>
      <c r="P78" s="22">
        <f t="shared" si="10"/>
        <v>64.240721000151837</v>
      </c>
      <c r="S78" s="42"/>
      <c r="V78" s="47"/>
      <c r="W78" s="48"/>
    </row>
    <row r="79" spans="2:23" ht="17" customHeight="1">
      <c r="G79" s="21" t="str">
        <f t="shared" si="11"/>
        <v/>
      </c>
      <c r="H79" s="29">
        <f t="shared" si="13"/>
        <v>72</v>
      </c>
      <c r="I79" s="75" t="s">
        <v>56</v>
      </c>
      <c r="J79" s="29" t="s">
        <v>265</v>
      </c>
      <c r="K79" s="22">
        <f t="shared" si="12"/>
        <v>240.0881486634716</v>
      </c>
      <c r="L79" s="22">
        <f t="shared" si="9"/>
        <v>5.4826080068516267</v>
      </c>
      <c r="M79" s="180" t="s">
        <v>163</v>
      </c>
      <c r="N79" s="177">
        <v>18.346388888888889</v>
      </c>
      <c r="O79" s="30">
        <v>-15.828333333333333</v>
      </c>
      <c r="P79" s="22">
        <f t="shared" si="10"/>
        <v>63.744887666818499</v>
      </c>
      <c r="S79" s="42"/>
      <c r="V79" s="47"/>
      <c r="W79" s="48"/>
    </row>
    <row r="80" spans="2:23" ht="17" customHeight="1">
      <c r="G80" s="21" t="str">
        <f t="shared" si="11"/>
        <v/>
      </c>
      <c r="H80" s="29">
        <f t="shared" si="13"/>
        <v>73</v>
      </c>
      <c r="I80" s="75" t="s">
        <v>56</v>
      </c>
      <c r="J80" s="29" t="s">
        <v>266</v>
      </c>
      <c r="K80" s="22">
        <f t="shared" si="12"/>
        <v>272.63023787168748</v>
      </c>
      <c r="L80" s="22">
        <f t="shared" si="9"/>
        <v>46.207802855663338</v>
      </c>
      <c r="M80" s="180" t="s">
        <v>164</v>
      </c>
      <c r="N80" s="177">
        <v>18.893055555555556</v>
      </c>
      <c r="O80" s="30">
        <v>33.028888888888886</v>
      </c>
      <c r="P80" s="22">
        <f t="shared" si="10"/>
        <v>55.544887666818511</v>
      </c>
      <c r="S80" s="42"/>
      <c r="V80" s="47"/>
      <c r="W80" s="48"/>
    </row>
    <row r="81" spans="7:23" ht="17" customHeight="1">
      <c r="G81" s="21" t="str">
        <f t="shared" si="11"/>
        <v/>
      </c>
      <c r="H81" s="29">
        <f t="shared" si="13"/>
        <v>74</v>
      </c>
      <c r="I81" s="75" t="s">
        <v>56</v>
      </c>
      <c r="J81" s="29" t="s">
        <v>30</v>
      </c>
      <c r="K81" s="22">
        <f t="shared" si="12"/>
        <v>294.14681588094174</v>
      </c>
      <c r="L81" s="22">
        <f t="shared" si="9"/>
        <v>61.781225151822603</v>
      </c>
      <c r="M81" s="180" t="s">
        <v>165</v>
      </c>
      <c r="N81" s="177">
        <v>19.746666666666666</v>
      </c>
      <c r="O81" s="30">
        <v>50.524999999999999</v>
      </c>
      <c r="P81" s="22">
        <f t="shared" si="10"/>
        <v>42.740721000151837</v>
      </c>
      <c r="S81" s="42"/>
      <c r="V81" s="47"/>
      <c r="W81" s="48"/>
    </row>
    <row r="82" spans="7:23" ht="17" customHeight="1">
      <c r="G82" s="21" t="str">
        <f t="shared" si="11"/>
        <v>*</v>
      </c>
      <c r="H82" s="29">
        <f t="shared" si="13"/>
        <v>75</v>
      </c>
      <c r="I82" s="75" t="s">
        <v>56</v>
      </c>
      <c r="J82" s="29" t="s">
        <v>267</v>
      </c>
      <c r="K82" s="22">
        <f t="shared" si="12"/>
        <v>246.45793992196889</v>
      </c>
      <c r="L82" s="22">
        <f t="shared" si="9"/>
        <v>50.67332251446949</v>
      </c>
      <c r="M82" s="180" t="s">
        <v>166</v>
      </c>
      <c r="N82" s="177">
        <v>19.993333333333336</v>
      </c>
      <c r="O82" s="30">
        <v>22.720833333333331</v>
      </c>
      <c r="P82" s="22">
        <f t="shared" si="10"/>
        <v>39.040721000151791</v>
      </c>
      <c r="S82" s="42"/>
      <c r="V82" s="47"/>
      <c r="W82" s="48"/>
    </row>
    <row r="83" spans="7:23" ht="17" customHeight="1">
      <c r="G83" s="21" t="str">
        <f t="shared" si="11"/>
        <v>*</v>
      </c>
      <c r="H83" s="29">
        <f t="shared" si="13"/>
        <v>76</v>
      </c>
      <c r="I83" s="75" t="s">
        <v>56</v>
      </c>
      <c r="J83" s="29" t="s">
        <v>201</v>
      </c>
      <c r="K83" s="22">
        <f t="shared" si="12"/>
        <v>263.09474293198531</v>
      </c>
      <c r="L83" s="22">
        <f t="shared" si="9"/>
        <v>58.863076846766617</v>
      </c>
      <c r="M83" s="180" t="s">
        <v>167</v>
      </c>
      <c r="N83" s="177">
        <v>19.998611111111114</v>
      </c>
      <c r="O83" s="30">
        <v>35.276666666666664</v>
      </c>
      <c r="P83" s="22">
        <f t="shared" si="10"/>
        <v>38.96155433348514</v>
      </c>
      <c r="S83" s="42"/>
      <c r="V83" s="47"/>
      <c r="W83" s="48"/>
    </row>
    <row r="84" spans="7:23" ht="17" customHeight="1">
      <c r="G84" s="21" t="str">
        <f t="shared" si="11"/>
        <v>*</v>
      </c>
      <c r="H84" s="29">
        <f t="shared" si="13"/>
        <v>77</v>
      </c>
      <c r="I84" s="75" t="s">
        <v>56</v>
      </c>
      <c r="J84" s="29" t="s">
        <v>268</v>
      </c>
      <c r="K84" s="22">
        <f t="shared" si="12"/>
        <v>265.9258787305468</v>
      </c>
      <c r="L84" s="22">
        <f t="shared" si="9"/>
        <v>62.537787711865853</v>
      </c>
      <c r="M84" s="180" t="s">
        <v>168</v>
      </c>
      <c r="N84" s="177">
        <v>20.201666666666664</v>
      </c>
      <c r="O84" s="30">
        <v>38.354722222222222</v>
      </c>
      <c r="P84" s="22">
        <f t="shared" si="10"/>
        <v>35.915721000151848</v>
      </c>
      <c r="S84" s="42"/>
      <c r="V84" s="47"/>
      <c r="W84" s="48"/>
    </row>
    <row r="85" spans="7:23" ht="17" customHeight="1">
      <c r="G85" s="21" t="str">
        <f t="shared" si="11"/>
        <v>*</v>
      </c>
      <c r="H85" s="29">
        <f t="shared" si="13"/>
        <v>78</v>
      </c>
      <c r="I85" s="75" t="s">
        <v>56</v>
      </c>
      <c r="J85" s="29" t="s">
        <v>269</v>
      </c>
      <c r="K85" s="22">
        <f t="shared" si="12"/>
        <v>267.73218880429982</v>
      </c>
      <c r="L85" s="22">
        <f t="shared" si="9"/>
        <v>65.150470472959043</v>
      </c>
      <c r="M85" s="180" t="s">
        <v>169</v>
      </c>
      <c r="N85" s="177">
        <v>20.370555555555555</v>
      </c>
      <c r="O85" s="30">
        <v>40.256666666666668</v>
      </c>
      <c r="P85" s="22">
        <f t="shared" si="10"/>
        <v>33.382387666818488</v>
      </c>
      <c r="S85" s="42"/>
      <c r="V85" s="47"/>
      <c r="W85" s="48"/>
    </row>
    <row r="86" spans="7:23" ht="17" customHeight="1">
      <c r="G86" s="21" t="str">
        <f t="shared" si="11"/>
        <v>*</v>
      </c>
      <c r="H86" s="29">
        <f t="shared" si="13"/>
        <v>79</v>
      </c>
      <c r="I86" s="75" t="s">
        <v>56</v>
      </c>
      <c r="J86" s="29" t="s">
        <v>270</v>
      </c>
      <c r="K86" s="22">
        <f t="shared" si="12"/>
        <v>242.90893071564187</v>
      </c>
      <c r="L86" s="22">
        <f t="shared" si="9"/>
        <v>63.532700957502939</v>
      </c>
      <c r="M86" s="180" t="s">
        <v>170</v>
      </c>
      <c r="N86" s="179">
        <v>20.766111111111112</v>
      </c>
      <c r="O86" s="32">
        <v>30.594999999999999</v>
      </c>
      <c r="P86" s="22">
        <f t="shared" si="10"/>
        <v>27.449054333485151</v>
      </c>
      <c r="S86" s="42"/>
      <c r="V86" s="47"/>
      <c r="W86" s="48"/>
    </row>
    <row r="87" spans="7:23" ht="17" customHeight="1">
      <c r="G87" s="21" t="str">
        <f t="shared" si="11"/>
        <v>*</v>
      </c>
      <c r="H87" s="29">
        <f t="shared" si="13"/>
        <v>80</v>
      </c>
      <c r="I87" s="75" t="s">
        <v>56</v>
      </c>
      <c r="J87" s="29" t="s">
        <v>271</v>
      </c>
      <c r="K87" s="22">
        <f t="shared" si="12"/>
        <v>243.75442238878648</v>
      </c>
      <c r="L87" s="22">
        <f t="shared" si="9"/>
        <v>65.217875980106399</v>
      </c>
      <c r="M87" s="180" t="s">
        <v>171</v>
      </c>
      <c r="N87" s="177">
        <v>20.841111111111111</v>
      </c>
      <c r="O87" s="30">
        <v>32.026666666666664</v>
      </c>
      <c r="P87" s="22">
        <f t="shared" si="10"/>
        <v>26.324054333485151</v>
      </c>
      <c r="S87" s="42"/>
      <c r="V87" s="47"/>
      <c r="W87" s="48"/>
    </row>
    <row r="88" spans="7:23" ht="17" customHeight="1">
      <c r="G88" s="21" t="str">
        <f t="shared" si="11"/>
        <v/>
      </c>
      <c r="H88" s="29">
        <f t="shared" si="13"/>
        <v>81</v>
      </c>
      <c r="I88" s="75" t="s">
        <v>56</v>
      </c>
      <c r="J88" s="29" t="s">
        <v>272</v>
      </c>
      <c r="K88" s="22">
        <f t="shared" si="12"/>
        <v>273.16231469230763</v>
      </c>
      <c r="L88" s="22">
        <f t="shared" si="9"/>
        <v>71.590161919653696</v>
      </c>
      <c r="M88" s="180" t="s">
        <v>172</v>
      </c>
      <c r="N88" s="177">
        <v>20.85</v>
      </c>
      <c r="O88" s="30">
        <v>44.401666666666664</v>
      </c>
      <c r="P88" s="22">
        <f t="shared" si="10"/>
        <v>26.190721000151825</v>
      </c>
      <c r="S88" s="42"/>
      <c r="V88" s="47"/>
      <c r="W88" s="48"/>
    </row>
    <row r="89" spans="7:23" ht="17" customHeight="1">
      <c r="G89" s="21" t="str">
        <f t="shared" si="11"/>
        <v>*</v>
      </c>
      <c r="H89" s="29">
        <f t="shared" si="13"/>
        <v>82</v>
      </c>
      <c r="I89" s="75" t="s">
        <v>56</v>
      </c>
      <c r="J89" s="29" t="s">
        <v>273</v>
      </c>
      <c r="K89" s="22">
        <f t="shared" si="12"/>
        <v>241.17627072391821</v>
      </c>
      <c r="L89" s="22">
        <f t="shared" si="9"/>
        <v>65.914640069617434</v>
      </c>
      <c r="M89" s="180" t="s">
        <v>173</v>
      </c>
      <c r="N89" s="177">
        <v>20.938611111111111</v>
      </c>
      <c r="O89" s="30">
        <v>31.743333333333336</v>
      </c>
      <c r="P89" s="22">
        <f t="shared" si="10"/>
        <v>24.861554333485174</v>
      </c>
      <c r="S89" s="42"/>
      <c r="V89" s="47"/>
      <c r="W89" s="48"/>
    </row>
    <row r="90" spans="7:23" ht="17" customHeight="1">
      <c r="G90" s="21" t="str">
        <f t="shared" si="11"/>
        <v>*</v>
      </c>
      <c r="H90" s="29">
        <f t="shared" si="13"/>
        <v>83</v>
      </c>
      <c r="I90" s="75" t="s">
        <v>56</v>
      </c>
      <c r="J90" s="29" t="s">
        <v>174</v>
      </c>
      <c r="K90" s="22">
        <f t="shared" si="12"/>
        <v>241.17627072391821</v>
      </c>
      <c r="L90" s="22">
        <f t="shared" si="9"/>
        <v>65.914640069617434</v>
      </c>
      <c r="M90" s="180" t="s">
        <v>174</v>
      </c>
      <c r="N90" s="179">
        <v>20.938611111111111</v>
      </c>
      <c r="O90" s="30">
        <v>31.743333333333336</v>
      </c>
      <c r="P90" s="22">
        <f t="shared" si="10"/>
        <v>24.861554333485174</v>
      </c>
      <c r="S90" s="42"/>
      <c r="V90" s="47"/>
      <c r="W90" s="48"/>
    </row>
    <row r="91" spans="7:23" ht="17" customHeight="1">
      <c r="G91" s="21" t="str">
        <f t="shared" si="11"/>
        <v/>
      </c>
      <c r="H91" s="29">
        <f t="shared" si="13"/>
        <v>84</v>
      </c>
      <c r="I91" s="75" t="s">
        <v>56</v>
      </c>
      <c r="J91" s="29" t="s">
        <v>274</v>
      </c>
      <c r="K91" s="22">
        <f t="shared" si="12"/>
        <v>272.23461867050639</v>
      </c>
      <c r="L91" s="22">
        <f t="shared" si="9"/>
        <v>73.048690569506221</v>
      </c>
      <c r="M91" s="180" t="s">
        <v>175</v>
      </c>
      <c r="N91" s="177">
        <v>20.988333333333333</v>
      </c>
      <c r="O91" s="30">
        <v>44.516666666666666</v>
      </c>
      <c r="P91" s="22">
        <f t="shared" si="10"/>
        <v>24.115721000151837</v>
      </c>
      <c r="S91" s="42"/>
      <c r="V91" s="47"/>
      <c r="W91" s="48"/>
    </row>
    <row r="92" spans="7:23" ht="17" customHeight="1">
      <c r="G92" s="21" t="str">
        <f t="shared" si="11"/>
        <v/>
      </c>
      <c r="H92" s="29">
        <f t="shared" si="13"/>
        <v>85</v>
      </c>
      <c r="I92" s="75" t="s">
        <v>56</v>
      </c>
      <c r="J92" s="29" t="s">
        <v>31</v>
      </c>
      <c r="K92" s="22">
        <f t="shared" si="12"/>
        <v>307.01879716898009</v>
      </c>
      <c r="L92" s="22">
        <f t="shared" si="9"/>
        <v>72.948805315808116</v>
      </c>
      <c r="M92" s="180" t="s">
        <v>176</v>
      </c>
      <c r="N92" s="177">
        <v>21.009166666666665</v>
      </c>
      <c r="O92" s="30">
        <v>54.543055555555554</v>
      </c>
      <c r="P92" s="22">
        <f t="shared" si="10"/>
        <v>23.803221000151837</v>
      </c>
      <c r="S92" s="42"/>
      <c r="V92" s="47"/>
      <c r="W92" s="48"/>
    </row>
    <row r="93" spans="7:23" ht="17" customHeight="1">
      <c r="G93" s="21" t="str">
        <f t="shared" si="11"/>
        <v/>
      </c>
      <c r="H93" s="29">
        <f t="shared" si="13"/>
        <v>86</v>
      </c>
      <c r="I93" s="75" t="s">
        <v>56</v>
      </c>
      <c r="J93" s="29" t="s">
        <v>275</v>
      </c>
      <c r="K93" s="22">
        <f t="shared" si="12"/>
        <v>339.27293647103534</v>
      </c>
      <c r="L93" s="22">
        <f t="shared" si="9"/>
        <v>65.187292378505362</v>
      </c>
      <c r="M93" s="180" t="s">
        <v>177</v>
      </c>
      <c r="N93" s="177">
        <v>21.026666666666667</v>
      </c>
      <c r="O93" s="30">
        <v>68.169444444444451</v>
      </c>
      <c r="P93" s="22">
        <f t="shared" si="10"/>
        <v>23.540721000151791</v>
      </c>
      <c r="S93" s="42"/>
      <c r="V93" s="47"/>
      <c r="W93" s="48"/>
    </row>
    <row r="94" spans="7:23" ht="17" customHeight="1">
      <c r="G94" s="21" t="str">
        <f t="shared" si="11"/>
        <v>*</v>
      </c>
      <c r="H94" s="29">
        <f t="shared" si="13"/>
        <v>87</v>
      </c>
      <c r="I94" s="75" t="s">
        <v>56</v>
      </c>
      <c r="J94" s="29" t="s">
        <v>32</v>
      </c>
      <c r="K94" s="22">
        <f t="shared" si="12"/>
        <v>206.01665111473673</v>
      </c>
      <c r="L94" s="22">
        <f t="shared" si="9"/>
        <v>29.342696098330652</v>
      </c>
      <c r="M94" s="180" t="s">
        <v>34</v>
      </c>
      <c r="N94" s="177">
        <v>21.069722222222222</v>
      </c>
      <c r="O94" s="30">
        <v>-10.636111111111111</v>
      </c>
      <c r="P94" s="22">
        <f t="shared" si="10"/>
        <v>22.894887666818533</v>
      </c>
      <c r="S94" s="42"/>
      <c r="V94" s="47"/>
      <c r="W94" s="48"/>
    </row>
    <row r="95" spans="7:23" ht="17" customHeight="1">
      <c r="G95" s="21" t="str">
        <f t="shared" si="11"/>
        <v/>
      </c>
      <c r="H95" s="29">
        <f t="shared" si="13"/>
        <v>88</v>
      </c>
      <c r="I95" s="75" t="s">
        <v>56</v>
      </c>
      <c r="J95" s="29" t="s">
        <v>202</v>
      </c>
      <c r="K95" s="22">
        <f t="shared" si="12"/>
        <v>325.14140837346588</v>
      </c>
      <c r="L95" s="22">
        <f t="shared" si="9"/>
        <v>71.708900324426935</v>
      </c>
      <c r="M95" s="180" t="s">
        <v>178</v>
      </c>
      <c r="N95" s="177">
        <v>21.196666666666665</v>
      </c>
      <c r="O95" s="30">
        <v>59.95</v>
      </c>
      <c r="P95" s="22">
        <f t="shared" si="10"/>
        <v>20.990721000151837</v>
      </c>
      <c r="S95" s="42"/>
      <c r="V95" s="47"/>
      <c r="W95" s="48"/>
    </row>
    <row r="96" spans="7:23" ht="17" customHeight="1">
      <c r="G96" s="21" t="str">
        <f t="shared" si="11"/>
        <v/>
      </c>
      <c r="H96" s="29">
        <f t="shared" si="13"/>
        <v>89</v>
      </c>
      <c r="I96" s="75" t="s">
        <v>56</v>
      </c>
      <c r="J96" s="29" t="s">
        <v>250</v>
      </c>
      <c r="K96" s="22">
        <f t="shared" si="12"/>
        <v>327.04813481009319</v>
      </c>
      <c r="L96" s="22">
        <f t="shared" si="9"/>
        <v>75.973458703089975</v>
      </c>
      <c r="M96" s="180" t="s">
        <v>179</v>
      </c>
      <c r="N96" s="177">
        <v>21.649444444444445</v>
      </c>
      <c r="O96" s="30">
        <v>57.489166666666669</v>
      </c>
      <c r="P96" s="22">
        <f t="shared" si="10"/>
        <v>14.199054333485151</v>
      </c>
      <c r="S96" s="42"/>
      <c r="V96" s="47"/>
      <c r="W96" s="48"/>
    </row>
    <row r="97" spans="7:23" ht="17" customHeight="1">
      <c r="G97" s="21" t="str">
        <f t="shared" si="11"/>
        <v/>
      </c>
      <c r="H97" s="29">
        <f t="shared" si="13"/>
        <v>90</v>
      </c>
      <c r="I97" s="75" t="s">
        <v>56</v>
      </c>
      <c r="J97" s="29" t="s">
        <v>251</v>
      </c>
      <c r="K97" s="22">
        <f t="shared" si="12"/>
        <v>280.29199956683732</v>
      </c>
      <c r="L97" s="22">
        <f t="shared" si="9"/>
        <v>82.7319566106667</v>
      </c>
      <c r="M97" s="180" t="s">
        <v>180</v>
      </c>
      <c r="N97" s="177">
        <v>21.891388888888887</v>
      </c>
      <c r="O97" s="30">
        <v>47.266944444444441</v>
      </c>
      <c r="P97" s="22">
        <f t="shared" si="10"/>
        <v>10.569887666818488</v>
      </c>
      <c r="S97" s="42"/>
      <c r="V97" s="47"/>
      <c r="W97" s="48"/>
    </row>
    <row r="98" spans="7:23" ht="17" customHeight="1">
      <c r="G98" s="21" t="str">
        <f t="shared" si="11"/>
        <v/>
      </c>
      <c r="H98" s="29">
        <f t="shared" si="13"/>
        <v>91</v>
      </c>
      <c r="I98" s="75" t="s">
        <v>56</v>
      </c>
      <c r="J98" s="29" t="s">
        <v>252</v>
      </c>
      <c r="K98" s="22">
        <f t="shared" si="12"/>
        <v>187.07830327667654</v>
      </c>
      <c r="L98" s="22">
        <f t="shared" si="9"/>
        <v>4.5509684485864277</v>
      </c>
      <c r="M98" s="180" t="s">
        <v>181</v>
      </c>
      <c r="N98" s="177">
        <v>21.993055555555557</v>
      </c>
      <c r="O98" s="30">
        <v>-38.614166666666669</v>
      </c>
      <c r="P98" s="22">
        <f t="shared" si="10"/>
        <v>9.0448876668184539</v>
      </c>
      <c r="S98" s="42"/>
      <c r="V98" s="47"/>
      <c r="W98" s="48"/>
    </row>
    <row r="99" spans="7:23" ht="17" customHeight="1">
      <c r="G99" s="21" t="str">
        <f t="shared" si="11"/>
        <v/>
      </c>
      <c r="H99" s="29">
        <f t="shared" si="13"/>
        <v>92</v>
      </c>
      <c r="I99" s="75" t="s">
        <v>56</v>
      </c>
      <c r="J99" s="29" t="s">
        <v>253</v>
      </c>
      <c r="K99" s="22">
        <f t="shared" si="12"/>
        <v>355.91173427379027</v>
      </c>
      <c r="L99" s="22">
        <f t="shared" si="9"/>
        <v>62.898876432532639</v>
      </c>
      <c r="M99" s="180" t="s">
        <v>182</v>
      </c>
      <c r="N99" s="177">
        <v>22.161111111111111</v>
      </c>
      <c r="O99" s="30">
        <v>73.390277777777783</v>
      </c>
      <c r="P99" s="22">
        <f t="shared" si="10"/>
        <v>6.5240543334851395</v>
      </c>
      <c r="S99" s="42"/>
      <c r="V99" s="47"/>
      <c r="W99" s="48"/>
    </row>
    <row r="100" spans="7:23" ht="17" customHeight="1">
      <c r="G100" s="21" t="str">
        <f t="shared" si="11"/>
        <v/>
      </c>
      <c r="H100" s="29">
        <f t="shared" si="13"/>
        <v>93</v>
      </c>
      <c r="I100" s="75" t="s">
        <v>56</v>
      </c>
      <c r="J100" s="29" t="s">
        <v>254</v>
      </c>
      <c r="K100" s="22">
        <f t="shared" si="12"/>
        <v>355.34568223688632</v>
      </c>
      <c r="L100" s="22">
        <f t="shared" si="9"/>
        <v>66.363999910070518</v>
      </c>
      <c r="M100" s="180" t="s">
        <v>183</v>
      </c>
      <c r="N100" s="177">
        <v>22.233333333333334</v>
      </c>
      <c r="O100" s="30">
        <v>69.933333333333337</v>
      </c>
      <c r="P100" s="22">
        <f t="shared" si="10"/>
        <v>5.4407210001518251</v>
      </c>
      <c r="S100" s="42"/>
      <c r="V100" s="47"/>
      <c r="W100" s="48"/>
    </row>
    <row r="101" spans="7:23" ht="17" customHeight="1">
      <c r="G101" s="21" t="str">
        <f t="shared" si="11"/>
        <v>*</v>
      </c>
      <c r="H101" s="29">
        <f t="shared" si="13"/>
        <v>94</v>
      </c>
      <c r="I101" s="75" t="s">
        <v>56</v>
      </c>
      <c r="J101" s="29" t="s">
        <v>40</v>
      </c>
      <c r="K101" s="22">
        <f t="shared" si="12"/>
        <v>181.58910416228616</v>
      </c>
      <c r="L101" s="22">
        <f t="shared" si="9"/>
        <v>24.37230330192903</v>
      </c>
      <c r="M101" s="180" t="s">
        <v>33</v>
      </c>
      <c r="N101" s="177">
        <v>22.49388888888889</v>
      </c>
      <c r="O101" s="30">
        <v>-19.163055555555555</v>
      </c>
      <c r="P101" s="22">
        <f t="shared" si="10"/>
        <v>1.5323876668184653</v>
      </c>
      <c r="S101" s="42"/>
      <c r="V101" s="47"/>
      <c r="W101" s="48"/>
    </row>
    <row r="102" spans="7:23" ht="17" customHeight="1">
      <c r="G102" s="21" t="str">
        <f t="shared" si="11"/>
        <v>*</v>
      </c>
      <c r="H102" s="29">
        <f t="shared" si="13"/>
        <v>95</v>
      </c>
      <c r="I102" s="75" t="s">
        <v>56</v>
      </c>
      <c r="J102" s="29" t="s">
        <v>255</v>
      </c>
      <c r="K102" s="22">
        <f t="shared" si="12"/>
        <v>179.70925742549207</v>
      </c>
      <c r="L102" s="22">
        <f t="shared" si="9"/>
        <v>77.483200572277241</v>
      </c>
      <c r="M102" s="180" t="s">
        <v>184</v>
      </c>
      <c r="N102" s="177">
        <v>22.601111111111113</v>
      </c>
      <c r="O102" s="30">
        <v>33.93333333333333</v>
      </c>
      <c r="P102" s="22">
        <f t="shared" si="10"/>
        <v>-7.5945666514883214E-2</v>
      </c>
      <c r="S102" s="42"/>
      <c r="V102" s="47"/>
      <c r="W102" s="48"/>
    </row>
    <row r="103" spans="7:23" ht="17" customHeight="1">
      <c r="G103" s="21" t="str">
        <f t="shared" si="11"/>
        <v>*</v>
      </c>
      <c r="H103" s="29">
        <f t="shared" si="13"/>
        <v>96</v>
      </c>
      <c r="I103" s="75" t="s">
        <v>56</v>
      </c>
      <c r="J103" s="29" t="s">
        <v>256</v>
      </c>
      <c r="K103" s="22">
        <f t="shared" si="12"/>
        <v>178.71048722022735</v>
      </c>
      <c r="L103" s="22">
        <f t="shared" si="9"/>
        <v>77.963306137524071</v>
      </c>
      <c r="M103" s="180" t="s">
        <v>185</v>
      </c>
      <c r="N103" s="177">
        <v>22.617777777777778</v>
      </c>
      <c r="O103" s="30">
        <v>34.415833333333332</v>
      </c>
      <c r="P103" s="22">
        <f t="shared" si="10"/>
        <v>-0.32594566651488321</v>
      </c>
      <c r="S103" s="42"/>
      <c r="V103" s="47"/>
      <c r="W103" s="48"/>
    </row>
    <row r="104" spans="7:23" ht="17" customHeight="1">
      <c r="G104" s="21" t="str">
        <f t="shared" si="11"/>
        <v/>
      </c>
      <c r="H104" s="29">
        <f t="shared" si="13"/>
        <v>97</v>
      </c>
      <c r="I104" s="75" t="s">
        <v>56</v>
      </c>
      <c r="J104" s="29" t="s">
        <v>257</v>
      </c>
      <c r="K104" s="22">
        <f t="shared" si="12"/>
        <v>7.4892576812141076</v>
      </c>
      <c r="L104" s="22">
        <f t="shared" si="9"/>
        <v>78.18752203784446</v>
      </c>
      <c r="M104" s="180" t="s">
        <v>186</v>
      </c>
      <c r="N104" s="177">
        <v>22.789166666666667</v>
      </c>
      <c r="O104" s="30">
        <v>58.131666666666668</v>
      </c>
      <c r="P104" s="22">
        <f t="shared" si="10"/>
        <v>-2.8967789998481521</v>
      </c>
      <c r="S104" s="42"/>
      <c r="V104" s="47"/>
      <c r="W104" s="48"/>
    </row>
    <row r="105" spans="7:23" ht="17" customHeight="1">
      <c r="G105" s="21" t="str">
        <f t="shared" si="11"/>
        <v/>
      </c>
      <c r="H105" s="29">
        <f t="shared" si="13"/>
        <v>98</v>
      </c>
      <c r="I105" s="75" t="s">
        <v>56</v>
      </c>
      <c r="J105" s="29" t="s">
        <v>203</v>
      </c>
      <c r="K105" s="22">
        <f t="shared" si="12"/>
        <v>9.0841404433493906</v>
      </c>
      <c r="L105" s="22">
        <f t="shared" si="9"/>
        <v>73.627675002566136</v>
      </c>
      <c r="M105" s="180" t="s">
        <v>187</v>
      </c>
      <c r="N105" s="177">
        <v>22.965</v>
      </c>
      <c r="O105" s="30">
        <v>62.518333333333331</v>
      </c>
      <c r="P105" s="22">
        <f t="shared" si="10"/>
        <v>-5.5342789998481976</v>
      </c>
      <c r="S105" s="42"/>
      <c r="V105" s="47"/>
      <c r="W105" s="48"/>
    </row>
    <row r="106" spans="7:23" ht="17" customHeight="1">
      <c r="G106" s="21" t="str">
        <f t="shared" si="11"/>
        <v/>
      </c>
      <c r="H106" s="29">
        <f t="shared" si="13"/>
        <v>99</v>
      </c>
      <c r="I106" s="75" t="s">
        <v>56</v>
      </c>
      <c r="J106" s="29" t="s">
        <v>258</v>
      </c>
      <c r="K106" s="22">
        <f t="shared" si="12"/>
        <v>19.756879408594617</v>
      </c>
      <c r="L106" s="22">
        <f t="shared" si="9"/>
        <v>73.867621220752937</v>
      </c>
      <c r="M106" s="180" t="s">
        <v>188</v>
      </c>
      <c r="N106" s="177">
        <v>23.345833333333331</v>
      </c>
      <c r="O106" s="30">
        <v>61.211666666666666</v>
      </c>
      <c r="P106" s="22">
        <f t="shared" si="10"/>
        <v>-11.246778999848175</v>
      </c>
      <c r="S106" s="42"/>
      <c r="V106" s="47"/>
      <c r="W106" s="48"/>
    </row>
    <row r="107" spans="7:23" ht="17" customHeight="1">
      <c r="G107" s="21" t="str">
        <f t="shared" si="11"/>
        <v/>
      </c>
      <c r="H107" s="29">
        <f t="shared" si="13"/>
        <v>100</v>
      </c>
      <c r="I107" s="75" t="s">
        <v>56</v>
      </c>
      <c r="J107" s="29" t="s">
        <v>204</v>
      </c>
      <c r="K107" s="22">
        <f t="shared" si="12"/>
        <v>29.12893652684242</v>
      </c>
      <c r="L107" s="22">
        <f t="shared" si="9"/>
        <v>70.05785504615703</v>
      </c>
      <c r="M107" s="180" t="s">
        <v>189</v>
      </c>
      <c r="N107" s="177">
        <v>23.998333333333335</v>
      </c>
      <c r="O107" s="30">
        <v>62.447499999999998</v>
      </c>
      <c r="P107" s="22">
        <f t="shared" si="10"/>
        <v>-21.034278999848198</v>
      </c>
      <c r="S107" s="43"/>
      <c r="T107" s="44"/>
      <c r="U107" s="44"/>
      <c r="V107" s="49"/>
      <c r="W107" s="50"/>
    </row>
    <row r="109" spans="7:23">
      <c r="O109" s="91" t="s">
        <v>62</v>
      </c>
      <c r="P109" s="53">
        <f>PI()/180</f>
        <v>1.7453292519943295E-2</v>
      </c>
    </row>
  </sheetData>
  <sheetProtection sheet="1" objects="1" scenarios="1"/>
  <mergeCells count="6">
    <mergeCell ref="B36:D36"/>
    <mergeCell ref="B2:C2"/>
    <mergeCell ref="H2:P2"/>
    <mergeCell ref="S2:Z2"/>
    <mergeCell ref="B19:B24"/>
    <mergeCell ref="B27:D27"/>
  </mergeCells>
  <conditionalFormatting sqref="H8:H107">
    <cfRule type="expression" dxfId="2" priority="1">
      <formula>AND($K8&gt;=$K$4,$K8&lt;=$K$6,$L8&gt;=$L$4,$L8&lt;=$L$6)</formula>
    </cfRule>
  </conditionalFormatting>
  <conditionalFormatting sqref="K8:K107">
    <cfRule type="expression" dxfId="1" priority="48">
      <formula>AND($K8&gt;=$K$4,$K8&lt;=$K$6)</formula>
    </cfRule>
  </conditionalFormatting>
  <conditionalFormatting sqref="L8:L107">
    <cfRule type="expression" dxfId="0" priority="47">
      <formula>AND($L8&gt;=$L$4,$L8&lt;=$L$6)</formula>
    </cfRule>
  </conditionalFormatting>
  <dataValidations count="3">
    <dataValidation type="list" allowBlank="1" showInputMessage="1" showErrorMessage="1" sqref="I8:I107" xr:uid="{9C4759A4-369D-1645-A4ED-D5BE4FFD6317}">
      <formula1>$C$19:$C$24</formula1>
    </dataValidation>
    <dataValidation type="list" allowBlank="1" showInputMessage="1" showErrorMessage="1" sqref="C12" xr:uid="{C7E6DA6B-A2F4-4845-9DE1-B9BEFBFD3242}">
      <formula1>$B$29:$B$33</formula1>
    </dataValidation>
    <dataValidation type="list" allowBlank="1" showInputMessage="1" showErrorMessage="1" sqref="D19:D24" xr:uid="{B924EBD8-8D5F-AA4D-9B60-2A9DCE8FE672}">
      <formula1>$B$55:$B$56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9682-5899-504E-949D-4962506C7350}">
  <dimension ref="B1:J209"/>
  <sheetViews>
    <sheetView showGridLines="0" workbookViewId="0">
      <selection activeCell="C21" sqref="C21"/>
    </sheetView>
  </sheetViews>
  <sheetFormatPr baseColWidth="10" defaultRowHeight="13"/>
  <cols>
    <col min="1" max="1" width="10.83203125" style="132" customWidth="1"/>
    <col min="2" max="2" width="15.83203125" style="132" customWidth="1"/>
    <col min="3" max="3" width="13.33203125" style="132" customWidth="1"/>
    <col min="4" max="4" width="15.83203125" style="132" customWidth="1"/>
    <col min="5" max="7" width="10.83203125" style="132" customWidth="1"/>
    <col min="8" max="10" width="12.1640625" style="132" customWidth="1"/>
    <col min="11" max="22" width="10.83203125" style="132" customWidth="1"/>
    <col min="23" max="23" width="10.1640625" style="132" bestFit="1" customWidth="1"/>
    <col min="24" max="247" width="8.83203125" style="132" customWidth="1"/>
    <col min="248" max="248" width="7.83203125" style="132" customWidth="1"/>
    <col min="249" max="249" width="7.5" style="132" customWidth="1"/>
    <col min="250" max="250" width="9" style="132" customWidth="1"/>
    <col min="251" max="251" width="8.33203125" style="132" customWidth="1"/>
    <col min="252" max="254" width="8.5" style="132" bestFit="1" customWidth="1"/>
    <col min="255" max="255" width="10" style="132" bestFit="1" customWidth="1"/>
    <col min="256" max="256" width="8.1640625" style="132" bestFit="1" customWidth="1"/>
    <col min="257" max="258" width="8.5" style="132" bestFit="1" customWidth="1"/>
    <col min="259" max="259" width="6" style="132" bestFit="1" customWidth="1"/>
    <col min="260" max="260" width="8.83203125" style="132" customWidth="1"/>
    <col min="261" max="261" width="8.5" style="132" bestFit="1" customWidth="1"/>
    <col min="262" max="262" width="7.1640625" style="132" bestFit="1" customWidth="1"/>
    <col min="263" max="263" width="4.5" style="132" bestFit="1" customWidth="1"/>
    <col min="264" max="264" width="5.5" style="132" bestFit="1" customWidth="1"/>
    <col min="265" max="267" width="6.1640625" style="132" bestFit="1" customWidth="1"/>
    <col min="268" max="268" width="7.1640625" style="132" bestFit="1" customWidth="1"/>
    <col min="269" max="278" width="8.83203125" style="132" customWidth="1"/>
    <col min="279" max="279" width="10" style="132" bestFit="1" customWidth="1"/>
    <col min="280" max="503" width="8.83203125" style="132" customWidth="1"/>
    <col min="504" max="504" width="7.83203125" style="132" customWidth="1"/>
    <col min="505" max="505" width="7.5" style="132" customWidth="1"/>
    <col min="506" max="506" width="9" style="132" customWidth="1"/>
    <col min="507" max="507" width="8.33203125" style="132" customWidth="1"/>
    <col min="508" max="510" width="8.5" style="132" bestFit="1" customWidth="1"/>
    <col min="511" max="511" width="10" style="132" bestFit="1" customWidth="1"/>
    <col min="512" max="512" width="8.1640625" style="132" bestFit="1" customWidth="1"/>
    <col min="513" max="514" width="8.5" style="132" bestFit="1" customWidth="1"/>
    <col min="515" max="515" width="6" style="132" bestFit="1" customWidth="1"/>
    <col min="516" max="516" width="8.83203125" style="132" customWidth="1"/>
    <col min="517" max="517" width="8.5" style="132" bestFit="1" customWidth="1"/>
    <col min="518" max="518" width="7.1640625" style="132" bestFit="1" customWidth="1"/>
    <col min="519" max="519" width="4.5" style="132" bestFit="1" customWidth="1"/>
    <col min="520" max="520" width="5.5" style="132" bestFit="1" customWidth="1"/>
    <col min="521" max="523" width="6.1640625" style="132" bestFit="1" customWidth="1"/>
    <col min="524" max="524" width="7.1640625" style="132" bestFit="1" customWidth="1"/>
    <col min="525" max="534" width="8.83203125" style="132" customWidth="1"/>
    <col min="535" max="535" width="10" style="132" bestFit="1" customWidth="1"/>
    <col min="536" max="759" width="8.83203125" style="132" customWidth="1"/>
    <col min="760" max="760" width="7.83203125" style="132" customWidth="1"/>
    <col min="761" max="761" width="7.5" style="132" customWidth="1"/>
    <col min="762" max="762" width="9" style="132" customWidth="1"/>
    <col min="763" max="763" width="8.33203125" style="132" customWidth="1"/>
    <col min="764" max="766" width="8.5" style="132" bestFit="1" customWidth="1"/>
    <col min="767" max="767" width="10" style="132" bestFit="1" customWidth="1"/>
    <col min="768" max="768" width="8.1640625" style="132" bestFit="1" customWidth="1"/>
    <col min="769" max="770" width="8.5" style="132" bestFit="1" customWidth="1"/>
    <col min="771" max="771" width="6" style="132" bestFit="1" customWidth="1"/>
    <col min="772" max="772" width="8.83203125" style="132" customWidth="1"/>
    <col min="773" max="773" width="8.5" style="132" bestFit="1" customWidth="1"/>
    <col min="774" max="774" width="7.1640625" style="132" bestFit="1" customWidth="1"/>
    <col min="775" max="775" width="4.5" style="132" bestFit="1" customWidth="1"/>
    <col min="776" max="776" width="5.5" style="132" bestFit="1" customWidth="1"/>
    <col min="777" max="779" width="6.1640625" style="132" bestFit="1" customWidth="1"/>
    <col min="780" max="780" width="7.1640625" style="132" bestFit="1" customWidth="1"/>
    <col min="781" max="790" width="8.83203125" style="132" customWidth="1"/>
    <col min="791" max="791" width="10" style="132" bestFit="1" customWidth="1"/>
    <col min="792" max="1015" width="8.83203125" style="132" customWidth="1"/>
    <col min="1016" max="1016" width="7.83203125" style="132" customWidth="1"/>
    <col min="1017" max="1017" width="7.5" style="132" customWidth="1"/>
    <col min="1018" max="1018" width="9" style="132" customWidth="1"/>
    <col min="1019" max="1019" width="8.33203125" style="132" customWidth="1"/>
    <col min="1020" max="1022" width="8.5" style="132" bestFit="1" customWidth="1"/>
    <col min="1023" max="1023" width="10" style="132" bestFit="1" customWidth="1"/>
    <col min="1024" max="1024" width="8.1640625" style="132" bestFit="1" customWidth="1"/>
    <col min="1025" max="1026" width="8.5" style="132" bestFit="1" customWidth="1"/>
    <col min="1027" max="1027" width="6" style="132" bestFit="1" customWidth="1"/>
    <col min="1028" max="1028" width="8.83203125" style="132" customWidth="1"/>
    <col min="1029" max="1029" width="8.5" style="132" bestFit="1" customWidth="1"/>
    <col min="1030" max="1030" width="7.1640625" style="132" bestFit="1" customWidth="1"/>
    <col min="1031" max="1031" width="4.5" style="132" bestFit="1" customWidth="1"/>
    <col min="1032" max="1032" width="5.5" style="132" bestFit="1" customWidth="1"/>
    <col min="1033" max="1035" width="6.1640625" style="132" bestFit="1" customWidth="1"/>
    <col min="1036" max="1036" width="7.1640625" style="132" bestFit="1" customWidth="1"/>
    <col min="1037" max="1046" width="8.83203125" style="132" customWidth="1"/>
    <col min="1047" max="1047" width="10" style="132" bestFit="1" customWidth="1"/>
    <col min="1048" max="1271" width="8.83203125" style="132" customWidth="1"/>
    <col min="1272" max="1272" width="7.83203125" style="132" customWidth="1"/>
    <col min="1273" max="1273" width="7.5" style="132" customWidth="1"/>
    <col min="1274" max="1274" width="9" style="132" customWidth="1"/>
    <col min="1275" max="1275" width="8.33203125" style="132" customWidth="1"/>
    <col min="1276" max="1278" width="8.5" style="132" bestFit="1" customWidth="1"/>
    <col min="1279" max="1279" width="10" style="132" bestFit="1" customWidth="1"/>
    <col min="1280" max="1280" width="8.1640625" style="132" bestFit="1" customWidth="1"/>
    <col min="1281" max="1282" width="8.5" style="132" bestFit="1" customWidth="1"/>
    <col min="1283" max="1283" width="6" style="132" bestFit="1" customWidth="1"/>
    <col min="1284" max="1284" width="8.83203125" style="132" customWidth="1"/>
    <col min="1285" max="1285" width="8.5" style="132" bestFit="1" customWidth="1"/>
    <col min="1286" max="1286" width="7.1640625" style="132" bestFit="1" customWidth="1"/>
    <col min="1287" max="1287" width="4.5" style="132" bestFit="1" customWidth="1"/>
    <col min="1288" max="1288" width="5.5" style="132" bestFit="1" customWidth="1"/>
    <col min="1289" max="1291" width="6.1640625" style="132" bestFit="1" customWidth="1"/>
    <col min="1292" max="1292" width="7.1640625" style="132" bestFit="1" customWidth="1"/>
    <col min="1293" max="1302" width="8.83203125" style="132" customWidth="1"/>
    <col min="1303" max="1303" width="10" style="132" bestFit="1" customWidth="1"/>
    <col min="1304" max="1527" width="8.83203125" style="132" customWidth="1"/>
    <col min="1528" max="1528" width="7.83203125" style="132" customWidth="1"/>
    <col min="1529" max="1529" width="7.5" style="132" customWidth="1"/>
    <col min="1530" max="1530" width="9" style="132" customWidth="1"/>
    <col min="1531" max="1531" width="8.33203125" style="132" customWidth="1"/>
    <col min="1532" max="1534" width="8.5" style="132" bestFit="1" customWidth="1"/>
    <col min="1535" max="1535" width="10" style="132" bestFit="1" customWidth="1"/>
    <col min="1536" max="1536" width="8.1640625" style="132" bestFit="1" customWidth="1"/>
    <col min="1537" max="1538" width="8.5" style="132" bestFit="1" customWidth="1"/>
    <col min="1539" max="1539" width="6" style="132" bestFit="1" customWidth="1"/>
    <col min="1540" max="1540" width="8.83203125" style="132" customWidth="1"/>
    <col min="1541" max="1541" width="8.5" style="132" bestFit="1" customWidth="1"/>
    <col min="1542" max="1542" width="7.1640625" style="132" bestFit="1" customWidth="1"/>
    <col min="1543" max="1543" width="4.5" style="132" bestFit="1" customWidth="1"/>
    <col min="1544" max="1544" width="5.5" style="132" bestFit="1" customWidth="1"/>
    <col min="1545" max="1547" width="6.1640625" style="132" bestFit="1" customWidth="1"/>
    <col min="1548" max="1548" width="7.1640625" style="132" bestFit="1" customWidth="1"/>
    <col min="1549" max="1558" width="8.83203125" style="132" customWidth="1"/>
    <col min="1559" max="1559" width="10" style="132" bestFit="1" customWidth="1"/>
    <col min="1560" max="1783" width="8.83203125" style="132" customWidth="1"/>
    <col min="1784" max="1784" width="7.83203125" style="132" customWidth="1"/>
    <col min="1785" max="1785" width="7.5" style="132" customWidth="1"/>
    <col min="1786" max="1786" width="9" style="132" customWidth="1"/>
    <col min="1787" max="1787" width="8.33203125" style="132" customWidth="1"/>
    <col min="1788" max="1790" width="8.5" style="132" bestFit="1" customWidth="1"/>
    <col min="1791" max="1791" width="10" style="132" bestFit="1" customWidth="1"/>
    <col min="1792" max="1792" width="8.1640625" style="132" bestFit="1" customWidth="1"/>
    <col min="1793" max="1794" width="8.5" style="132" bestFit="1" customWidth="1"/>
    <col min="1795" max="1795" width="6" style="132" bestFit="1" customWidth="1"/>
    <col min="1796" max="1796" width="8.83203125" style="132" customWidth="1"/>
    <col min="1797" max="1797" width="8.5" style="132" bestFit="1" customWidth="1"/>
    <col min="1798" max="1798" width="7.1640625" style="132" bestFit="1" customWidth="1"/>
    <col min="1799" max="1799" width="4.5" style="132" bestFit="1" customWidth="1"/>
    <col min="1800" max="1800" width="5.5" style="132" bestFit="1" customWidth="1"/>
    <col min="1801" max="1803" width="6.1640625" style="132" bestFit="1" customWidth="1"/>
    <col min="1804" max="1804" width="7.1640625" style="132" bestFit="1" customWidth="1"/>
    <col min="1805" max="1814" width="8.83203125" style="132" customWidth="1"/>
    <col min="1815" max="1815" width="10" style="132" bestFit="1" customWidth="1"/>
    <col min="1816" max="2039" width="8.83203125" style="132" customWidth="1"/>
    <col min="2040" max="2040" width="7.83203125" style="132" customWidth="1"/>
    <col min="2041" max="2041" width="7.5" style="132" customWidth="1"/>
    <col min="2042" max="2042" width="9" style="132" customWidth="1"/>
    <col min="2043" max="2043" width="8.33203125" style="132" customWidth="1"/>
    <col min="2044" max="2046" width="8.5" style="132" bestFit="1" customWidth="1"/>
    <col min="2047" max="2047" width="10" style="132" bestFit="1" customWidth="1"/>
    <col min="2048" max="2048" width="8.1640625" style="132" bestFit="1" customWidth="1"/>
    <col min="2049" max="2050" width="8.5" style="132" bestFit="1" customWidth="1"/>
    <col min="2051" max="2051" width="6" style="132" bestFit="1" customWidth="1"/>
    <col min="2052" max="2052" width="8.83203125" style="132" customWidth="1"/>
    <col min="2053" max="2053" width="8.5" style="132" bestFit="1" customWidth="1"/>
    <col min="2054" max="2054" width="7.1640625" style="132" bestFit="1" customWidth="1"/>
    <col min="2055" max="2055" width="4.5" style="132" bestFit="1" customWidth="1"/>
    <col min="2056" max="2056" width="5.5" style="132" bestFit="1" customWidth="1"/>
    <col min="2057" max="2059" width="6.1640625" style="132" bestFit="1" customWidth="1"/>
    <col min="2060" max="2060" width="7.1640625" style="132" bestFit="1" customWidth="1"/>
    <col min="2061" max="2070" width="8.83203125" style="132" customWidth="1"/>
    <col min="2071" max="2071" width="10" style="132" bestFit="1" customWidth="1"/>
    <col min="2072" max="2295" width="8.83203125" style="132" customWidth="1"/>
    <col min="2296" max="2296" width="7.83203125" style="132" customWidth="1"/>
    <col min="2297" max="2297" width="7.5" style="132" customWidth="1"/>
    <col min="2298" max="2298" width="9" style="132" customWidth="1"/>
    <col min="2299" max="2299" width="8.33203125" style="132" customWidth="1"/>
    <col min="2300" max="2302" width="8.5" style="132" bestFit="1" customWidth="1"/>
    <col min="2303" max="2303" width="10" style="132" bestFit="1" customWidth="1"/>
    <col min="2304" max="2304" width="8.1640625" style="132" bestFit="1" customWidth="1"/>
    <col min="2305" max="2306" width="8.5" style="132" bestFit="1" customWidth="1"/>
    <col min="2307" max="2307" width="6" style="132" bestFit="1" customWidth="1"/>
    <col min="2308" max="2308" width="8.83203125" style="132" customWidth="1"/>
    <col min="2309" max="2309" width="8.5" style="132" bestFit="1" customWidth="1"/>
    <col min="2310" max="2310" width="7.1640625" style="132" bestFit="1" customWidth="1"/>
    <col min="2311" max="2311" width="4.5" style="132" bestFit="1" customWidth="1"/>
    <col min="2312" max="2312" width="5.5" style="132" bestFit="1" customWidth="1"/>
    <col min="2313" max="2315" width="6.1640625" style="132" bestFit="1" customWidth="1"/>
    <col min="2316" max="2316" width="7.1640625" style="132" bestFit="1" customWidth="1"/>
    <col min="2317" max="2326" width="8.83203125" style="132" customWidth="1"/>
    <col min="2327" max="2327" width="10" style="132" bestFit="1" customWidth="1"/>
    <col min="2328" max="2551" width="8.83203125" style="132" customWidth="1"/>
    <col min="2552" max="2552" width="7.83203125" style="132" customWidth="1"/>
    <col min="2553" max="2553" width="7.5" style="132" customWidth="1"/>
    <col min="2554" max="2554" width="9" style="132" customWidth="1"/>
    <col min="2555" max="2555" width="8.33203125" style="132" customWidth="1"/>
    <col min="2556" max="2558" width="8.5" style="132" bestFit="1" customWidth="1"/>
    <col min="2559" max="2559" width="10" style="132" bestFit="1" customWidth="1"/>
    <col min="2560" max="2560" width="8.1640625" style="132" bestFit="1" customWidth="1"/>
    <col min="2561" max="2562" width="8.5" style="132" bestFit="1" customWidth="1"/>
    <col min="2563" max="2563" width="6" style="132" bestFit="1" customWidth="1"/>
    <col min="2564" max="2564" width="8.83203125" style="132" customWidth="1"/>
    <col min="2565" max="2565" width="8.5" style="132" bestFit="1" customWidth="1"/>
    <col min="2566" max="2566" width="7.1640625" style="132" bestFit="1" customWidth="1"/>
    <col min="2567" max="2567" width="4.5" style="132" bestFit="1" customWidth="1"/>
    <col min="2568" max="2568" width="5.5" style="132" bestFit="1" customWidth="1"/>
    <col min="2569" max="2571" width="6.1640625" style="132" bestFit="1" customWidth="1"/>
    <col min="2572" max="2572" width="7.1640625" style="132" bestFit="1" customWidth="1"/>
    <col min="2573" max="2582" width="8.83203125" style="132" customWidth="1"/>
    <col min="2583" max="2583" width="10" style="132" bestFit="1" customWidth="1"/>
    <col min="2584" max="2807" width="8.83203125" style="132" customWidth="1"/>
    <col min="2808" max="2808" width="7.83203125" style="132" customWidth="1"/>
    <col min="2809" max="2809" width="7.5" style="132" customWidth="1"/>
    <col min="2810" max="2810" width="9" style="132" customWidth="1"/>
    <col min="2811" max="2811" width="8.33203125" style="132" customWidth="1"/>
    <col min="2812" max="2814" width="8.5" style="132" bestFit="1" customWidth="1"/>
    <col min="2815" max="2815" width="10" style="132" bestFit="1" customWidth="1"/>
    <col min="2816" max="2816" width="8.1640625" style="132" bestFit="1" customWidth="1"/>
    <col min="2817" max="2818" width="8.5" style="132" bestFit="1" customWidth="1"/>
    <col min="2819" max="2819" width="6" style="132" bestFit="1" customWidth="1"/>
    <col min="2820" max="2820" width="8.83203125" style="132" customWidth="1"/>
    <col min="2821" max="2821" width="8.5" style="132" bestFit="1" customWidth="1"/>
    <col min="2822" max="2822" width="7.1640625" style="132" bestFit="1" customWidth="1"/>
    <col min="2823" max="2823" width="4.5" style="132" bestFit="1" customWidth="1"/>
    <col min="2824" max="2824" width="5.5" style="132" bestFit="1" customWidth="1"/>
    <col min="2825" max="2827" width="6.1640625" style="132" bestFit="1" customWidth="1"/>
    <col min="2828" max="2828" width="7.1640625" style="132" bestFit="1" customWidth="1"/>
    <col min="2829" max="2838" width="8.83203125" style="132" customWidth="1"/>
    <col min="2839" max="2839" width="10" style="132" bestFit="1" customWidth="1"/>
    <col min="2840" max="3063" width="8.83203125" style="132" customWidth="1"/>
    <col min="3064" max="3064" width="7.83203125" style="132" customWidth="1"/>
    <col min="3065" max="3065" width="7.5" style="132" customWidth="1"/>
    <col min="3066" max="3066" width="9" style="132" customWidth="1"/>
    <col min="3067" max="3067" width="8.33203125" style="132" customWidth="1"/>
    <col min="3068" max="3070" width="8.5" style="132" bestFit="1" customWidth="1"/>
    <col min="3071" max="3071" width="10" style="132" bestFit="1" customWidth="1"/>
    <col min="3072" max="3072" width="8.1640625" style="132" bestFit="1" customWidth="1"/>
    <col min="3073" max="3074" width="8.5" style="132" bestFit="1" customWidth="1"/>
    <col min="3075" max="3075" width="6" style="132" bestFit="1" customWidth="1"/>
    <col min="3076" max="3076" width="8.83203125" style="132" customWidth="1"/>
    <col min="3077" max="3077" width="8.5" style="132" bestFit="1" customWidth="1"/>
    <col min="3078" max="3078" width="7.1640625" style="132" bestFit="1" customWidth="1"/>
    <col min="3079" max="3079" width="4.5" style="132" bestFit="1" customWidth="1"/>
    <col min="3080" max="3080" width="5.5" style="132" bestFit="1" customWidth="1"/>
    <col min="3081" max="3083" width="6.1640625" style="132" bestFit="1" customWidth="1"/>
    <col min="3084" max="3084" width="7.1640625" style="132" bestFit="1" customWidth="1"/>
    <col min="3085" max="3094" width="8.83203125" style="132" customWidth="1"/>
    <col min="3095" max="3095" width="10" style="132" bestFit="1" customWidth="1"/>
    <col min="3096" max="3319" width="8.83203125" style="132" customWidth="1"/>
    <col min="3320" max="3320" width="7.83203125" style="132" customWidth="1"/>
    <col min="3321" max="3321" width="7.5" style="132" customWidth="1"/>
    <col min="3322" max="3322" width="9" style="132" customWidth="1"/>
    <col min="3323" max="3323" width="8.33203125" style="132" customWidth="1"/>
    <col min="3324" max="3326" width="8.5" style="132" bestFit="1" customWidth="1"/>
    <col min="3327" max="3327" width="10" style="132" bestFit="1" customWidth="1"/>
    <col min="3328" max="3328" width="8.1640625" style="132" bestFit="1" customWidth="1"/>
    <col min="3329" max="3330" width="8.5" style="132" bestFit="1" customWidth="1"/>
    <col min="3331" max="3331" width="6" style="132" bestFit="1" customWidth="1"/>
    <col min="3332" max="3332" width="8.83203125" style="132" customWidth="1"/>
    <col min="3333" max="3333" width="8.5" style="132" bestFit="1" customWidth="1"/>
    <col min="3334" max="3334" width="7.1640625" style="132" bestFit="1" customWidth="1"/>
    <col min="3335" max="3335" width="4.5" style="132" bestFit="1" customWidth="1"/>
    <col min="3336" max="3336" width="5.5" style="132" bestFit="1" customWidth="1"/>
    <col min="3337" max="3339" width="6.1640625" style="132" bestFit="1" customWidth="1"/>
    <col min="3340" max="3340" width="7.1640625" style="132" bestFit="1" customWidth="1"/>
    <col min="3341" max="3350" width="8.83203125" style="132" customWidth="1"/>
    <col min="3351" max="3351" width="10" style="132" bestFit="1" customWidth="1"/>
    <col min="3352" max="3575" width="8.83203125" style="132" customWidth="1"/>
    <col min="3576" max="3576" width="7.83203125" style="132" customWidth="1"/>
    <col min="3577" max="3577" width="7.5" style="132" customWidth="1"/>
    <col min="3578" max="3578" width="9" style="132" customWidth="1"/>
    <col min="3579" max="3579" width="8.33203125" style="132" customWidth="1"/>
    <col min="3580" max="3582" width="8.5" style="132" bestFit="1" customWidth="1"/>
    <col min="3583" max="3583" width="10" style="132" bestFit="1" customWidth="1"/>
    <col min="3584" max="3584" width="8.1640625" style="132" bestFit="1" customWidth="1"/>
    <col min="3585" max="3586" width="8.5" style="132" bestFit="1" customWidth="1"/>
    <col min="3587" max="3587" width="6" style="132" bestFit="1" customWidth="1"/>
    <col min="3588" max="3588" width="8.83203125" style="132" customWidth="1"/>
    <col min="3589" max="3589" width="8.5" style="132" bestFit="1" customWidth="1"/>
    <col min="3590" max="3590" width="7.1640625" style="132" bestFit="1" customWidth="1"/>
    <col min="3591" max="3591" width="4.5" style="132" bestFit="1" customWidth="1"/>
    <col min="3592" max="3592" width="5.5" style="132" bestFit="1" customWidth="1"/>
    <col min="3593" max="3595" width="6.1640625" style="132" bestFit="1" customWidth="1"/>
    <col min="3596" max="3596" width="7.1640625" style="132" bestFit="1" customWidth="1"/>
    <col min="3597" max="3606" width="8.83203125" style="132" customWidth="1"/>
    <col min="3607" max="3607" width="10" style="132" bestFit="1" customWidth="1"/>
    <col min="3608" max="3831" width="8.83203125" style="132" customWidth="1"/>
    <col min="3832" max="3832" width="7.83203125" style="132" customWidth="1"/>
    <col min="3833" max="3833" width="7.5" style="132" customWidth="1"/>
    <col min="3834" max="3834" width="9" style="132" customWidth="1"/>
    <col min="3835" max="3835" width="8.33203125" style="132" customWidth="1"/>
    <col min="3836" max="3838" width="8.5" style="132" bestFit="1" customWidth="1"/>
    <col min="3839" max="3839" width="10" style="132" bestFit="1" customWidth="1"/>
    <col min="3840" max="3840" width="8.1640625" style="132" bestFit="1" customWidth="1"/>
    <col min="3841" max="3842" width="8.5" style="132" bestFit="1" customWidth="1"/>
    <col min="3843" max="3843" width="6" style="132" bestFit="1" customWidth="1"/>
    <col min="3844" max="3844" width="8.83203125" style="132" customWidth="1"/>
    <col min="3845" max="3845" width="8.5" style="132" bestFit="1" customWidth="1"/>
    <col min="3846" max="3846" width="7.1640625" style="132" bestFit="1" customWidth="1"/>
    <col min="3847" max="3847" width="4.5" style="132" bestFit="1" customWidth="1"/>
    <col min="3848" max="3848" width="5.5" style="132" bestFit="1" customWidth="1"/>
    <col min="3849" max="3851" width="6.1640625" style="132" bestFit="1" customWidth="1"/>
    <col min="3852" max="3852" width="7.1640625" style="132" bestFit="1" customWidth="1"/>
    <col min="3853" max="3862" width="8.83203125" style="132" customWidth="1"/>
    <col min="3863" max="3863" width="10" style="132" bestFit="1" customWidth="1"/>
    <col min="3864" max="4087" width="8.83203125" style="132" customWidth="1"/>
    <col min="4088" max="4088" width="7.83203125" style="132" customWidth="1"/>
    <col min="4089" max="4089" width="7.5" style="132" customWidth="1"/>
    <col min="4090" max="4090" width="9" style="132" customWidth="1"/>
    <col min="4091" max="4091" width="8.33203125" style="132" customWidth="1"/>
    <col min="4092" max="4094" width="8.5" style="132" bestFit="1" customWidth="1"/>
    <col min="4095" max="4095" width="10" style="132" bestFit="1" customWidth="1"/>
    <col min="4096" max="4096" width="8.1640625" style="132" bestFit="1" customWidth="1"/>
    <col min="4097" max="4098" width="8.5" style="132" bestFit="1" customWidth="1"/>
    <col min="4099" max="4099" width="6" style="132" bestFit="1" customWidth="1"/>
    <col min="4100" max="4100" width="8.83203125" style="132" customWidth="1"/>
    <col min="4101" max="4101" width="8.5" style="132" bestFit="1" customWidth="1"/>
    <col min="4102" max="4102" width="7.1640625" style="132" bestFit="1" customWidth="1"/>
    <col min="4103" max="4103" width="4.5" style="132" bestFit="1" customWidth="1"/>
    <col min="4104" max="4104" width="5.5" style="132" bestFit="1" customWidth="1"/>
    <col min="4105" max="4107" width="6.1640625" style="132" bestFit="1" customWidth="1"/>
    <col min="4108" max="4108" width="7.1640625" style="132" bestFit="1" customWidth="1"/>
    <col min="4109" max="4118" width="8.83203125" style="132" customWidth="1"/>
    <col min="4119" max="4119" width="10" style="132" bestFit="1" customWidth="1"/>
    <col min="4120" max="4343" width="8.83203125" style="132" customWidth="1"/>
    <col min="4344" max="4344" width="7.83203125" style="132" customWidth="1"/>
    <col min="4345" max="4345" width="7.5" style="132" customWidth="1"/>
    <col min="4346" max="4346" width="9" style="132" customWidth="1"/>
    <col min="4347" max="4347" width="8.33203125" style="132" customWidth="1"/>
    <col min="4348" max="4350" width="8.5" style="132" bestFit="1" customWidth="1"/>
    <col min="4351" max="4351" width="10" style="132" bestFit="1" customWidth="1"/>
    <col min="4352" max="4352" width="8.1640625" style="132" bestFit="1" customWidth="1"/>
    <col min="4353" max="4354" width="8.5" style="132" bestFit="1" customWidth="1"/>
    <col min="4355" max="4355" width="6" style="132" bestFit="1" customWidth="1"/>
    <col min="4356" max="4356" width="8.83203125" style="132" customWidth="1"/>
    <col min="4357" max="4357" width="8.5" style="132" bestFit="1" customWidth="1"/>
    <col min="4358" max="4358" width="7.1640625" style="132" bestFit="1" customWidth="1"/>
    <col min="4359" max="4359" width="4.5" style="132" bestFit="1" customWidth="1"/>
    <col min="4360" max="4360" width="5.5" style="132" bestFit="1" customWidth="1"/>
    <col min="4361" max="4363" width="6.1640625" style="132" bestFit="1" customWidth="1"/>
    <col min="4364" max="4364" width="7.1640625" style="132" bestFit="1" customWidth="1"/>
    <col min="4365" max="4374" width="8.83203125" style="132" customWidth="1"/>
    <col min="4375" max="4375" width="10" style="132" bestFit="1" customWidth="1"/>
    <col min="4376" max="4599" width="8.83203125" style="132" customWidth="1"/>
    <col min="4600" max="4600" width="7.83203125" style="132" customWidth="1"/>
    <col min="4601" max="4601" width="7.5" style="132" customWidth="1"/>
    <col min="4602" max="4602" width="9" style="132" customWidth="1"/>
    <col min="4603" max="4603" width="8.33203125" style="132" customWidth="1"/>
    <col min="4604" max="4606" width="8.5" style="132" bestFit="1" customWidth="1"/>
    <col min="4607" max="4607" width="10" style="132" bestFit="1" customWidth="1"/>
    <col min="4608" max="4608" width="8.1640625" style="132" bestFit="1" customWidth="1"/>
    <col min="4609" max="4610" width="8.5" style="132" bestFit="1" customWidth="1"/>
    <col min="4611" max="4611" width="6" style="132" bestFit="1" customWidth="1"/>
    <col min="4612" max="4612" width="8.83203125" style="132" customWidth="1"/>
    <col min="4613" max="4613" width="8.5" style="132" bestFit="1" customWidth="1"/>
    <col min="4614" max="4614" width="7.1640625" style="132" bestFit="1" customWidth="1"/>
    <col min="4615" max="4615" width="4.5" style="132" bestFit="1" customWidth="1"/>
    <col min="4616" max="4616" width="5.5" style="132" bestFit="1" customWidth="1"/>
    <col min="4617" max="4619" width="6.1640625" style="132" bestFit="1" customWidth="1"/>
    <col min="4620" max="4620" width="7.1640625" style="132" bestFit="1" customWidth="1"/>
    <col min="4621" max="4630" width="8.83203125" style="132" customWidth="1"/>
    <col min="4631" max="4631" width="10" style="132" bestFit="1" customWidth="1"/>
    <col min="4632" max="4855" width="8.83203125" style="132" customWidth="1"/>
    <col min="4856" max="4856" width="7.83203125" style="132" customWidth="1"/>
    <col min="4857" max="4857" width="7.5" style="132" customWidth="1"/>
    <col min="4858" max="4858" width="9" style="132" customWidth="1"/>
    <col min="4859" max="4859" width="8.33203125" style="132" customWidth="1"/>
    <col min="4860" max="4862" width="8.5" style="132" bestFit="1" customWidth="1"/>
    <col min="4863" max="4863" width="10" style="132" bestFit="1" customWidth="1"/>
    <col min="4864" max="4864" width="8.1640625" style="132" bestFit="1" customWidth="1"/>
    <col min="4865" max="4866" width="8.5" style="132" bestFit="1" customWidth="1"/>
    <col min="4867" max="4867" width="6" style="132" bestFit="1" customWidth="1"/>
    <col min="4868" max="4868" width="8.83203125" style="132" customWidth="1"/>
    <col min="4869" max="4869" width="8.5" style="132" bestFit="1" customWidth="1"/>
    <col min="4870" max="4870" width="7.1640625" style="132" bestFit="1" customWidth="1"/>
    <col min="4871" max="4871" width="4.5" style="132" bestFit="1" customWidth="1"/>
    <col min="4872" max="4872" width="5.5" style="132" bestFit="1" customWidth="1"/>
    <col min="4873" max="4875" width="6.1640625" style="132" bestFit="1" customWidth="1"/>
    <col min="4876" max="4876" width="7.1640625" style="132" bestFit="1" customWidth="1"/>
    <col min="4877" max="4886" width="8.83203125" style="132" customWidth="1"/>
    <col min="4887" max="4887" width="10" style="132" bestFit="1" customWidth="1"/>
    <col min="4888" max="5111" width="8.83203125" style="132" customWidth="1"/>
    <col min="5112" max="5112" width="7.83203125" style="132" customWidth="1"/>
    <col min="5113" max="5113" width="7.5" style="132" customWidth="1"/>
    <col min="5114" max="5114" width="9" style="132" customWidth="1"/>
    <col min="5115" max="5115" width="8.33203125" style="132" customWidth="1"/>
    <col min="5116" max="5118" width="8.5" style="132" bestFit="1" customWidth="1"/>
    <col min="5119" max="5119" width="10" style="132" bestFit="1" customWidth="1"/>
    <col min="5120" max="5120" width="8.1640625" style="132" bestFit="1" customWidth="1"/>
    <col min="5121" max="5122" width="8.5" style="132" bestFit="1" customWidth="1"/>
    <col min="5123" max="5123" width="6" style="132" bestFit="1" customWidth="1"/>
    <col min="5124" max="5124" width="8.83203125" style="132" customWidth="1"/>
    <col min="5125" max="5125" width="8.5" style="132" bestFit="1" customWidth="1"/>
    <col min="5126" max="5126" width="7.1640625" style="132" bestFit="1" customWidth="1"/>
    <col min="5127" max="5127" width="4.5" style="132" bestFit="1" customWidth="1"/>
    <col min="5128" max="5128" width="5.5" style="132" bestFit="1" customWidth="1"/>
    <col min="5129" max="5131" width="6.1640625" style="132" bestFit="1" customWidth="1"/>
    <col min="5132" max="5132" width="7.1640625" style="132" bestFit="1" customWidth="1"/>
    <col min="5133" max="5142" width="8.83203125" style="132" customWidth="1"/>
    <col min="5143" max="5143" width="10" style="132" bestFit="1" customWidth="1"/>
    <col min="5144" max="5367" width="8.83203125" style="132" customWidth="1"/>
    <col min="5368" max="5368" width="7.83203125" style="132" customWidth="1"/>
    <col min="5369" max="5369" width="7.5" style="132" customWidth="1"/>
    <col min="5370" max="5370" width="9" style="132" customWidth="1"/>
    <col min="5371" max="5371" width="8.33203125" style="132" customWidth="1"/>
    <col min="5372" max="5374" width="8.5" style="132" bestFit="1" customWidth="1"/>
    <col min="5375" max="5375" width="10" style="132" bestFit="1" customWidth="1"/>
    <col min="5376" max="5376" width="8.1640625" style="132" bestFit="1" customWidth="1"/>
    <col min="5377" max="5378" width="8.5" style="132" bestFit="1" customWidth="1"/>
    <col min="5379" max="5379" width="6" style="132" bestFit="1" customWidth="1"/>
    <col min="5380" max="5380" width="8.83203125" style="132" customWidth="1"/>
    <col min="5381" max="5381" width="8.5" style="132" bestFit="1" customWidth="1"/>
    <col min="5382" max="5382" width="7.1640625" style="132" bestFit="1" customWidth="1"/>
    <col min="5383" max="5383" width="4.5" style="132" bestFit="1" customWidth="1"/>
    <col min="5384" max="5384" width="5.5" style="132" bestFit="1" customWidth="1"/>
    <col min="5385" max="5387" width="6.1640625" style="132" bestFit="1" customWidth="1"/>
    <col min="5388" max="5388" width="7.1640625" style="132" bestFit="1" customWidth="1"/>
    <col min="5389" max="5398" width="8.83203125" style="132" customWidth="1"/>
    <col min="5399" max="5399" width="10" style="132" bestFit="1" customWidth="1"/>
    <col min="5400" max="5623" width="8.83203125" style="132" customWidth="1"/>
    <col min="5624" max="5624" width="7.83203125" style="132" customWidth="1"/>
    <col min="5625" max="5625" width="7.5" style="132" customWidth="1"/>
    <col min="5626" max="5626" width="9" style="132" customWidth="1"/>
    <col min="5627" max="5627" width="8.33203125" style="132" customWidth="1"/>
    <col min="5628" max="5630" width="8.5" style="132" bestFit="1" customWidth="1"/>
    <col min="5631" max="5631" width="10" style="132" bestFit="1" customWidth="1"/>
    <col min="5632" max="5632" width="8.1640625" style="132" bestFit="1" customWidth="1"/>
    <col min="5633" max="5634" width="8.5" style="132" bestFit="1" customWidth="1"/>
    <col min="5635" max="5635" width="6" style="132" bestFit="1" customWidth="1"/>
    <col min="5636" max="5636" width="8.83203125" style="132" customWidth="1"/>
    <col min="5637" max="5637" width="8.5" style="132" bestFit="1" customWidth="1"/>
    <col min="5638" max="5638" width="7.1640625" style="132" bestFit="1" customWidth="1"/>
    <col min="5639" max="5639" width="4.5" style="132" bestFit="1" customWidth="1"/>
    <col min="5640" max="5640" width="5.5" style="132" bestFit="1" customWidth="1"/>
    <col min="5641" max="5643" width="6.1640625" style="132" bestFit="1" customWidth="1"/>
    <col min="5644" max="5644" width="7.1640625" style="132" bestFit="1" customWidth="1"/>
    <col min="5645" max="5654" width="8.83203125" style="132" customWidth="1"/>
    <col min="5655" max="5655" width="10" style="132" bestFit="1" customWidth="1"/>
    <col min="5656" max="5879" width="8.83203125" style="132" customWidth="1"/>
    <col min="5880" max="5880" width="7.83203125" style="132" customWidth="1"/>
    <col min="5881" max="5881" width="7.5" style="132" customWidth="1"/>
    <col min="5882" max="5882" width="9" style="132" customWidth="1"/>
    <col min="5883" max="5883" width="8.33203125" style="132" customWidth="1"/>
    <col min="5884" max="5886" width="8.5" style="132" bestFit="1" customWidth="1"/>
    <col min="5887" max="5887" width="10" style="132" bestFit="1" customWidth="1"/>
    <col min="5888" max="5888" width="8.1640625" style="132" bestFit="1" customWidth="1"/>
    <col min="5889" max="5890" width="8.5" style="132" bestFit="1" customWidth="1"/>
    <col min="5891" max="5891" width="6" style="132" bestFit="1" customWidth="1"/>
    <col min="5892" max="5892" width="8.83203125" style="132" customWidth="1"/>
    <col min="5893" max="5893" width="8.5" style="132" bestFit="1" customWidth="1"/>
    <col min="5894" max="5894" width="7.1640625" style="132" bestFit="1" customWidth="1"/>
    <col min="5895" max="5895" width="4.5" style="132" bestFit="1" customWidth="1"/>
    <col min="5896" max="5896" width="5.5" style="132" bestFit="1" customWidth="1"/>
    <col min="5897" max="5899" width="6.1640625" style="132" bestFit="1" customWidth="1"/>
    <col min="5900" max="5900" width="7.1640625" style="132" bestFit="1" customWidth="1"/>
    <col min="5901" max="5910" width="8.83203125" style="132" customWidth="1"/>
    <col min="5911" max="5911" width="10" style="132" bestFit="1" customWidth="1"/>
    <col min="5912" max="6135" width="8.83203125" style="132" customWidth="1"/>
    <col min="6136" max="6136" width="7.83203125" style="132" customWidth="1"/>
    <col min="6137" max="6137" width="7.5" style="132" customWidth="1"/>
    <col min="6138" max="6138" width="9" style="132" customWidth="1"/>
    <col min="6139" max="6139" width="8.33203125" style="132" customWidth="1"/>
    <col min="6140" max="6142" width="8.5" style="132" bestFit="1" customWidth="1"/>
    <col min="6143" max="6143" width="10" style="132" bestFit="1" customWidth="1"/>
    <col min="6144" max="6144" width="8.1640625" style="132" bestFit="1" customWidth="1"/>
    <col min="6145" max="6146" width="8.5" style="132" bestFit="1" customWidth="1"/>
    <col min="6147" max="6147" width="6" style="132" bestFit="1" customWidth="1"/>
    <col min="6148" max="6148" width="8.83203125" style="132" customWidth="1"/>
    <col min="6149" max="6149" width="8.5" style="132" bestFit="1" customWidth="1"/>
    <col min="6150" max="6150" width="7.1640625" style="132" bestFit="1" customWidth="1"/>
    <col min="6151" max="6151" width="4.5" style="132" bestFit="1" customWidth="1"/>
    <col min="6152" max="6152" width="5.5" style="132" bestFit="1" customWidth="1"/>
    <col min="6153" max="6155" width="6.1640625" style="132" bestFit="1" customWidth="1"/>
    <col min="6156" max="6156" width="7.1640625" style="132" bestFit="1" customWidth="1"/>
    <col min="6157" max="6166" width="8.83203125" style="132" customWidth="1"/>
    <col min="6167" max="6167" width="10" style="132" bestFit="1" customWidth="1"/>
    <col min="6168" max="6391" width="8.83203125" style="132" customWidth="1"/>
    <col min="6392" max="6392" width="7.83203125" style="132" customWidth="1"/>
    <col min="6393" max="6393" width="7.5" style="132" customWidth="1"/>
    <col min="6394" max="6394" width="9" style="132" customWidth="1"/>
    <col min="6395" max="6395" width="8.33203125" style="132" customWidth="1"/>
    <col min="6396" max="6398" width="8.5" style="132" bestFit="1" customWidth="1"/>
    <col min="6399" max="6399" width="10" style="132" bestFit="1" customWidth="1"/>
    <col min="6400" max="6400" width="8.1640625" style="132" bestFit="1" customWidth="1"/>
    <col min="6401" max="6402" width="8.5" style="132" bestFit="1" customWidth="1"/>
    <col min="6403" max="6403" width="6" style="132" bestFit="1" customWidth="1"/>
    <col min="6404" max="6404" width="8.83203125" style="132" customWidth="1"/>
    <col min="6405" max="6405" width="8.5" style="132" bestFit="1" customWidth="1"/>
    <col min="6406" max="6406" width="7.1640625" style="132" bestFit="1" customWidth="1"/>
    <col min="6407" max="6407" width="4.5" style="132" bestFit="1" customWidth="1"/>
    <col min="6408" max="6408" width="5.5" style="132" bestFit="1" customWidth="1"/>
    <col min="6409" max="6411" width="6.1640625" style="132" bestFit="1" customWidth="1"/>
    <col min="6412" max="6412" width="7.1640625" style="132" bestFit="1" customWidth="1"/>
    <col min="6413" max="6422" width="8.83203125" style="132" customWidth="1"/>
    <col min="6423" max="6423" width="10" style="132" bestFit="1" customWidth="1"/>
    <col min="6424" max="6647" width="8.83203125" style="132" customWidth="1"/>
    <col min="6648" max="6648" width="7.83203125" style="132" customWidth="1"/>
    <col min="6649" max="6649" width="7.5" style="132" customWidth="1"/>
    <col min="6650" max="6650" width="9" style="132" customWidth="1"/>
    <col min="6651" max="6651" width="8.33203125" style="132" customWidth="1"/>
    <col min="6652" max="6654" width="8.5" style="132" bestFit="1" customWidth="1"/>
    <col min="6655" max="6655" width="10" style="132" bestFit="1" customWidth="1"/>
    <col min="6656" max="6656" width="8.1640625" style="132" bestFit="1" customWidth="1"/>
    <col min="6657" max="6658" width="8.5" style="132" bestFit="1" customWidth="1"/>
    <col min="6659" max="6659" width="6" style="132" bestFit="1" customWidth="1"/>
    <col min="6660" max="6660" width="8.83203125" style="132" customWidth="1"/>
    <col min="6661" max="6661" width="8.5" style="132" bestFit="1" customWidth="1"/>
    <col min="6662" max="6662" width="7.1640625" style="132" bestFit="1" customWidth="1"/>
    <col min="6663" max="6663" width="4.5" style="132" bestFit="1" customWidth="1"/>
    <col min="6664" max="6664" width="5.5" style="132" bestFit="1" customWidth="1"/>
    <col min="6665" max="6667" width="6.1640625" style="132" bestFit="1" customWidth="1"/>
    <col min="6668" max="6668" width="7.1640625" style="132" bestFit="1" customWidth="1"/>
    <col min="6669" max="6678" width="8.83203125" style="132" customWidth="1"/>
    <col min="6679" max="6679" width="10" style="132" bestFit="1" customWidth="1"/>
    <col min="6680" max="6903" width="8.83203125" style="132" customWidth="1"/>
    <col min="6904" max="6904" width="7.83203125" style="132" customWidth="1"/>
    <col min="6905" max="6905" width="7.5" style="132" customWidth="1"/>
    <col min="6906" max="6906" width="9" style="132" customWidth="1"/>
    <col min="6907" max="6907" width="8.33203125" style="132" customWidth="1"/>
    <col min="6908" max="6910" width="8.5" style="132" bestFit="1" customWidth="1"/>
    <col min="6911" max="6911" width="10" style="132" bestFit="1" customWidth="1"/>
    <col min="6912" max="6912" width="8.1640625" style="132" bestFit="1" customWidth="1"/>
    <col min="6913" max="6914" width="8.5" style="132" bestFit="1" customWidth="1"/>
    <col min="6915" max="6915" width="6" style="132" bestFit="1" customWidth="1"/>
    <col min="6916" max="6916" width="8.83203125" style="132" customWidth="1"/>
    <col min="6917" max="6917" width="8.5" style="132" bestFit="1" customWidth="1"/>
    <col min="6918" max="6918" width="7.1640625" style="132" bestFit="1" customWidth="1"/>
    <col min="6919" max="6919" width="4.5" style="132" bestFit="1" customWidth="1"/>
    <col min="6920" max="6920" width="5.5" style="132" bestFit="1" customWidth="1"/>
    <col min="6921" max="6923" width="6.1640625" style="132" bestFit="1" customWidth="1"/>
    <col min="6924" max="6924" width="7.1640625" style="132" bestFit="1" customWidth="1"/>
    <col min="6925" max="6934" width="8.83203125" style="132" customWidth="1"/>
    <col min="6935" max="6935" width="10" style="132" bestFit="1" customWidth="1"/>
    <col min="6936" max="7159" width="8.83203125" style="132" customWidth="1"/>
    <col min="7160" max="7160" width="7.83203125" style="132" customWidth="1"/>
    <col min="7161" max="7161" width="7.5" style="132" customWidth="1"/>
    <col min="7162" max="7162" width="9" style="132" customWidth="1"/>
    <col min="7163" max="7163" width="8.33203125" style="132" customWidth="1"/>
    <col min="7164" max="7166" width="8.5" style="132" bestFit="1" customWidth="1"/>
    <col min="7167" max="7167" width="10" style="132" bestFit="1" customWidth="1"/>
    <col min="7168" max="7168" width="8.1640625" style="132" bestFit="1" customWidth="1"/>
    <col min="7169" max="7170" width="8.5" style="132" bestFit="1" customWidth="1"/>
    <col min="7171" max="7171" width="6" style="132" bestFit="1" customWidth="1"/>
    <col min="7172" max="7172" width="8.83203125" style="132" customWidth="1"/>
    <col min="7173" max="7173" width="8.5" style="132" bestFit="1" customWidth="1"/>
    <col min="7174" max="7174" width="7.1640625" style="132" bestFit="1" customWidth="1"/>
    <col min="7175" max="7175" width="4.5" style="132" bestFit="1" customWidth="1"/>
    <col min="7176" max="7176" width="5.5" style="132" bestFit="1" customWidth="1"/>
    <col min="7177" max="7179" width="6.1640625" style="132" bestFit="1" customWidth="1"/>
    <col min="7180" max="7180" width="7.1640625" style="132" bestFit="1" customWidth="1"/>
    <col min="7181" max="7190" width="8.83203125" style="132" customWidth="1"/>
    <col min="7191" max="7191" width="10" style="132" bestFit="1" customWidth="1"/>
    <col min="7192" max="7415" width="8.83203125" style="132" customWidth="1"/>
    <col min="7416" max="7416" width="7.83203125" style="132" customWidth="1"/>
    <col min="7417" max="7417" width="7.5" style="132" customWidth="1"/>
    <col min="7418" max="7418" width="9" style="132" customWidth="1"/>
    <col min="7419" max="7419" width="8.33203125" style="132" customWidth="1"/>
    <col min="7420" max="7422" width="8.5" style="132" bestFit="1" customWidth="1"/>
    <col min="7423" max="7423" width="10" style="132" bestFit="1" customWidth="1"/>
    <col min="7424" max="7424" width="8.1640625" style="132" bestFit="1" customWidth="1"/>
    <col min="7425" max="7426" width="8.5" style="132" bestFit="1" customWidth="1"/>
    <col min="7427" max="7427" width="6" style="132" bestFit="1" customWidth="1"/>
    <col min="7428" max="7428" width="8.83203125" style="132" customWidth="1"/>
    <col min="7429" max="7429" width="8.5" style="132" bestFit="1" customWidth="1"/>
    <col min="7430" max="7430" width="7.1640625" style="132" bestFit="1" customWidth="1"/>
    <col min="7431" max="7431" width="4.5" style="132" bestFit="1" customWidth="1"/>
    <col min="7432" max="7432" width="5.5" style="132" bestFit="1" customWidth="1"/>
    <col min="7433" max="7435" width="6.1640625" style="132" bestFit="1" customWidth="1"/>
    <col min="7436" max="7436" width="7.1640625" style="132" bestFit="1" customWidth="1"/>
    <col min="7437" max="7446" width="8.83203125" style="132" customWidth="1"/>
    <col min="7447" max="7447" width="10" style="132" bestFit="1" customWidth="1"/>
    <col min="7448" max="7671" width="8.83203125" style="132" customWidth="1"/>
    <col min="7672" max="7672" width="7.83203125" style="132" customWidth="1"/>
    <col min="7673" max="7673" width="7.5" style="132" customWidth="1"/>
    <col min="7674" max="7674" width="9" style="132" customWidth="1"/>
    <col min="7675" max="7675" width="8.33203125" style="132" customWidth="1"/>
    <col min="7676" max="7678" width="8.5" style="132" bestFit="1" customWidth="1"/>
    <col min="7679" max="7679" width="10" style="132" bestFit="1" customWidth="1"/>
    <col min="7680" max="7680" width="8.1640625" style="132" bestFit="1" customWidth="1"/>
    <col min="7681" max="7682" width="8.5" style="132" bestFit="1" customWidth="1"/>
    <col min="7683" max="7683" width="6" style="132" bestFit="1" customWidth="1"/>
    <col min="7684" max="7684" width="8.83203125" style="132" customWidth="1"/>
    <col min="7685" max="7685" width="8.5" style="132" bestFit="1" customWidth="1"/>
    <col min="7686" max="7686" width="7.1640625" style="132" bestFit="1" customWidth="1"/>
    <col min="7687" max="7687" width="4.5" style="132" bestFit="1" customWidth="1"/>
    <col min="7688" max="7688" width="5.5" style="132" bestFit="1" customWidth="1"/>
    <col min="7689" max="7691" width="6.1640625" style="132" bestFit="1" customWidth="1"/>
    <col min="7692" max="7692" width="7.1640625" style="132" bestFit="1" customWidth="1"/>
    <col min="7693" max="7702" width="8.83203125" style="132" customWidth="1"/>
    <col min="7703" max="7703" width="10" style="132" bestFit="1" customWidth="1"/>
    <col min="7704" max="7927" width="8.83203125" style="132" customWidth="1"/>
    <col min="7928" max="7928" width="7.83203125" style="132" customWidth="1"/>
    <col min="7929" max="7929" width="7.5" style="132" customWidth="1"/>
    <col min="7930" max="7930" width="9" style="132" customWidth="1"/>
    <col min="7931" max="7931" width="8.33203125" style="132" customWidth="1"/>
    <col min="7932" max="7934" width="8.5" style="132" bestFit="1" customWidth="1"/>
    <col min="7935" max="7935" width="10" style="132" bestFit="1" customWidth="1"/>
    <col min="7936" max="7936" width="8.1640625" style="132" bestFit="1" customWidth="1"/>
    <col min="7937" max="7938" width="8.5" style="132" bestFit="1" customWidth="1"/>
    <col min="7939" max="7939" width="6" style="132" bestFit="1" customWidth="1"/>
    <col min="7940" max="7940" width="8.83203125" style="132" customWidth="1"/>
    <col min="7941" max="7941" width="8.5" style="132" bestFit="1" customWidth="1"/>
    <col min="7942" max="7942" width="7.1640625" style="132" bestFit="1" customWidth="1"/>
    <col min="7943" max="7943" width="4.5" style="132" bestFit="1" customWidth="1"/>
    <col min="7944" max="7944" width="5.5" style="132" bestFit="1" customWidth="1"/>
    <col min="7945" max="7947" width="6.1640625" style="132" bestFit="1" customWidth="1"/>
    <col min="7948" max="7948" width="7.1640625" style="132" bestFit="1" customWidth="1"/>
    <col min="7949" max="7958" width="8.83203125" style="132" customWidth="1"/>
    <col min="7959" max="7959" width="10" style="132" bestFit="1" customWidth="1"/>
    <col min="7960" max="8183" width="8.83203125" style="132" customWidth="1"/>
    <col min="8184" max="8184" width="7.83203125" style="132" customWidth="1"/>
    <col min="8185" max="8185" width="7.5" style="132" customWidth="1"/>
    <col min="8186" max="8186" width="9" style="132" customWidth="1"/>
    <col min="8187" max="8187" width="8.33203125" style="132" customWidth="1"/>
    <col min="8188" max="8190" width="8.5" style="132" bestFit="1" customWidth="1"/>
    <col min="8191" max="8191" width="10" style="132" bestFit="1" customWidth="1"/>
    <col min="8192" max="8192" width="8.1640625" style="132" bestFit="1" customWidth="1"/>
    <col min="8193" max="8194" width="8.5" style="132" bestFit="1" customWidth="1"/>
    <col min="8195" max="8195" width="6" style="132" bestFit="1" customWidth="1"/>
    <col min="8196" max="8196" width="8.83203125" style="132" customWidth="1"/>
    <col min="8197" max="8197" width="8.5" style="132" bestFit="1" customWidth="1"/>
    <col min="8198" max="8198" width="7.1640625" style="132" bestFit="1" customWidth="1"/>
    <col min="8199" max="8199" width="4.5" style="132" bestFit="1" customWidth="1"/>
    <col min="8200" max="8200" width="5.5" style="132" bestFit="1" customWidth="1"/>
    <col min="8201" max="8203" width="6.1640625" style="132" bestFit="1" customWidth="1"/>
    <col min="8204" max="8204" width="7.1640625" style="132" bestFit="1" customWidth="1"/>
    <col min="8205" max="8214" width="8.83203125" style="132" customWidth="1"/>
    <col min="8215" max="8215" width="10" style="132" bestFit="1" customWidth="1"/>
    <col min="8216" max="8439" width="8.83203125" style="132" customWidth="1"/>
    <col min="8440" max="8440" width="7.83203125" style="132" customWidth="1"/>
    <col min="8441" max="8441" width="7.5" style="132" customWidth="1"/>
    <col min="8442" max="8442" width="9" style="132" customWidth="1"/>
    <col min="8443" max="8443" width="8.33203125" style="132" customWidth="1"/>
    <col min="8444" max="8446" width="8.5" style="132" bestFit="1" customWidth="1"/>
    <col min="8447" max="8447" width="10" style="132" bestFit="1" customWidth="1"/>
    <col min="8448" max="8448" width="8.1640625" style="132" bestFit="1" customWidth="1"/>
    <col min="8449" max="8450" width="8.5" style="132" bestFit="1" customWidth="1"/>
    <col min="8451" max="8451" width="6" style="132" bestFit="1" customWidth="1"/>
    <col min="8452" max="8452" width="8.83203125" style="132" customWidth="1"/>
    <col min="8453" max="8453" width="8.5" style="132" bestFit="1" customWidth="1"/>
    <col min="8454" max="8454" width="7.1640625" style="132" bestFit="1" customWidth="1"/>
    <col min="8455" max="8455" width="4.5" style="132" bestFit="1" customWidth="1"/>
    <col min="8456" max="8456" width="5.5" style="132" bestFit="1" customWidth="1"/>
    <col min="8457" max="8459" width="6.1640625" style="132" bestFit="1" customWidth="1"/>
    <col min="8460" max="8460" width="7.1640625" style="132" bestFit="1" customWidth="1"/>
    <col min="8461" max="8470" width="8.83203125" style="132" customWidth="1"/>
    <col min="8471" max="8471" width="10" style="132" bestFit="1" customWidth="1"/>
    <col min="8472" max="8695" width="8.83203125" style="132" customWidth="1"/>
    <col min="8696" max="8696" width="7.83203125" style="132" customWidth="1"/>
    <col min="8697" max="8697" width="7.5" style="132" customWidth="1"/>
    <col min="8698" max="8698" width="9" style="132" customWidth="1"/>
    <col min="8699" max="8699" width="8.33203125" style="132" customWidth="1"/>
    <col min="8700" max="8702" width="8.5" style="132" bestFit="1" customWidth="1"/>
    <col min="8703" max="8703" width="10" style="132" bestFit="1" customWidth="1"/>
    <col min="8704" max="8704" width="8.1640625" style="132" bestFit="1" customWidth="1"/>
    <col min="8705" max="8706" width="8.5" style="132" bestFit="1" customWidth="1"/>
    <col min="8707" max="8707" width="6" style="132" bestFit="1" customWidth="1"/>
    <col min="8708" max="8708" width="8.83203125" style="132" customWidth="1"/>
    <col min="8709" max="8709" width="8.5" style="132" bestFit="1" customWidth="1"/>
    <col min="8710" max="8710" width="7.1640625" style="132" bestFit="1" customWidth="1"/>
    <col min="8711" max="8711" width="4.5" style="132" bestFit="1" customWidth="1"/>
    <col min="8712" max="8712" width="5.5" style="132" bestFit="1" customWidth="1"/>
    <col min="8713" max="8715" width="6.1640625" style="132" bestFit="1" customWidth="1"/>
    <col min="8716" max="8716" width="7.1640625" style="132" bestFit="1" customWidth="1"/>
    <col min="8717" max="8726" width="8.83203125" style="132" customWidth="1"/>
    <col min="8727" max="8727" width="10" style="132" bestFit="1" customWidth="1"/>
    <col min="8728" max="8951" width="8.83203125" style="132" customWidth="1"/>
    <col min="8952" max="8952" width="7.83203125" style="132" customWidth="1"/>
    <col min="8953" max="8953" width="7.5" style="132" customWidth="1"/>
    <col min="8954" max="8954" width="9" style="132" customWidth="1"/>
    <col min="8955" max="8955" width="8.33203125" style="132" customWidth="1"/>
    <col min="8956" max="8958" width="8.5" style="132" bestFit="1" customWidth="1"/>
    <col min="8959" max="8959" width="10" style="132" bestFit="1" customWidth="1"/>
    <col min="8960" max="8960" width="8.1640625" style="132" bestFit="1" customWidth="1"/>
    <col min="8961" max="8962" width="8.5" style="132" bestFit="1" customWidth="1"/>
    <col min="8963" max="8963" width="6" style="132" bestFit="1" customWidth="1"/>
    <col min="8964" max="8964" width="8.83203125" style="132" customWidth="1"/>
    <col min="8965" max="8965" width="8.5" style="132" bestFit="1" customWidth="1"/>
    <col min="8966" max="8966" width="7.1640625" style="132" bestFit="1" customWidth="1"/>
    <col min="8967" max="8967" width="4.5" style="132" bestFit="1" customWidth="1"/>
    <col min="8968" max="8968" width="5.5" style="132" bestFit="1" customWidth="1"/>
    <col min="8969" max="8971" width="6.1640625" style="132" bestFit="1" customWidth="1"/>
    <col min="8972" max="8972" width="7.1640625" style="132" bestFit="1" customWidth="1"/>
    <col min="8973" max="8982" width="8.83203125" style="132" customWidth="1"/>
    <col min="8983" max="8983" width="10" style="132" bestFit="1" customWidth="1"/>
    <col min="8984" max="9207" width="8.83203125" style="132" customWidth="1"/>
    <col min="9208" max="9208" width="7.83203125" style="132" customWidth="1"/>
    <col min="9209" max="9209" width="7.5" style="132" customWidth="1"/>
    <col min="9210" max="9210" width="9" style="132" customWidth="1"/>
    <col min="9211" max="9211" width="8.33203125" style="132" customWidth="1"/>
    <col min="9212" max="9214" width="8.5" style="132" bestFit="1" customWidth="1"/>
    <col min="9215" max="9215" width="10" style="132" bestFit="1" customWidth="1"/>
    <col min="9216" max="9216" width="8.1640625" style="132" bestFit="1" customWidth="1"/>
    <col min="9217" max="9218" width="8.5" style="132" bestFit="1" customWidth="1"/>
    <col min="9219" max="9219" width="6" style="132" bestFit="1" customWidth="1"/>
    <col min="9220" max="9220" width="8.83203125" style="132" customWidth="1"/>
    <col min="9221" max="9221" width="8.5" style="132" bestFit="1" customWidth="1"/>
    <col min="9222" max="9222" width="7.1640625" style="132" bestFit="1" customWidth="1"/>
    <col min="9223" max="9223" width="4.5" style="132" bestFit="1" customWidth="1"/>
    <col min="9224" max="9224" width="5.5" style="132" bestFit="1" customWidth="1"/>
    <col min="9225" max="9227" width="6.1640625" style="132" bestFit="1" customWidth="1"/>
    <col min="9228" max="9228" width="7.1640625" style="132" bestFit="1" customWidth="1"/>
    <col min="9229" max="9238" width="8.83203125" style="132" customWidth="1"/>
    <col min="9239" max="9239" width="10" style="132" bestFit="1" customWidth="1"/>
    <col min="9240" max="9463" width="8.83203125" style="132" customWidth="1"/>
    <col min="9464" max="9464" width="7.83203125" style="132" customWidth="1"/>
    <col min="9465" max="9465" width="7.5" style="132" customWidth="1"/>
    <col min="9466" max="9466" width="9" style="132" customWidth="1"/>
    <col min="9467" max="9467" width="8.33203125" style="132" customWidth="1"/>
    <col min="9468" max="9470" width="8.5" style="132" bestFit="1" customWidth="1"/>
    <col min="9471" max="9471" width="10" style="132" bestFit="1" customWidth="1"/>
    <col min="9472" max="9472" width="8.1640625" style="132" bestFit="1" customWidth="1"/>
    <col min="9473" max="9474" width="8.5" style="132" bestFit="1" customWidth="1"/>
    <col min="9475" max="9475" width="6" style="132" bestFit="1" customWidth="1"/>
    <col min="9476" max="9476" width="8.83203125" style="132" customWidth="1"/>
    <col min="9477" max="9477" width="8.5" style="132" bestFit="1" customWidth="1"/>
    <col min="9478" max="9478" width="7.1640625" style="132" bestFit="1" customWidth="1"/>
    <col min="9479" max="9479" width="4.5" style="132" bestFit="1" customWidth="1"/>
    <col min="9480" max="9480" width="5.5" style="132" bestFit="1" customWidth="1"/>
    <col min="9481" max="9483" width="6.1640625" style="132" bestFit="1" customWidth="1"/>
    <col min="9484" max="9484" width="7.1640625" style="132" bestFit="1" customWidth="1"/>
    <col min="9485" max="9494" width="8.83203125" style="132" customWidth="1"/>
    <col min="9495" max="9495" width="10" style="132" bestFit="1" customWidth="1"/>
    <col min="9496" max="9719" width="8.83203125" style="132" customWidth="1"/>
    <col min="9720" max="9720" width="7.83203125" style="132" customWidth="1"/>
    <col min="9721" max="9721" width="7.5" style="132" customWidth="1"/>
    <col min="9722" max="9722" width="9" style="132" customWidth="1"/>
    <col min="9723" max="9723" width="8.33203125" style="132" customWidth="1"/>
    <col min="9724" max="9726" width="8.5" style="132" bestFit="1" customWidth="1"/>
    <col min="9727" max="9727" width="10" style="132" bestFit="1" customWidth="1"/>
    <col min="9728" max="9728" width="8.1640625" style="132" bestFit="1" customWidth="1"/>
    <col min="9729" max="9730" width="8.5" style="132" bestFit="1" customWidth="1"/>
    <col min="9731" max="9731" width="6" style="132" bestFit="1" customWidth="1"/>
    <col min="9732" max="9732" width="8.83203125" style="132" customWidth="1"/>
    <col min="9733" max="9733" width="8.5" style="132" bestFit="1" customWidth="1"/>
    <col min="9734" max="9734" width="7.1640625" style="132" bestFit="1" customWidth="1"/>
    <col min="9735" max="9735" width="4.5" style="132" bestFit="1" customWidth="1"/>
    <col min="9736" max="9736" width="5.5" style="132" bestFit="1" customWidth="1"/>
    <col min="9737" max="9739" width="6.1640625" style="132" bestFit="1" customWidth="1"/>
    <col min="9740" max="9740" width="7.1640625" style="132" bestFit="1" customWidth="1"/>
    <col min="9741" max="9750" width="8.83203125" style="132" customWidth="1"/>
    <col min="9751" max="9751" width="10" style="132" bestFit="1" customWidth="1"/>
    <col min="9752" max="9975" width="8.83203125" style="132" customWidth="1"/>
    <col min="9976" max="9976" width="7.83203125" style="132" customWidth="1"/>
    <col min="9977" max="9977" width="7.5" style="132" customWidth="1"/>
    <col min="9978" max="9978" width="9" style="132" customWidth="1"/>
    <col min="9979" max="9979" width="8.33203125" style="132" customWidth="1"/>
    <col min="9980" max="9982" width="8.5" style="132" bestFit="1" customWidth="1"/>
    <col min="9983" max="9983" width="10" style="132" bestFit="1" customWidth="1"/>
    <col min="9984" max="9984" width="8.1640625" style="132" bestFit="1" customWidth="1"/>
    <col min="9985" max="9986" width="8.5" style="132" bestFit="1" customWidth="1"/>
    <col min="9987" max="9987" width="6" style="132" bestFit="1" customWidth="1"/>
    <col min="9988" max="9988" width="8.83203125" style="132" customWidth="1"/>
    <col min="9989" max="9989" width="8.5" style="132" bestFit="1" customWidth="1"/>
    <col min="9990" max="9990" width="7.1640625" style="132" bestFit="1" customWidth="1"/>
    <col min="9991" max="9991" width="4.5" style="132" bestFit="1" customWidth="1"/>
    <col min="9992" max="9992" width="5.5" style="132" bestFit="1" customWidth="1"/>
    <col min="9993" max="9995" width="6.1640625" style="132" bestFit="1" customWidth="1"/>
    <col min="9996" max="9996" width="7.1640625" style="132" bestFit="1" customWidth="1"/>
    <col min="9997" max="10006" width="8.83203125" style="132" customWidth="1"/>
    <col min="10007" max="10007" width="10" style="132" bestFit="1" customWidth="1"/>
    <col min="10008" max="10231" width="8.83203125" style="132" customWidth="1"/>
    <col min="10232" max="10232" width="7.83203125" style="132" customWidth="1"/>
    <col min="10233" max="10233" width="7.5" style="132" customWidth="1"/>
    <col min="10234" max="10234" width="9" style="132" customWidth="1"/>
    <col min="10235" max="10235" width="8.33203125" style="132" customWidth="1"/>
    <col min="10236" max="10238" width="8.5" style="132" bestFit="1" customWidth="1"/>
    <col min="10239" max="10239" width="10" style="132" bestFit="1" customWidth="1"/>
    <col min="10240" max="10240" width="8.1640625" style="132" bestFit="1" customWidth="1"/>
    <col min="10241" max="10242" width="8.5" style="132" bestFit="1" customWidth="1"/>
    <col min="10243" max="10243" width="6" style="132" bestFit="1" customWidth="1"/>
    <col min="10244" max="10244" width="8.83203125" style="132" customWidth="1"/>
    <col min="10245" max="10245" width="8.5" style="132" bestFit="1" customWidth="1"/>
    <col min="10246" max="10246" width="7.1640625" style="132" bestFit="1" customWidth="1"/>
    <col min="10247" max="10247" width="4.5" style="132" bestFit="1" customWidth="1"/>
    <col min="10248" max="10248" width="5.5" style="132" bestFit="1" customWidth="1"/>
    <col min="10249" max="10251" width="6.1640625" style="132" bestFit="1" customWidth="1"/>
    <col min="10252" max="10252" width="7.1640625" style="132" bestFit="1" customWidth="1"/>
    <col min="10253" max="10262" width="8.83203125" style="132" customWidth="1"/>
    <col min="10263" max="10263" width="10" style="132" bestFit="1" customWidth="1"/>
    <col min="10264" max="10487" width="8.83203125" style="132" customWidth="1"/>
    <col min="10488" max="10488" width="7.83203125" style="132" customWidth="1"/>
    <col min="10489" max="10489" width="7.5" style="132" customWidth="1"/>
    <col min="10490" max="10490" width="9" style="132" customWidth="1"/>
    <col min="10491" max="10491" width="8.33203125" style="132" customWidth="1"/>
    <col min="10492" max="10494" width="8.5" style="132" bestFit="1" customWidth="1"/>
    <col min="10495" max="10495" width="10" style="132" bestFit="1" customWidth="1"/>
    <col min="10496" max="10496" width="8.1640625" style="132" bestFit="1" customWidth="1"/>
    <col min="10497" max="10498" width="8.5" style="132" bestFit="1" customWidth="1"/>
    <col min="10499" max="10499" width="6" style="132" bestFit="1" customWidth="1"/>
    <col min="10500" max="10500" width="8.83203125" style="132" customWidth="1"/>
    <col min="10501" max="10501" width="8.5" style="132" bestFit="1" customWidth="1"/>
    <col min="10502" max="10502" width="7.1640625" style="132" bestFit="1" customWidth="1"/>
    <col min="10503" max="10503" width="4.5" style="132" bestFit="1" customWidth="1"/>
    <col min="10504" max="10504" width="5.5" style="132" bestFit="1" customWidth="1"/>
    <col min="10505" max="10507" width="6.1640625" style="132" bestFit="1" customWidth="1"/>
    <col min="10508" max="10508" width="7.1640625" style="132" bestFit="1" customWidth="1"/>
    <col min="10509" max="10518" width="8.83203125" style="132" customWidth="1"/>
    <col min="10519" max="10519" width="10" style="132" bestFit="1" customWidth="1"/>
    <col min="10520" max="10743" width="8.83203125" style="132" customWidth="1"/>
    <col min="10744" max="10744" width="7.83203125" style="132" customWidth="1"/>
    <col min="10745" max="10745" width="7.5" style="132" customWidth="1"/>
    <col min="10746" max="10746" width="9" style="132" customWidth="1"/>
    <col min="10747" max="10747" width="8.33203125" style="132" customWidth="1"/>
    <col min="10748" max="10750" width="8.5" style="132" bestFit="1" customWidth="1"/>
    <col min="10751" max="10751" width="10" style="132" bestFit="1" customWidth="1"/>
    <col min="10752" max="10752" width="8.1640625" style="132" bestFit="1" customWidth="1"/>
    <col min="10753" max="10754" width="8.5" style="132" bestFit="1" customWidth="1"/>
    <col min="10755" max="10755" width="6" style="132" bestFit="1" customWidth="1"/>
    <col min="10756" max="10756" width="8.83203125" style="132" customWidth="1"/>
    <col min="10757" max="10757" width="8.5" style="132" bestFit="1" customWidth="1"/>
    <col min="10758" max="10758" width="7.1640625" style="132" bestFit="1" customWidth="1"/>
    <col min="10759" max="10759" width="4.5" style="132" bestFit="1" customWidth="1"/>
    <col min="10760" max="10760" width="5.5" style="132" bestFit="1" customWidth="1"/>
    <col min="10761" max="10763" width="6.1640625" style="132" bestFit="1" customWidth="1"/>
    <col min="10764" max="10764" width="7.1640625" style="132" bestFit="1" customWidth="1"/>
    <col min="10765" max="10774" width="8.83203125" style="132" customWidth="1"/>
    <col min="10775" max="10775" width="10" style="132" bestFit="1" customWidth="1"/>
    <col min="10776" max="10999" width="8.83203125" style="132" customWidth="1"/>
    <col min="11000" max="11000" width="7.83203125" style="132" customWidth="1"/>
    <col min="11001" max="11001" width="7.5" style="132" customWidth="1"/>
    <col min="11002" max="11002" width="9" style="132" customWidth="1"/>
    <col min="11003" max="11003" width="8.33203125" style="132" customWidth="1"/>
    <col min="11004" max="11006" width="8.5" style="132" bestFit="1" customWidth="1"/>
    <col min="11007" max="11007" width="10" style="132" bestFit="1" customWidth="1"/>
    <col min="11008" max="11008" width="8.1640625" style="132" bestFit="1" customWidth="1"/>
    <col min="11009" max="11010" width="8.5" style="132" bestFit="1" customWidth="1"/>
    <col min="11011" max="11011" width="6" style="132" bestFit="1" customWidth="1"/>
    <col min="11012" max="11012" width="8.83203125" style="132" customWidth="1"/>
    <col min="11013" max="11013" width="8.5" style="132" bestFit="1" customWidth="1"/>
    <col min="11014" max="11014" width="7.1640625" style="132" bestFit="1" customWidth="1"/>
    <col min="11015" max="11015" width="4.5" style="132" bestFit="1" customWidth="1"/>
    <col min="11016" max="11016" width="5.5" style="132" bestFit="1" customWidth="1"/>
    <col min="11017" max="11019" width="6.1640625" style="132" bestFit="1" customWidth="1"/>
    <col min="11020" max="11020" width="7.1640625" style="132" bestFit="1" customWidth="1"/>
    <col min="11021" max="11030" width="8.83203125" style="132" customWidth="1"/>
    <col min="11031" max="11031" width="10" style="132" bestFit="1" customWidth="1"/>
    <col min="11032" max="11255" width="8.83203125" style="132" customWidth="1"/>
    <col min="11256" max="11256" width="7.83203125" style="132" customWidth="1"/>
    <col min="11257" max="11257" width="7.5" style="132" customWidth="1"/>
    <col min="11258" max="11258" width="9" style="132" customWidth="1"/>
    <col min="11259" max="11259" width="8.33203125" style="132" customWidth="1"/>
    <col min="11260" max="11262" width="8.5" style="132" bestFit="1" customWidth="1"/>
    <col min="11263" max="11263" width="10" style="132" bestFit="1" customWidth="1"/>
    <col min="11264" max="11264" width="8.1640625" style="132" bestFit="1" customWidth="1"/>
    <col min="11265" max="11266" width="8.5" style="132" bestFit="1" customWidth="1"/>
    <col min="11267" max="11267" width="6" style="132" bestFit="1" customWidth="1"/>
    <col min="11268" max="11268" width="8.83203125" style="132" customWidth="1"/>
    <col min="11269" max="11269" width="8.5" style="132" bestFit="1" customWidth="1"/>
    <col min="11270" max="11270" width="7.1640625" style="132" bestFit="1" customWidth="1"/>
    <col min="11271" max="11271" width="4.5" style="132" bestFit="1" customWidth="1"/>
    <col min="11272" max="11272" width="5.5" style="132" bestFit="1" customWidth="1"/>
    <col min="11273" max="11275" width="6.1640625" style="132" bestFit="1" customWidth="1"/>
    <col min="11276" max="11276" width="7.1640625" style="132" bestFit="1" customWidth="1"/>
    <col min="11277" max="11286" width="8.83203125" style="132" customWidth="1"/>
    <col min="11287" max="11287" width="10" style="132" bestFit="1" customWidth="1"/>
    <col min="11288" max="11511" width="8.83203125" style="132" customWidth="1"/>
    <col min="11512" max="11512" width="7.83203125" style="132" customWidth="1"/>
    <col min="11513" max="11513" width="7.5" style="132" customWidth="1"/>
    <col min="11514" max="11514" width="9" style="132" customWidth="1"/>
    <col min="11515" max="11515" width="8.33203125" style="132" customWidth="1"/>
    <col min="11516" max="11518" width="8.5" style="132" bestFit="1" customWidth="1"/>
    <col min="11519" max="11519" width="10" style="132" bestFit="1" customWidth="1"/>
    <col min="11520" max="11520" width="8.1640625" style="132" bestFit="1" customWidth="1"/>
    <col min="11521" max="11522" width="8.5" style="132" bestFit="1" customWidth="1"/>
    <col min="11523" max="11523" width="6" style="132" bestFit="1" customWidth="1"/>
    <col min="11524" max="11524" width="8.83203125" style="132" customWidth="1"/>
    <col min="11525" max="11525" width="8.5" style="132" bestFit="1" customWidth="1"/>
    <col min="11526" max="11526" width="7.1640625" style="132" bestFit="1" customWidth="1"/>
    <col min="11527" max="11527" width="4.5" style="132" bestFit="1" customWidth="1"/>
    <col min="11528" max="11528" width="5.5" style="132" bestFit="1" customWidth="1"/>
    <col min="11529" max="11531" width="6.1640625" style="132" bestFit="1" customWidth="1"/>
    <col min="11532" max="11532" width="7.1640625" style="132" bestFit="1" customWidth="1"/>
    <col min="11533" max="11542" width="8.83203125" style="132" customWidth="1"/>
    <col min="11543" max="11543" width="10" style="132" bestFit="1" customWidth="1"/>
    <col min="11544" max="11767" width="8.83203125" style="132" customWidth="1"/>
    <col min="11768" max="11768" width="7.83203125" style="132" customWidth="1"/>
    <col min="11769" max="11769" width="7.5" style="132" customWidth="1"/>
    <col min="11770" max="11770" width="9" style="132" customWidth="1"/>
    <col min="11771" max="11771" width="8.33203125" style="132" customWidth="1"/>
    <col min="11772" max="11774" width="8.5" style="132" bestFit="1" customWidth="1"/>
    <col min="11775" max="11775" width="10" style="132" bestFit="1" customWidth="1"/>
    <col min="11776" max="11776" width="8.1640625" style="132" bestFit="1" customWidth="1"/>
    <col min="11777" max="11778" width="8.5" style="132" bestFit="1" customWidth="1"/>
    <col min="11779" max="11779" width="6" style="132" bestFit="1" customWidth="1"/>
    <col min="11780" max="11780" width="8.83203125" style="132" customWidth="1"/>
    <col min="11781" max="11781" width="8.5" style="132" bestFit="1" customWidth="1"/>
    <col min="11782" max="11782" width="7.1640625" style="132" bestFit="1" customWidth="1"/>
    <col min="11783" max="11783" width="4.5" style="132" bestFit="1" customWidth="1"/>
    <col min="11784" max="11784" width="5.5" style="132" bestFit="1" customWidth="1"/>
    <col min="11785" max="11787" width="6.1640625" style="132" bestFit="1" customWidth="1"/>
    <col min="11788" max="11788" width="7.1640625" style="132" bestFit="1" customWidth="1"/>
    <col min="11789" max="11798" width="8.83203125" style="132" customWidth="1"/>
    <col min="11799" max="11799" width="10" style="132" bestFit="1" customWidth="1"/>
    <col min="11800" max="12023" width="8.83203125" style="132" customWidth="1"/>
    <col min="12024" max="12024" width="7.83203125" style="132" customWidth="1"/>
    <col min="12025" max="12025" width="7.5" style="132" customWidth="1"/>
    <col min="12026" max="12026" width="9" style="132" customWidth="1"/>
    <col min="12027" max="12027" width="8.33203125" style="132" customWidth="1"/>
    <col min="12028" max="12030" width="8.5" style="132" bestFit="1" customWidth="1"/>
    <col min="12031" max="12031" width="10" style="132" bestFit="1" customWidth="1"/>
    <col min="12032" max="12032" width="8.1640625" style="132" bestFit="1" customWidth="1"/>
    <col min="12033" max="12034" width="8.5" style="132" bestFit="1" customWidth="1"/>
    <col min="12035" max="12035" width="6" style="132" bestFit="1" customWidth="1"/>
    <col min="12036" max="12036" width="8.83203125" style="132" customWidth="1"/>
    <col min="12037" max="12037" width="8.5" style="132" bestFit="1" customWidth="1"/>
    <col min="12038" max="12038" width="7.1640625" style="132" bestFit="1" customWidth="1"/>
    <col min="12039" max="12039" width="4.5" style="132" bestFit="1" customWidth="1"/>
    <col min="12040" max="12040" width="5.5" style="132" bestFit="1" customWidth="1"/>
    <col min="12041" max="12043" width="6.1640625" style="132" bestFit="1" customWidth="1"/>
    <col min="12044" max="12044" width="7.1640625" style="132" bestFit="1" customWidth="1"/>
    <col min="12045" max="12054" width="8.83203125" style="132" customWidth="1"/>
    <col min="12055" max="12055" width="10" style="132" bestFit="1" customWidth="1"/>
    <col min="12056" max="12279" width="8.83203125" style="132" customWidth="1"/>
    <col min="12280" max="12280" width="7.83203125" style="132" customWidth="1"/>
    <col min="12281" max="12281" width="7.5" style="132" customWidth="1"/>
    <col min="12282" max="12282" width="9" style="132" customWidth="1"/>
    <col min="12283" max="12283" width="8.33203125" style="132" customWidth="1"/>
    <col min="12284" max="12286" width="8.5" style="132" bestFit="1" customWidth="1"/>
    <col min="12287" max="12287" width="10" style="132" bestFit="1" customWidth="1"/>
    <col min="12288" max="12288" width="8.1640625" style="132" bestFit="1" customWidth="1"/>
    <col min="12289" max="12290" width="8.5" style="132" bestFit="1" customWidth="1"/>
    <col min="12291" max="12291" width="6" style="132" bestFit="1" customWidth="1"/>
    <col min="12292" max="12292" width="8.83203125" style="132" customWidth="1"/>
    <col min="12293" max="12293" width="8.5" style="132" bestFit="1" customWidth="1"/>
    <col min="12294" max="12294" width="7.1640625" style="132" bestFit="1" customWidth="1"/>
    <col min="12295" max="12295" width="4.5" style="132" bestFit="1" customWidth="1"/>
    <col min="12296" max="12296" width="5.5" style="132" bestFit="1" customWidth="1"/>
    <col min="12297" max="12299" width="6.1640625" style="132" bestFit="1" customWidth="1"/>
    <col min="12300" max="12300" width="7.1640625" style="132" bestFit="1" customWidth="1"/>
    <col min="12301" max="12310" width="8.83203125" style="132" customWidth="1"/>
    <col min="12311" max="12311" width="10" style="132" bestFit="1" customWidth="1"/>
    <col min="12312" max="12535" width="8.83203125" style="132" customWidth="1"/>
    <col min="12536" max="12536" width="7.83203125" style="132" customWidth="1"/>
    <col min="12537" max="12537" width="7.5" style="132" customWidth="1"/>
    <col min="12538" max="12538" width="9" style="132" customWidth="1"/>
    <col min="12539" max="12539" width="8.33203125" style="132" customWidth="1"/>
    <col min="12540" max="12542" width="8.5" style="132" bestFit="1" customWidth="1"/>
    <col min="12543" max="12543" width="10" style="132" bestFit="1" customWidth="1"/>
    <col min="12544" max="12544" width="8.1640625" style="132" bestFit="1" customWidth="1"/>
    <col min="12545" max="12546" width="8.5" style="132" bestFit="1" customWidth="1"/>
    <col min="12547" max="12547" width="6" style="132" bestFit="1" customWidth="1"/>
    <col min="12548" max="12548" width="8.83203125" style="132" customWidth="1"/>
    <col min="12549" max="12549" width="8.5" style="132" bestFit="1" customWidth="1"/>
    <col min="12550" max="12550" width="7.1640625" style="132" bestFit="1" customWidth="1"/>
    <col min="12551" max="12551" width="4.5" style="132" bestFit="1" customWidth="1"/>
    <col min="12552" max="12552" width="5.5" style="132" bestFit="1" customWidth="1"/>
    <col min="12553" max="12555" width="6.1640625" style="132" bestFit="1" customWidth="1"/>
    <col min="12556" max="12556" width="7.1640625" style="132" bestFit="1" customWidth="1"/>
    <col min="12557" max="12566" width="8.83203125" style="132" customWidth="1"/>
    <col min="12567" max="12567" width="10" style="132" bestFit="1" customWidth="1"/>
    <col min="12568" max="12791" width="8.83203125" style="132" customWidth="1"/>
    <col min="12792" max="12792" width="7.83203125" style="132" customWidth="1"/>
    <col min="12793" max="12793" width="7.5" style="132" customWidth="1"/>
    <col min="12794" max="12794" width="9" style="132" customWidth="1"/>
    <col min="12795" max="12795" width="8.33203125" style="132" customWidth="1"/>
    <col min="12796" max="12798" width="8.5" style="132" bestFit="1" customWidth="1"/>
    <col min="12799" max="12799" width="10" style="132" bestFit="1" customWidth="1"/>
    <col min="12800" max="12800" width="8.1640625" style="132" bestFit="1" customWidth="1"/>
    <col min="12801" max="12802" width="8.5" style="132" bestFit="1" customWidth="1"/>
    <col min="12803" max="12803" width="6" style="132" bestFit="1" customWidth="1"/>
    <col min="12804" max="12804" width="8.83203125" style="132" customWidth="1"/>
    <col min="12805" max="12805" width="8.5" style="132" bestFit="1" customWidth="1"/>
    <col min="12806" max="12806" width="7.1640625" style="132" bestFit="1" customWidth="1"/>
    <col min="12807" max="12807" width="4.5" style="132" bestFit="1" customWidth="1"/>
    <col min="12808" max="12808" width="5.5" style="132" bestFit="1" customWidth="1"/>
    <col min="12809" max="12811" width="6.1640625" style="132" bestFit="1" customWidth="1"/>
    <col min="12812" max="12812" width="7.1640625" style="132" bestFit="1" customWidth="1"/>
    <col min="12813" max="12822" width="8.83203125" style="132" customWidth="1"/>
    <col min="12823" max="12823" width="10" style="132" bestFit="1" customWidth="1"/>
    <col min="12824" max="13047" width="8.83203125" style="132" customWidth="1"/>
    <col min="13048" max="13048" width="7.83203125" style="132" customWidth="1"/>
    <col min="13049" max="13049" width="7.5" style="132" customWidth="1"/>
    <col min="13050" max="13050" width="9" style="132" customWidth="1"/>
    <col min="13051" max="13051" width="8.33203125" style="132" customWidth="1"/>
    <col min="13052" max="13054" width="8.5" style="132" bestFit="1" customWidth="1"/>
    <col min="13055" max="13055" width="10" style="132" bestFit="1" customWidth="1"/>
    <col min="13056" max="13056" width="8.1640625" style="132" bestFit="1" customWidth="1"/>
    <col min="13057" max="13058" width="8.5" style="132" bestFit="1" customWidth="1"/>
    <col min="13059" max="13059" width="6" style="132" bestFit="1" customWidth="1"/>
    <col min="13060" max="13060" width="8.83203125" style="132" customWidth="1"/>
    <col min="13061" max="13061" width="8.5" style="132" bestFit="1" customWidth="1"/>
    <col min="13062" max="13062" width="7.1640625" style="132" bestFit="1" customWidth="1"/>
    <col min="13063" max="13063" width="4.5" style="132" bestFit="1" customWidth="1"/>
    <col min="13064" max="13064" width="5.5" style="132" bestFit="1" customWidth="1"/>
    <col min="13065" max="13067" width="6.1640625" style="132" bestFit="1" customWidth="1"/>
    <col min="13068" max="13068" width="7.1640625" style="132" bestFit="1" customWidth="1"/>
    <col min="13069" max="13078" width="8.83203125" style="132" customWidth="1"/>
    <col min="13079" max="13079" width="10" style="132" bestFit="1" customWidth="1"/>
    <col min="13080" max="13303" width="8.83203125" style="132" customWidth="1"/>
    <col min="13304" max="13304" width="7.83203125" style="132" customWidth="1"/>
    <col min="13305" max="13305" width="7.5" style="132" customWidth="1"/>
    <col min="13306" max="13306" width="9" style="132" customWidth="1"/>
    <col min="13307" max="13307" width="8.33203125" style="132" customWidth="1"/>
    <col min="13308" max="13310" width="8.5" style="132" bestFit="1" customWidth="1"/>
    <col min="13311" max="13311" width="10" style="132" bestFit="1" customWidth="1"/>
    <col min="13312" max="13312" width="8.1640625" style="132" bestFit="1" customWidth="1"/>
    <col min="13313" max="13314" width="8.5" style="132" bestFit="1" customWidth="1"/>
    <col min="13315" max="13315" width="6" style="132" bestFit="1" customWidth="1"/>
    <col min="13316" max="13316" width="8.83203125" style="132" customWidth="1"/>
    <col min="13317" max="13317" width="8.5" style="132" bestFit="1" customWidth="1"/>
    <col min="13318" max="13318" width="7.1640625" style="132" bestFit="1" customWidth="1"/>
    <col min="13319" max="13319" width="4.5" style="132" bestFit="1" customWidth="1"/>
    <col min="13320" max="13320" width="5.5" style="132" bestFit="1" customWidth="1"/>
    <col min="13321" max="13323" width="6.1640625" style="132" bestFit="1" customWidth="1"/>
    <col min="13324" max="13324" width="7.1640625" style="132" bestFit="1" customWidth="1"/>
    <col min="13325" max="13334" width="8.83203125" style="132" customWidth="1"/>
    <col min="13335" max="13335" width="10" style="132" bestFit="1" customWidth="1"/>
    <col min="13336" max="13559" width="8.83203125" style="132" customWidth="1"/>
    <col min="13560" max="13560" width="7.83203125" style="132" customWidth="1"/>
    <col min="13561" max="13561" width="7.5" style="132" customWidth="1"/>
    <col min="13562" max="13562" width="9" style="132" customWidth="1"/>
    <col min="13563" max="13563" width="8.33203125" style="132" customWidth="1"/>
    <col min="13564" max="13566" width="8.5" style="132" bestFit="1" customWidth="1"/>
    <col min="13567" max="13567" width="10" style="132" bestFit="1" customWidth="1"/>
    <col min="13568" max="13568" width="8.1640625" style="132" bestFit="1" customWidth="1"/>
    <col min="13569" max="13570" width="8.5" style="132" bestFit="1" customWidth="1"/>
    <col min="13571" max="13571" width="6" style="132" bestFit="1" customWidth="1"/>
    <col min="13572" max="13572" width="8.83203125" style="132" customWidth="1"/>
    <col min="13573" max="13573" width="8.5" style="132" bestFit="1" customWidth="1"/>
    <col min="13574" max="13574" width="7.1640625" style="132" bestFit="1" customWidth="1"/>
    <col min="13575" max="13575" width="4.5" style="132" bestFit="1" customWidth="1"/>
    <col min="13576" max="13576" width="5.5" style="132" bestFit="1" customWidth="1"/>
    <col min="13577" max="13579" width="6.1640625" style="132" bestFit="1" customWidth="1"/>
    <col min="13580" max="13580" width="7.1640625" style="132" bestFit="1" customWidth="1"/>
    <col min="13581" max="13590" width="8.83203125" style="132" customWidth="1"/>
    <col min="13591" max="13591" width="10" style="132" bestFit="1" customWidth="1"/>
    <col min="13592" max="13815" width="8.83203125" style="132" customWidth="1"/>
    <col min="13816" max="13816" width="7.83203125" style="132" customWidth="1"/>
    <col min="13817" max="13817" width="7.5" style="132" customWidth="1"/>
    <col min="13818" max="13818" width="9" style="132" customWidth="1"/>
    <col min="13819" max="13819" width="8.33203125" style="132" customWidth="1"/>
    <col min="13820" max="13822" width="8.5" style="132" bestFit="1" customWidth="1"/>
    <col min="13823" max="13823" width="10" style="132" bestFit="1" customWidth="1"/>
    <col min="13824" max="13824" width="8.1640625" style="132" bestFit="1" customWidth="1"/>
    <col min="13825" max="13826" width="8.5" style="132" bestFit="1" customWidth="1"/>
    <col min="13827" max="13827" width="6" style="132" bestFit="1" customWidth="1"/>
    <col min="13828" max="13828" width="8.83203125" style="132" customWidth="1"/>
    <col min="13829" max="13829" width="8.5" style="132" bestFit="1" customWidth="1"/>
    <col min="13830" max="13830" width="7.1640625" style="132" bestFit="1" customWidth="1"/>
    <col min="13831" max="13831" width="4.5" style="132" bestFit="1" customWidth="1"/>
    <col min="13832" max="13832" width="5.5" style="132" bestFit="1" customWidth="1"/>
    <col min="13833" max="13835" width="6.1640625" style="132" bestFit="1" customWidth="1"/>
    <col min="13836" max="13836" width="7.1640625" style="132" bestFit="1" customWidth="1"/>
    <col min="13837" max="13846" width="8.83203125" style="132" customWidth="1"/>
    <col min="13847" max="13847" width="10" style="132" bestFit="1" customWidth="1"/>
    <col min="13848" max="14071" width="8.83203125" style="132" customWidth="1"/>
    <col min="14072" max="14072" width="7.83203125" style="132" customWidth="1"/>
    <col min="14073" max="14073" width="7.5" style="132" customWidth="1"/>
    <col min="14074" max="14074" width="9" style="132" customWidth="1"/>
    <col min="14075" max="14075" width="8.33203125" style="132" customWidth="1"/>
    <col min="14076" max="14078" width="8.5" style="132" bestFit="1" customWidth="1"/>
    <col min="14079" max="14079" width="10" style="132" bestFit="1" customWidth="1"/>
    <col min="14080" max="14080" width="8.1640625" style="132" bestFit="1" customWidth="1"/>
    <col min="14081" max="14082" width="8.5" style="132" bestFit="1" customWidth="1"/>
    <col min="14083" max="14083" width="6" style="132" bestFit="1" customWidth="1"/>
    <col min="14084" max="14084" width="8.83203125" style="132" customWidth="1"/>
    <col min="14085" max="14085" width="8.5" style="132" bestFit="1" customWidth="1"/>
    <col min="14086" max="14086" width="7.1640625" style="132" bestFit="1" customWidth="1"/>
    <col min="14087" max="14087" width="4.5" style="132" bestFit="1" customWidth="1"/>
    <col min="14088" max="14088" width="5.5" style="132" bestFit="1" customWidth="1"/>
    <col min="14089" max="14091" width="6.1640625" style="132" bestFit="1" customWidth="1"/>
    <col min="14092" max="14092" width="7.1640625" style="132" bestFit="1" customWidth="1"/>
    <col min="14093" max="14102" width="8.83203125" style="132" customWidth="1"/>
    <col min="14103" max="14103" width="10" style="132" bestFit="1" customWidth="1"/>
    <col min="14104" max="14327" width="8.83203125" style="132" customWidth="1"/>
    <col min="14328" max="14328" width="7.83203125" style="132" customWidth="1"/>
    <col min="14329" max="14329" width="7.5" style="132" customWidth="1"/>
    <col min="14330" max="14330" width="9" style="132" customWidth="1"/>
    <col min="14331" max="14331" width="8.33203125" style="132" customWidth="1"/>
    <col min="14332" max="14334" width="8.5" style="132" bestFit="1" customWidth="1"/>
    <col min="14335" max="14335" width="10" style="132" bestFit="1" customWidth="1"/>
    <col min="14336" max="14336" width="8.1640625" style="132" bestFit="1" customWidth="1"/>
    <col min="14337" max="14338" width="8.5" style="132" bestFit="1" customWidth="1"/>
    <col min="14339" max="14339" width="6" style="132" bestFit="1" customWidth="1"/>
    <col min="14340" max="14340" width="8.83203125" style="132" customWidth="1"/>
    <col min="14341" max="14341" width="8.5" style="132" bestFit="1" customWidth="1"/>
    <col min="14342" max="14342" width="7.1640625" style="132" bestFit="1" customWidth="1"/>
    <col min="14343" max="14343" width="4.5" style="132" bestFit="1" customWidth="1"/>
    <col min="14344" max="14344" width="5.5" style="132" bestFit="1" customWidth="1"/>
    <col min="14345" max="14347" width="6.1640625" style="132" bestFit="1" customWidth="1"/>
    <col min="14348" max="14348" width="7.1640625" style="132" bestFit="1" customWidth="1"/>
    <col min="14349" max="14358" width="8.83203125" style="132" customWidth="1"/>
    <col min="14359" max="14359" width="10" style="132" bestFit="1" customWidth="1"/>
    <col min="14360" max="14583" width="8.83203125" style="132" customWidth="1"/>
    <col min="14584" max="14584" width="7.83203125" style="132" customWidth="1"/>
    <col min="14585" max="14585" width="7.5" style="132" customWidth="1"/>
    <col min="14586" max="14586" width="9" style="132" customWidth="1"/>
    <col min="14587" max="14587" width="8.33203125" style="132" customWidth="1"/>
    <col min="14588" max="14590" width="8.5" style="132" bestFit="1" customWidth="1"/>
    <col min="14591" max="14591" width="10" style="132" bestFit="1" customWidth="1"/>
    <col min="14592" max="14592" width="8.1640625" style="132" bestFit="1" customWidth="1"/>
    <col min="14593" max="14594" width="8.5" style="132" bestFit="1" customWidth="1"/>
    <col min="14595" max="14595" width="6" style="132" bestFit="1" customWidth="1"/>
    <col min="14596" max="14596" width="8.83203125" style="132" customWidth="1"/>
    <col min="14597" max="14597" width="8.5" style="132" bestFit="1" customWidth="1"/>
    <col min="14598" max="14598" width="7.1640625" style="132" bestFit="1" customWidth="1"/>
    <col min="14599" max="14599" width="4.5" style="132" bestFit="1" customWidth="1"/>
    <col min="14600" max="14600" width="5.5" style="132" bestFit="1" customWidth="1"/>
    <col min="14601" max="14603" width="6.1640625" style="132" bestFit="1" customWidth="1"/>
    <col min="14604" max="14604" width="7.1640625" style="132" bestFit="1" customWidth="1"/>
    <col min="14605" max="14614" width="8.83203125" style="132" customWidth="1"/>
    <col min="14615" max="14615" width="10" style="132" bestFit="1" customWidth="1"/>
    <col min="14616" max="14839" width="8.83203125" style="132" customWidth="1"/>
    <col min="14840" max="14840" width="7.83203125" style="132" customWidth="1"/>
    <col min="14841" max="14841" width="7.5" style="132" customWidth="1"/>
    <col min="14842" max="14842" width="9" style="132" customWidth="1"/>
    <col min="14843" max="14843" width="8.33203125" style="132" customWidth="1"/>
    <col min="14844" max="14846" width="8.5" style="132" bestFit="1" customWidth="1"/>
    <col min="14847" max="14847" width="10" style="132" bestFit="1" customWidth="1"/>
    <col min="14848" max="14848" width="8.1640625" style="132" bestFit="1" customWidth="1"/>
    <col min="14849" max="14850" width="8.5" style="132" bestFit="1" customWidth="1"/>
    <col min="14851" max="14851" width="6" style="132" bestFit="1" customWidth="1"/>
    <col min="14852" max="14852" width="8.83203125" style="132" customWidth="1"/>
    <col min="14853" max="14853" width="8.5" style="132" bestFit="1" customWidth="1"/>
    <col min="14854" max="14854" width="7.1640625" style="132" bestFit="1" customWidth="1"/>
    <col min="14855" max="14855" width="4.5" style="132" bestFit="1" customWidth="1"/>
    <col min="14856" max="14856" width="5.5" style="132" bestFit="1" customWidth="1"/>
    <col min="14857" max="14859" width="6.1640625" style="132" bestFit="1" customWidth="1"/>
    <col min="14860" max="14860" width="7.1640625" style="132" bestFit="1" customWidth="1"/>
    <col min="14861" max="14870" width="8.83203125" style="132" customWidth="1"/>
    <col min="14871" max="14871" width="10" style="132" bestFit="1" customWidth="1"/>
    <col min="14872" max="15095" width="8.83203125" style="132" customWidth="1"/>
    <col min="15096" max="15096" width="7.83203125" style="132" customWidth="1"/>
    <col min="15097" max="15097" width="7.5" style="132" customWidth="1"/>
    <col min="15098" max="15098" width="9" style="132" customWidth="1"/>
    <col min="15099" max="15099" width="8.33203125" style="132" customWidth="1"/>
    <col min="15100" max="15102" width="8.5" style="132" bestFit="1" customWidth="1"/>
    <col min="15103" max="15103" width="10" style="132" bestFit="1" customWidth="1"/>
    <col min="15104" max="15104" width="8.1640625" style="132" bestFit="1" customWidth="1"/>
    <col min="15105" max="15106" width="8.5" style="132" bestFit="1" customWidth="1"/>
    <col min="15107" max="15107" width="6" style="132" bestFit="1" customWidth="1"/>
    <col min="15108" max="15108" width="8.83203125" style="132" customWidth="1"/>
    <col min="15109" max="15109" width="8.5" style="132" bestFit="1" customWidth="1"/>
    <col min="15110" max="15110" width="7.1640625" style="132" bestFit="1" customWidth="1"/>
    <col min="15111" max="15111" width="4.5" style="132" bestFit="1" customWidth="1"/>
    <col min="15112" max="15112" width="5.5" style="132" bestFit="1" customWidth="1"/>
    <col min="15113" max="15115" width="6.1640625" style="132" bestFit="1" customWidth="1"/>
    <col min="15116" max="15116" width="7.1640625" style="132" bestFit="1" customWidth="1"/>
    <col min="15117" max="15126" width="8.83203125" style="132" customWidth="1"/>
    <col min="15127" max="15127" width="10" style="132" bestFit="1" customWidth="1"/>
    <col min="15128" max="15351" width="8.83203125" style="132" customWidth="1"/>
    <col min="15352" max="15352" width="7.83203125" style="132" customWidth="1"/>
    <col min="15353" max="15353" width="7.5" style="132" customWidth="1"/>
    <col min="15354" max="15354" width="9" style="132" customWidth="1"/>
    <col min="15355" max="15355" width="8.33203125" style="132" customWidth="1"/>
    <col min="15356" max="15358" width="8.5" style="132" bestFit="1" customWidth="1"/>
    <col min="15359" max="15359" width="10" style="132" bestFit="1" customWidth="1"/>
    <col min="15360" max="15360" width="8.1640625" style="132" bestFit="1" customWidth="1"/>
    <col min="15361" max="15362" width="8.5" style="132" bestFit="1" customWidth="1"/>
    <col min="15363" max="15363" width="6" style="132" bestFit="1" customWidth="1"/>
    <col min="15364" max="15364" width="8.83203125" style="132" customWidth="1"/>
    <col min="15365" max="15365" width="8.5" style="132" bestFit="1" customWidth="1"/>
    <col min="15366" max="15366" width="7.1640625" style="132" bestFit="1" customWidth="1"/>
    <col min="15367" max="15367" width="4.5" style="132" bestFit="1" customWidth="1"/>
    <col min="15368" max="15368" width="5.5" style="132" bestFit="1" customWidth="1"/>
    <col min="15369" max="15371" width="6.1640625" style="132" bestFit="1" customWidth="1"/>
    <col min="15372" max="15372" width="7.1640625" style="132" bestFit="1" customWidth="1"/>
    <col min="15373" max="15382" width="8.83203125" style="132" customWidth="1"/>
    <col min="15383" max="15383" width="10" style="132" bestFit="1" customWidth="1"/>
    <col min="15384" max="15607" width="8.83203125" style="132" customWidth="1"/>
    <col min="15608" max="15608" width="7.83203125" style="132" customWidth="1"/>
    <col min="15609" max="15609" width="7.5" style="132" customWidth="1"/>
    <col min="15610" max="15610" width="9" style="132" customWidth="1"/>
    <col min="15611" max="15611" width="8.33203125" style="132" customWidth="1"/>
    <col min="15612" max="15614" width="8.5" style="132" bestFit="1" customWidth="1"/>
    <col min="15615" max="15615" width="10" style="132" bestFit="1" customWidth="1"/>
    <col min="15616" max="15616" width="8.1640625" style="132" bestFit="1" customWidth="1"/>
    <col min="15617" max="15618" width="8.5" style="132" bestFit="1" customWidth="1"/>
    <col min="15619" max="15619" width="6" style="132" bestFit="1" customWidth="1"/>
    <col min="15620" max="15620" width="8.83203125" style="132" customWidth="1"/>
    <col min="15621" max="15621" width="8.5" style="132" bestFit="1" customWidth="1"/>
    <col min="15622" max="15622" width="7.1640625" style="132" bestFit="1" customWidth="1"/>
    <col min="15623" max="15623" width="4.5" style="132" bestFit="1" customWidth="1"/>
    <col min="15624" max="15624" width="5.5" style="132" bestFit="1" customWidth="1"/>
    <col min="15625" max="15627" width="6.1640625" style="132" bestFit="1" customWidth="1"/>
    <col min="15628" max="15628" width="7.1640625" style="132" bestFit="1" customWidth="1"/>
    <col min="15629" max="15638" width="8.83203125" style="132" customWidth="1"/>
    <col min="15639" max="15639" width="10" style="132" bestFit="1" customWidth="1"/>
    <col min="15640" max="15863" width="8.83203125" style="132" customWidth="1"/>
    <col min="15864" max="15864" width="7.83203125" style="132" customWidth="1"/>
    <col min="15865" max="15865" width="7.5" style="132" customWidth="1"/>
    <col min="15866" max="15866" width="9" style="132" customWidth="1"/>
    <col min="15867" max="15867" width="8.33203125" style="132" customWidth="1"/>
    <col min="15868" max="15870" width="8.5" style="132" bestFit="1" customWidth="1"/>
    <col min="15871" max="15871" width="10" style="132" bestFit="1" customWidth="1"/>
    <col min="15872" max="15872" width="8.1640625" style="132" bestFit="1" customWidth="1"/>
    <col min="15873" max="15874" width="8.5" style="132" bestFit="1" customWidth="1"/>
    <col min="15875" max="15875" width="6" style="132" bestFit="1" customWidth="1"/>
    <col min="15876" max="15876" width="8.83203125" style="132" customWidth="1"/>
    <col min="15877" max="15877" width="8.5" style="132" bestFit="1" customWidth="1"/>
    <col min="15878" max="15878" width="7.1640625" style="132" bestFit="1" customWidth="1"/>
    <col min="15879" max="15879" width="4.5" style="132" bestFit="1" customWidth="1"/>
    <col min="15880" max="15880" width="5.5" style="132" bestFit="1" customWidth="1"/>
    <col min="15881" max="15883" width="6.1640625" style="132" bestFit="1" customWidth="1"/>
    <col min="15884" max="15884" width="7.1640625" style="132" bestFit="1" customWidth="1"/>
    <col min="15885" max="15894" width="8.83203125" style="132" customWidth="1"/>
    <col min="15895" max="15895" width="10" style="132" bestFit="1" customWidth="1"/>
    <col min="15896" max="16119" width="8.83203125" style="132" customWidth="1"/>
    <col min="16120" max="16120" width="7.83203125" style="132" customWidth="1"/>
    <col min="16121" max="16121" width="7.5" style="132" customWidth="1"/>
    <col min="16122" max="16122" width="9" style="132" customWidth="1"/>
    <col min="16123" max="16123" width="8.33203125" style="132" customWidth="1"/>
    <col min="16124" max="16126" width="8.5" style="132" bestFit="1" customWidth="1"/>
    <col min="16127" max="16127" width="10" style="132" bestFit="1" customWidth="1"/>
    <col min="16128" max="16128" width="8.1640625" style="132" bestFit="1" customWidth="1"/>
    <col min="16129" max="16130" width="8.5" style="132" bestFit="1" customWidth="1"/>
    <col min="16131" max="16131" width="6" style="132" bestFit="1" customWidth="1"/>
    <col min="16132" max="16132" width="8.83203125" style="132" customWidth="1"/>
    <col min="16133" max="16133" width="8.5" style="132" bestFit="1" customWidth="1"/>
    <col min="16134" max="16134" width="7.1640625" style="132" bestFit="1" customWidth="1"/>
    <col min="16135" max="16135" width="4.5" style="132" bestFit="1" customWidth="1"/>
    <col min="16136" max="16136" width="5.5" style="132" bestFit="1" customWidth="1"/>
    <col min="16137" max="16139" width="6.1640625" style="132" bestFit="1" customWidth="1"/>
    <col min="16140" max="16140" width="7.1640625" style="132" bestFit="1" customWidth="1"/>
    <col min="16141" max="16150" width="8.83203125" style="132" customWidth="1"/>
    <col min="16151" max="16151" width="10" style="132" bestFit="1" customWidth="1"/>
    <col min="16152" max="16384" width="8.83203125" style="132" customWidth="1"/>
  </cols>
  <sheetData>
    <row r="1" spans="2:10" s="92" customFormat="1" ht="14" customHeight="1"/>
    <row r="2" spans="2:10" s="92" customFormat="1" ht="14" customHeight="1">
      <c r="B2" s="93" t="s">
        <v>62</v>
      </c>
      <c r="C2" s="94">
        <f>PI()/180</f>
        <v>1.7453292519943295E-2</v>
      </c>
      <c r="F2" s="95" t="s">
        <v>63</v>
      </c>
      <c r="G2" s="96">
        <f>Illumination!C21</f>
        <v>45.714139537751258</v>
      </c>
      <c r="H2" s="97"/>
      <c r="I2" s="98"/>
      <c r="J2" s="99"/>
    </row>
    <row r="3" spans="2:10" s="92" customFormat="1" ht="14" customHeight="1">
      <c r="B3" s="100" t="s">
        <v>64</v>
      </c>
      <c r="C3" s="101">
        <f>(Visibility!C10-2451545)/36525</f>
        <v>0.24849646360940419</v>
      </c>
      <c r="F3" s="102" t="s">
        <v>65</v>
      </c>
      <c r="G3" s="103">
        <v>200</v>
      </c>
      <c r="H3" s="103"/>
      <c r="I3" s="103" t="s">
        <v>66</v>
      </c>
      <c r="J3" s="104">
        <f>MOD(360-Illumination!G2+180,360)</f>
        <v>134.28586046224876</v>
      </c>
    </row>
    <row r="4" spans="2:10" s="92" customFormat="1" ht="14" customHeight="1">
      <c r="B4" s="100" t="s">
        <v>67</v>
      </c>
      <c r="C4" s="101">
        <f>MOD(297.8502042+445267.1115168*$C$3-0.00163*POWER($C$3,2)+(POWER($C$3,3)/545868)-(POWER($C$3,4)/113065000),360)</f>
        <v>65.152677073798259</v>
      </c>
      <c r="F4" s="102" t="s">
        <v>68</v>
      </c>
      <c r="G4" s="103">
        <f>2/G3</f>
        <v>0.01</v>
      </c>
      <c r="H4" s="103"/>
      <c r="I4" s="103" t="s">
        <v>69</v>
      </c>
      <c r="J4" s="105">
        <f>COS(RADIANS(J3))</f>
        <v>-0.69823864444755823</v>
      </c>
    </row>
    <row r="5" spans="2:10" s="92" customFormat="1" ht="14" customHeight="1">
      <c r="B5" s="100" t="s">
        <v>70</v>
      </c>
      <c r="C5" s="101">
        <f>MOD(357.5291092+35999.0502909*$C$3-0.0001536*POWER($C$3,2)+(POWER($C$3,3)/24490000),360)</f>
        <v>303.16579030149296</v>
      </c>
      <c r="F5" s="102"/>
      <c r="G5" s="103"/>
      <c r="H5" s="103"/>
      <c r="I5" s="103" t="s">
        <v>71</v>
      </c>
      <c r="J5" s="106">
        <f>ABS(J4)</f>
        <v>0.69823864444755823</v>
      </c>
    </row>
    <row r="6" spans="2:10" s="92" customFormat="1" ht="14" customHeight="1">
      <c r="B6" s="100" t="s">
        <v>72</v>
      </c>
      <c r="C6" s="101">
        <f>MOD(134.9634114+477198.8676313*$C$3+0.008997*POWER($C$3,2)+(POWER($C$3,3)/69699)-(POWER($C$3,4)/14712000),360)</f>
        <v>277.19501197928912</v>
      </c>
      <c r="F6" s="107"/>
      <c r="G6" s="108"/>
      <c r="H6" s="108"/>
      <c r="I6" s="108" t="s">
        <v>73</v>
      </c>
      <c r="J6" s="109">
        <v>1</v>
      </c>
    </row>
    <row r="7" spans="2:10" s="92" customFormat="1" ht="14" customHeight="1">
      <c r="B7" s="100" t="s">
        <v>74</v>
      </c>
      <c r="C7" s="101">
        <f>180-C4-6.289*SIN($C$2*C6)+2.1*SIN($C$2*C5)-1.274*SIN($C$2*(2*C4-C6))-0.658*SIN($C$2*2*C4)-0.214*SIN($C$2*2*C6)-0.11*SIN($C$2*C4)</f>
        <v>119.47640627994531</v>
      </c>
      <c r="F7" s="102"/>
      <c r="G7" s="103"/>
      <c r="H7" s="103"/>
      <c r="I7" s="103"/>
      <c r="J7" s="106"/>
    </row>
    <row r="8" spans="2:10" s="92" customFormat="1" ht="14" customHeight="1">
      <c r="B8" s="110" t="s">
        <v>75</v>
      </c>
      <c r="C8" s="111">
        <f>(1+COS($C$2*C7))/2</f>
        <v>0.25396744187639586</v>
      </c>
      <c r="F8" s="112" t="s">
        <v>55</v>
      </c>
      <c r="G8" s="113" t="s">
        <v>76</v>
      </c>
      <c r="H8" s="113" t="s">
        <v>77</v>
      </c>
      <c r="I8" s="113" t="s">
        <v>78</v>
      </c>
      <c r="J8" s="114" t="s">
        <v>79</v>
      </c>
    </row>
    <row r="9" spans="2:10" s="92" customFormat="1" ht="14" customHeight="1">
      <c r="F9" s="115">
        <v>-1</v>
      </c>
      <c r="G9" s="116">
        <f t="shared" ref="G9:G72" si="0">IFERROR(IF(SQRT(1-(F9*F9)/($J$5*$J$5))&lt;0.05,0,SQRT(1-(F9*F9)/($J$5*$J$5))),0)</f>
        <v>0</v>
      </c>
      <c r="H9" s="116">
        <f t="shared" ref="H9:H72" si="1">CHOOSE(MATCH($J$3,degrees),IF(F9&lt;0,IFERROR(1-G9,1),0),0,0,IF(F9&gt;0,IFERROR(1-G9,1),0))</f>
        <v>0</v>
      </c>
      <c r="I9" s="116">
        <f t="shared" ref="I9:I72" si="2">CHOOSE(MATCH($J$3,degrees),IF(F9&lt;0,2*G9,2),IF(F9&lt;0,0,1-G9),IF(F9&gt;0,0,1-G9),IF(F9&gt;0,2*G9,2))</f>
        <v>0</v>
      </c>
      <c r="J9" s="105">
        <f t="shared" ref="J9:J72" si="3">CHOOSE(MATCH($J$3,degrees),IF(F9&lt;0,G9+1,2),IF(F9&lt;0,2,2*G9),IF(F9&gt;0,2,2*G9),IF(F9&gt;0,G9+1,2))</f>
        <v>2</v>
      </c>
    </row>
    <row r="10" spans="2:10" s="92" customFormat="1" ht="14" customHeight="1">
      <c r="F10" s="115">
        <f t="shared" ref="F10:F73" si="4">F9+$G$4</f>
        <v>-0.99</v>
      </c>
      <c r="G10" s="116">
        <f t="shared" si="0"/>
        <v>0</v>
      </c>
      <c r="H10" s="116">
        <f t="shared" si="1"/>
        <v>0</v>
      </c>
      <c r="I10" s="116">
        <f t="shared" si="2"/>
        <v>0</v>
      </c>
      <c r="J10" s="105">
        <f t="shared" si="3"/>
        <v>2</v>
      </c>
    </row>
    <row r="11" spans="2:10" s="92" customFormat="1" ht="16" customHeight="1">
      <c r="F11" s="115">
        <f t="shared" si="4"/>
        <v>-0.98</v>
      </c>
      <c r="G11" s="116">
        <f t="shared" si="0"/>
        <v>0</v>
      </c>
      <c r="H11" s="116">
        <f t="shared" si="1"/>
        <v>0</v>
      </c>
      <c r="I11" s="116">
        <f t="shared" si="2"/>
        <v>0</v>
      </c>
      <c r="J11" s="105">
        <f t="shared" si="3"/>
        <v>2</v>
      </c>
    </row>
    <row r="12" spans="2:10" s="92" customFormat="1" ht="16" customHeight="1">
      <c r="F12" s="115">
        <f t="shared" si="4"/>
        <v>-0.97</v>
      </c>
      <c r="G12" s="116">
        <f t="shared" si="0"/>
        <v>0</v>
      </c>
      <c r="H12" s="116">
        <f t="shared" si="1"/>
        <v>0</v>
      </c>
      <c r="I12" s="116">
        <f t="shared" si="2"/>
        <v>0</v>
      </c>
      <c r="J12" s="105">
        <f t="shared" si="3"/>
        <v>2</v>
      </c>
    </row>
    <row r="13" spans="2:10" s="92" customFormat="1" ht="16" customHeight="1">
      <c r="F13" s="115">
        <f t="shared" si="4"/>
        <v>-0.96</v>
      </c>
      <c r="G13" s="116">
        <f t="shared" si="0"/>
        <v>0</v>
      </c>
      <c r="H13" s="116">
        <f t="shared" si="1"/>
        <v>0</v>
      </c>
      <c r="I13" s="116">
        <f t="shared" si="2"/>
        <v>0</v>
      </c>
      <c r="J13" s="105">
        <f t="shared" si="3"/>
        <v>2</v>
      </c>
    </row>
    <row r="14" spans="2:10" s="92" customFormat="1" ht="16" customHeight="1">
      <c r="E14" s="117"/>
      <c r="F14" s="115">
        <f t="shared" si="4"/>
        <v>-0.95</v>
      </c>
      <c r="G14" s="116">
        <f t="shared" si="0"/>
        <v>0</v>
      </c>
      <c r="H14" s="116">
        <f t="shared" si="1"/>
        <v>0</v>
      </c>
      <c r="I14" s="116">
        <f t="shared" si="2"/>
        <v>0</v>
      </c>
      <c r="J14" s="105">
        <f t="shared" si="3"/>
        <v>2</v>
      </c>
    </row>
    <row r="15" spans="2:10" s="92" customFormat="1" ht="16" customHeight="1">
      <c r="E15" s="117"/>
      <c r="F15" s="115">
        <f t="shared" si="4"/>
        <v>-0.94</v>
      </c>
      <c r="G15" s="116">
        <f t="shared" si="0"/>
        <v>0</v>
      </c>
      <c r="H15" s="116">
        <f t="shared" si="1"/>
        <v>0</v>
      </c>
      <c r="I15" s="116">
        <f t="shared" si="2"/>
        <v>0</v>
      </c>
      <c r="J15" s="105">
        <f t="shared" si="3"/>
        <v>2</v>
      </c>
    </row>
    <row r="16" spans="2:10" s="92" customFormat="1" ht="16" customHeight="1">
      <c r="E16" s="117"/>
      <c r="F16" s="115">
        <f t="shared" si="4"/>
        <v>-0.92999999999999994</v>
      </c>
      <c r="G16" s="116">
        <f t="shared" si="0"/>
        <v>0</v>
      </c>
      <c r="H16" s="116">
        <f t="shared" si="1"/>
        <v>0</v>
      </c>
      <c r="I16" s="116">
        <f t="shared" si="2"/>
        <v>0</v>
      </c>
      <c r="J16" s="105">
        <f t="shared" si="3"/>
        <v>2</v>
      </c>
    </row>
    <row r="17" spans="2:10" s="92" customFormat="1" ht="16" customHeight="1">
      <c r="E17" s="117"/>
      <c r="F17" s="115">
        <f t="shared" si="4"/>
        <v>-0.91999999999999993</v>
      </c>
      <c r="G17" s="116">
        <f t="shared" si="0"/>
        <v>0</v>
      </c>
      <c r="H17" s="116">
        <f t="shared" si="1"/>
        <v>0</v>
      </c>
      <c r="I17" s="116">
        <f t="shared" si="2"/>
        <v>0</v>
      </c>
      <c r="J17" s="105">
        <f t="shared" si="3"/>
        <v>2</v>
      </c>
    </row>
    <row r="18" spans="2:10" s="92" customFormat="1" ht="16" customHeight="1">
      <c r="E18" s="117"/>
      <c r="F18" s="115">
        <f t="shared" si="4"/>
        <v>-0.90999999999999992</v>
      </c>
      <c r="G18" s="116">
        <f t="shared" si="0"/>
        <v>0</v>
      </c>
      <c r="H18" s="116">
        <f t="shared" si="1"/>
        <v>0</v>
      </c>
      <c r="I18" s="116">
        <f t="shared" si="2"/>
        <v>0</v>
      </c>
      <c r="J18" s="105">
        <f t="shared" si="3"/>
        <v>2</v>
      </c>
    </row>
    <row r="19" spans="2:10" s="92" customFormat="1" ht="16" customHeight="1">
      <c r="B19" s="118" t="s">
        <v>80</v>
      </c>
      <c r="C19" s="119">
        <v>2460438.64</v>
      </c>
      <c r="D19" s="92" t="s">
        <v>81</v>
      </c>
      <c r="E19" s="117"/>
      <c r="F19" s="115">
        <f t="shared" si="4"/>
        <v>-0.89999999999999991</v>
      </c>
      <c r="G19" s="116">
        <f t="shared" si="0"/>
        <v>0</v>
      </c>
      <c r="H19" s="116">
        <f t="shared" si="1"/>
        <v>0</v>
      </c>
      <c r="I19" s="116">
        <f t="shared" si="2"/>
        <v>0</v>
      </c>
      <c r="J19" s="105">
        <f t="shared" si="3"/>
        <v>2</v>
      </c>
    </row>
    <row r="20" spans="2:10" s="92" customFormat="1" ht="16" customHeight="1">
      <c r="B20" s="120" t="s">
        <v>82</v>
      </c>
      <c r="C20" s="121">
        <f>((Visibility!C10-C19)/29.530588853)-INT((Visibility!C10-C19)/29.530588853)</f>
        <v>0.18657942253658888</v>
      </c>
      <c r="D20" s="92" t="str">
        <f>IF(C20&lt;0.5,"(before FM)","(after FM)")</f>
        <v>(before FM)</v>
      </c>
      <c r="E20" s="117"/>
      <c r="F20" s="115">
        <f t="shared" si="4"/>
        <v>-0.8899999999999999</v>
      </c>
      <c r="G20" s="116">
        <f t="shared" si="0"/>
        <v>0</v>
      </c>
      <c r="H20" s="116">
        <f t="shared" si="1"/>
        <v>0</v>
      </c>
      <c r="I20" s="116">
        <f t="shared" si="2"/>
        <v>0</v>
      </c>
      <c r="J20" s="105">
        <f t="shared" si="3"/>
        <v>2</v>
      </c>
    </row>
    <row r="21" spans="2:10" s="92" customFormat="1" ht="16" customHeight="1">
      <c r="B21" s="110" t="s">
        <v>83</v>
      </c>
      <c r="C21" s="122">
        <f>IF(C20&lt;0.5,180*C8,360-180*C8)</f>
        <v>45.714139537751258</v>
      </c>
      <c r="E21" s="117"/>
      <c r="F21" s="115">
        <f t="shared" si="4"/>
        <v>-0.87999999999999989</v>
      </c>
      <c r="G21" s="116">
        <f t="shared" si="0"/>
        <v>0</v>
      </c>
      <c r="H21" s="116">
        <f t="shared" si="1"/>
        <v>0</v>
      </c>
      <c r="I21" s="116">
        <f t="shared" si="2"/>
        <v>0</v>
      </c>
      <c r="J21" s="105">
        <f t="shared" si="3"/>
        <v>2</v>
      </c>
    </row>
    <row r="22" spans="2:10" s="92" customFormat="1" ht="16" customHeight="1">
      <c r="E22" s="117"/>
      <c r="F22" s="115">
        <f t="shared" si="4"/>
        <v>-0.86999999999999988</v>
      </c>
      <c r="G22" s="116">
        <f t="shared" si="0"/>
        <v>0</v>
      </c>
      <c r="H22" s="116">
        <f t="shared" si="1"/>
        <v>0</v>
      </c>
      <c r="I22" s="116">
        <f t="shared" si="2"/>
        <v>0</v>
      </c>
      <c r="J22" s="105">
        <f t="shared" si="3"/>
        <v>2</v>
      </c>
    </row>
    <row r="23" spans="2:10" s="92" customFormat="1" ht="16" customHeight="1">
      <c r="B23" s="123">
        <v>0</v>
      </c>
      <c r="C23" s="124">
        <v>0</v>
      </c>
      <c r="D23" s="125" t="s">
        <v>84</v>
      </c>
      <c r="F23" s="115">
        <f t="shared" si="4"/>
        <v>-0.85999999999999988</v>
      </c>
      <c r="G23" s="116">
        <f t="shared" si="0"/>
        <v>0</v>
      </c>
      <c r="H23" s="116">
        <f t="shared" si="1"/>
        <v>0</v>
      </c>
      <c r="I23" s="116">
        <f t="shared" si="2"/>
        <v>0</v>
      </c>
      <c r="J23" s="105">
        <f t="shared" si="3"/>
        <v>2</v>
      </c>
    </row>
    <row r="24" spans="2:10" s="92" customFormat="1" ht="16" customHeight="1">
      <c r="B24" s="126">
        <f t="shared" ref="B24:B31" si="5">B23+45</f>
        <v>45</v>
      </c>
      <c r="C24" s="127">
        <f t="shared" ref="C24:C31" si="6">B24-22.5</f>
        <v>22.5</v>
      </c>
      <c r="D24" s="128" t="s">
        <v>85</v>
      </c>
      <c r="F24" s="115">
        <f t="shared" si="4"/>
        <v>-0.84999999999999987</v>
      </c>
      <c r="G24" s="116">
        <f t="shared" si="0"/>
        <v>0</v>
      </c>
      <c r="H24" s="116">
        <f t="shared" si="1"/>
        <v>0</v>
      </c>
      <c r="I24" s="116">
        <f t="shared" si="2"/>
        <v>0</v>
      </c>
      <c r="J24" s="105">
        <f t="shared" si="3"/>
        <v>2</v>
      </c>
    </row>
    <row r="25" spans="2:10" s="92" customFormat="1" ht="16" customHeight="1">
      <c r="B25" s="126">
        <f t="shared" si="5"/>
        <v>90</v>
      </c>
      <c r="C25" s="127">
        <f t="shared" si="6"/>
        <v>67.5</v>
      </c>
      <c r="D25" s="128" t="s">
        <v>86</v>
      </c>
      <c r="F25" s="115">
        <f t="shared" si="4"/>
        <v>-0.83999999999999986</v>
      </c>
      <c r="G25" s="116">
        <f t="shared" si="0"/>
        <v>0</v>
      </c>
      <c r="H25" s="116">
        <f t="shared" si="1"/>
        <v>0</v>
      </c>
      <c r="I25" s="116">
        <f t="shared" si="2"/>
        <v>0</v>
      </c>
      <c r="J25" s="105">
        <f t="shared" si="3"/>
        <v>2</v>
      </c>
    </row>
    <row r="26" spans="2:10" s="92" customFormat="1" ht="16" customHeight="1">
      <c r="B26" s="126">
        <f t="shared" si="5"/>
        <v>135</v>
      </c>
      <c r="C26" s="127">
        <f t="shared" si="6"/>
        <v>112.5</v>
      </c>
      <c r="D26" s="128" t="s">
        <v>87</v>
      </c>
      <c r="F26" s="115">
        <f t="shared" si="4"/>
        <v>-0.82999999999999985</v>
      </c>
      <c r="G26" s="116">
        <f t="shared" si="0"/>
        <v>0</v>
      </c>
      <c r="H26" s="116">
        <f t="shared" si="1"/>
        <v>0</v>
      </c>
      <c r="I26" s="116">
        <f t="shared" si="2"/>
        <v>0</v>
      </c>
      <c r="J26" s="105">
        <f t="shared" si="3"/>
        <v>2</v>
      </c>
    </row>
    <row r="27" spans="2:10" s="92" customFormat="1" ht="16" customHeight="1">
      <c r="B27" s="126">
        <f t="shared" si="5"/>
        <v>180</v>
      </c>
      <c r="C27" s="127">
        <f t="shared" si="6"/>
        <v>157.5</v>
      </c>
      <c r="D27" s="128" t="s">
        <v>88</v>
      </c>
      <c r="F27" s="115">
        <f t="shared" si="4"/>
        <v>-0.81999999999999984</v>
      </c>
      <c r="G27" s="116">
        <f t="shared" si="0"/>
        <v>0</v>
      </c>
      <c r="H27" s="116">
        <f t="shared" si="1"/>
        <v>0</v>
      </c>
      <c r="I27" s="116">
        <f t="shared" si="2"/>
        <v>0</v>
      </c>
      <c r="J27" s="105">
        <f t="shared" si="3"/>
        <v>2</v>
      </c>
    </row>
    <row r="28" spans="2:10" s="92" customFormat="1" ht="16" customHeight="1">
      <c r="B28" s="126">
        <f t="shared" si="5"/>
        <v>225</v>
      </c>
      <c r="C28" s="127">
        <f t="shared" si="6"/>
        <v>202.5</v>
      </c>
      <c r="D28" s="128" t="s">
        <v>89</v>
      </c>
      <c r="F28" s="115">
        <f t="shared" si="4"/>
        <v>-0.80999999999999983</v>
      </c>
      <c r="G28" s="116">
        <f t="shared" si="0"/>
        <v>0</v>
      </c>
      <c r="H28" s="116">
        <f t="shared" si="1"/>
        <v>0</v>
      </c>
      <c r="I28" s="116">
        <f t="shared" si="2"/>
        <v>0</v>
      </c>
      <c r="J28" s="105">
        <f t="shared" si="3"/>
        <v>2</v>
      </c>
    </row>
    <row r="29" spans="2:10" s="92" customFormat="1" ht="16" customHeight="1">
      <c r="B29" s="126">
        <f t="shared" si="5"/>
        <v>270</v>
      </c>
      <c r="C29" s="127">
        <f t="shared" si="6"/>
        <v>247.5</v>
      </c>
      <c r="D29" s="128" t="s">
        <v>90</v>
      </c>
      <c r="F29" s="115">
        <f t="shared" si="4"/>
        <v>-0.79999999999999982</v>
      </c>
      <c r="G29" s="116">
        <f t="shared" si="0"/>
        <v>0</v>
      </c>
      <c r="H29" s="116">
        <f t="shared" si="1"/>
        <v>0</v>
      </c>
      <c r="I29" s="116">
        <f t="shared" si="2"/>
        <v>0</v>
      </c>
      <c r="J29" s="105">
        <f t="shared" si="3"/>
        <v>2</v>
      </c>
    </row>
    <row r="30" spans="2:10" s="92" customFormat="1" ht="16" customHeight="1">
      <c r="B30" s="126">
        <f t="shared" si="5"/>
        <v>315</v>
      </c>
      <c r="C30" s="127">
        <f t="shared" si="6"/>
        <v>292.5</v>
      </c>
      <c r="D30" s="128" t="s">
        <v>91</v>
      </c>
      <c r="F30" s="115">
        <f t="shared" si="4"/>
        <v>-0.78999999999999981</v>
      </c>
      <c r="G30" s="116">
        <f t="shared" si="0"/>
        <v>0</v>
      </c>
      <c r="H30" s="116">
        <f t="shared" si="1"/>
        <v>0</v>
      </c>
      <c r="I30" s="116">
        <f t="shared" si="2"/>
        <v>0</v>
      </c>
      <c r="J30" s="105">
        <f t="shared" si="3"/>
        <v>2</v>
      </c>
    </row>
    <row r="31" spans="2:10" s="92" customFormat="1" ht="16" customHeight="1">
      <c r="B31" s="129">
        <f t="shared" si="5"/>
        <v>360</v>
      </c>
      <c r="C31" s="130">
        <f t="shared" si="6"/>
        <v>337.5</v>
      </c>
      <c r="D31" s="131" t="s">
        <v>84</v>
      </c>
      <c r="F31" s="115">
        <f t="shared" si="4"/>
        <v>-0.7799999999999998</v>
      </c>
      <c r="G31" s="116">
        <f t="shared" si="0"/>
        <v>0</v>
      </c>
      <c r="H31" s="116">
        <f t="shared" si="1"/>
        <v>0</v>
      </c>
      <c r="I31" s="116">
        <f t="shared" si="2"/>
        <v>0</v>
      </c>
      <c r="J31" s="105">
        <f t="shared" si="3"/>
        <v>2</v>
      </c>
    </row>
    <row r="32" spans="2:10" s="92" customFormat="1" ht="16" customHeight="1">
      <c r="F32" s="115">
        <f t="shared" si="4"/>
        <v>-0.7699999999999998</v>
      </c>
      <c r="G32" s="116">
        <f t="shared" si="0"/>
        <v>0</v>
      </c>
      <c r="H32" s="116">
        <f t="shared" si="1"/>
        <v>0</v>
      </c>
      <c r="I32" s="116">
        <f t="shared" si="2"/>
        <v>0</v>
      </c>
      <c r="J32" s="105">
        <f t="shared" si="3"/>
        <v>2</v>
      </c>
    </row>
    <row r="33" spans="6:10" s="92" customFormat="1" ht="16" customHeight="1">
      <c r="F33" s="115">
        <f t="shared" si="4"/>
        <v>-0.75999999999999979</v>
      </c>
      <c r="G33" s="116">
        <f t="shared" si="0"/>
        <v>0</v>
      </c>
      <c r="H33" s="116">
        <f t="shared" si="1"/>
        <v>0</v>
      </c>
      <c r="I33" s="116">
        <f t="shared" si="2"/>
        <v>0</v>
      </c>
      <c r="J33" s="105">
        <f t="shared" si="3"/>
        <v>2</v>
      </c>
    </row>
    <row r="34" spans="6:10" s="92" customFormat="1" ht="16" customHeight="1">
      <c r="F34" s="115">
        <f t="shared" si="4"/>
        <v>-0.74999999999999978</v>
      </c>
      <c r="G34" s="116">
        <f t="shared" si="0"/>
        <v>0</v>
      </c>
      <c r="H34" s="116">
        <f t="shared" si="1"/>
        <v>0</v>
      </c>
      <c r="I34" s="116">
        <f t="shared" si="2"/>
        <v>0</v>
      </c>
      <c r="J34" s="105">
        <f t="shared" si="3"/>
        <v>2</v>
      </c>
    </row>
    <row r="35" spans="6:10" s="92" customFormat="1" ht="16" customHeight="1">
      <c r="F35" s="115">
        <f t="shared" si="4"/>
        <v>-0.73999999999999977</v>
      </c>
      <c r="G35" s="116">
        <f t="shared" si="0"/>
        <v>0</v>
      </c>
      <c r="H35" s="116">
        <f t="shared" si="1"/>
        <v>0</v>
      </c>
      <c r="I35" s="116">
        <f t="shared" si="2"/>
        <v>0</v>
      </c>
      <c r="J35" s="105">
        <f t="shared" si="3"/>
        <v>2</v>
      </c>
    </row>
    <row r="36" spans="6:10" s="92" customFormat="1" ht="16" customHeight="1">
      <c r="F36" s="115">
        <f t="shared" si="4"/>
        <v>-0.72999999999999976</v>
      </c>
      <c r="G36" s="116">
        <f t="shared" si="0"/>
        <v>0</v>
      </c>
      <c r="H36" s="116">
        <f t="shared" si="1"/>
        <v>0</v>
      </c>
      <c r="I36" s="116">
        <f t="shared" si="2"/>
        <v>0</v>
      </c>
      <c r="J36" s="105">
        <f t="shared" si="3"/>
        <v>2</v>
      </c>
    </row>
    <row r="37" spans="6:10" s="92" customFormat="1" ht="16" customHeight="1">
      <c r="F37" s="115">
        <f t="shared" si="4"/>
        <v>-0.71999999999999975</v>
      </c>
      <c r="G37" s="116">
        <f t="shared" si="0"/>
        <v>0</v>
      </c>
      <c r="H37" s="116">
        <f t="shared" si="1"/>
        <v>0</v>
      </c>
      <c r="I37" s="116">
        <f t="shared" si="2"/>
        <v>0</v>
      </c>
      <c r="J37" s="105">
        <f t="shared" si="3"/>
        <v>2</v>
      </c>
    </row>
    <row r="38" spans="6:10" s="92" customFormat="1" ht="16" customHeight="1">
      <c r="F38" s="115">
        <f t="shared" si="4"/>
        <v>-0.70999999999999974</v>
      </c>
      <c r="G38" s="116">
        <f t="shared" si="0"/>
        <v>0</v>
      </c>
      <c r="H38" s="116">
        <f t="shared" si="1"/>
        <v>0</v>
      </c>
      <c r="I38" s="116">
        <f t="shared" si="2"/>
        <v>0</v>
      </c>
      <c r="J38" s="105">
        <f t="shared" si="3"/>
        <v>2</v>
      </c>
    </row>
    <row r="39" spans="6:10" s="92" customFormat="1" ht="16" customHeight="1">
      <c r="F39" s="115">
        <f t="shared" si="4"/>
        <v>-0.69999999999999973</v>
      </c>
      <c r="G39" s="116">
        <f t="shared" si="0"/>
        <v>0</v>
      </c>
      <c r="H39" s="116">
        <f t="shared" si="1"/>
        <v>0</v>
      </c>
      <c r="I39" s="116">
        <f t="shared" si="2"/>
        <v>0</v>
      </c>
      <c r="J39" s="105">
        <f t="shared" si="3"/>
        <v>2</v>
      </c>
    </row>
    <row r="40" spans="6:10" s="92" customFormat="1" ht="16" customHeight="1">
      <c r="F40" s="115">
        <f t="shared" si="4"/>
        <v>-0.68999999999999972</v>
      </c>
      <c r="G40" s="116">
        <f t="shared" si="0"/>
        <v>0.15316377567292855</v>
      </c>
      <c r="H40" s="116">
        <f t="shared" si="1"/>
        <v>0</v>
      </c>
      <c r="I40" s="116">
        <f t="shared" si="2"/>
        <v>0</v>
      </c>
      <c r="J40" s="105">
        <f t="shared" si="3"/>
        <v>2</v>
      </c>
    </row>
    <row r="41" spans="6:10" s="92" customFormat="1" ht="16" customHeight="1">
      <c r="F41" s="115">
        <f t="shared" si="4"/>
        <v>-0.67999999999999972</v>
      </c>
      <c r="G41" s="116">
        <f t="shared" si="0"/>
        <v>0.22706730662433866</v>
      </c>
      <c r="H41" s="116">
        <f t="shared" si="1"/>
        <v>0</v>
      </c>
      <c r="I41" s="116">
        <f t="shared" si="2"/>
        <v>0</v>
      </c>
      <c r="J41" s="105">
        <f t="shared" si="3"/>
        <v>2</v>
      </c>
    </row>
    <row r="42" spans="6:10" s="92" customFormat="1" ht="16" customHeight="1">
      <c r="F42" s="115">
        <f t="shared" si="4"/>
        <v>-0.66999999999999971</v>
      </c>
      <c r="G42" s="116">
        <f t="shared" si="0"/>
        <v>0.28151333217775082</v>
      </c>
      <c r="H42" s="116">
        <f t="shared" si="1"/>
        <v>0</v>
      </c>
      <c r="I42" s="116">
        <f t="shared" si="2"/>
        <v>0</v>
      </c>
      <c r="J42" s="105">
        <f t="shared" si="3"/>
        <v>2</v>
      </c>
    </row>
    <row r="43" spans="6:10" s="92" customFormat="1" ht="16" customHeight="1">
      <c r="F43" s="115">
        <f t="shared" si="4"/>
        <v>-0.6599999999999997</v>
      </c>
      <c r="G43" s="116">
        <f t="shared" si="0"/>
        <v>0.32638891762275801</v>
      </c>
      <c r="H43" s="116">
        <f t="shared" si="1"/>
        <v>0</v>
      </c>
      <c r="I43" s="116">
        <f t="shared" si="2"/>
        <v>0</v>
      </c>
      <c r="J43" s="105">
        <f t="shared" si="3"/>
        <v>2</v>
      </c>
    </row>
    <row r="44" spans="6:10" s="92" customFormat="1" ht="16" customHeight="1">
      <c r="F44" s="115">
        <f t="shared" si="4"/>
        <v>-0.64999999999999969</v>
      </c>
      <c r="G44" s="116">
        <f t="shared" si="0"/>
        <v>0.36523892152539772</v>
      </c>
      <c r="H44" s="116">
        <f t="shared" si="1"/>
        <v>0</v>
      </c>
      <c r="I44" s="116">
        <f t="shared" si="2"/>
        <v>0</v>
      </c>
      <c r="J44" s="105">
        <f t="shared" si="3"/>
        <v>2</v>
      </c>
    </row>
    <row r="45" spans="6:10" s="92" customFormat="1" ht="16" customHeight="1">
      <c r="F45" s="115">
        <f t="shared" si="4"/>
        <v>-0.63999999999999968</v>
      </c>
      <c r="G45" s="116">
        <f t="shared" si="0"/>
        <v>0.39982369732678569</v>
      </c>
      <c r="H45" s="116">
        <f t="shared" si="1"/>
        <v>0</v>
      </c>
      <c r="I45" s="116">
        <f t="shared" si="2"/>
        <v>0</v>
      </c>
      <c r="J45" s="105">
        <f t="shared" si="3"/>
        <v>2</v>
      </c>
    </row>
    <row r="46" spans="6:10" s="92" customFormat="1" ht="16" customHeight="1">
      <c r="F46" s="115">
        <f t="shared" si="4"/>
        <v>-0.62999999999999967</v>
      </c>
      <c r="G46" s="116">
        <f t="shared" si="0"/>
        <v>0.43117082808097285</v>
      </c>
      <c r="H46" s="116">
        <f t="shared" si="1"/>
        <v>0</v>
      </c>
      <c r="I46" s="116">
        <f t="shared" si="2"/>
        <v>0</v>
      </c>
      <c r="J46" s="105">
        <f t="shared" si="3"/>
        <v>2</v>
      </c>
    </row>
    <row r="47" spans="6:10" s="92" customFormat="1" ht="16" customHeight="1">
      <c r="F47" s="115">
        <f t="shared" si="4"/>
        <v>-0.61999999999999966</v>
      </c>
      <c r="G47" s="116">
        <f t="shared" si="0"/>
        <v>0.45994277027576813</v>
      </c>
      <c r="H47" s="116">
        <f t="shared" si="1"/>
        <v>0</v>
      </c>
      <c r="I47" s="116">
        <f t="shared" si="2"/>
        <v>0</v>
      </c>
      <c r="J47" s="105">
        <f t="shared" si="3"/>
        <v>2</v>
      </c>
    </row>
    <row r="48" spans="6:10" s="92" customFormat="1" ht="16" customHeight="1">
      <c r="F48" s="115">
        <f t="shared" si="4"/>
        <v>-0.60999999999999965</v>
      </c>
      <c r="G48" s="116">
        <f t="shared" si="0"/>
        <v>0.48659654311021316</v>
      </c>
      <c r="H48" s="116">
        <f t="shared" si="1"/>
        <v>0</v>
      </c>
      <c r="I48" s="116">
        <f t="shared" si="2"/>
        <v>0</v>
      </c>
      <c r="J48" s="105">
        <f t="shared" si="3"/>
        <v>2</v>
      </c>
    </row>
    <row r="49" spans="6:10" s="92" customFormat="1" ht="16" customHeight="1">
      <c r="F49" s="115">
        <f t="shared" si="4"/>
        <v>-0.59999999999999964</v>
      </c>
      <c r="G49" s="116">
        <f t="shared" si="0"/>
        <v>0.51146340485084196</v>
      </c>
      <c r="H49" s="116">
        <f t="shared" si="1"/>
        <v>0</v>
      </c>
      <c r="I49" s="116">
        <f t="shared" si="2"/>
        <v>0</v>
      </c>
      <c r="J49" s="105">
        <f t="shared" si="3"/>
        <v>2</v>
      </c>
    </row>
    <row r="50" spans="6:10" s="92" customFormat="1" ht="16" customHeight="1">
      <c r="F50" s="115">
        <f t="shared" si="4"/>
        <v>-0.58999999999999964</v>
      </c>
      <c r="G50" s="116">
        <f t="shared" si="0"/>
        <v>0.53479267771106265</v>
      </c>
      <c r="H50" s="116">
        <f t="shared" si="1"/>
        <v>0</v>
      </c>
      <c r="I50" s="116">
        <f t="shared" si="2"/>
        <v>0</v>
      </c>
      <c r="J50" s="105">
        <f t="shared" si="3"/>
        <v>2</v>
      </c>
    </row>
    <row r="51" spans="6:10" s="92" customFormat="1" ht="16" customHeight="1">
      <c r="F51" s="115">
        <f t="shared" si="4"/>
        <v>-0.57999999999999963</v>
      </c>
      <c r="G51" s="116">
        <f t="shared" si="0"/>
        <v>0.55677767256066035</v>
      </c>
      <c r="H51" s="116">
        <f t="shared" si="1"/>
        <v>0</v>
      </c>
      <c r="I51" s="116">
        <f t="shared" si="2"/>
        <v>0</v>
      </c>
      <c r="J51" s="105">
        <f t="shared" si="3"/>
        <v>2</v>
      </c>
    </row>
    <row r="52" spans="6:10" s="92" customFormat="1" ht="16" customHeight="1">
      <c r="F52" s="115">
        <f t="shared" si="4"/>
        <v>-0.56999999999999962</v>
      </c>
      <c r="G52" s="116">
        <f t="shared" si="0"/>
        <v>0.57757191767580662</v>
      </c>
      <c r="H52" s="116">
        <f t="shared" si="1"/>
        <v>0</v>
      </c>
      <c r="I52" s="116">
        <f t="shared" si="2"/>
        <v>0</v>
      </c>
      <c r="J52" s="105">
        <f t="shared" si="3"/>
        <v>2</v>
      </c>
    </row>
    <row r="53" spans="6:10" s="92" customFormat="1" ht="16" customHeight="1">
      <c r="F53" s="115">
        <f t="shared" si="4"/>
        <v>-0.55999999999999961</v>
      </c>
      <c r="G53" s="116">
        <f t="shared" si="0"/>
        <v>0.59729978939415096</v>
      </c>
      <c r="H53" s="116">
        <f t="shared" si="1"/>
        <v>0</v>
      </c>
      <c r="I53" s="116">
        <f t="shared" si="2"/>
        <v>0</v>
      </c>
      <c r="J53" s="105">
        <f t="shared" si="3"/>
        <v>2</v>
      </c>
    </row>
    <row r="54" spans="6:10" s="92" customFormat="1" ht="16" customHeight="1">
      <c r="F54" s="115">
        <f t="shared" si="4"/>
        <v>-0.5499999999999996</v>
      </c>
      <c r="G54" s="116">
        <f t="shared" si="0"/>
        <v>0.61606373990832364</v>
      </c>
      <c r="H54" s="116">
        <f t="shared" si="1"/>
        <v>0</v>
      </c>
      <c r="I54" s="116">
        <f t="shared" si="2"/>
        <v>0</v>
      </c>
      <c r="J54" s="105">
        <f t="shared" si="3"/>
        <v>2</v>
      </c>
    </row>
    <row r="55" spans="6:10" s="92" customFormat="1" ht="16" customHeight="1">
      <c r="F55" s="115">
        <f t="shared" si="4"/>
        <v>-0.53999999999999959</v>
      </c>
      <c r="G55" s="116">
        <f t="shared" si="0"/>
        <v>0.63394936686324521</v>
      </c>
      <c r="H55" s="116">
        <f t="shared" si="1"/>
        <v>0</v>
      </c>
      <c r="I55" s="116">
        <f t="shared" si="2"/>
        <v>0</v>
      </c>
      <c r="J55" s="105">
        <f t="shared" si="3"/>
        <v>2</v>
      </c>
    </row>
    <row r="56" spans="6:10" s="92" customFormat="1" ht="16" customHeight="1">
      <c r="F56" s="115">
        <f t="shared" si="4"/>
        <v>-0.52999999999999958</v>
      </c>
      <c r="G56" s="116">
        <f t="shared" si="0"/>
        <v>0.6510290644508383</v>
      </c>
      <c r="H56" s="116">
        <f t="shared" si="1"/>
        <v>0</v>
      </c>
      <c r="I56" s="116">
        <f t="shared" si="2"/>
        <v>0</v>
      </c>
      <c r="J56" s="105">
        <f t="shared" si="3"/>
        <v>2</v>
      </c>
    </row>
    <row r="57" spans="6:10" s="92" customFormat="1" ht="16" customHeight="1">
      <c r="F57" s="115">
        <f t="shared" si="4"/>
        <v>-0.51999999999999957</v>
      </c>
      <c r="G57" s="116">
        <f t="shared" si="0"/>
        <v>0.66736471338399606</v>
      </c>
      <c r="H57" s="116">
        <f t="shared" si="1"/>
        <v>0</v>
      </c>
      <c r="I57" s="116">
        <f t="shared" si="2"/>
        <v>0</v>
      </c>
      <c r="J57" s="105">
        <f t="shared" si="3"/>
        <v>2</v>
      </c>
    </row>
    <row r="58" spans="6:10" s="92" customFormat="1" ht="16" customHeight="1">
      <c r="F58" s="115">
        <f t="shared" si="4"/>
        <v>-0.50999999999999956</v>
      </c>
      <c r="G58" s="116">
        <f t="shared" si="0"/>
        <v>0.68300970233036817</v>
      </c>
      <c r="H58" s="116">
        <f t="shared" si="1"/>
        <v>0</v>
      </c>
      <c r="I58" s="116">
        <f t="shared" si="2"/>
        <v>0</v>
      </c>
      <c r="J58" s="105">
        <f t="shared" si="3"/>
        <v>2</v>
      </c>
    </row>
    <row r="59" spans="6:10" s="92" customFormat="1" ht="16" customHeight="1">
      <c r="F59" s="115">
        <f t="shared" si="4"/>
        <v>-0.49999999999999956</v>
      </c>
      <c r="G59" s="116">
        <f t="shared" si="0"/>
        <v>0.69801047354726586</v>
      </c>
      <c r="H59" s="116">
        <f t="shared" si="1"/>
        <v>0</v>
      </c>
      <c r="I59" s="116">
        <f t="shared" si="2"/>
        <v>0</v>
      </c>
      <c r="J59" s="105">
        <f t="shared" si="3"/>
        <v>2</v>
      </c>
    </row>
    <row r="60" spans="6:10" s="92" customFormat="1" ht="16" customHeight="1">
      <c r="F60" s="115">
        <f t="shared" si="4"/>
        <v>-0.48999999999999955</v>
      </c>
      <c r="G60" s="116">
        <f t="shared" si="0"/>
        <v>0.71240772299497424</v>
      </c>
      <c r="H60" s="116">
        <f t="shared" si="1"/>
        <v>0</v>
      </c>
      <c r="I60" s="116">
        <f t="shared" si="2"/>
        <v>0</v>
      </c>
      <c r="J60" s="105">
        <f t="shared" si="3"/>
        <v>2</v>
      </c>
    </row>
    <row r="61" spans="6:10" s="92" customFormat="1" ht="16" customHeight="1">
      <c r="F61" s="115">
        <f t="shared" si="4"/>
        <v>-0.47999999999999954</v>
      </c>
      <c r="G61" s="116">
        <f t="shared" si="0"/>
        <v>0.72623734500577342</v>
      </c>
      <c r="H61" s="116">
        <f t="shared" si="1"/>
        <v>0</v>
      </c>
      <c r="I61" s="116">
        <f t="shared" si="2"/>
        <v>0</v>
      </c>
      <c r="J61" s="105">
        <f t="shared" si="3"/>
        <v>2</v>
      </c>
    </row>
    <row r="62" spans="6:10" s="92" customFormat="1" ht="16" customHeight="1">
      <c r="F62" s="115">
        <f t="shared" si="4"/>
        <v>-0.46999999999999953</v>
      </c>
      <c r="G62" s="116">
        <f t="shared" si="0"/>
        <v>0.73953118505992099</v>
      </c>
      <c r="H62" s="116">
        <f t="shared" si="1"/>
        <v>0</v>
      </c>
      <c r="I62" s="116">
        <f t="shared" si="2"/>
        <v>0</v>
      </c>
      <c r="J62" s="105">
        <f t="shared" si="3"/>
        <v>2</v>
      </c>
    </row>
    <row r="63" spans="6:10" s="92" customFormat="1" ht="16" customHeight="1">
      <c r="F63" s="115">
        <f t="shared" si="4"/>
        <v>-0.45999999999999952</v>
      </c>
      <c r="G63" s="116">
        <f t="shared" si="0"/>
        <v>0.75231764632246445</v>
      </c>
      <c r="H63" s="116">
        <f t="shared" si="1"/>
        <v>0</v>
      </c>
      <c r="I63" s="116">
        <f t="shared" si="2"/>
        <v>0</v>
      </c>
      <c r="J63" s="105">
        <f t="shared" si="3"/>
        <v>2</v>
      </c>
    </row>
    <row r="64" spans="6:10" ht="16">
      <c r="F64" s="115">
        <f t="shared" si="4"/>
        <v>-0.44999999999999951</v>
      </c>
      <c r="G64" s="116">
        <f t="shared" si="0"/>
        <v>0.76462218327560938</v>
      </c>
      <c r="H64" s="116">
        <f t="shared" si="1"/>
        <v>0</v>
      </c>
      <c r="I64" s="116">
        <f t="shared" si="2"/>
        <v>0</v>
      </c>
      <c r="J64" s="105">
        <f t="shared" si="3"/>
        <v>2</v>
      </c>
    </row>
    <row r="65" spans="6:10" ht="16">
      <c r="F65" s="115">
        <f t="shared" si="4"/>
        <v>-0.4399999999999995</v>
      </c>
      <c r="G65" s="116">
        <f t="shared" si="0"/>
        <v>0.77646770714762625</v>
      </c>
      <c r="H65" s="116">
        <f t="shared" si="1"/>
        <v>0</v>
      </c>
      <c r="I65" s="116">
        <f t="shared" si="2"/>
        <v>0</v>
      </c>
      <c r="J65" s="105">
        <f t="shared" si="3"/>
        <v>2</v>
      </c>
    </row>
    <row r="66" spans="6:10" ht="16">
      <c r="F66" s="115">
        <f t="shared" si="4"/>
        <v>-0.42999999999999949</v>
      </c>
      <c r="G66" s="116">
        <f t="shared" si="0"/>
        <v>0.78787492168869644</v>
      </c>
      <c r="H66" s="116">
        <f t="shared" si="1"/>
        <v>0</v>
      </c>
      <c r="I66" s="116">
        <f t="shared" si="2"/>
        <v>0</v>
      </c>
      <c r="J66" s="105">
        <f t="shared" si="3"/>
        <v>2</v>
      </c>
    </row>
    <row r="67" spans="6:10" ht="16">
      <c r="F67" s="115">
        <f t="shared" si="4"/>
        <v>-0.41999999999999948</v>
      </c>
      <c r="G67" s="116">
        <f t="shared" si="0"/>
        <v>0.79886260339672455</v>
      </c>
      <c r="H67" s="116">
        <f t="shared" si="1"/>
        <v>0</v>
      </c>
      <c r="I67" s="116">
        <f t="shared" si="2"/>
        <v>0</v>
      </c>
      <c r="J67" s="105">
        <f t="shared" si="3"/>
        <v>2</v>
      </c>
    </row>
    <row r="68" spans="6:10" ht="16">
      <c r="F68" s="115">
        <f t="shared" si="4"/>
        <v>-0.40999999999999948</v>
      </c>
      <c r="G68" s="116">
        <f t="shared" si="0"/>
        <v>0.8094478370361865</v>
      </c>
      <c r="H68" s="116">
        <f t="shared" si="1"/>
        <v>0</v>
      </c>
      <c r="I68" s="116">
        <f t="shared" si="2"/>
        <v>0</v>
      </c>
      <c r="J68" s="105">
        <f t="shared" si="3"/>
        <v>2</v>
      </c>
    </row>
    <row r="69" spans="6:10" ht="16">
      <c r="F69" s="115">
        <f t="shared" si="4"/>
        <v>-0.39999999999999947</v>
      </c>
      <c r="G69" s="116">
        <f t="shared" si="0"/>
        <v>0.8196462148733894</v>
      </c>
      <c r="H69" s="116">
        <f t="shared" si="1"/>
        <v>0</v>
      </c>
      <c r="I69" s="116">
        <f t="shared" si="2"/>
        <v>0</v>
      </c>
      <c r="J69" s="105">
        <f t="shared" si="3"/>
        <v>2</v>
      </c>
    </row>
    <row r="70" spans="6:10" ht="16">
      <c r="F70" s="115">
        <f t="shared" si="4"/>
        <v>-0.38999999999999946</v>
      </c>
      <c r="G70" s="116">
        <f t="shared" si="0"/>
        <v>0.8294720062346489</v>
      </c>
      <c r="H70" s="116">
        <f t="shared" si="1"/>
        <v>0</v>
      </c>
      <c r="I70" s="116">
        <f t="shared" si="2"/>
        <v>0</v>
      </c>
      <c r="J70" s="105">
        <f t="shared" si="3"/>
        <v>2</v>
      </c>
    </row>
    <row r="71" spans="6:10" ht="16">
      <c r="F71" s="115">
        <f t="shared" si="4"/>
        <v>-0.37999999999999945</v>
      </c>
      <c r="G71" s="116">
        <f t="shared" si="0"/>
        <v>0.83893830261500024</v>
      </c>
      <c r="H71" s="116">
        <f t="shared" si="1"/>
        <v>0</v>
      </c>
      <c r="I71" s="116">
        <f t="shared" si="2"/>
        <v>0</v>
      </c>
      <c r="J71" s="105">
        <f t="shared" si="3"/>
        <v>2</v>
      </c>
    </row>
    <row r="72" spans="6:10" ht="16">
      <c r="F72" s="115">
        <f t="shared" si="4"/>
        <v>-0.36999999999999944</v>
      </c>
      <c r="G72" s="116">
        <f t="shared" si="0"/>
        <v>0.84805714250814923</v>
      </c>
      <c r="H72" s="116">
        <f t="shared" si="1"/>
        <v>0</v>
      </c>
      <c r="I72" s="116">
        <f t="shared" si="2"/>
        <v>0</v>
      </c>
      <c r="J72" s="105">
        <f t="shared" si="3"/>
        <v>2</v>
      </c>
    </row>
    <row r="73" spans="6:10" ht="16">
      <c r="F73" s="115">
        <f t="shared" si="4"/>
        <v>-0.35999999999999943</v>
      </c>
      <c r="G73" s="116">
        <f t="shared" ref="G73:G136" si="7">IFERROR(IF(SQRT(1-(F73*F73)/($J$5*$J$5))&lt;0.05,0,SQRT(1-(F73*F73)/($J$5*$J$5))),0)</f>
        <v>0.85683961931074504</v>
      </c>
      <c r="H73" s="116">
        <f t="shared" ref="H73:H136" si="8">CHOOSE(MATCH($J$3,degrees),IF(F73&lt;0,IFERROR(1-G73,1),0),0,0,IF(F73&gt;0,IFERROR(1-G73,1),0))</f>
        <v>0</v>
      </c>
      <c r="I73" s="116">
        <f t="shared" ref="I73:I136" si="9">CHOOSE(MATCH($J$3,degrees),IF(F73&lt;0,2*G73,2),IF(F73&lt;0,0,1-G73),IF(F73&gt;0,0,1-G73),IF(F73&gt;0,2*G73,2))</f>
        <v>0</v>
      </c>
      <c r="J73" s="105">
        <f t="shared" ref="J73:J136" si="10">CHOOSE(MATCH($J$3,degrees),IF(F73&lt;0,G73+1,2),IF(F73&lt;0,2,2*G73),IF(F73&gt;0,2,2*G73),IF(F73&gt;0,G73+1,2))</f>
        <v>2</v>
      </c>
    </row>
    <row r="74" spans="6:10" ht="16">
      <c r="F74" s="115">
        <f t="shared" ref="F74:F137" si="11">F73+$G$4</f>
        <v>-0.34999999999999942</v>
      </c>
      <c r="G74" s="116">
        <f t="shared" si="7"/>
        <v>0.86529597501607669</v>
      </c>
      <c r="H74" s="116">
        <f t="shared" si="8"/>
        <v>0</v>
      </c>
      <c r="I74" s="116">
        <f t="shared" si="9"/>
        <v>0</v>
      </c>
      <c r="J74" s="105">
        <f t="shared" si="10"/>
        <v>2</v>
      </c>
    </row>
    <row r="75" spans="6:10" ht="16">
      <c r="F75" s="115">
        <f t="shared" si="11"/>
        <v>-0.33999999999999941</v>
      </c>
      <c r="G75" s="116">
        <f t="shared" si="7"/>
        <v>0.87343568191047039</v>
      </c>
      <c r="H75" s="116">
        <f t="shared" si="8"/>
        <v>0</v>
      </c>
      <c r="I75" s="116">
        <f t="shared" si="9"/>
        <v>0</v>
      </c>
      <c r="J75" s="105">
        <f t="shared" si="10"/>
        <v>2</v>
      </c>
    </row>
    <row r="76" spans="6:10" ht="16">
      <c r="F76" s="115">
        <f t="shared" si="11"/>
        <v>-0.3299999999999994</v>
      </c>
      <c r="G76" s="116">
        <f t="shared" si="7"/>
        <v>0.88126751408794113</v>
      </c>
      <c r="H76" s="116">
        <f t="shared" si="8"/>
        <v>0</v>
      </c>
      <c r="I76" s="116">
        <f t="shared" si="9"/>
        <v>0</v>
      </c>
      <c r="J76" s="105">
        <f t="shared" si="10"/>
        <v>2</v>
      </c>
    </row>
    <row r="77" spans="6:10" ht="16">
      <c r="F77" s="115">
        <f t="shared" si="11"/>
        <v>-0.3199999999999994</v>
      </c>
      <c r="G77" s="116">
        <f t="shared" si="7"/>
        <v>0.88879961028120158</v>
      </c>
      <c r="H77" s="116">
        <f t="shared" si="8"/>
        <v>0</v>
      </c>
      <c r="I77" s="116">
        <f t="shared" si="9"/>
        <v>0</v>
      </c>
      <c r="J77" s="105">
        <f t="shared" si="10"/>
        <v>2</v>
      </c>
    </row>
    <row r="78" spans="6:10" ht="16">
      <c r="F78" s="115">
        <f t="shared" si="11"/>
        <v>-0.30999999999999939</v>
      </c>
      <c r="G78" s="116">
        <f t="shared" si="7"/>
        <v>0.89603952925205121</v>
      </c>
      <c r="H78" s="116">
        <f t="shared" si="8"/>
        <v>0</v>
      </c>
      <c r="I78" s="116">
        <f t="shared" si="9"/>
        <v>0</v>
      </c>
      <c r="J78" s="105">
        <f t="shared" si="10"/>
        <v>2</v>
      </c>
    </row>
    <row r="79" spans="6:10" ht="16">
      <c r="F79" s="115">
        <f t="shared" si="11"/>
        <v>-0.29999999999999938</v>
      </c>
      <c r="G79" s="116">
        <f t="shared" si="7"/>
        <v>0.90299429877790738</v>
      </c>
      <c r="H79" s="116">
        <f t="shared" si="8"/>
        <v>0</v>
      </c>
      <c r="I79" s="116">
        <f t="shared" si="9"/>
        <v>0</v>
      </c>
      <c r="J79" s="105">
        <f t="shared" si="10"/>
        <v>2</v>
      </c>
    </row>
    <row r="80" spans="6:10" ht="16">
      <c r="F80" s="115">
        <f t="shared" si="11"/>
        <v>-0.28999999999999937</v>
      </c>
      <c r="G80" s="116">
        <f t="shared" si="7"/>
        <v>0.90967045910346955</v>
      </c>
      <c r="H80" s="116">
        <f t="shared" si="8"/>
        <v>0</v>
      </c>
      <c r="I80" s="116">
        <f t="shared" si="9"/>
        <v>0</v>
      </c>
      <c r="J80" s="105">
        <f t="shared" si="10"/>
        <v>2</v>
      </c>
    </row>
    <row r="81" spans="6:10" ht="16">
      <c r="F81" s="115">
        <f t="shared" si="11"/>
        <v>-0.27999999999999936</v>
      </c>
      <c r="G81" s="116">
        <f t="shared" si="7"/>
        <v>0.91607410158926272</v>
      </c>
      <c r="H81" s="116">
        <f t="shared" si="8"/>
        <v>0</v>
      </c>
      <c r="I81" s="116">
        <f t="shared" si="9"/>
        <v>0</v>
      </c>
      <c r="J81" s="105">
        <f t="shared" si="10"/>
        <v>2</v>
      </c>
    </row>
    <row r="82" spans="6:10" ht="16">
      <c r="F82" s="115">
        <f t="shared" si="11"/>
        <v>-0.26999999999999935</v>
      </c>
      <c r="G82" s="116">
        <f t="shared" si="7"/>
        <v>0.92221090317593724</v>
      </c>
      <c r="H82" s="116">
        <f t="shared" si="8"/>
        <v>0</v>
      </c>
      <c r="I82" s="116">
        <f t="shared" si="9"/>
        <v>0</v>
      </c>
      <c r="J82" s="105">
        <f t="shared" si="10"/>
        <v>2</v>
      </c>
    </row>
    <row r="83" spans="6:10" ht="16">
      <c r="F83" s="115">
        <f t="shared" si="11"/>
        <v>-0.25999999999999934</v>
      </c>
      <c r="G83" s="116">
        <f t="shared" si="7"/>
        <v>0.92808615718990561</v>
      </c>
      <c r="H83" s="116">
        <f t="shared" si="8"/>
        <v>0</v>
      </c>
      <c r="I83" s="116">
        <f t="shared" si="9"/>
        <v>0</v>
      </c>
      <c r="J83" s="105">
        <f t="shared" si="10"/>
        <v>2</v>
      </c>
    </row>
    <row r="84" spans="6:10" ht="16">
      <c r="F84" s="115">
        <f t="shared" si="11"/>
        <v>-0.24999999999999933</v>
      </c>
      <c r="G84" s="116">
        <f t="shared" si="7"/>
        <v>0.93370480093840158</v>
      </c>
      <c r="H84" s="116">
        <f t="shared" si="8"/>
        <v>0</v>
      </c>
      <c r="I84" s="116">
        <f t="shared" si="9"/>
        <v>0</v>
      </c>
      <c r="J84" s="105">
        <f t="shared" si="10"/>
        <v>2</v>
      </c>
    </row>
    <row r="85" spans="6:10" ht="16">
      <c r="F85" s="115">
        <f t="shared" si="11"/>
        <v>-0.23999999999999932</v>
      </c>
      <c r="G85" s="116">
        <f t="shared" si="7"/>
        <v>0.93907144047737878</v>
      </c>
      <c r="H85" s="116">
        <f t="shared" si="8"/>
        <v>0</v>
      </c>
      <c r="I85" s="116">
        <f t="shared" si="9"/>
        <v>0</v>
      </c>
      <c r="J85" s="105">
        <f t="shared" si="10"/>
        <v>2</v>
      </c>
    </row>
    <row r="86" spans="6:10" ht="16">
      <c r="F86" s="115">
        <f t="shared" si="11"/>
        <v>-0.22999999999999932</v>
      </c>
      <c r="G86" s="116">
        <f t="shared" si="7"/>
        <v>0.94419037288146701</v>
      </c>
      <c r="H86" s="116">
        <f t="shared" si="8"/>
        <v>0</v>
      </c>
      <c r="I86" s="116">
        <f t="shared" si="9"/>
        <v>0</v>
      </c>
      <c r="J86" s="105">
        <f t="shared" si="10"/>
        <v>2</v>
      </c>
    </row>
    <row r="87" spans="6:10" ht="16">
      <c r="F87" s="115">
        <f t="shared" si="11"/>
        <v>-0.21999999999999931</v>
      </c>
      <c r="G87" s="116">
        <f t="shared" si="7"/>
        <v>0.9490656062995716</v>
      </c>
      <c r="H87" s="116">
        <f t="shared" si="8"/>
        <v>0</v>
      </c>
      <c r="I87" s="116">
        <f t="shared" si="9"/>
        <v>0</v>
      </c>
      <c r="J87" s="105">
        <f t="shared" si="10"/>
        <v>2</v>
      </c>
    </row>
    <row r="88" spans="6:10" ht="16">
      <c r="F88" s="115">
        <f t="shared" si="11"/>
        <v>-0.2099999999999993</v>
      </c>
      <c r="G88" s="116">
        <f t="shared" si="7"/>
        <v>0.95370087804114378</v>
      </c>
      <c r="H88" s="116">
        <f t="shared" si="8"/>
        <v>0</v>
      </c>
      <c r="I88" s="116">
        <f t="shared" si="9"/>
        <v>0</v>
      </c>
      <c r="J88" s="105">
        <f t="shared" si="10"/>
        <v>2</v>
      </c>
    </row>
    <row r="89" spans="6:10" ht="16">
      <c r="F89" s="115">
        <f t="shared" si="11"/>
        <v>-0.19999999999999929</v>
      </c>
      <c r="G89" s="116">
        <f t="shared" si="7"/>
        <v>0.95809967090541737</v>
      </c>
      <c r="H89" s="116">
        <f t="shared" si="8"/>
        <v>0</v>
      </c>
      <c r="I89" s="116">
        <f t="shared" si="9"/>
        <v>0</v>
      </c>
      <c r="J89" s="105">
        <f t="shared" si="10"/>
        <v>2</v>
      </c>
    </row>
    <row r="90" spans="6:10" ht="16">
      <c r="F90" s="115">
        <f t="shared" si="11"/>
        <v>-0.18999999999999928</v>
      </c>
      <c r="G90" s="116">
        <f t="shared" si="7"/>
        <v>0.96226522793803315</v>
      </c>
      <c r="H90" s="116">
        <f t="shared" si="8"/>
        <v>0</v>
      </c>
      <c r="I90" s="116">
        <f t="shared" si="9"/>
        <v>0</v>
      </c>
      <c r="J90" s="105">
        <f t="shared" si="10"/>
        <v>2</v>
      </c>
    </row>
    <row r="91" spans="6:10" ht="16">
      <c r="F91" s="115">
        <f t="shared" si="11"/>
        <v>-0.17999999999999927</v>
      </c>
      <c r="G91" s="116">
        <f t="shared" si="7"/>
        <v>0.96620056577562918</v>
      </c>
      <c r="H91" s="116">
        <f t="shared" si="8"/>
        <v>0</v>
      </c>
      <c r="I91" s="116">
        <f t="shared" si="9"/>
        <v>0</v>
      </c>
      <c r="J91" s="105">
        <f t="shared" si="10"/>
        <v>2</v>
      </c>
    </row>
    <row r="92" spans="6:10" ht="16">
      <c r="F92" s="115">
        <f t="shared" si="11"/>
        <v>-0.16999999999999926</v>
      </c>
      <c r="G92" s="116">
        <f t="shared" si="7"/>
        <v>0.96990848671851637</v>
      </c>
      <c r="H92" s="116">
        <f t="shared" si="8"/>
        <v>0</v>
      </c>
      <c r="I92" s="116">
        <f t="shared" si="9"/>
        <v>0</v>
      </c>
      <c r="J92" s="105">
        <f t="shared" si="10"/>
        <v>2</v>
      </c>
    </row>
    <row r="93" spans="6:10" ht="16">
      <c r="F93" s="115">
        <f t="shared" si="11"/>
        <v>-0.15999999999999925</v>
      </c>
      <c r="G93" s="116">
        <f t="shared" si="7"/>
        <v>0.97339158965392969</v>
      </c>
      <c r="H93" s="116">
        <f t="shared" si="8"/>
        <v>0</v>
      </c>
      <c r="I93" s="116">
        <f t="shared" si="9"/>
        <v>0</v>
      </c>
      <c r="J93" s="105">
        <f t="shared" si="10"/>
        <v>2</v>
      </c>
    </row>
    <row r="94" spans="6:10" ht="16">
      <c r="F94" s="115">
        <f t="shared" si="11"/>
        <v>-0.14999999999999925</v>
      </c>
      <c r="G94" s="116">
        <f t="shared" si="7"/>
        <v>0.97665227993710813</v>
      </c>
      <c r="H94" s="116">
        <f t="shared" si="8"/>
        <v>0</v>
      </c>
      <c r="I94" s="116">
        <f t="shared" si="9"/>
        <v>0</v>
      </c>
      <c r="J94" s="105">
        <f t="shared" si="10"/>
        <v>2</v>
      </c>
    </row>
    <row r="95" spans="6:10" ht="16">
      <c r="F95" s="115">
        <f t="shared" si="11"/>
        <v>-0.13999999999999924</v>
      </c>
      <c r="G95" s="116">
        <f t="shared" si="7"/>
        <v>0.97969277832422752</v>
      </c>
      <c r="H95" s="116">
        <f t="shared" si="8"/>
        <v>0</v>
      </c>
      <c r="I95" s="116">
        <f t="shared" si="9"/>
        <v>0</v>
      </c>
      <c r="J95" s="105">
        <f t="shared" si="10"/>
        <v>2</v>
      </c>
    </row>
    <row r="96" spans="6:10" ht="16">
      <c r="F96" s="115">
        <f t="shared" si="11"/>
        <v>-0.12999999999999923</v>
      </c>
      <c r="G96" s="116">
        <f t="shared" si="7"/>
        <v>0.98251512903969163</v>
      </c>
      <c r="H96" s="116">
        <f t="shared" si="8"/>
        <v>0</v>
      </c>
      <c r="I96" s="116">
        <f t="shared" si="9"/>
        <v>0</v>
      </c>
      <c r="J96" s="105">
        <f t="shared" si="10"/>
        <v>2</v>
      </c>
    </row>
    <row r="97" spans="6:10" ht="16">
      <c r="F97" s="115">
        <f t="shared" si="11"/>
        <v>-0.11999999999999923</v>
      </c>
      <c r="G97" s="116">
        <f t="shared" si="7"/>
        <v>0.98512120705021111</v>
      </c>
      <c r="H97" s="116">
        <f t="shared" si="8"/>
        <v>0</v>
      </c>
      <c r="I97" s="116">
        <f t="shared" si="9"/>
        <v>0</v>
      </c>
      <c r="J97" s="105">
        <f t="shared" si="10"/>
        <v>2</v>
      </c>
    </row>
    <row r="98" spans="6:10" ht="16">
      <c r="F98" s="115">
        <f t="shared" si="11"/>
        <v>-0.10999999999999924</v>
      </c>
      <c r="G98" s="116">
        <f t="shared" si="7"/>
        <v>0.98751272460925454</v>
      </c>
      <c r="H98" s="116">
        <f t="shared" si="8"/>
        <v>0</v>
      </c>
      <c r="I98" s="116">
        <f t="shared" si="9"/>
        <v>0</v>
      </c>
      <c r="J98" s="105">
        <f t="shared" si="10"/>
        <v>2</v>
      </c>
    </row>
    <row r="99" spans="6:10" ht="16">
      <c r="F99" s="115">
        <f t="shared" si="11"/>
        <v>-9.9999999999999242E-2</v>
      </c>
      <c r="G99" s="116">
        <f t="shared" si="7"/>
        <v>0.98969123712765461</v>
      </c>
      <c r="H99" s="116">
        <f t="shared" si="8"/>
        <v>0</v>
      </c>
      <c r="I99" s="116">
        <f t="shared" si="9"/>
        <v>0</v>
      </c>
      <c r="J99" s="105">
        <f t="shared" si="10"/>
        <v>2</v>
      </c>
    </row>
    <row r="100" spans="6:10" ht="16">
      <c r="F100" s="115">
        <f t="shared" si="11"/>
        <v>-8.9999999999999247E-2</v>
      </c>
      <c r="G100" s="116">
        <f t="shared" si="7"/>
        <v>0.9916581484192456</v>
      </c>
      <c r="H100" s="116">
        <f t="shared" si="8"/>
        <v>0</v>
      </c>
      <c r="I100" s="116">
        <f t="shared" si="9"/>
        <v>0</v>
      </c>
      <c r="J100" s="105">
        <f t="shared" si="10"/>
        <v>2</v>
      </c>
    </row>
    <row r="101" spans="6:10" ht="16">
      <c r="F101" s="115">
        <f t="shared" si="11"/>
        <v>-7.9999999999999252E-2</v>
      </c>
      <c r="G101" s="116">
        <f t="shared" si="7"/>
        <v>0.99341471536425874</v>
      </c>
      <c r="H101" s="116">
        <f t="shared" si="8"/>
        <v>0</v>
      </c>
      <c r="I101" s="116">
        <f t="shared" si="9"/>
        <v>0</v>
      </c>
      <c r="J101" s="105">
        <f t="shared" si="10"/>
        <v>2</v>
      </c>
    </row>
    <row r="102" spans="6:10" ht="16">
      <c r="F102" s="115">
        <f t="shared" si="11"/>
        <v>-6.9999999999999257E-2</v>
      </c>
      <c r="G102" s="116">
        <f t="shared" si="7"/>
        <v>0.99496205202769472</v>
      </c>
      <c r="H102" s="116">
        <f t="shared" si="8"/>
        <v>0</v>
      </c>
      <c r="I102" s="116">
        <f t="shared" si="9"/>
        <v>0</v>
      </c>
      <c r="J102" s="105">
        <f t="shared" si="10"/>
        <v>2</v>
      </c>
    </row>
    <row r="103" spans="6:10" ht="16">
      <c r="F103" s="115">
        <f t="shared" si="11"/>
        <v>-5.9999999999999255E-2</v>
      </c>
      <c r="G103" s="116">
        <f t="shared" si="7"/>
        <v>0.99630113326494629</v>
      </c>
      <c r="H103" s="116">
        <f t="shared" si="8"/>
        <v>0</v>
      </c>
      <c r="I103" s="116">
        <f t="shared" si="9"/>
        <v>0</v>
      </c>
      <c r="J103" s="105">
        <f t="shared" si="10"/>
        <v>2</v>
      </c>
    </row>
    <row r="104" spans="6:10" ht="16">
      <c r="F104" s="115">
        <f t="shared" si="11"/>
        <v>-4.9999999999999253E-2</v>
      </c>
      <c r="G104" s="116">
        <f t="shared" si="7"/>
        <v>0.99743279784244965</v>
      </c>
      <c r="H104" s="116">
        <f t="shared" si="8"/>
        <v>0</v>
      </c>
      <c r="I104" s="116">
        <f t="shared" si="9"/>
        <v>0</v>
      </c>
      <c r="J104" s="105">
        <f t="shared" si="10"/>
        <v>2</v>
      </c>
    </row>
    <row r="105" spans="6:10" ht="16">
      <c r="F105" s="115">
        <f t="shared" si="11"/>
        <v>-3.9999999999999251E-2</v>
      </c>
      <c r="G105" s="116">
        <f t="shared" si="7"/>
        <v>0.99835775109705183</v>
      </c>
      <c r="H105" s="116">
        <f t="shared" si="8"/>
        <v>0</v>
      </c>
      <c r="I105" s="116">
        <f t="shared" si="9"/>
        <v>0</v>
      </c>
      <c r="J105" s="105">
        <f t="shared" si="10"/>
        <v>2</v>
      </c>
    </row>
    <row r="106" spans="6:10" ht="16">
      <c r="F106" s="115">
        <f t="shared" si="11"/>
        <v>-2.9999999999999249E-2</v>
      </c>
      <c r="G106" s="116">
        <f t="shared" si="7"/>
        <v>0.99907656715401649</v>
      </c>
      <c r="H106" s="116">
        <f t="shared" si="8"/>
        <v>0</v>
      </c>
      <c r="I106" s="116">
        <f t="shared" si="9"/>
        <v>0</v>
      </c>
      <c r="J106" s="105">
        <f t="shared" si="10"/>
        <v>2</v>
      </c>
    </row>
    <row r="107" spans="6:10" ht="16">
      <c r="F107" s="115">
        <f t="shared" si="11"/>
        <v>-1.9999999999999248E-2</v>
      </c>
      <c r="G107" s="116">
        <f t="shared" si="7"/>
        <v>0.99958969072009285</v>
      </c>
      <c r="H107" s="116">
        <f t="shared" si="8"/>
        <v>0</v>
      </c>
      <c r="I107" s="116">
        <f t="shared" si="9"/>
        <v>0</v>
      </c>
      <c r="J107" s="105">
        <f t="shared" si="10"/>
        <v>2</v>
      </c>
    </row>
    <row r="108" spans="6:10" ht="16">
      <c r="F108" s="115">
        <f t="shared" si="11"/>
        <v>-9.9999999999992473E-3</v>
      </c>
      <c r="G108" s="116">
        <f t="shared" si="7"/>
        <v>0.99989743846480206</v>
      </c>
      <c r="H108" s="116">
        <f t="shared" si="8"/>
        <v>0</v>
      </c>
      <c r="I108" s="116">
        <f t="shared" si="9"/>
        <v>0</v>
      </c>
      <c r="J108" s="105">
        <f t="shared" si="10"/>
        <v>2</v>
      </c>
    </row>
    <row r="109" spans="6:10" ht="16">
      <c r="F109" s="115">
        <f t="shared" si="11"/>
        <v>7.5286998857393428E-16</v>
      </c>
      <c r="G109" s="116">
        <f t="shared" si="7"/>
        <v>1</v>
      </c>
      <c r="H109" s="116">
        <f t="shared" si="8"/>
        <v>0</v>
      </c>
      <c r="I109" s="116">
        <f t="shared" si="9"/>
        <v>0</v>
      </c>
      <c r="J109" s="105">
        <f t="shared" si="10"/>
        <v>2</v>
      </c>
    </row>
    <row r="110" spans="6:10" ht="16">
      <c r="F110" s="115">
        <f t="shared" si="11"/>
        <v>1.0000000000000753E-2</v>
      </c>
      <c r="G110" s="116">
        <f t="shared" si="7"/>
        <v>0.99989743846480206</v>
      </c>
      <c r="H110" s="116">
        <f t="shared" si="8"/>
        <v>0</v>
      </c>
      <c r="I110" s="116">
        <f t="shared" si="9"/>
        <v>1.0256153519794253E-4</v>
      </c>
      <c r="J110" s="105">
        <f t="shared" si="10"/>
        <v>1.9997948769296041</v>
      </c>
    </row>
    <row r="111" spans="6:10" ht="16">
      <c r="F111" s="115">
        <f t="shared" si="11"/>
        <v>2.0000000000000753E-2</v>
      </c>
      <c r="G111" s="116">
        <f t="shared" si="7"/>
        <v>0.99958969072009274</v>
      </c>
      <c r="H111" s="116">
        <f t="shared" si="8"/>
        <v>0</v>
      </c>
      <c r="I111" s="116">
        <f t="shared" si="9"/>
        <v>4.1030927990726163E-4</v>
      </c>
      <c r="J111" s="105">
        <f t="shared" si="10"/>
        <v>1.9991793814401855</v>
      </c>
    </row>
    <row r="112" spans="6:10" ht="16">
      <c r="F112" s="115">
        <f t="shared" si="11"/>
        <v>3.0000000000000755E-2</v>
      </c>
      <c r="G112" s="116">
        <f t="shared" si="7"/>
        <v>0.99907656715401638</v>
      </c>
      <c r="H112" s="116">
        <f t="shared" si="8"/>
        <v>0</v>
      </c>
      <c r="I112" s="116">
        <f t="shared" si="9"/>
        <v>9.234328459836183E-4</v>
      </c>
      <c r="J112" s="105">
        <f t="shared" si="10"/>
        <v>1.9981531343080328</v>
      </c>
    </row>
    <row r="113" spans="6:10" ht="16">
      <c r="F113" s="115">
        <f t="shared" si="11"/>
        <v>4.0000000000000757E-2</v>
      </c>
      <c r="G113" s="116">
        <f t="shared" si="7"/>
        <v>0.99835775109705172</v>
      </c>
      <c r="H113" s="116">
        <f t="shared" si="8"/>
        <v>0</v>
      </c>
      <c r="I113" s="116">
        <f t="shared" si="9"/>
        <v>1.6422489029482845E-3</v>
      </c>
      <c r="J113" s="105">
        <f t="shared" si="10"/>
        <v>1.9967155021941034</v>
      </c>
    </row>
    <row r="114" spans="6:10" ht="16">
      <c r="F114" s="115">
        <f t="shared" si="11"/>
        <v>5.0000000000000759E-2</v>
      </c>
      <c r="G114" s="116">
        <f t="shared" si="7"/>
        <v>0.99743279784244943</v>
      </c>
      <c r="H114" s="116">
        <f t="shared" si="8"/>
        <v>0</v>
      </c>
      <c r="I114" s="116">
        <f t="shared" si="9"/>
        <v>2.5672021575505743E-3</v>
      </c>
      <c r="J114" s="105">
        <f t="shared" si="10"/>
        <v>1.9948655956848989</v>
      </c>
    </row>
    <row r="115" spans="6:10" ht="16">
      <c r="F115" s="115">
        <f t="shared" si="11"/>
        <v>6.0000000000000761E-2</v>
      </c>
      <c r="G115" s="116">
        <f t="shared" si="7"/>
        <v>0.99630113326494618</v>
      </c>
      <c r="H115" s="116">
        <f t="shared" si="8"/>
        <v>0</v>
      </c>
      <c r="I115" s="116">
        <f t="shared" si="9"/>
        <v>3.6988667350538185E-3</v>
      </c>
      <c r="J115" s="105">
        <f t="shared" si="10"/>
        <v>1.9926022665298924</v>
      </c>
    </row>
    <row r="116" spans="6:10" ht="16">
      <c r="F116" s="115">
        <f t="shared" si="11"/>
        <v>7.0000000000000756E-2</v>
      </c>
      <c r="G116" s="116">
        <f t="shared" si="7"/>
        <v>0.9949620520276945</v>
      </c>
      <c r="H116" s="116">
        <f t="shared" si="8"/>
        <v>0</v>
      </c>
      <c r="I116" s="116">
        <f t="shared" si="9"/>
        <v>5.037947972305501E-3</v>
      </c>
      <c r="J116" s="105">
        <f t="shared" si="10"/>
        <v>1.989924104055389</v>
      </c>
    </row>
    <row r="117" spans="6:10" ht="16">
      <c r="F117" s="115">
        <f t="shared" si="11"/>
        <v>8.0000000000000751E-2</v>
      </c>
      <c r="G117" s="116">
        <f t="shared" si="7"/>
        <v>0.99341471536425852</v>
      </c>
      <c r="H117" s="116">
        <f t="shared" si="8"/>
        <v>0</v>
      </c>
      <c r="I117" s="116">
        <f t="shared" si="9"/>
        <v>6.585284635741484E-3</v>
      </c>
      <c r="J117" s="105">
        <f t="shared" si="10"/>
        <v>1.986829430728517</v>
      </c>
    </row>
    <row r="118" spans="6:10" ht="16">
      <c r="F118" s="115">
        <f t="shared" si="11"/>
        <v>9.0000000000000746E-2</v>
      </c>
      <c r="G118" s="116">
        <f t="shared" si="7"/>
        <v>0.99165814841924538</v>
      </c>
      <c r="H118" s="116">
        <f t="shared" si="8"/>
        <v>0</v>
      </c>
      <c r="I118" s="116">
        <f t="shared" si="9"/>
        <v>8.3418515807546223E-3</v>
      </c>
      <c r="J118" s="105">
        <f t="shared" si="10"/>
        <v>1.9833162968384908</v>
      </c>
    </row>
    <row r="119" spans="6:10" ht="16">
      <c r="F119" s="115">
        <f t="shared" si="11"/>
        <v>0.10000000000000074</v>
      </c>
      <c r="G119" s="116">
        <f t="shared" si="7"/>
        <v>0.98969123712765428</v>
      </c>
      <c r="H119" s="116">
        <f t="shared" si="8"/>
        <v>0</v>
      </c>
      <c r="I119" s="116">
        <f t="shared" si="9"/>
        <v>1.0308762872345723E-2</v>
      </c>
      <c r="J119" s="105">
        <f t="shared" si="10"/>
        <v>1.9793824742553086</v>
      </c>
    </row>
    <row r="120" spans="6:10" ht="16">
      <c r="F120" s="115">
        <f t="shared" si="11"/>
        <v>0.11000000000000074</v>
      </c>
      <c r="G120" s="116">
        <f t="shared" si="7"/>
        <v>0.98751272460925421</v>
      </c>
      <c r="H120" s="116">
        <f t="shared" si="8"/>
        <v>0</v>
      </c>
      <c r="I120" s="116">
        <f t="shared" si="9"/>
        <v>1.2487275390745789E-2</v>
      </c>
      <c r="J120" s="105">
        <f t="shared" si="10"/>
        <v>1.9750254492185084</v>
      </c>
    </row>
    <row r="121" spans="6:10" ht="16">
      <c r="F121" s="115">
        <f t="shared" si="11"/>
        <v>0.12000000000000073</v>
      </c>
      <c r="G121" s="116">
        <f t="shared" si="7"/>
        <v>0.98512120705021078</v>
      </c>
      <c r="H121" s="116">
        <f t="shared" si="8"/>
        <v>0</v>
      </c>
      <c r="I121" s="116">
        <f t="shared" si="9"/>
        <v>1.4878792949789221E-2</v>
      </c>
      <c r="J121" s="105">
        <f t="shared" si="10"/>
        <v>1.9702424141004216</v>
      </c>
    </row>
    <row r="122" spans="6:10" ht="16">
      <c r="F122" s="115">
        <f t="shared" si="11"/>
        <v>0.13000000000000073</v>
      </c>
      <c r="G122" s="116">
        <f t="shared" si="7"/>
        <v>0.98251512903969118</v>
      </c>
      <c r="H122" s="116">
        <f t="shared" si="8"/>
        <v>0</v>
      </c>
      <c r="I122" s="116">
        <f t="shared" si="9"/>
        <v>1.7484870960308818E-2</v>
      </c>
      <c r="J122" s="105">
        <f t="shared" si="10"/>
        <v>1.9650302580793824</v>
      </c>
    </row>
    <row r="123" spans="6:10" ht="16">
      <c r="F123" s="115">
        <f t="shared" si="11"/>
        <v>0.14000000000000073</v>
      </c>
      <c r="G123" s="116">
        <f t="shared" si="7"/>
        <v>0.97969277832422708</v>
      </c>
      <c r="H123" s="116">
        <f t="shared" si="8"/>
        <v>0</v>
      </c>
      <c r="I123" s="116">
        <f t="shared" si="9"/>
        <v>2.0307221675772924E-2</v>
      </c>
      <c r="J123" s="105">
        <f t="shared" si="10"/>
        <v>1.9593855566484542</v>
      </c>
    </row>
    <row r="124" spans="6:10" ht="16">
      <c r="F124" s="115">
        <f t="shared" si="11"/>
        <v>0.15000000000000074</v>
      </c>
      <c r="G124" s="116">
        <f t="shared" si="7"/>
        <v>0.97665227993710768</v>
      </c>
      <c r="H124" s="116">
        <f t="shared" si="8"/>
        <v>0</v>
      </c>
      <c r="I124" s="116">
        <f t="shared" si="9"/>
        <v>2.3347720062892319E-2</v>
      </c>
      <c r="J124" s="105">
        <f t="shared" si="10"/>
        <v>1.9533045598742154</v>
      </c>
    </row>
    <row r="125" spans="6:10" ht="16">
      <c r="F125" s="115">
        <f t="shared" si="11"/>
        <v>0.16000000000000075</v>
      </c>
      <c r="G125" s="116">
        <f t="shared" si="7"/>
        <v>0.97339158965392913</v>
      </c>
      <c r="H125" s="116">
        <f t="shared" si="8"/>
        <v>0</v>
      </c>
      <c r="I125" s="116">
        <f t="shared" si="9"/>
        <v>2.6608410346070865E-2</v>
      </c>
      <c r="J125" s="105">
        <f t="shared" si="10"/>
        <v>1.9467831793078583</v>
      </c>
    </row>
    <row r="126" spans="6:10" ht="16">
      <c r="F126" s="115">
        <f t="shared" si="11"/>
        <v>0.17000000000000076</v>
      </c>
      <c r="G126" s="116">
        <f t="shared" si="7"/>
        <v>0.96990848671851582</v>
      </c>
      <c r="H126" s="116">
        <f t="shared" si="8"/>
        <v>0</v>
      </c>
      <c r="I126" s="116">
        <f t="shared" si="9"/>
        <v>3.0091513281484183E-2</v>
      </c>
      <c r="J126" s="105">
        <f t="shared" si="10"/>
        <v>1.9398169734370316</v>
      </c>
    </row>
    <row r="127" spans="6:10" ht="16">
      <c r="F127" s="115">
        <f t="shared" si="11"/>
        <v>0.18000000000000077</v>
      </c>
      <c r="G127" s="116">
        <f t="shared" si="7"/>
        <v>0.96620056577562863</v>
      </c>
      <c r="H127" s="116">
        <f t="shared" si="8"/>
        <v>0</v>
      </c>
      <c r="I127" s="116">
        <f t="shared" si="9"/>
        <v>3.3799434224371372E-2</v>
      </c>
      <c r="J127" s="105">
        <f t="shared" si="10"/>
        <v>1.9324011315512573</v>
      </c>
    </row>
    <row r="128" spans="6:10" ht="16">
      <c r="F128" s="115">
        <f t="shared" si="11"/>
        <v>0.19000000000000078</v>
      </c>
      <c r="G128" s="116">
        <f t="shared" si="7"/>
        <v>0.96226522793803249</v>
      </c>
      <c r="H128" s="116">
        <f t="shared" si="8"/>
        <v>0</v>
      </c>
      <c r="I128" s="116">
        <f t="shared" si="9"/>
        <v>3.7734772061967514E-2</v>
      </c>
      <c r="J128" s="105">
        <f t="shared" si="10"/>
        <v>1.924530455876065</v>
      </c>
    </row>
    <row r="129" spans="6:10" ht="16">
      <c r="F129" s="115">
        <f t="shared" si="11"/>
        <v>0.20000000000000079</v>
      </c>
      <c r="G129" s="116">
        <f t="shared" si="7"/>
        <v>0.9580996709054167</v>
      </c>
      <c r="H129" s="116">
        <f t="shared" si="8"/>
        <v>0</v>
      </c>
      <c r="I129" s="116">
        <f t="shared" si="9"/>
        <v>4.19003290945833E-2</v>
      </c>
      <c r="J129" s="105">
        <f t="shared" si="10"/>
        <v>1.9161993418108334</v>
      </c>
    </row>
    <row r="130" spans="6:10" ht="16">
      <c r="F130" s="115">
        <f t="shared" si="11"/>
        <v>0.2100000000000008</v>
      </c>
      <c r="G130" s="116">
        <f t="shared" si="7"/>
        <v>0.95370087804114301</v>
      </c>
      <c r="H130" s="116">
        <f t="shared" si="8"/>
        <v>0</v>
      </c>
      <c r="I130" s="116">
        <f t="shared" si="9"/>
        <v>4.6299121958856992E-2</v>
      </c>
      <c r="J130" s="105">
        <f t="shared" si="10"/>
        <v>1.907401756082286</v>
      </c>
    </row>
    <row r="131" spans="6:10" ht="16">
      <c r="F131" s="115">
        <f t="shared" si="11"/>
        <v>0.22000000000000081</v>
      </c>
      <c r="G131" s="116">
        <f t="shared" si="7"/>
        <v>0.94906560629957082</v>
      </c>
      <c r="H131" s="116">
        <f t="shared" si="8"/>
        <v>0</v>
      </c>
      <c r="I131" s="116">
        <f t="shared" si="9"/>
        <v>5.0934393700429181E-2</v>
      </c>
      <c r="J131" s="105">
        <f t="shared" si="10"/>
        <v>1.8981312125991416</v>
      </c>
    </row>
    <row r="132" spans="6:10" ht="16">
      <c r="F132" s="115">
        <f t="shared" si="11"/>
        <v>0.23000000000000081</v>
      </c>
      <c r="G132" s="116">
        <f t="shared" si="7"/>
        <v>0.94419037288146623</v>
      </c>
      <c r="H132" s="116">
        <f t="shared" si="8"/>
        <v>0</v>
      </c>
      <c r="I132" s="116">
        <f t="shared" si="9"/>
        <v>5.5809627118533767E-2</v>
      </c>
      <c r="J132" s="105">
        <f t="shared" si="10"/>
        <v>1.8883807457629325</v>
      </c>
    </row>
    <row r="133" spans="6:10" ht="16">
      <c r="F133" s="115">
        <f t="shared" si="11"/>
        <v>0.24000000000000082</v>
      </c>
      <c r="G133" s="116">
        <f t="shared" si="7"/>
        <v>0.93907144047737801</v>
      </c>
      <c r="H133" s="116">
        <f t="shared" si="8"/>
        <v>0</v>
      </c>
      <c r="I133" s="116">
        <f t="shared" si="9"/>
        <v>6.0928559522621994E-2</v>
      </c>
      <c r="J133" s="105">
        <f t="shared" si="10"/>
        <v>1.878142880954756</v>
      </c>
    </row>
    <row r="134" spans="6:10" ht="16">
      <c r="F134" s="115">
        <f t="shared" si="11"/>
        <v>0.25000000000000083</v>
      </c>
      <c r="G134" s="116">
        <f t="shared" si="7"/>
        <v>0.93370480093840069</v>
      </c>
      <c r="H134" s="116">
        <f t="shared" si="8"/>
        <v>0</v>
      </c>
      <c r="I134" s="116">
        <f t="shared" si="9"/>
        <v>6.6295199061599308E-2</v>
      </c>
      <c r="J134" s="105">
        <f t="shared" si="10"/>
        <v>1.8674096018768014</v>
      </c>
    </row>
    <row r="135" spans="6:10" ht="16">
      <c r="F135" s="115">
        <f t="shared" si="11"/>
        <v>0.26000000000000084</v>
      </c>
      <c r="G135" s="116">
        <f t="shared" si="7"/>
        <v>0.92808615718990473</v>
      </c>
      <c r="H135" s="116">
        <f t="shared" si="8"/>
        <v>0</v>
      </c>
      <c r="I135" s="116">
        <f t="shared" si="9"/>
        <v>7.1913842810095274E-2</v>
      </c>
      <c r="J135" s="105">
        <f t="shared" si="10"/>
        <v>1.8561723143798095</v>
      </c>
    </row>
    <row r="136" spans="6:10" ht="16">
      <c r="F136" s="115">
        <f t="shared" si="11"/>
        <v>0.27000000000000085</v>
      </c>
      <c r="G136" s="116">
        <f t="shared" si="7"/>
        <v>0.92221090317593635</v>
      </c>
      <c r="H136" s="116">
        <f t="shared" si="8"/>
        <v>0</v>
      </c>
      <c r="I136" s="116">
        <f t="shared" si="9"/>
        <v>7.7789096824063653E-2</v>
      </c>
      <c r="J136" s="105">
        <f t="shared" si="10"/>
        <v>1.8444218063518727</v>
      </c>
    </row>
    <row r="137" spans="6:10" ht="16">
      <c r="F137" s="115">
        <f t="shared" si="11"/>
        <v>0.28000000000000086</v>
      </c>
      <c r="G137" s="116">
        <f t="shared" ref="G137:G200" si="12">IFERROR(IF(SQRT(1-(F137*F137)/($J$5*$J$5))&lt;0.05,0,SQRT(1-(F137*F137)/($J$5*$J$5))),0)</f>
        <v>0.91607410158926172</v>
      </c>
      <c r="H137" s="116">
        <f t="shared" ref="H137:H200" si="13">CHOOSE(MATCH($J$3,degrees),IF(F137&lt;0,IFERROR(1-G137,1),0),0,0,IF(F137&gt;0,IFERROR(1-G137,1),0))</f>
        <v>0</v>
      </c>
      <c r="I137" s="116">
        <f t="shared" ref="I137:I200" si="14">CHOOSE(MATCH($J$3,degrees),IF(F137&lt;0,2*G137,2),IF(F137&lt;0,0,1-G137),IF(F137&gt;0,0,1-G137),IF(F137&gt;0,2*G137,2))</f>
        <v>8.3925898410738276E-2</v>
      </c>
      <c r="J137" s="105">
        <f t="shared" ref="J137:J200" si="15">CHOOSE(MATCH($J$3,degrees),IF(F137&lt;0,G137+1,2),IF(F137&lt;0,2,2*G137),IF(F137&gt;0,2,2*G137),IF(F137&gt;0,G137+1,2))</f>
        <v>1.8321482031785234</v>
      </c>
    </row>
    <row r="138" spans="6:10" ht="16">
      <c r="F138" s="115">
        <f t="shared" ref="F138:F201" si="16">F137+$G$4</f>
        <v>0.29000000000000087</v>
      </c>
      <c r="G138" s="116">
        <f t="shared" si="12"/>
        <v>0.90967045910346855</v>
      </c>
      <c r="H138" s="116">
        <f t="shared" si="13"/>
        <v>0</v>
      </c>
      <c r="I138" s="116">
        <f t="shared" si="14"/>
        <v>9.0329540896531446E-2</v>
      </c>
      <c r="J138" s="105">
        <f t="shared" si="15"/>
        <v>1.8193409182069371</v>
      </c>
    </row>
    <row r="139" spans="6:10" ht="16">
      <c r="F139" s="115">
        <f t="shared" si="16"/>
        <v>0.30000000000000088</v>
      </c>
      <c r="G139" s="116">
        <f t="shared" si="12"/>
        <v>0.90299429877790638</v>
      </c>
      <c r="H139" s="116">
        <f t="shared" si="13"/>
        <v>0</v>
      </c>
      <c r="I139" s="116">
        <f t="shared" si="14"/>
        <v>9.7005701222093621E-2</v>
      </c>
      <c r="J139" s="105">
        <f t="shared" si="15"/>
        <v>1.8059885975558128</v>
      </c>
    </row>
    <row r="140" spans="6:10" ht="16">
      <c r="F140" s="115">
        <f t="shared" si="16"/>
        <v>0.31000000000000089</v>
      </c>
      <c r="G140" s="116">
        <f t="shared" si="12"/>
        <v>0.89603952925205022</v>
      </c>
      <c r="H140" s="116">
        <f t="shared" si="13"/>
        <v>0</v>
      </c>
      <c r="I140" s="116">
        <f t="shared" si="14"/>
        <v>0.10396047074794978</v>
      </c>
      <c r="J140" s="105">
        <f t="shared" si="15"/>
        <v>1.7920790585041004</v>
      </c>
    </row>
    <row r="141" spans="6:10" ht="16">
      <c r="F141" s="115">
        <f t="shared" si="16"/>
        <v>0.32000000000000089</v>
      </c>
      <c r="G141" s="116">
        <f t="shared" si="12"/>
        <v>0.88879961028120047</v>
      </c>
      <c r="H141" s="116">
        <f t="shared" si="13"/>
        <v>0</v>
      </c>
      <c r="I141" s="116">
        <f t="shared" si="14"/>
        <v>0.11120038971879953</v>
      </c>
      <c r="J141" s="105">
        <f t="shared" si="15"/>
        <v>1.7775992205624009</v>
      </c>
    </row>
    <row r="142" spans="6:10" ht="16">
      <c r="F142" s="115">
        <f t="shared" si="16"/>
        <v>0.3300000000000009</v>
      </c>
      <c r="G142" s="116">
        <f t="shared" si="12"/>
        <v>0.88126751408793991</v>
      </c>
      <c r="H142" s="116">
        <f t="shared" si="13"/>
        <v>0</v>
      </c>
      <c r="I142" s="116">
        <f t="shared" si="14"/>
        <v>0.11873248591206009</v>
      </c>
      <c r="J142" s="105">
        <f t="shared" si="15"/>
        <v>1.7625350281758798</v>
      </c>
    </row>
    <row r="143" spans="6:10" ht="16">
      <c r="F143" s="115">
        <f t="shared" si="16"/>
        <v>0.34000000000000091</v>
      </c>
      <c r="G143" s="116">
        <f t="shared" si="12"/>
        <v>0.87343568191046916</v>
      </c>
      <c r="H143" s="116">
        <f t="shared" si="13"/>
        <v>0</v>
      </c>
      <c r="I143" s="116">
        <f t="shared" si="14"/>
        <v>0.12656431808953084</v>
      </c>
      <c r="J143" s="105">
        <f t="shared" si="15"/>
        <v>1.7468713638209383</v>
      </c>
    </row>
    <row r="144" spans="6:10" ht="16">
      <c r="F144" s="115">
        <f t="shared" si="16"/>
        <v>0.35000000000000092</v>
      </c>
      <c r="G144" s="116">
        <f t="shared" si="12"/>
        <v>0.86529597501607547</v>
      </c>
      <c r="H144" s="116">
        <f t="shared" si="13"/>
        <v>0</v>
      </c>
      <c r="I144" s="116">
        <f t="shared" si="14"/>
        <v>0.13470402498392453</v>
      </c>
      <c r="J144" s="105">
        <f t="shared" si="15"/>
        <v>1.7305919500321509</v>
      </c>
    </row>
    <row r="145" spans="6:10" ht="16">
      <c r="F145" s="115">
        <f t="shared" si="16"/>
        <v>0.36000000000000093</v>
      </c>
      <c r="G145" s="116">
        <f t="shared" si="12"/>
        <v>0.85683961931074371</v>
      </c>
      <c r="H145" s="116">
        <f t="shared" si="13"/>
        <v>0</v>
      </c>
      <c r="I145" s="116">
        <f t="shared" si="14"/>
        <v>0.14316038068925629</v>
      </c>
      <c r="J145" s="105">
        <f t="shared" si="15"/>
        <v>1.7136792386214874</v>
      </c>
    </row>
    <row r="146" spans="6:10" ht="16">
      <c r="F146" s="115">
        <f t="shared" si="16"/>
        <v>0.37000000000000094</v>
      </c>
      <c r="G146" s="116">
        <f t="shared" si="12"/>
        <v>0.84805714250814801</v>
      </c>
      <c r="H146" s="116">
        <f t="shared" si="13"/>
        <v>0</v>
      </c>
      <c r="I146" s="116">
        <f t="shared" si="14"/>
        <v>0.15194285749185199</v>
      </c>
      <c r="J146" s="105">
        <f t="shared" si="15"/>
        <v>1.696114285016296</v>
      </c>
    </row>
    <row r="147" spans="6:10" ht="16">
      <c r="F147" s="115">
        <f t="shared" si="16"/>
        <v>0.38000000000000095</v>
      </c>
      <c r="G147" s="116">
        <f t="shared" si="12"/>
        <v>0.83893830261499891</v>
      </c>
      <c r="H147" s="116">
        <f t="shared" si="13"/>
        <v>0</v>
      </c>
      <c r="I147" s="116">
        <f t="shared" si="14"/>
        <v>0.16106169738500109</v>
      </c>
      <c r="J147" s="105">
        <f t="shared" si="15"/>
        <v>1.6778766052299978</v>
      </c>
    </row>
    <row r="148" spans="6:10" ht="16">
      <c r="F148" s="115">
        <f t="shared" si="16"/>
        <v>0.39000000000000096</v>
      </c>
      <c r="G148" s="116">
        <f t="shared" si="12"/>
        <v>0.82947200623464745</v>
      </c>
      <c r="H148" s="116">
        <f t="shared" si="13"/>
        <v>0</v>
      </c>
      <c r="I148" s="116">
        <f t="shared" si="14"/>
        <v>0.17052799376535255</v>
      </c>
      <c r="J148" s="105">
        <f t="shared" si="15"/>
        <v>1.6589440124692949</v>
      </c>
    </row>
    <row r="149" spans="6:10" ht="16">
      <c r="F149" s="115">
        <f t="shared" si="16"/>
        <v>0.40000000000000097</v>
      </c>
      <c r="G149" s="116">
        <f t="shared" si="12"/>
        <v>0.81964621487338796</v>
      </c>
      <c r="H149" s="116">
        <f t="shared" si="13"/>
        <v>0</v>
      </c>
      <c r="I149" s="116">
        <f t="shared" si="14"/>
        <v>0.18035378512661204</v>
      </c>
      <c r="J149" s="105">
        <f t="shared" si="15"/>
        <v>1.6392924297467759</v>
      </c>
    </row>
    <row r="150" spans="6:10" ht="16">
      <c r="F150" s="115">
        <f t="shared" si="16"/>
        <v>0.41000000000000097</v>
      </c>
      <c r="G150" s="116">
        <f t="shared" si="12"/>
        <v>0.80944783703618495</v>
      </c>
      <c r="H150" s="116">
        <f t="shared" si="13"/>
        <v>0</v>
      </c>
      <c r="I150" s="116">
        <f t="shared" si="14"/>
        <v>0.19055216296381505</v>
      </c>
      <c r="J150" s="105">
        <f t="shared" si="15"/>
        <v>1.6188956740723699</v>
      </c>
    </row>
    <row r="151" spans="6:10" ht="16">
      <c r="F151" s="115">
        <f t="shared" si="16"/>
        <v>0.42000000000000098</v>
      </c>
      <c r="G151" s="116">
        <f t="shared" si="12"/>
        <v>0.79886260339672299</v>
      </c>
      <c r="H151" s="116">
        <f t="shared" si="13"/>
        <v>0</v>
      </c>
      <c r="I151" s="116">
        <f t="shared" si="14"/>
        <v>0.20113739660327701</v>
      </c>
      <c r="J151" s="105">
        <f t="shared" si="15"/>
        <v>1.597725206793446</v>
      </c>
    </row>
    <row r="152" spans="6:10" ht="16">
      <c r="F152" s="115">
        <f t="shared" si="16"/>
        <v>0.43000000000000099</v>
      </c>
      <c r="G152" s="116">
        <f t="shared" si="12"/>
        <v>0.78787492168869477</v>
      </c>
      <c r="H152" s="116">
        <f t="shared" si="13"/>
        <v>0</v>
      </c>
      <c r="I152" s="116">
        <f t="shared" si="14"/>
        <v>0.21212507831130523</v>
      </c>
      <c r="J152" s="105">
        <f t="shared" si="15"/>
        <v>1.5757498433773895</v>
      </c>
    </row>
    <row r="153" spans="6:10" ht="16">
      <c r="F153" s="115">
        <f t="shared" si="16"/>
        <v>0.440000000000001</v>
      </c>
      <c r="G153" s="116">
        <f t="shared" si="12"/>
        <v>0.77646770714762459</v>
      </c>
      <c r="H153" s="116">
        <f t="shared" si="13"/>
        <v>0</v>
      </c>
      <c r="I153" s="116">
        <f t="shared" si="14"/>
        <v>0.22353229285237541</v>
      </c>
      <c r="J153" s="105">
        <f t="shared" si="15"/>
        <v>1.5529354142952492</v>
      </c>
    </row>
    <row r="154" spans="6:10" ht="16">
      <c r="F154" s="115">
        <f t="shared" si="16"/>
        <v>0.45000000000000101</v>
      </c>
      <c r="G154" s="116">
        <f t="shared" si="12"/>
        <v>0.7646221832756076</v>
      </c>
      <c r="H154" s="116">
        <f t="shared" si="13"/>
        <v>0</v>
      </c>
      <c r="I154" s="116">
        <f t="shared" si="14"/>
        <v>0.2353778167243924</v>
      </c>
      <c r="J154" s="105">
        <f t="shared" si="15"/>
        <v>1.5292443665512152</v>
      </c>
    </row>
    <row r="155" spans="6:10" ht="16">
      <c r="F155" s="115">
        <f t="shared" si="16"/>
        <v>0.46000000000000102</v>
      </c>
      <c r="G155" s="116">
        <f t="shared" si="12"/>
        <v>0.75231764632246256</v>
      </c>
      <c r="H155" s="116">
        <f t="shared" si="13"/>
        <v>0</v>
      </c>
      <c r="I155" s="116">
        <f t="shared" si="14"/>
        <v>0.24768235367753744</v>
      </c>
      <c r="J155" s="105">
        <f t="shared" si="15"/>
        <v>1.5046352926449251</v>
      </c>
    </row>
    <row r="156" spans="6:10" ht="16">
      <c r="F156" s="115">
        <f t="shared" si="16"/>
        <v>0.47000000000000103</v>
      </c>
      <c r="G156" s="116">
        <f t="shared" si="12"/>
        <v>0.73953118505991899</v>
      </c>
      <c r="H156" s="116">
        <f t="shared" si="13"/>
        <v>0</v>
      </c>
      <c r="I156" s="116">
        <f t="shared" si="14"/>
        <v>0.26046881494008101</v>
      </c>
      <c r="J156" s="105">
        <f t="shared" si="15"/>
        <v>1.479062370119838</v>
      </c>
    </row>
    <row r="157" spans="6:10" ht="16">
      <c r="F157" s="115">
        <f t="shared" si="16"/>
        <v>0.48000000000000104</v>
      </c>
      <c r="G157" s="116">
        <f t="shared" si="12"/>
        <v>0.72623734500577142</v>
      </c>
      <c r="H157" s="116">
        <f t="shared" si="13"/>
        <v>0</v>
      </c>
      <c r="I157" s="116">
        <f t="shared" si="14"/>
        <v>0.27376265499422858</v>
      </c>
      <c r="J157" s="105">
        <f t="shared" si="15"/>
        <v>1.4524746900115428</v>
      </c>
    </row>
    <row r="158" spans="6:10" ht="16">
      <c r="F158" s="115">
        <f t="shared" si="16"/>
        <v>0.49000000000000105</v>
      </c>
      <c r="G158" s="116">
        <f t="shared" si="12"/>
        <v>0.71240772299497201</v>
      </c>
      <c r="H158" s="116">
        <f t="shared" si="13"/>
        <v>0</v>
      </c>
      <c r="I158" s="116">
        <f t="shared" si="14"/>
        <v>0.28759227700502799</v>
      </c>
      <c r="J158" s="105">
        <f t="shared" si="15"/>
        <v>1.424815445989944</v>
      </c>
    </row>
    <row r="159" spans="6:10" ht="16">
      <c r="F159" s="115">
        <f t="shared" si="16"/>
        <v>0.500000000000001</v>
      </c>
      <c r="G159" s="116">
        <f t="shared" si="12"/>
        <v>0.69801047354726375</v>
      </c>
      <c r="H159" s="116">
        <f t="shared" si="13"/>
        <v>0</v>
      </c>
      <c r="I159" s="116">
        <f t="shared" si="14"/>
        <v>0.30198952645273625</v>
      </c>
      <c r="J159" s="105">
        <f t="shared" si="15"/>
        <v>1.3960209470945275</v>
      </c>
    </row>
    <row r="160" spans="6:10" ht="16">
      <c r="F160" s="115">
        <f t="shared" si="16"/>
        <v>0.51000000000000101</v>
      </c>
      <c r="G160" s="116">
        <f t="shared" si="12"/>
        <v>0.68300970233036584</v>
      </c>
      <c r="H160" s="116">
        <f t="shared" si="13"/>
        <v>0</v>
      </c>
      <c r="I160" s="116">
        <f t="shared" si="14"/>
        <v>0.31699029766963416</v>
      </c>
      <c r="J160" s="105">
        <f t="shared" si="15"/>
        <v>1.3660194046607317</v>
      </c>
    </row>
    <row r="161" spans="6:10" ht="16">
      <c r="F161" s="115">
        <f t="shared" si="16"/>
        <v>0.52000000000000102</v>
      </c>
      <c r="G161" s="116">
        <f t="shared" si="12"/>
        <v>0.66736471338399372</v>
      </c>
      <c r="H161" s="116">
        <f t="shared" si="13"/>
        <v>0</v>
      </c>
      <c r="I161" s="116">
        <f t="shared" si="14"/>
        <v>0.33263528661600628</v>
      </c>
      <c r="J161" s="105">
        <f t="shared" si="15"/>
        <v>1.3347294267679874</v>
      </c>
    </row>
    <row r="162" spans="6:10" ht="16">
      <c r="F162" s="115">
        <f t="shared" si="16"/>
        <v>0.53000000000000103</v>
      </c>
      <c r="G162" s="116">
        <f t="shared" si="12"/>
        <v>0.65102906445083575</v>
      </c>
      <c r="H162" s="116">
        <f t="shared" si="13"/>
        <v>0</v>
      </c>
      <c r="I162" s="116">
        <f t="shared" si="14"/>
        <v>0.34897093554916425</v>
      </c>
      <c r="J162" s="105">
        <f t="shared" si="15"/>
        <v>1.3020581289016715</v>
      </c>
    </row>
    <row r="163" spans="6:10" ht="16">
      <c r="F163" s="115">
        <f t="shared" si="16"/>
        <v>0.54000000000000103</v>
      </c>
      <c r="G163" s="116">
        <f t="shared" si="12"/>
        <v>0.63394936686324266</v>
      </c>
      <c r="H163" s="116">
        <f t="shared" si="13"/>
        <v>0</v>
      </c>
      <c r="I163" s="116">
        <f t="shared" si="14"/>
        <v>0.36605063313675734</v>
      </c>
      <c r="J163" s="105">
        <f t="shared" si="15"/>
        <v>1.2678987337264853</v>
      </c>
    </row>
    <row r="164" spans="6:10" ht="16">
      <c r="F164" s="115">
        <f t="shared" si="16"/>
        <v>0.55000000000000104</v>
      </c>
      <c r="G164" s="116">
        <f t="shared" si="12"/>
        <v>0.61606373990832097</v>
      </c>
      <c r="H164" s="116">
        <f t="shared" si="13"/>
        <v>0</v>
      </c>
      <c r="I164" s="116">
        <f t="shared" si="14"/>
        <v>0.38393626009167903</v>
      </c>
      <c r="J164" s="105">
        <f t="shared" si="15"/>
        <v>1.2321274798166419</v>
      </c>
    </row>
    <row r="165" spans="6:10" ht="16">
      <c r="F165" s="115">
        <f t="shared" si="16"/>
        <v>0.56000000000000105</v>
      </c>
      <c r="G165" s="116">
        <f t="shared" si="12"/>
        <v>0.59729978939414818</v>
      </c>
      <c r="H165" s="116">
        <f t="shared" si="13"/>
        <v>0</v>
      </c>
      <c r="I165" s="116">
        <f t="shared" si="14"/>
        <v>0.40270021060585182</v>
      </c>
      <c r="J165" s="105">
        <f t="shared" si="15"/>
        <v>1.1945995787882964</v>
      </c>
    </row>
    <row r="166" spans="6:10" ht="16">
      <c r="F166" s="115">
        <f t="shared" si="16"/>
        <v>0.57000000000000106</v>
      </c>
      <c r="G166" s="116">
        <f t="shared" si="12"/>
        <v>0.57757191767580385</v>
      </c>
      <c r="H166" s="116">
        <f t="shared" si="13"/>
        <v>0</v>
      </c>
      <c r="I166" s="116">
        <f t="shared" si="14"/>
        <v>0.42242808232419615</v>
      </c>
      <c r="J166" s="105">
        <f t="shared" si="15"/>
        <v>1.1551438353516077</v>
      </c>
    </row>
    <row r="167" spans="6:10" ht="16">
      <c r="F167" s="115">
        <f t="shared" si="16"/>
        <v>0.58000000000000107</v>
      </c>
      <c r="G167" s="116">
        <f t="shared" si="12"/>
        <v>0.55677767256065724</v>
      </c>
      <c r="H167" s="116">
        <f t="shared" si="13"/>
        <v>0</v>
      </c>
      <c r="I167" s="116">
        <f t="shared" si="14"/>
        <v>0.44322232743934276</v>
      </c>
      <c r="J167" s="105">
        <f t="shared" si="15"/>
        <v>1.1135553451213145</v>
      </c>
    </row>
    <row r="168" spans="6:10" ht="16">
      <c r="F168" s="115">
        <f t="shared" si="16"/>
        <v>0.59000000000000108</v>
      </c>
      <c r="G168" s="116">
        <f t="shared" si="12"/>
        <v>0.53479267771105932</v>
      </c>
      <c r="H168" s="116">
        <f t="shared" si="13"/>
        <v>0</v>
      </c>
      <c r="I168" s="116">
        <f t="shared" si="14"/>
        <v>0.46520732228894068</v>
      </c>
      <c r="J168" s="105">
        <f t="shared" si="15"/>
        <v>1.0695853554221186</v>
      </c>
    </row>
    <row r="169" spans="6:10" ht="16">
      <c r="F169" s="115">
        <f t="shared" si="16"/>
        <v>0.60000000000000109</v>
      </c>
      <c r="G169" s="116">
        <f t="shared" si="12"/>
        <v>0.51146340485083863</v>
      </c>
      <c r="H169" s="116">
        <f t="shared" si="13"/>
        <v>0</v>
      </c>
      <c r="I169" s="116">
        <f t="shared" si="14"/>
        <v>0.48853659514916137</v>
      </c>
      <c r="J169" s="105">
        <f t="shared" si="15"/>
        <v>1.0229268097016773</v>
      </c>
    </row>
    <row r="170" spans="6:10" ht="16">
      <c r="F170" s="115">
        <f t="shared" si="16"/>
        <v>0.6100000000000011</v>
      </c>
      <c r="G170" s="116">
        <f t="shared" si="12"/>
        <v>0.4865965431102095</v>
      </c>
      <c r="H170" s="116">
        <f t="shared" si="13"/>
        <v>0</v>
      </c>
      <c r="I170" s="116">
        <f t="shared" si="14"/>
        <v>0.5134034568897905</v>
      </c>
      <c r="J170" s="105">
        <f t="shared" si="15"/>
        <v>0.973193086220419</v>
      </c>
    </row>
    <row r="171" spans="6:10" ht="16">
      <c r="F171" s="115">
        <f t="shared" si="16"/>
        <v>0.62000000000000111</v>
      </c>
      <c r="G171" s="116">
        <f t="shared" si="12"/>
        <v>0.45994277027576413</v>
      </c>
      <c r="H171" s="116">
        <f t="shared" si="13"/>
        <v>0</v>
      </c>
      <c r="I171" s="116">
        <f t="shared" si="14"/>
        <v>0.54005722972423587</v>
      </c>
      <c r="J171" s="105">
        <f t="shared" si="15"/>
        <v>0.91988554055152827</v>
      </c>
    </row>
    <row r="172" spans="6:10" ht="16">
      <c r="F172" s="115">
        <f t="shared" si="16"/>
        <v>0.63000000000000111</v>
      </c>
      <c r="G172" s="116">
        <f t="shared" si="12"/>
        <v>0.43117082808096863</v>
      </c>
      <c r="H172" s="116">
        <f t="shared" si="13"/>
        <v>0</v>
      </c>
      <c r="I172" s="116">
        <f t="shared" si="14"/>
        <v>0.56882917191903137</v>
      </c>
      <c r="J172" s="105">
        <f t="shared" si="15"/>
        <v>0.86234165616193725</v>
      </c>
    </row>
    <row r="173" spans="6:10" ht="16">
      <c r="F173" s="115">
        <f t="shared" si="16"/>
        <v>0.64000000000000112</v>
      </c>
      <c r="G173" s="116">
        <f t="shared" si="12"/>
        <v>0.39982369732678086</v>
      </c>
      <c r="H173" s="116">
        <f t="shared" si="13"/>
        <v>0</v>
      </c>
      <c r="I173" s="116">
        <f t="shared" si="14"/>
        <v>0.6001763026732192</v>
      </c>
      <c r="J173" s="105">
        <f t="shared" si="15"/>
        <v>0.79964739465356172</v>
      </c>
    </row>
    <row r="174" spans="6:10" ht="16">
      <c r="F174" s="115">
        <f t="shared" si="16"/>
        <v>0.65000000000000113</v>
      </c>
      <c r="G174" s="116">
        <f t="shared" si="12"/>
        <v>0.36523892152539245</v>
      </c>
      <c r="H174" s="116">
        <f t="shared" si="13"/>
        <v>0</v>
      </c>
      <c r="I174" s="116">
        <f t="shared" si="14"/>
        <v>0.63476107847460761</v>
      </c>
      <c r="J174" s="105">
        <f t="shared" si="15"/>
        <v>0.73047784305078489</v>
      </c>
    </row>
    <row r="175" spans="6:10" ht="16">
      <c r="F175" s="115">
        <f t="shared" si="16"/>
        <v>0.66000000000000114</v>
      </c>
      <c r="G175" s="116">
        <f t="shared" si="12"/>
        <v>0.32638891762275218</v>
      </c>
      <c r="H175" s="116">
        <f t="shared" si="13"/>
        <v>0</v>
      </c>
      <c r="I175" s="116">
        <f t="shared" si="14"/>
        <v>0.67361108237724787</v>
      </c>
      <c r="J175" s="105">
        <f t="shared" si="15"/>
        <v>0.65277783524550437</v>
      </c>
    </row>
    <row r="176" spans="6:10" ht="16">
      <c r="F176" s="115">
        <f t="shared" si="16"/>
        <v>0.67000000000000115</v>
      </c>
      <c r="G176" s="116">
        <f t="shared" si="12"/>
        <v>0.28151333217774394</v>
      </c>
      <c r="H176" s="116">
        <f t="shared" si="13"/>
        <v>0</v>
      </c>
      <c r="I176" s="116">
        <f t="shared" si="14"/>
        <v>0.71848666782225612</v>
      </c>
      <c r="J176" s="105">
        <f t="shared" si="15"/>
        <v>0.56302666435548787</v>
      </c>
    </row>
    <row r="177" spans="6:10" ht="16">
      <c r="F177" s="115">
        <f t="shared" si="16"/>
        <v>0.68000000000000116</v>
      </c>
      <c r="G177" s="116">
        <f t="shared" si="12"/>
        <v>0.22706730662432961</v>
      </c>
      <c r="H177" s="116">
        <f t="shared" si="13"/>
        <v>0</v>
      </c>
      <c r="I177" s="116">
        <f t="shared" si="14"/>
        <v>0.77293269337567039</v>
      </c>
      <c r="J177" s="105">
        <f t="shared" si="15"/>
        <v>0.45413461324865922</v>
      </c>
    </row>
    <row r="178" spans="6:10" ht="16">
      <c r="F178" s="115">
        <f t="shared" si="16"/>
        <v>0.69000000000000117</v>
      </c>
      <c r="G178" s="116">
        <f t="shared" si="12"/>
        <v>0.15316377567291514</v>
      </c>
      <c r="H178" s="116">
        <f t="shared" si="13"/>
        <v>0</v>
      </c>
      <c r="I178" s="116">
        <f t="shared" si="14"/>
        <v>0.84683622432708483</v>
      </c>
      <c r="J178" s="105">
        <f t="shared" si="15"/>
        <v>0.30632755134583028</v>
      </c>
    </row>
    <row r="179" spans="6:10" ht="16">
      <c r="F179" s="115">
        <f t="shared" si="16"/>
        <v>0.70000000000000118</v>
      </c>
      <c r="G179" s="116">
        <f t="shared" si="12"/>
        <v>0</v>
      </c>
      <c r="H179" s="116">
        <f t="shared" si="13"/>
        <v>0</v>
      </c>
      <c r="I179" s="116">
        <f t="shared" si="14"/>
        <v>1</v>
      </c>
      <c r="J179" s="105">
        <f t="shared" si="15"/>
        <v>0</v>
      </c>
    </row>
    <row r="180" spans="6:10" ht="16">
      <c r="F180" s="115">
        <f t="shared" si="16"/>
        <v>0.71000000000000119</v>
      </c>
      <c r="G180" s="116">
        <f t="shared" si="12"/>
        <v>0</v>
      </c>
      <c r="H180" s="116">
        <f t="shared" si="13"/>
        <v>0</v>
      </c>
      <c r="I180" s="116">
        <f t="shared" si="14"/>
        <v>1</v>
      </c>
      <c r="J180" s="105">
        <f t="shared" si="15"/>
        <v>0</v>
      </c>
    </row>
    <row r="181" spans="6:10" ht="16">
      <c r="F181" s="115">
        <f t="shared" si="16"/>
        <v>0.72000000000000119</v>
      </c>
      <c r="G181" s="116">
        <f t="shared" si="12"/>
        <v>0</v>
      </c>
      <c r="H181" s="116">
        <f t="shared" si="13"/>
        <v>0</v>
      </c>
      <c r="I181" s="116">
        <f t="shared" si="14"/>
        <v>1</v>
      </c>
      <c r="J181" s="105">
        <f t="shared" si="15"/>
        <v>0</v>
      </c>
    </row>
    <row r="182" spans="6:10" ht="16">
      <c r="F182" s="115">
        <f t="shared" si="16"/>
        <v>0.7300000000000012</v>
      </c>
      <c r="G182" s="116">
        <f t="shared" si="12"/>
        <v>0</v>
      </c>
      <c r="H182" s="116">
        <f t="shared" si="13"/>
        <v>0</v>
      </c>
      <c r="I182" s="116">
        <f t="shared" si="14"/>
        <v>1</v>
      </c>
      <c r="J182" s="105">
        <f t="shared" si="15"/>
        <v>0</v>
      </c>
    </row>
    <row r="183" spans="6:10" ht="16">
      <c r="F183" s="115">
        <f t="shared" si="16"/>
        <v>0.74000000000000121</v>
      </c>
      <c r="G183" s="116">
        <f t="shared" si="12"/>
        <v>0</v>
      </c>
      <c r="H183" s="116">
        <f t="shared" si="13"/>
        <v>0</v>
      </c>
      <c r="I183" s="116">
        <f t="shared" si="14"/>
        <v>1</v>
      </c>
      <c r="J183" s="105">
        <f t="shared" si="15"/>
        <v>0</v>
      </c>
    </row>
    <row r="184" spans="6:10" ht="16">
      <c r="F184" s="115">
        <f t="shared" si="16"/>
        <v>0.75000000000000122</v>
      </c>
      <c r="G184" s="116">
        <f t="shared" si="12"/>
        <v>0</v>
      </c>
      <c r="H184" s="116">
        <f t="shared" si="13"/>
        <v>0</v>
      </c>
      <c r="I184" s="116">
        <f t="shared" si="14"/>
        <v>1</v>
      </c>
      <c r="J184" s="105">
        <f t="shared" si="15"/>
        <v>0</v>
      </c>
    </row>
    <row r="185" spans="6:10" ht="16">
      <c r="F185" s="115">
        <f t="shared" si="16"/>
        <v>0.76000000000000123</v>
      </c>
      <c r="G185" s="116">
        <f t="shared" si="12"/>
        <v>0</v>
      </c>
      <c r="H185" s="116">
        <f t="shared" si="13"/>
        <v>0</v>
      </c>
      <c r="I185" s="116">
        <f t="shared" si="14"/>
        <v>1</v>
      </c>
      <c r="J185" s="105">
        <f t="shared" si="15"/>
        <v>0</v>
      </c>
    </row>
    <row r="186" spans="6:10" ht="16">
      <c r="F186" s="115">
        <f t="shared" si="16"/>
        <v>0.77000000000000124</v>
      </c>
      <c r="G186" s="116">
        <f t="shared" si="12"/>
        <v>0</v>
      </c>
      <c r="H186" s="116">
        <f t="shared" si="13"/>
        <v>0</v>
      </c>
      <c r="I186" s="116">
        <f t="shared" si="14"/>
        <v>1</v>
      </c>
      <c r="J186" s="105">
        <f t="shared" si="15"/>
        <v>0</v>
      </c>
    </row>
    <row r="187" spans="6:10" ht="16">
      <c r="F187" s="115">
        <f t="shared" si="16"/>
        <v>0.78000000000000125</v>
      </c>
      <c r="G187" s="116">
        <f t="shared" si="12"/>
        <v>0</v>
      </c>
      <c r="H187" s="116">
        <f t="shared" si="13"/>
        <v>0</v>
      </c>
      <c r="I187" s="116">
        <f t="shared" si="14"/>
        <v>1</v>
      </c>
      <c r="J187" s="105">
        <f t="shared" si="15"/>
        <v>0</v>
      </c>
    </row>
    <row r="188" spans="6:10" ht="16">
      <c r="F188" s="115">
        <f t="shared" si="16"/>
        <v>0.79000000000000126</v>
      </c>
      <c r="G188" s="116">
        <f t="shared" si="12"/>
        <v>0</v>
      </c>
      <c r="H188" s="116">
        <f t="shared" si="13"/>
        <v>0</v>
      </c>
      <c r="I188" s="116">
        <f t="shared" si="14"/>
        <v>1</v>
      </c>
      <c r="J188" s="105">
        <f t="shared" si="15"/>
        <v>0</v>
      </c>
    </row>
    <row r="189" spans="6:10" ht="16">
      <c r="F189" s="115">
        <f t="shared" si="16"/>
        <v>0.80000000000000127</v>
      </c>
      <c r="G189" s="116">
        <f t="shared" si="12"/>
        <v>0</v>
      </c>
      <c r="H189" s="116">
        <f t="shared" si="13"/>
        <v>0</v>
      </c>
      <c r="I189" s="116">
        <f t="shared" si="14"/>
        <v>1</v>
      </c>
      <c r="J189" s="105">
        <f t="shared" si="15"/>
        <v>0</v>
      </c>
    </row>
    <row r="190" spans="6:10" ht="16">
      <c r="F190" s="115">
        <f t="shared" si="16"/>
        <v>0.81000000000000127</v>
      </c>
      <c r="G190" s="116">
        <f t="shared" si="12"/>
        <v>0</v>
      </c>
      <c r="H190" s="116">
        <f t="shared" si="13"/>
        <v>0</v>
      </c>
      <c r="I190" s="116">
        <f t="shared" si="14"/>
        <v>1</v>
      </c>
      <c r="J190" s="105">
        <f t="shared" si="15"/>
        <v>0</v>
      </c>
    </row>
    <row r="191" spans="6:10" ht="16">
      <c r="F191" s="115">
        <f t="shared" si="16"/>
        <v>0.82000000000000128</v>
      </c>
      <c r="G191" s="116">
        <f t="shared" si="12"/>
        <v>0</v>
      </c>
      <c r="H191" s="116">
        <f t="shared" si="13"/>
        <v>0</v>
      </c>
      <c r="I191" s="116">
        <f t="shared" si="14"/>
        <v>1</v>
      </c>
      <c r="J191" s="105">
        <f t="shared" si="15"/>
        <v>0</v>
      </c>
    </row>
    <row r="192" spans="6:10" ht="16">
      <c r="F192" s="115">
        <f t="shared" si="16"/>
        <v>0.83000000000000129</v>
      </c>
      <c r="G192" s="116">
        <f t="shared" si="12"/>
        <v>0</v>
      </c>
      <c r="H192" s="116">
        <f t="shared" si="13"/>
        <v>0</v>
      </c>
      <c r="I192" s="116">
        <f t="shared" si="14"/>
        <v>1</v>
      </c>
      <c r="J192" s="105">
        <f t="shared" si="15"/>
        <v>0</v>
      </c>
    </row>
    <row r="193" spans="6:10" ht="16">
      <c r="F193" s="115">
        <f t="shared" si="16"/>
        <v>0.8400000000000013</v>
      </c>
      <c r="G193" s="116">
        <f t="shared" si="12"/>
        <v>0</v>
      </c>
      <c r="H193" s="116">
        <f t="shared" si="13"/>
        <v>0</v>
      </c>
      <c r="I193" s="116">
        <f t="shared" si="14"/>
        <v>1</v>
      </c>
      <c r="J193" s="105">
        <f t="shared" si="15"/>
        <v>0</v>
      </c>
    </row>
    <row r="194" spans="6:10" ht="16">
      <c r="F194" s="115">
        <f t="shared" si="16"/>
        <v>0.85000000000000131</v>
      </c>
      <c r="G194" s="116">
        <f t="shared" si="12"/>
        <v>0</v>
      </c>
      <c r="H194" s="116">
        <f t="shared" si="13"/>
        <v>0</v>
      </c>
      <c r="I194" s="116">
        <f t="shared" si="14"/>
        <v>1</v>
      </c>
      <c r="J194" s="105">
        <f t="shared" si="15"/>
        <v>0</v>
      </c>
    </row>
    <row r="195" spans="6:10" ht="16">
      <c r="F195" s="115">
        <f t="shared" si="16"/>
        <v>0.86000000000000132</v>
      </c>
      <c r="G195" s="116">
        <f t="shared" si="12"/>
        <v>0</v>
      </c>
      <c r="H195" s="116">
        <f t="shared" si="13"/>
        <v>0</v>
      </c>
      <c r="I195" s="116">
        <f t="shared" si="14"/>
        <v>1</v>
      </c>
      <c r="J195" s="105">
        <f t="shared" si="15"/>
        <v>0</v>
      </c>
    </row>
    <row r="196" spans="6:10" ht="16">
      <c r="F196" s="115">
        <f t="shared" si="16"/>
        <v>0.87000000000000133</v>
      </c>
      <c r="G196" s="116">
        <f t="shared" si="12"/>
        <v>0</v>
      </c>
      <c r="H196" s="116">
        <f t="shared" si="13"/>
        <v>0</v>
      </c>
      <c r="I196" s="116">
        <f t="shared" si="14"/>
        <v>1</v>
      </c>
      <c r="J196" s="105">
        <f t="shared" si="15"/>
        <v>0</v>
      </c>
    </row>
    <row r="197" spans="6:10" ht="16">
      <c r="F197" s="115">
        <f t="shared" si="16"/>
        <v>0.88000000000000134</v>
      </c>
      <c r="G197" s="116">
        <f t="shared" si="12"/>
        <v>0</v>
      </c>
      <c r="H197" s="116">
        <f t="shared" si="13"/>
        <v>0</v>
      </c>
      <c r="I197" s="116">
        <f t="shared" si="14"/>
        <v>1</v>
      </c>
      <c r="J197" s="105">
        <f t="shared" si="15"/>
        <v>0</v>
      </c>
    </row>
    <row r="198" spans="6:10" ht="16">
      <c r="F198" s="115">
        <f t="shared" si="16"/>
        <v>0.89000000000000135</v>
      </c>
      <c r="G198" s="116">
        <f t="shared" si="12"/>
        <v>0</v>
      </c>
      <c r="H198" s="116">
        <f t="shared" si="13"/>
        <v>0</v>
      </c>
      <c r="I198" s="116">
        <f t="shared" si="14"/>
        <v>1</v>
      </c>
      <c r="J198" s="105">
        <f t="shared" si="15"/>
        <v>0</v>
      </c>
    </row>
    <row r="199" spans="6:10" ht="16">
      <c r="F199" s="115">
        <f t="shared" si="16"/>
        <v>0.90000000000000135</v>
      </c>
      <c r="G199" s="116">
        <f t="shared" si="12"/>
        <v>0</v>
      </c>
      <c r="H199" s="116">
        <f t="shared" si="13"/>
        <v>0</v>
      </c>
      <c r="I199" s="116">
        <f t="shared" si="14"/>
        <v>1</v>
      </c>
      <c r="J199" s="105">
        <f t="shared" si="15"/>
        <v>0</v>
      </c>
    </row>
    <row r="200" spans="6:10" ht="16">
      <c r="F200" s="115">
        <f t="shared" si="16"/>
        <v>0.91000000000000136</v>
      </c>
      <c r="G200" s="116">
        <f t="shared" si="12"/>
        <v>0</v>
      </c>
      <c r="H200" s="116">
        <f t="shared" si="13"/>
        <v>0</v>
      </c>
      <c r="I200" s="116">
        <f t="shared" si="14"/>
        <v>1</v>
      </c>
      <c r="J200" s="105">
        <f t="shared" si="15"/>
        <v>0</v>
      </c>
    </row>
    <row r="201" spans="6:10" ht="16">
      <c r="F201" s="115">
        <f t="shared" si="16"/>
        <v>0.92000000000000137</v>
      </c>
      <c r="G201" s="116">
        <f t="shared" ref="G201:G209" si="17">IFERROR(IF(SQRT(1-(F201*F201)/($J$5*$J$5))&lt;0.05,0,SQRT(1-(F201*F201)/($J$5*$J$5))),0)</f>
        <v>0</v>
      </c>
      <c r="H201" s="116">
        <f t="shared" ref="H201:H209" si="18">CHOOSE(MATCH($J$3,degrees),IF(F201&lt;0,IFERROR(1-G201,1),0),0,0,IF(F201&gt;0,IFERROR(1-G201,1),0))</f>
        <v>0</v>
      </c>
      <c r="I201" s="116">
        <f t="shared" ref="I201:I209" si="19">CHOOSE(MATCH($J$3,degrees),IF(F201&lt;0,2*G201,2),IF(F201&lt;0,0,1-G201),IF(F201&gt;0,0,1-G201),IF(F201&gt;0,2*G201,2))</f>
        <v>1</v>
      </c>
      <c r="J201" s="105">
        <f t="shared" ref="J201:J209" si="20">CHOOSE(MATCH($J$3,degrees),IF(F201&lt;0,G201+1,2),IF(F201&lt;0,2,2*G201),IF(F201&gt;0,2,2*G201),IF(F201&gt;0,G201+1,2))</f>
        <v>0</v>
      </c>
    </row>
    <row r="202" spans="6:10" ht="16">
      <c r="F202" s="115">
        <f t="shared" ref="F202:F209" si="21">F201+$G$4</f>
        <v>0.93000000000000138</v>
      </c>
      <c r="G202" s="116">
        <f t="shared" si="17"/>
        <v>0</v>
      </c>
      <c r="H202" s="116">
        <f t="shared" si="18"/>
        <v>0</v>
      </c>
      <c r="I202" s="116">
        <f t="shared" si="19"/>
        <v>1</v>
      </c>
      <c r="J202" s="105">
        <f t="shared" si="20"/>
        <v>0</v>
      </c>
    </row>
    <row r="203" spans="6:10" ht="16">
      <c r="F203" s="115">
        <f t="shared" si="21"/>
        <v>0.94000000000000139</v>
      </c>
      <c r="G203" s="116">
        <f t="shared" si="17"/>
        <v>0</v>
      </c>
      <c r="H203" s="116">
        <f t="shared" si="18"/>
        <v>0</v>
      </c>
      <c r="I203" s="116">
        <f t="shared" si="19"/>
        <v>1</v>
      </c>
      <c r="J203" s="105">
        <f t="shared" si="20"/>
        <v>0</v>
      </c>
    </row>
    <row r="204" spans="6:10" ht="16">
      <c r="F204" s="115">
        <f t="shared" si="21"/>
        <v>0.9500000000000014</v>
      </c>
      <c r="G204" s="116">
        <f t="shared" si="17"/>
        <v>0</v>
      </c>
      <c r="H204" s="116">
        <f t="shared" si="18"/>
        <v>0</v>
      </c>
      <c r="I204" s="116">
        <f t="shared" si="19"/>
        <v>1</v>
      </c>
      <c r="J204" s="105">
        <f t="shared" si="20"/>
        <v>0</v>
      </c>
    </row>
    <row r="205" spans="6:10" ht="16">
      <c r="F205" s="115">
        <f t="shared" si="21"/>
        <v>0.96000000000000141</v>
      </c>
      <c r="G205" s="116">
        <f t="shared" si="17"/>
        <v>0</v>
      </c>
      <c r="H205" s="116">
        <f t="shared" si="18"/>
        <v>0</v>
      </c>
      <c r="I205" s="116">
        <f t="shared" si="19"/>
        <v>1</v>
      </c>
      <c r="J205" s="105">
        <f t="shared" si="20"/>
        <v>0</v>
      </c>
    </row>
    <row r="206" spans="6:10" ht="16">
      <c r="F206" s="115">
        <f t="shared" si="21"/>
        <v>0.97000000000000142</v>
      </c>
      <c r="G206" s="116">
        <f t="shared" si="17"/>
        <v>0</v>
      </c>
      <c r="H206" s="116">
        <f t="shared" si="18"/>
        <v>0</v>
      </c>
      <c r="I206" s="116">
        <f t="shared" si="19"/>
        <v>1</v>
      </c>
      <c r="J206" s="105">
        <f t="shared" si="20"/>
        <v>0</v>
      </c>
    </row>
    <row r="207" spans="6:10" ht="16">
      <c r="F207" s="115">
        <f t="shared" si="21"/>
        <v>0.98000000000000143</v>
      </c>
      <c r="G207" s="116">
        <f t="shared" si="17"/>
        <v>0</v>
      </c>
      <c r="H207" s="116">
        <f t="shared" si="18"/>
        <v>0</v>
      </c>
      <c r="I207" s="116">
        <f t="shared" si="19"/>
        <v>1</v>
      </c>
      <c r="J207" s="105">
        <f t="shared" si="20"/>
        <v>0</v>
      </c>
    </row>
    <row r="208" spans="6:10" ht="16">
      <c r="F208" s="115">
        <f t="shared" si="21"/>
        <v>0.99000000000000143</v>
      </c>
      <c r="G208" s="116">
        <f t="shared" si="17"/>
        <v>0</v>
      </c>
      <c r="H208" s="116">
        <f t="shared" si="18"/>
        <v>0</v>
      </c>
      <c r="I208" s="116">
        <f t="shared" si="19"/>
        <v>1</v>
      </c>
      <c r="J208" s="105">
        <f t="shared" si="20"/>
        <v>0</v>
      </c>
    </row>
    <row r="209" spans="6:10" ht="16">
      <c r="F209" s="133">
        <f t="shared" si="21"/>
        <v>1.0000000000000013</v>
      </c>
      <c r="G209" s="134">
        <f t="shared" si="17"/>
        <v>0</v>
      </c>
      <c r="H209" s="134">
        <f t="shared" si="18"/>
        <v>0</v>
      </c>
      <c r="I209" s="134">
        <f t="shared" si="19"/>
        <v>1</v>
      </c>
      <c r="J209" s="135">
        <f t="shared" si="20"/>
        <v>0</v>
      </c>
    </row>
  </sheetData>
  <sheetProtection sheet="1" objects="1" scenarios="1"/>
  <pageMargins left="0.75" right="0.75" top="1" bottom="1" header="0.5" footer="0.5"/>
  <pageSetup paperSize="8" scale="150" orientation="landscape" horizontalDpi="300" verticalDpi="0" copies="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A88C-592E-D047-8E90-70DB0B87012B}">
  <dimension ref="A1"/>
  <sheetViews>
    <sheetView showGridLines="0" workbookViewId="0">
      <selection activeCell="Z20" sqref="Z20"/>
    </sheetView>
  </sheetViews>
  <sheetFormatPr baseColWidth="10" defaultRowHeight="15"/>
  <sheetData/>
  <sheetProtection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Introduction</vt:lpstr>
      <vt:lpstr>Visibility</vt:lpstr>
      <vt:lpstr>Illumination</vt:lpstr>
      <vt:lpstr>Catalogue</vt:lpstr>
    </vt:vector>
  </TitlesOfParts>
  <Manager/>
  <Company>Astronomy Morsels</Company>
  <LinksUpToDate>false</LinksUpToDate>
  <SharedDoc>false</SharedDoc>
  <HyperlinkBase>www.astronomy-morsels.ch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Planetary Nebulae 100 Objects</dc:title>
  <dc:subject/>
  <dc:creator>Anton Viola</dc:creator>
  <cp:keywords/>
  <dc:description/>
  <cp:lastModifiedBy>Anton Viola</cp:lastModifiedBy>
  <dcterms:created xsi:type="dcterms:W3CDTF">2009-01-01T15:24:05Z</dcterms:created>
  <dcterms:modified xsi:type="dcterms:W3CDTF">2024-11-07T10:03:35Z</dcterms:modified>
  <cp:category/>
</cp:coreProperties>
</file>