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ate1904="1" defaultThemeVersion="20230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A5275F2A-B6F4-DE47-900E-4489231E4262}" xr6:coauthVersionLast="47" xr6:coauthVersionMax="47" xr10:uidLastSave="{00000000-0000-0000-0000-000000000000}"/>
  <bookViews>
    <workbookView xWindow="24000" yWindow="1580" windowWidth="33040" windowHeight="25500" xr2:uid="{D9672E12-1E1C-684E-94B3-32B05132FC52}"/>
  </bookViews>
  <sheets>
    <sheet name="Introduction" sheetId="5" r:id="rId1"/>
    <sheet name="Venus" sheetId="1" r:id="rId2"/>
    <sheet name="Background"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3" i="1" l="1"/>
  <c r="O80" i="1"/>
  <c r="O83" i="1"/>
  <c r="O50" i="1" l="1"/>
  <c r="O51" i="1"/>
  <c r="O52" i="1"/>
  <c r="O53" i="1"/>
  <c r="O54" i="1"/>
  <c r="O55" i="1"/>
  <c r="O56" i="1"/>
  <c r="O57" i="1"/>
  <c r="O58" i="1"/>
  <c r="O59" i="1"/>
  <c r="O60" i="1"/>
  <c r="O61" i="1"/>
  <c r="O62" i="1"/>
  <c r="O63" i="1"/>
  <c r="O64" i="1"/>
  <c r="O65" i="1"/>
  <c r="O66" i="1"/>
  <c r="O67" i="1"/>
  <c r="O68" i="1"/>
  <c r="O69" i="1"/>
  <c r="O70" i="1"/>
  <c r="O71" i="1"/>
  <c r="O72" i="1"/>
  <c r="O74" i="1"/>
  <c r="O75" i="1"/>
  <c r="O76" i="1"/>
  <c r="O77" i="1"/>
  <c r="O78" i="1"/>
  <c r="O79" i="1"/>
  <c r="O81" i="1"/>
  <c r="O82" i="1"/>
  <c r="O84" i="1"/>
  <c r="O85" i="1"/>
  <c r="O86" i="1"/>
  <c r="Z90" i="1"/>
  <c r="Z89" i="1"/>
  <c r="C7" i="1"/>
  <c r="C8" i="1" s="1"/>
  <c r="C10" i="1" s="1"/>
  <c r="C13" i="1"/>
  <c r="AC73" i="1" s="1"/>
  <c r="C12" i="1"/>
  <c r="AJ73" i="1" l="1"/>
  <c r="AK73" i="1" s="1"/>
  <c r="AA80" i="1"/>
  <c r="AC80" i="1"/>
  <c r="AE80" i="1"/>
  <c r="AF80" i="1"/>
  <c r="AG80" i="1" s="1"/>
  <c r="AJ80" i="1"/>
  <c r="AK80" i="1" s="1"/>
  <c r="AN80" i="1"/>
  <c r="AO80" i="1" s="1"/>
  <c r="AA23" i="1"/>
  <c r="AC83" i="1"/>
  <c r="AJ83" i="1"/>
  <c r="AK83" i="1" s="1"/>
  <c r="AB49" i="1"/>
  <c r="AA49" i="1"/>
  <c r="AC39" i="1"/>
  <c r="AA39" i="1"/>
  <c r="AC36" i="1"/>
  <c r="AB36" i="1"/>
  <c r="AB33" i="1"/>
  <c r="AA33" i="1"/>
  <c r="AA30" i="1"/>
  <c r="AB52" i="1"/>
  <c r="AE77" i="1"/>
  <c r="AB75" i="1"/>
  <c r="AB65" i="1"/>
  <c r="AC62" i="1"/>
  <c r="AC52" i="1"/>
  <c r="AB78" i="1"/>
  <c r="AA78" i="1"/>
  <c r="AA75" i="1"/>
  <c r="AB62" i="1"/>
  <c r="AC65" i="1"/>
  <c r="AA65" i="1"/>
  <c r="AD52" i="1"/>
  <c r="AL52" i="1" s="1"/>
  <c r="AD84" i="1"/>
  <c r="AL84" i="1" s="1"/>
  <c r="AE71" i="1"/>
  <c r="AA59" i="1"/>
  <c r="AE45" i="1"/>
  <c r="AE26" i="1"/>
  <c r="AE61" i="1"/>
  <c r="AE58" i="1"/>
  <c r="AD45" i="1"/>
  <c r="AD26" i="1"/>
  <c r="AB84" i="1"/>
  <c r="AD58" i="1"/>
  <c r="AL58" i="1" s="1"/>
  <c r="AC45" i="1"/>
  <c r="AC23" i="1"/>
  <c r="AE84" i="1"/>
  <c r="AE74" i="1"/>
  <c r="AD48" i="1"/>
  <c r="AC84" i="1"/>
  <c r="AE55" i="1"/>
  <c r="AD42" i="1"/>
  <c r="AD74" i="1"/>
  <c r="AL74" i="1" s="1"/>
  <c r="AB59" i="1"/>
  <c r="AD71" i="1"/>
  <c r="AL71" i="1" s="1"/>
  <c r="AC71" i="1"/>
  <c r="AD81" i="1"/>
  <c r="AL81" i="1" s="1"/>
  <c r="AE68" i="1"/>
  <c r="AD68" i="1"/>
  <c r="AL68" i="1" s="1"/>
  <c r="AB81" i="1"/>
  <c r="AC68" i="1"/>
  <c r="AD55" i="1"/>
  <c r="AL55" i="1" s="1"/>
  <c r="AC42" i="1"/>
  <c r="AA62" i="1"/>
  <c r="AA46" i="1"/>
  <c r="AE42" i="1"/>
  <c r="AA81" i="1"/>
  <c r="AB68" i="1"/>
  <c r="AC55" i="1"/>
  <c r="AB42" i="1"/>
  <c r="AE48" i="1"/>
  <c r="AA72" i="1"/>
  <c r="AA56" i="1"/>
  <c r="AC81" i="1"/>
  <c r="AC78" i="1"/>
  <c r="AD65" i="1"/>
  <c r="AL65" i="1" s="1"/>
  <c r="AE52" i="1"/>
  <c r="AC20" i="1"/>
  <c r="AB17" i="1"/>
  <c r="AA14" i="1"/>
  <c r="AB20" i="1"/>
  <c r="AA17" i="1"/>
  <c r="AE13" i="1"/>
  <c r="AA36" i="1"/>
  <c r="AE32" i="1"/>
  <c r="AC26" i="1"/>
  <c r="AA20" i="1"/>
  <c r="AE16" i="1"/>
  <c r="AD13" i="1"/>
  <c r="AE35" i="1"/>
  <c r="AD32" i="1"/>
  <c r="AC29" i="1"/>
  <c r="AB26" i="1"/>
  <c r="AE19" i="1"/>
  <c r="AD16" i="1"/>
  <c r="AC13" i="1"/>
  <c r="AA84" i="1"/>
  <c r="AD77" i="1"/>
  <c r="AL77" i="1" s="1"/>
  <c r="AC74" i="1"/>
  <c r="AB71" i="1"/>
  <c r="AA68" i="1"/>
  <c r="AE64" i="1"/>
  <c r="AD61" i="1"/>
  <c r="AL61" i="1" s="1"/>
  <c r="AC58" i="1"/>
  <c r="AB55" i="1"/>
  <c r="AA52" i="1"/>
  <c r="AC48" i="1"/>
  <c r="AB45" i="1"/>
  <c r="AA42" i="1"/>
  <c r="AE38" i="1"/>
  <c r="AD35" i="1"/>
  <c r="AC32" i="1"/>
  <c r="AA26" i="1"/>
  <c r="AE22" i="1"/>
  <c r="AD19" i="1"/>
  <c r="AC16" i="1"/>
  <c r="AB13" i="1"/>
  <c r="AC77" i="1"/>
  <c r="AB74" i="1"/>
  <c r="AA71" i="1"/>
  <c r="AE67" i="1"/>
  <c r="AD64" i="1"/>
  <c r="AL64" i="1" s="1"/>
  <c r="AC61" i="1"/>
  <c r="AB58" i="1"/>
  <c r="AA55" i="1"/>
  <c r="AE51" i="1"/>
  <c r="AB48" i="1"/>
  <c r="AA45" i="1"/>
  <c r="AE41" i="1"/>
  <c r="AD38" i="1"/>
  <c r="AC35" i="1"/>
  <c r="AB32" i="1"/>
  <c r="AE25" i="1"/>
  <c r="AD22" i="1"/>
  <c r="AC19" i="1"/>
  <c r="AB16" i="1"/>
  <c r="AA13" i="1"/>
  <c r="AE86" i="1"/>
  <c r="AB77" i="1"/>
  <c r="AA74" i="1"/>
  <c r="AE70" i="1"/>
  <c r="AD67" i="1"/>
  <c r="AL67" i="1" s="1"/>
  <c r="AC64" i="1"/>
  <c r="AB61" i="1"/>
  <c r="AA58" i="1"/>
  <c r="AE54" i="1"/>
  <c r="AD51" i="1"/>
  <c r="AL51" i="1" s="1"/>
  <c r="AM51" i="1" s="1"/>
  <c r="AA48" i="1"/>
  <c r="AE44" i="1"/>
  <c r="AD41" i="1"/>
  <c r="AC38" i="1"/>
  <c r="AB35" i="1"/>
  <c r="AA32" i="1"/>
  <c r="AE28" i="1"/>
  <c r="AD25" i="1"/>
  <c r="AC22" i="1"/>
  <c r="AB19" i="1"/>
  <c r="AA16" i="1"/>
  <c r="AD86" i="1"/>
  <c r="AL86" i="1" s="1"/>
  <c r="AA77" i="1"/>
  <c r="AD70" i="1"/>
  <c r="AL70" i="1" s="1"/>
  <c r="AC67" i="1"/>
  <c r="AB64" i="1"/>
  <c r="AA61" i="1"/>
  <c r="AE57" i="1"/>
  <c r="AD54" i="1"/>
  <c r="AL54" i="1" s="1"/>
  <c r="AC51" i="1"/>
  <c r="AE47" i="1"/>
  <c r="AD44" i="1"/>
  <c r="AC41" i="1"/>
  <c r="AB38" i="1"/>
  <c r="AA35" i="1"/>
  <c r="AE31" i="1"/>
  <c r="AD28" i="1"/>
  <c r="AC25" i="1"/>
  <c r="AB22" i="1"/>
  <c r="AA19" i="1"/>
  <c r="AE15" i="1"/>
  <c r="AC86" i="1"/>
  <c r="AE76" i="1"/>
  <c r="AC70" i="1"/>
  <c r="AB67" i="1"/>
  <c r="AA64" i="1"/>
  <c r="AE60" i="1"/>
  <c r="AD57" i="1"/>
  <c r="AL57" i="1" s="1"/>
  <c r="AC54" i="1"/>
  <c r="AB51" i="1"/>
  <c r="AD47" i="1"/>
  <c r="AC44" i="1"/>
  <c r="AB41" i="1"/>
  <c r="AA38" i="1"/>
  <c r="AE34" i="1"/>
  <c r="AD31" i="1"/>
  <c r="AC28" i="1"/>
  <c r="AB25" i="1"/>
  <c r="AA22" i="1"/>
  <c r="AE18" i="1"/>
  <c r="AD15" i="1"/>
  <c r="AA67" i="1"/>
  <c r="AE63" i="1"/>
  <c r="AA51" i="1"/>
  <c r="AC47" i="1"/>
  <c r="AB44" i="1"/>
  <c r="AA41" i="1"/>
  <c r="AE37" i="1"/>
  <c r="AD34" i="1"/>
  <c r="AC31" i="1"/>
  <c r="AB28" i="1"/>
  <c r="AA25" i="1"/>
  <c r="AE21" i="1"/>
  <c r="AD18" i="1"/>
  <c r="AC15" i="1"/>
  <c r="AD60" i="1"/>
  <c r="AL60" i="1" s="1"/>
  <c r="AA86" i="1"/>
  <c r="AE82" i="1"/>
  <c r="AD79" i="1"/>
  <c r="AL79" i="1" s="1"/>
  <c r="AC76" i="1"/>
  <c r="AA70" i="1"/>
  <c r="AE66" i="1"/>
  <c r="AD63" i="1"/>
  <c r="AL63" i="1" s="1"/>
  <c r="AC60" i="1"/>
  <c r="AB57" i="1"/>
  <c r="AA54" i="1"/>
  <c r="AE50" i="1"/>
  <c r="AB47" i="1"/>
  <c r="AA44" i="1"/>
  <c r="AE40" i="1"/>
  <c r="AD37" i="1"/>
  <c r="AC34" i="1"/>
  <c r="AB31" i="1"/>
  <c r="AA28" i="1"/>
  <c r="AE24" i="1"/>
  <c r="AD21" i="1"/>
  <c r="AC18" i="1"/>
  <c r="AB15" i="1"/>
  <c r="AB86" i="1"/>
  <c r="AD76" i="1"/>
  <c r="AL76" i="1" s="1"/>
  <c r="AC57" i="1"/>
  <c r="AE85" i="1"/>
  <c r="AD82" i="1"/>
  <c r="AL82" i="1" s="1"/>
  <c r="AC79" i="1"/>
  <c r="AB76" i="1"/>
  <c r="AE69" i="1"/>
  <c r="AD66" i="1"/>
  <c r="AL66" i="1" s="1"/>
  <c r="AC63" i="1"/>
  <c r="AB60" i="1"/>
  <c r="AA57" i="1"/>
  <c r="AE53" i="1"/>
  <c r="AC50" i="1"/>
  <c r="AA47" i="1"/>
  <c r="AE43" i="1"/>
  <c r="AD40" i="1"/>
  <c r="AC37" i="1"/>
  <c r="AB34" i="1"/>
  <c r="AA31" i="1"/>
  <c r="AE27" i="1"/>
  <c r="AD24" i="1"/>
  <c r="AC21" i="1"/>
  <c r="AB18" i="1"/>
  <c r="AA15" i="1"/>
  <c r="AD85" i="1"/>
  <c r="AL85" i="1" s="1"/>
  <c r="AC82" i="1"/>
  <c r="AB79" i="1"/>
  <c r="AA76" i="1"/>
  <c r="AE72" i="1"/>
  <c r="AD69" i="1"/>
  <c r="AL69" i="1" s="1"/>
  <c r="AC66" i="1"/>
  <c r="AB63" i="1"/>
  <c r="AA60" i="1"/>
  <c r="AE56" i="1"/>
  <c r="AD53" i="1"/>
  <c r="AL53" i="1" s="1"/>
  <c r="AA50" i="1"/>
  <c r="AE46" i="1"/>
  <c r="AD43" i="1"/>
  <c r="AC40" i="1"/>
  <c r="AB37" i="1"/>
  <c r="AA34" i="1"/>
  <c r="AE30" i="1"/>
  <c r="AD27" i="1"/>
  <c r="AC24" i="1"/>
  <c r="AB21" i="1"/>
  <c r="AA18" i="1"/>
  <c r="AE14" i="1"/>
  <c r="AC85" i="1"/>
  <c r="AB82" i="1"/>
  <c r="AA79" i="1"/>
  <c r="AE75" i="1"/>
  <c r="AD72" i="1"/>
  <c r="AL72" i="1" s="1"/>
  <c r="AC69" i="1"/>
  <c r="AB66" i="1"/>
  <c r="AA63" i="1"/>
  <c r="AE59" i="1"/>
  <c r="AD56" i="1"/>
  <c r="AL56" i="1" s="1"/>
  <c r="AC53" i="1"/>
  <c r="AE49" i="1"/>
  <c r="AD46" i="1"/>
  <c r="AC43" i="1"/>
  <c r="AB40" i="1"/>
  <c r="AA37" i="1"/>
  <c r="AE33" i="1"/>
  <c r="AD30" i="1"/>
  <c r="AC27" i="1"/>
  <c r="AB24" i="1"/>
  <c r="AA21" i="1"/>
  <c r="AE17" i="1"/>
  <c r="AD14" i="1"/>
  <c r="AE79" i="1"/>
  <c r="AB70" i="1"/>
  <c r="AB54" i="1"/>
  <c r="AB85" i="1"/>
  <c r="AA82" i="1"/>
  <c r="AE78" i="1"/>
  <c r="AD75" i="1"/>
  <c r="AL75" i="1" s="1"/>
  <c r="AC72" i="1"/>
  <c r="AB69" i="1"/>
  <c r="AA66" i="1"/>
  <c r="AE62" i="1"/>
  <c r="AD59" i="1"/>
  <c r="AL59" i="1" s="1"/>
  <c r="AC56" i="1"/>
  <c r="AB53" i="1"/>
  <c r="AD49" i="1"/>
  <c r="AL49" i="1" s="1"/>
  <c r="AC46" i="1"/>
  <c r="AB43" i="1"/>
  <c r="AA40" i="1"/>
  <c r="AE36" i="1"/>
  <c r="AD33" i="1"/>
  <c r="AC30" i="1"/>
  <c r="AB27" i="1"/>
  <c r="AA24" i="1"/>
  <c r="AE20" i="1"/>
  <c r="AD17" i="1"/>
  <c r="AC14" i="1"/>
  <c r="AA85" i="1"/>
  <c r="AE81" i="1"/>
  <c r="AD78" i="1"/>
  <c r="AL78" i="1" s="1"/>
  <c r="AC75" i="1"/>
  <c r="AB72" i="1"/>
  <c r="AA69" i="1"/>
  <c r="AE65" i="1"/>
  <c r="AD62" i="1"/>
  <c r="AL62" i="1" s="1"/>
  <c r="AC59" i="1"/>
  <c r="AB56" i="1"/>
  <c r="AA53" i="1"/>
  <c r="AC49" i="1"/>
  <c r="AB46" i="1"/>
  <c r="AA43" i="1"/>
  <c r="AE39" i="1"/>
  <c r="AD36" i="1"/>
  <c r="AC33" i="1"/>
  <c r="AB30" i="1"/>
  <c r="AA27" i="1"/>
  <c r="AE23" i="1"/>
  <c r="AD20" i="1"/>
  <c r="AC17" i="1"/>
  <c r="AB14" i="1"/>
  <c r="AA9" i="1"/>
  <c r="AA10" i="1"/>
  <c r="AE8" i="1"/>
  <c r="AD12" i="1"/>
  <c r="AE9" i="1"/>
  <c r="AC9" i="1"/>
  <c r="AA7" i="1"/>
  <c r="AB12" i="1"/>
  <c r="AA8" i="1"/>
  <c r="AE12" i="1"/>
  <c r="AC12" i="1"/>
  <c r="AC8" i="1"/>
  <c r="AB8" i="1"/>
  <c r="AE7" i="1"/>
  <c r="AD7" i="1"/>
  <c r="AC7" i="1"/>
  <c r="AB7" i="1"/>
  <c r="AE6" i="1"/>
  <c r="AD10" i="1"/>
  <c r="AA12" i="1"/>
  <c r="AC10" i="1"/>
  <c r="AC6" i="1"/>
  <c r="AD8" i="1"/>
  <c r="AE11" i="1"/>
  <c r="AD11" i="1"/>
  <c r="AC11" i="1"/>
  <c r="AB11" i="1"/>
  <c r="AE10" i="1"/>
  <c r="AA6" i="1"/>
  <c r="AD6" i="1"/>
  <c r="AA11" i="1"/>
  <c r="AB10" i="1"/>
  <c r="AB6" i="1"/>
  <c r="C9" i="1"/>
  <c r="C30" i="1" l="1"/>
  <c r="E30" i="1"/>
  <c r="AM81" i="1"/>
  <c r="AM54" i="1"/>
  <c r="AM66" i="1"/>
  <c r="AM64" i="1"/>
  <c r="AM58" i="1"/>
  <c r="AM62" i="1"/>
  <c r="AM49" i="1"/>
  <c r="AM84" i="1"/>
  <c r="AM61" i="1"/>
  <c r="AM82" i="1"/>
  <c r="AM53" i="1"/>
  <c r="AM57" i="1"/>
  <c r="AM77" i="1"/>
  <c r="AM52" i="1"/>
  <c r="AM70" i="1"/>
  <c r="D30" i="1" s="1"/>
  <c r="AM60" i="1"/>
  <c r="AM71" i="1"/>
  <c r="AM79" i="1"/>
  <c r="AM55" i="1"/>
  <c r="AM72" i="1"/>
  <c r="AM76" i="1"/>
  <c r="AM56" i="1"/>
  <c r="AM63" i="1"/>
  <c r="AM74" i="1"/>
  <c r="AM69" i="1"/>
  <c r="AM85" i="1"/>
  <c r="AM86" i="1"/>
  <c r="AM59" i="1"/>
  <c r="AM67" i="1"/>
  <c r="AM75" i="1"/>
  <c r="AM65" i="1"/>
  <c r="AM68" i="1"/>
  <c r="AM78" i="1"/>
  <c r="AL33" i="1"/>
  <c r="AM33" i="1" s="1"/>
  <c r="AL24" i="1"/>
  <c r="AM24" i="1" s="1"/>
  <c r="AH61" i="1"/>
  <c r="AI61" i="1" s="1"/>
  <c r="AH54" i="1"/>
  <c r="AI54" i="1" s="1"/>
  <c r="AH34" i="1"/>
  <c r="AI34" i="1" s="1"/>
  <c r="AH19" i="1"/>
  <c r="AI19" i="1" s="1"/>
  <c r="AL38" i="1"/>
  <c r="AM38" i="1" s="1"/>
  <c r="AH26" i="1"/>
  <c r="AI26" i="1" s="1"/>
  <c r="AH68" i="1"/>
  <c r="AI68" i="1" s="1"/>
  <c r="AH40" i="1"/>
  <c r="AI40" i="1" s="1"/>
  <c r="AH42" i="1"/>
  <c r="AI42" i="1" s="1"/>
  <c r="AH20" i="1"/>
  <c r="AI20" i="1" s="1"/>
  <c r="AL8" i="1"/>
  <c r="AM8" i="1" s="1"/>
  <c r="AH53" i="1"/>
  <c r="AI53" i="1" s="1"/>
  <c r="AH70" i="1"/>
  <c r="AH21" i="1"/>
  <c r="AI21" i="1" s="1"/>
  <c r="AL37" i="1"/>
  <c r="AM37" i="1" s="1"/>
  <c r="AH13" i="1"/>
  <c r="AI13" i="1" s="1"/>
  <c r="AH17" i="1"/>
  <c r="AI17" i="1" s="1"/>
  <c r="AH84" i="1"/>
  <c r="AI84" i="1" s="1"/>
  <c r="AL21" i="1"/>
  <c r="AM21" i="1" s="1"/>
  <c r="AL44" i="1"/>
  <c r="AM44" i="1" s="1"/>
  <c r="AL11" i="1"/>
  <c r="AM11" i="1" s="1"/>
  <c r="AH31" i="1"/>
  <c r="AI31" i="1" s="1"/>
  <c r="AH44" i="1"/>
  <c r="AI44" i="1" s="1"/>
  <c r="AH41" i="1"/>
  <c r="AI41" i="1" s="1"/>
  <c r="AL25" i="1"/>
  <c r="AM25" i="1" s="1"/>
  <c r="AH77" i="1"/>
  <c r="AI77" i="1" s="1"/>
  <c r="AL32" i="1"/>
  <c r="AM32" i="1" s="1"/>
  <c r="AL26" i="1"/>
  <c r="AM26" i="1" s="1"/>
  <c r="AH75" i="1"/>
  <c r="AI75" i="1" s="1"/>
  <c r="AH43" i="1"/>
  <c r="AI43" i="1" s="1"/>
  <c r="AH48" i="1"/>
  <c r="AI48" i="1" s="1"/>
  <c r="AL19" i="1"/>
  <c r="AM19" i="1" s="1"/>
  <c r="AH71" i="1"/>
  <c r="AI71" i="1" s="1"/>
  <c r="AL45" i="1"/>
  <c r="AM45" i="1" s="1"/>
  <c r="AH33" i="1"/>
  <c r="AI33" i="1" s="1"/>
  <c r="AH66" i="1"/>
  <c r="AI66" i="1" s="1"/>
  <c r="AH64" i="1"/>
  <c r="AI64" i="1" s="1"/>
  <c r="AL13" i="1"/>
  <c r="AM13" i="1" s="1"/>
  <c r="AH59" i="1"/>
  <c r="AI59" i="1" s="1"/>
  <c r="AH62" i="1"/>
  <c r="AI62" i="1" s="1"/>
  <c r="AH36" i="1"/>
  <c r="AI36" i="1" s="1"/>
  <c r="AH18" i="1"/>
  <c r="AI18" i="1" s="1"/>
  <c r="AH45" i="1"/>
  <c r="AI45" i="1" s="1"/>
  <c r="AH28" i="1"/>
  <c r="AI28" i="1" s="1"/>
  <c r="AH81" i="1"/>
  <c r="AI81" i="1" s="1"/>
  <c r="AL46" i="1"/>
  <c r="AM46" i="1" s="1"/>
  <c r="AL40" i="1"/>
  <c r="AM40" i="1" s="1"/>
  <c r="AH35" i="1"/>
  <c r="AI35" i="1" s="1"/>
  <c r="AH72" i="1"/>
  <c r="AI72" i="1" s="1"/>
  <c r="AH76" i="1"/>
  <c r="AI76" i="1" s="1"/>
  <c r="AL27" i="1"/>
  <c r="AM27" i="1" s="1"/>
  <c r="AL47" i="1"/>
  <c r="AM47" i="1" s="1"/>
  <c r="AL12" i="1"/>
  <c r="AM12" i="1" s="1"/>
  <c r="AH69" i="1"/>
  <c r="AI69" i="1" s="1"/>
  <c r="AL20" i="1"/>
  <c r="AM20" i="1" s="1"/>
  <c r="AL16" i="1"/>
  <c r="AM16" i="1" s="1"/>
  <c r="AL34" i="1"/>
  <c r="AM34" i="1" s="1"/>
  <c r="AH47" i="1"/>
  <c r="AI47" i="1" s="1"/>
  <c r="AH37" i="1"/>
  <c r="AI37" i="1" s="1"/>
  <c r="AH24" i="1"/>
  <c r="AI24" i="1" s="1"/>
  <c r="AH86" i="1"/>
  <c r="AI86" i="1" s="1"/>
  <c r="AH22" i="1"/>
  <c r="AI22" i="1" s="1"/>
  <c r="AL41" i="1"/>
  <c r="AM41" i="1" s="1"/>
  <c r="AL42" i="1"/>
  <c r="AM42" i="1" s="1"/>
  <c r="AH78" i="1"/>
  <c r="AI78" i="1" s="1"/>
  <c r="AH85" i="1"/>
  <c r="AI85" i="1" s="1"/>
  <c r="AH74" i="1"/>
  <c r="AI74" i="1" s="1"/>
  <c r="AH11" i="1"/>
  <c r="AI11" i="1" s="1"/>
  <c r="AH25" i="1"/>
  <c r="AI25" i="1" s="1"/>
  <c r="AH55" i="1"/>
  <c r="AI55" i="1" s="1"/>
  <c r="AL36" i="1"/>
  <c r="AM36" i="1" s="1"/>
  <c r="AL14" i="1"/>
  <c r="AM14" i="1" s="1"/>
  <c r="AH51" i="1"/>
  <c r="AI51" i="1" s="1"/>
  <c r="AH58" i="1"/>
  <c r="AI58" i="1" s="1"/>
  <c r="AH56" i="1"/>
  <c r="AI56" i="1" s="1"/>
  <c r="AH10" i="1"/>
  <c r="AI10" i="1" s="1"/>
  <c r="AL43" i="1"/>
  <c r="AM43" i="1" s="1"/>
  <c r="AH8" i="1"/>
  <c r="AI8" i="1" s="1"/>
  <c r="AH38" i="1"/>
  <c r="AI38" i="1" s="1"/>
  <c r="AH63" i="1"/>
  <c r="AI63" i="1" s="1"/>
  <c r="AH30" i="1"/>
  <c r="AI30" i="1" s="1"/>
  <c r="AH12" i="1"/>
  <c r="AI12" i="1" s="1"/>
  <c r="AJ50" i="1"/>
  <c r="AK50" i="1" s="1"/>
  <c r="AL17" i="1"/>
  <c r="AM17" i="1" s="1"/>
  <c r="AH6" i="1"/>
  <c r="AI6" i="1" s="1"/>
  <c r="AH57" i="1"/>
  <c r="AI57" i="1" s="1"/>
  <c r="AH60" i="1"/>
  <c r="AI60" i="1" s="1"/>
  <c r="AL35" i="1"/>
  <c r="AM35" i="1" s="1"/>
  <c r="AL28" i="1"/>
  <c r="AM28" i="1" s="1"/>
  <c r="AH16" i="1"/>
  <c r="AI16" i="1" s="1"/>
  <c r="AL22" i="1"/>
  <c r="AM22" i="1" s="1"/>
  <c r="AH32" i="1"/>
  <c r="AI32" i="1" s="1"/>
  <c r="AL31" i="1"/>
  <c r="AM31" i="1" s="1"/>
  <c r="AH52" i="1"/>
  <c r="AI52" i="1" s="1"/>
  <c r="AH79" i="1"/>
  <c r="AI79" i="1" s="1"/>
  <c r="AH46" i="1"/>
  <c r="AI46" i="1" s="1"/>
  <c r="AL10" i="1"/>
  <c r="AM10" i="1" s="1"/>
  <c r="AH7" i="1"/>
  <c r="AI7" i="1" s="1"/>
  <c r="AH27" i="1"/>
  <c r="AI27" i="1" s="1"/>
  <c r="AL30" i="1"/>
  <c r="AM30" i="1" s="1"/>
  <c r="AH82" i="1"/>
  <c r="AI82" i="1" s="1"/>
  <c r="AL6" i="1"/>
  <c r="AH14" i="1"/>
  <c r="AI14" i="1" s="1"/>
  <c r="AH15" i="1"/>
  <c r="AI15" i="1" s="1"/>
  <c r="AL18" i="1"/>
  <c r="AM18" i="1" s="1"/>
  <c r="AL15" i="1"/>
  <c r="AM15" i="1" s="1"/>
  <c r="AH67" i="1"/>
  <c r="AI67" i="1" s="1"/>
  <c r="AL48" i="1"/>
  <c r="AM48" i="1" s="1"/>
  <c r="AH65" i="1"/>
  <c r="AI65" i="1" s="1"/>
  <c r="AH49" i="1"/>
  <c r="AI49" i="1" s="1"/>
  <c r="AJ64" i="1"/>
  <c r="AK64" i="1" s="1"/>
  <c r="AN49" i="1"/>
  <c r="AO49" i="1" s="1"/>
  <c r="AN14" i="1"/>
  <c r="AO14" i="1" s="1"/>
  <c r="AJ66" i="1"/>
  <c r="AK66" i="1" s="1"/>
  <c r="AF31" i="1"/>
  <c r="AG31" i="1" s="1"/>
  <c r="AN82" i="1"/>
  <c r="AO82" i="1" s="1"/>
  <c r="AN47" i="1"/>
  <c r="AO47" i="1" s="1"/>
  <c r="AF16" i="1"/>
  <c r="AG16" i="1" s="1"/>
  <c r="AJ35" i="1"/>
  <c r="AK35" i="1" s="1"/>
  <c r="AJ58" i="1"/>
  <c r="AK58" i="1" s="1"/>
  <c r="AF23" i="1"/>
  <c r="AG23" i="1" s="1"/>
  <c r="AJ55" i="1"/>
  <c r="AK55" i="1" s="1"/>
  <c r="AJ45" i="1"/>
  <c r="AK45" i="1" s="1"/>
  <c r="AN19" i="1"/>
  <c r="AO19" i="1" s="1"/>
  <c r="AN11" i="1"/>
  <c r="AO11" i="1" s="1"/>
  <c r="AN85" i="1"/>
  <c r="AO85" i="1" s="1"/>
  <c r="AJ34" i="1"/>
  <c r="AK34" i="1" s="1"/>
  <c r="AF86" i="1"/>
  <c r="AG86" i="1" s="1"/>
  <c r="AN37" i="1"/>
  <c r="AO37" i="1" s="1"/>
  <c r="AN34" i="1"/>
  <c r="AO34" i="1" s="1"/>
  <c r="AJ86" i="1"/>
  <c r="AK86" i="1" s="1"/>
  <c r="AJ51" i="1"/>
  <c r="AK51" i="1" s="1"/>
  <c r="AN70" i="1"/>
  <c r="AF14" i="1"/>
  <c r="AG14" i="1" s="1"/>
  <c r="AN68" i="1"/>
  <c r="AO68" i="1" s="1"/>
  <c r="AF30" i="1"/>
  <c r="AG30" i="1" s="1"/>
  <c r="AN12" i="1"/>
  <c r="AO12" i="1" s="1"/>
  <c r="AN72" i="1"/>
  <c r="AO72" i="1" s="1"/>
  <c r="AJ37" i="1"/>
  <c r="AK37" i="1" s="1"/>
  <c r="AF41" i="1"/>
  <c r="AG41" i="1" s="1"/>
  <c r="AF38" i="1"/>
  <c r="AG38" i="1" s="1"/>
  <c r="AJ22" i="1"/>
  <c r="AK22" i="1" s="1"/>
  <c r="AF74" i="1"/>
  <c r="AG74" i="1" s="1"/>
  <c r="AN41" i="1"/>
  <c r="AO41" i="1" s="1"/>
  <c r="AN64" i="1"/>
  <c r="AO64" i="1" s="1"/>
  <c r="AJ29" i="1"/>
  <c r="AK29" i="1" s="1"/>
  <c r="AF81" i="1"/>
  <c r="AG81" i="1" s="1"/>
  <c r="AF65" i="1"/>
  <c r="AG65" i="1" s="1"/>
  <c r="AF33" i="1"/>
  <c r="AG33" i="1" s="1"/>
  <c r="AN39" i="1"/>
  <c r="AO39" i="1" s="1"/>
  <c r="AF76" i="1"/>
  <c r="AG76" i="1" s="1"/>
  <c r="AN40" i="1"/>
  <c r="AO40" i="1" s="1"/>
  <c r="AN57" i="1"/>
  <c r="AO57" i="1" s="1"/>
  <c r="AF45" i="1"/>
  <c r="AG45" i="1" s="1"/>
  <c r="AJ16" i="1"/>
  <c r="AK16" i="1" s="1"/>
  <c r="AF68" i="1"/>
  <c r="AG68" i="1" s="1"/>
  <c r="AJ20" i="1"/>
  <c r="AK20" i="1" s="1"/>
  <c r="AJ71" i="1"/>
  <c r="AK71" i="1" s="1"/>
  <c r="AJ65" i="1"/>
  <c r="AK65" i="1" s="1"/>
  <c r="AJ31" i="1"/>
  <c r="AK31" i="1" s="1"/>
  <c r="AF17" i="1"/>
  <c r="AG17" i="1" s="1"/>
  <c r="AF44" i="1"/>
  <c r="AG44" i="1" s="1"/>
  <c r="AJ47" i="1"/>
  <c r="AK47" i="1" s="1"/>
  <c r="AJ44" i="1"/>
  <c r="AK44" i="1" s="1"/>
  <c r="AF61" i="1"/>
  <c r="AG61" i="1" s="1"/>
  <c r="AN28" i="1"/>
  <c r="AO28" i="1" s="1"/>
  <c r="AN35" i="1"/>
  <c r="AO35" i="1" s="1"/>
  <c r="AF32" i="1"/>
  <c r="AG32" i="1" s="1"/>
  <c r="AN51" i="1"/>
  <c r="AO51" i="1" s="1"/>
  <c r="AN22" i="1"/>
  <c r="AO22" i="1" s="1"/>
  <c r="AJ74" i="1"/>
  <c r="AK74" i="1" s="1"/>
  <c r="AN42" i="1"/>
  <c r="AO42" i="1" s="1"/>
  <c r="AN58" i="1"/>
  <c r="AO58" i="1" s="1"/>
  <c r="AJ11" i="1"/>
  <c r="AK11" i="1" s="1"/>
  <c r="AN59" i="1"/>
  <c r="AO59" i="1" s="1"/>
  <c r="AN9" i="1"/>
  <c r="AO9" i="1" s="1"/>
  <c r="AJ57" i="1"/>
  <c r="AK57" i="1" s="1"/>
  <c r="AN50" i="1"/>
  <c r="AO50" i="1" s="1"/>
  <c r="AN63" i="1"/>
  <c r="AO63" i="1" s="1"/>
  <c r="AN15" i="1"/>
  <c r="AO15" i="1" s="1"/>
  <c r="AJ67" i="1"/>
  <c r="AK67" i="1" s="1"/>
  <c r="AN86" i="1"/>
  <c r="AO86" i="1" s="1"/>
  <c r="AF55" i="1"/>
  <c r="AG55" i="1" s="1"/>
  <c r="AF26" i="1"/>
  <c r="AG26" i="1" s="1"/>
  <c r="AN16" i="1"/>
  <c r="AO16" i="1" s="1"/>
  <c r="AN52" i="1"/>
  <c r="AO52" i="1" s="1"/>
  <c r="AF75" i="1"/>
  <c r="AG75" i="1" s="1"/>
  <c r="AJ36" i="1"/>
  <c r="AK36" i="1" s="1"/>
  <c r="AN81" i="1"/>
  <c r="AO81" i="1" s="1"/>
  <c r="AJ33" i="1"/>
  <c r="AK33" i="1" s="1"/>
  <c r="AF18" i="1"/>
  <c r="AG18" i="1" s="1"/>
  <c r="AF51" i="1"/>
  <c r="AG51" i="1" s="1"/>
  <c r="AF67" i="1"/>
  <c r="AG67" i="1" s="1"/>
  <c r="AJ54" i="1"/>
  <c r="AK54" i="1" s="1"/>
  <c r="AF19" i="1"/>
  <c r="AG19" i="1" s="1"/>
  <c r="AJ38" i="1"/>
  <c r="AK38" i="1" s="1"/>
  <c r="AF20" i="1"/>
  <c r="AG20" i="1" s="1"/>
  <c r="AN61" i="1"/>
  <c r="AO61" i="1" s="1"/>
  <c r="AF78" i="1"/>
  <c r="AG78" i="1" s="1"/>
  <c r="AJ9" i="1"/>
  <c r="AK9" i="1" s="1"/>
  <c r="AF47" i="1"/>
  <c r="AG47" i="1" s="1"/>
  <c r="AN20" i="1"/>
  <c r="AO20" i="1" s="1"/>
  <c r="AJ61" i="1"/>
  <c r="AK61" i="1" s="1"/>
  <c r="AJ32" i="1"/>
  <c r="AK32" i="1" s="1"/>
  <c r="AF84" i="1"/>
  <c r="AG84" i="1" s="1"/>
  <c r="AJ78" i="1"/>
  <c r="AK78" i="1" s="1"/>
  <c r="AF46" i="1"/>
  <c r="AG46" i="1" s="1"/>
  <c r="AF39" i="1"/>
  <c r="AG39" i="1" s="1"/>
  <c r="AJ28" i="1"/>
  <c r="AK28" i="1" s="1"/>
  <c r="AJ6" i="1"/>
  <c r="AF57" i="1"/>
  <c r="AG57" i="1" s="1"/>
  <c r="AJ27" i="1"/>
  <c r="AK27" i="1" s="1"/>
  <c r="AF79" i="1"/>
  <c r="AG79" i="1" s="1"/>
  <c r="AJ60" i="1"/>
  <c r="AK60" i="1" s="1"/>
  <c r="AN60" i="1"/>
  <c r="AO60" i="1" s="1"/>
  <c r="AJ25" i="1"/>
  <c r="AK25" i="1" s="1"/>
  <c r="AF77" i="1"/>
  <c r="AG77" i="1" s="1"/>
  <c r="AN44" i="1"/>
  <c r="AO44" i="1" s="1"/>
  <c r="AF13" i="1"/>
  <c r="AG13" i="1" s="1"/>
  <c r="AJ26" i="1"/>
  <c r="AK26" i="1" s="1"/>
  <c r="AN55" i="1"/>
  <c r="AO55" i="1" s="1"/>
  <c r="AN26" i="1"/>
  <c r="AO26" i="1" s="1"/>
  <c r="AJ52" i="1"/>
  <c r="AK52" i="1" s="1"/>
  <c r="AJ39" i="1"/>
  <c r="AK39" i="1" s="1"/>
  <c r="AJ46" i="1"/>
  <c r="AK46" i="1" s="1"/>
  <c r="AF8" i="1"/>
  <c r="AG8" i="1" s="1"/>
  <c r="AF85" i="1"/>
  <c r="AG85" i="1" s="1"/>
  <c r="AJ53" i="1"/>
  <c r="AK53" i="1" s="1"/>
  <c r="AJ82" i="1"/>
  <c r="AK82" i="1" s="1"/>
  <c r="AJ14" i="1"/>
  <c r="AK14" i="1" s="1"/>
  <c r="AF54" i="1"/>
  <c r="AG54" i="1" s="1"/>
  <c r="AJ72" i="1"/>
  <c r="AK72" i="1" s="1"/>
  <c r="AJ7" i="1"/>
  <c r="AF10" i="1"/>
  <c r="AG10" i="1" s="1"/>
  <c r="AJ59" i="1"/>
  <c r="AK59" i="1" s="1"/>
  <c r="AF24" i="1"/>
  <c r="AG24" i="1" s="1"/>
  <c r="AF11" i="1"/>
  <c r="AG11" i="1" s="1"/>
  <c r="AL7" i="1"/>
  <c r="AM7" i="1" s="1"/>
  <c r="AF9" i="1"/>
  <c r="AG9" i="1" s="1"/>
  <c r="AN78" i="1"/>
  <c r="AO78" i="1" s="1"/>
  <c r="AN46" i="1"/>
  <c r="AO46" i="1" s="1"/>
  <c r="AJ63" i="1"/>
  <c r="AK63" i="1" s="1"/>
  <c r="AJ15" i="1"/>
  <c r="AK15" i="1" s="1"/>
  <c r="AF64" i="1"/>
  <c r="AG64" i="1" s="1"/>
  <c r="AF48" i="1"/>
  <c r="AG48" i="1" s="1"/>
  <c r="AN67" i="1"/>
  <c r="AO67" i="1" s="1"/>
  <c r="AN38" i="1"/>
  <c r="AO38" i="1" s="1"/>
  <c r="AJ81" i="1"/>
  <c r="AK81" i="1" s="1"/>
  <c r="AF62" i="1"/>
  <c r="AG62" i="1" s="1"/>
  <c r="AJ84" i="1"/>
  <c r="AK84" i="1" s="1"/>
  <c r="AN45" i="1"/>
  <c r="AO45" i="1" s="1"/>
  <c r="AJ62" i="1"/>
  <c r="AK62" i="1" s="1"/>
  <c r="AF49" i="1"/>
  <c r="AG49" i="1" s="1"/>
  <c r="AJ79" i="1"/>
  <c r="AK79" i="1" s="1"/>
  <c r="AJ23" i="1"/>
  <c r="AK23" i="1" s="1"/>
  <c r="AJ56" i="1"/>
  <c r="AK56" i="1" s="1"/>
  <c r="AJ10" i="1"/>
  <c r="AK10" i="1" s="1"/>
  <c r="AF66" i="1"/>
  <c r="AG66" i="1" s="1"/>
  <c r="AJ69" i="1"/>
  <c r="AK69" i="1" s="1"/>
  <c r="AN6" i="1"/>
  <c r="AO6" i="1" s="1"/>
  <c r="AF82" i="1"/>
  <c r="AG82" i="1" s="1"/>
  <c r="AN66" i="1"/>
  <c r="AO66" i="1" s="1"/>
  <c r="AN31" i="1"/>
  <c r="AO31" i="1" s="1"/>
  <c r="AJ19" i="1"/>
  <c r="AK19" i="1" s="1"/>
  <c r="AF71" i="1"/>
  <c r="AG71" i="1" s="1"/>
  <c r="AF42" i="1"/>
  <c r="AG42" i="1" s="1"/>
  <c r="AN32" i="1"/>
  <c r="AO32" i="1" s="1"/>
  <c r="AF56" i="1"/>
  <c r="AG56" i="1" s="1"/>
  <c r="AJ42" i="1"/>
  <c r="AK42" i="1" s="1"/>
  <c r="AF59" i="1"/>
  <c r="AG59" i="1" s="1"/>
  <c r="AN17" i="1"/>
  <c r="AO17" i="1" s="1"/>
  <c r="AF34" i="1"/>
  <c r="AG34" i="1" s="1"/>
  <c r="AF53" i="1"/>
  <c r="AG53" i="1" s="1"/>
  <c r="AJ40" i="1"/>
  <c r="AK40" i="1" s="1"/>
  <c r="AN65" i="1"/>
  <c r="AO65" i="1" s="1"/>
  <c r="AN33" i="1"/>
  <c r="AO33" i="1" s="1"/>
  <c r="AF50" i="1"/>
  <c r="AG50" i="1" s="1"/>
  <c r="AF6" i="1"/>
  <c r="AJ17" i="1"/>
  <c r="AK17" i="1" s="1"/>
  <c r="AF69" i="1"/>
  <c r="AG69" i="1" s="1"/>
  <c r="AN69" i="1"/>
  <c r="AO69" i="1" s="1"/>
  <c r="AJ18" i="1"/>
  <c r="AK18" i="1" s="1"/>
  <c r="AF70" i="1"/>
  <c r="AN21" i="1"/>
  <c r="AO21" i="1" s="1"/>
  <c r="AN18" i="1"/>
  <c r="AO18" i="1" s="1"/>
  <c r="AJ70" i="1"/>
  <c r="AF35" i="1"/>
  <c r="AG35" i="1" s="1"/>
  <c r="AN54" i="1"/>
  <c r="AO54" i="1" s="1"/>
  <c r="AF36" i="1"/>
  <c r="AG36" i="1" s="1"/>
  <c r="AN74" i="1"/>
  <c r="AO74" i="1" s="1"/>
  <c r="AN71" i="1"/>
  <c r="AO71" i="1" s="1"/>
  <c r="AF27" i="1"/>
  <c r="AG27" i="1" s="1"/>
  <c r="AN27" i="1"/>
  <c r="AO27" i="1" s="1"/>
  <c r="AJ24" i="1"/>
  <c r="AK24" i="1" s="1"/>
  <c r="AF7" i="1"/>
  <c r="AG7" i="1" s="1"/>
  <c r="AF63" i="1"/>
  <c r="AG63" i="1" s="1"/>
  <c r="AF12" i="1"/>
  <c r="AG12" i="1" s="1"/>
  <c r="AF37" i="1"/>
  <c r="AG37" i="1" s="1"/>
  <c r="AN10" i="1"/>
  <c r="AO10" i="1" s="1"/>
  <c r="AJ8" i="1"/>
  <c r="AK8" i="1" s="1"/>
  <c r="AN36" i="1"/>
  <c r="AO36" i="1" s="1"/>
  <c r="AN56" i="1"/>
  <c r="AO56" i="1" s="1"/>
  <c r="AJ21" i="1"/>
  <c r="AK21" i="1" s="1"/>
  <c r="AF25" i="1"/>
  <c r="AG25" i="1" s="1"/>
  <c r="AF22" i="1"/>
  <c r="AG22" i="1" s="1"/>
  <c r="AF58" i="1"/>
  <c r="AG58" i="1" s="1"/>
  <c r="AN25" i="1"/>
  <c r="AO25" i="1" s="1"/>
  <c r="AJ77" i="1"/>
  <c r="AK77" i="1" s="1"/>
  <c r="AJ48" i="1"/>
  <c r="AK48" i="1" s="1"/>
  <c r="AJ13" i="1"/>
  <c r="AK13" i="1" s="1"/>
  <c r="AF72" i="1"/>
  <c r="AG72" i="1" s="1"/>
  <c r="AJ68" i="1"/>
  <c r="AK68" i="1" s="1"/>
  <c r="AN84" i="1"/>
  <c r="AO84" i="1" s="1"/>
  <c r="AF28" i="1"/>
  <c r="AG28" i="1" s="1"/>
  <c r="AN79" i="1"/>
  <c r="AO79" i="1" s="1"/>
  <c r="AF43" i="1"/>
  <c r="AG43" i="1" s="1"/>
  <c r="AN43" i="1"/>
  <c r="AO43" i="1" s="1"/>
  <c r="AN62" i="1"/>
  <c r="AO62" i="1" s="1"/>
  <c r="AN30" i="1"/>
  <c r="AO30" i="1" s="1"/>
  <c r="AJ49" i="1"/>
  <c r="AK49" i="1" s="1"/>
  <c r="AF21" i="1"/>
  <c r="AG21" i="1" s="1"/>
  <c r="AN53" i="1"/>
  <c r="AO53" i="1" s="1"/>
  <c r="AN8" i="1"/>
  <c r="AO8" i="1" s="1"/>
  <c r="AN75" i="1"/>
  <c r="AO75" i="1" s="1"/>
  <c r="AN7" i="1"/>
  <c r="AO7" i="1" s="1"/>
  <c r="AJ30" i="1"/>
  <c r="AK30" i="1" s="1"/>
  <c r="AJ85" i="1"/>
  <c r="AK85" i="1" s="1"/>
  <c r="AF15" i="1"/>
  <c r="AG15" i="1" s="1"/>
  <c r="AJ12" i="1"/>
  <c r="AK12" i="1" s="1"/>
  <c r="AN23" i="1"/>
  <c r="AO23" i="1" s="1"/>
  <c r="AJ75" i="1"/>
  <c r="AK75" i="1" s="1"/>
  <c r="AF40" i="1"/>
  <c r="AG40" i="1" s="1"/>
  <c r="AJ43" i="1"/>
  <c r="AK43" i="1" s="1"/>
  <c r="AF60" i="1"/>
  <c r="AG60" i="1" s="1"/>
  <c r="AN24" i="1"/>
  <c r="AO24" i="1" s="1"/>
  <c r="AJ76" i="1"/>
  <c r="AK76" i="1" s="1"/>
  <c r="AN76" i="1"/>
  <c r="AO76" i="1" s="1"/>
  <c r="AJ41" i="1"/>
  <c r="AK41" i="1" s="1"/>
  <c r="AF52" i="1"/>
  <c r="AG52" i="1" s="1"/>
  <c r="AN13" i="1"/>
  <c r="AO13" i="1" s="1"/>
  <c r="AN48" i="1"/>
  <c r="AO48" i="1" s="1"/>
  <c r="AN77" i="1"/>
  <c r="AO77" i="1" s="1"/>
  <c r="AG70" i="1" l="1"/>
  <c r="D27" i="1" s="1"/>
  <c r="E27" i="1"/>
  <c r="C27" i="1"/>
  <c r="AI70" i="1"/>
  <c r="D28" i="1" s="1"/>
  <c r="E28" i="1"/>
  <c r="C28" i="1"/>
  <c r="AK70" i="1"/>
  <c r="D29" i="1" s="1"/>
  <c r="E29" i="1"/>
  <c r="C29" i="1"/>
  <c r="AO70" i="1"/>
  <c r="D31" i="1" s="1"/>
  <c r="C31" i="1"/>
  <c r="E31" i="1"/>
  <c r="AM6" i="1"/>
  <c r="AK6" i="1"/>
  <c r="AK7" i="1"/>
  <c r="AG6" i="1"/>
  <c r="O33" i="1" l="1"/>
  <c r="O17" i="1"/>
  <c r="O32" i="1"/>
  <c r="O30" i="1"/>
  <c r="O45" i="1"/>
  <c r="O27" i="1"/>
  <c r="O10" i="1"/>
  <c r="O9" i="1"/>
  <c r="O8" i="1"/>
  <c r="O31" i="1"/>
  <c r="O29" i="1"/>
  <c r="O15" i="1"/>
  <c r="O14" i="1"/>
  <c r="O11" i="1"/>
  <c r="O48" i="1"/>
  <c r="O47" i="1"/>
  <c r="O44" i="1"/>
  <c r="O26" i="1"/>
  <c r="O41" i="1"/>
  <c r="O40" i="1"/>
  <c r="O39" i="1"/>
  <c r="O22" i="1"/>
  <c r="O37" i="1"/>
  <c r="O20" i="1"/>
  <c r="O6" i="1"/>
  <c r="O35" i="1"/>
  <c r="O19" i="1"/>
  <c r="O49" i="1"/>
  <c r="O16" i="1"/>
  <c r="O46" i="1"/>
  <c r="O13" i="1"/>
  <c r="O12" i="1"/>
  <c r="O28" i="1"/>
  <c r="O43" i="1"/>
  <c r="O42" i="1"/>
  <c r="O25" i="1"/>
  <c r="O24" i="1"/>
  <c r="O7" i="1"/>
  <c r="O23" i="1"/>
  <c r="O38" i="1"/>
  <c r="O21" i="1"/>
  <c r="O36" i="1"/>
  <c r="O18" i="1"/>
  <c r="O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 Viola</author>
  </authors>
  <commentList>
    <comment ref="P9" authorId="0" shapeId="0" xr:uid="{9A831EB5-0EEA-AF49-A71B-C4F4C36EC7F9}">
      <text>
        <r>
          <rPr>
            <b/>
            <sz val="10"/>
            <color rgb="FF000000"/>
            <rFont val="Tahoma"/>
            <family val="2"/>
          </rPr>
          <t>This was a partial transit!</t>
        </r>
        <r>
          <rPr>
            <sz val="10"/>
            <color rgb="FF000000"/>
            <rFont val="Tahoma"/>
            <family val="2"/>
          </rPr>
          <t xml:space="preserve">
</t>
        </r>
      </text>
    </comment>
    <comment ref="P23" authorId="0" shapeId="0" xr:uid="{6DB740E7-D012-4542-84D3-F60C1EA12542}">
      <text>
        <r>
          <rPr>
            <b/>
            <sz val="10"/>
            <color rgb="FF000000"/>
            <rFont val="Tahoma"/>
            <family val="2"/>
          </rPr>
          <t>This was a partial transit!</t>
        </r>
        <r>
          <rPr>
            <sz val="10"/>
            <color rgb="FF000000"/>
            <rFont val="Tahoma"/>
            <family val="2"/>
          </rPr>
          <t xml:space="preserve">
</t>
        </r>
      </text>
    </comment>
    <comment ref="P29" authorId="0" shapeId="0" xr:uid="{0C373637-6820-884F-93B8-AF804FB70C9F}">
      <text>
        <r>
          <rPr>
            <b/>
            <sz val="10"/>
            <color rgb="FF000000"/>
            <rFont val="Tahoma"/>
            <family val="2"/>
          </rPr>
          <t>This was a partial transit!</t>
        </r>
        <r>
          <rPr>
            <sz val="10"/>
            <color rgb="FF000000"/>
            <rFont val="Tahoma"/>
            <family val="2"/>
          </rPr>
          <t xml:space="preserve">
</t>
        </r>
      </text>
    </comment>
    <comment ref="P39" authorId="0" shapeId="0" xr:uid="{57914A0D-F1EA-5641-8339-A2D7A08D0CBE}">
      <text>
        <r>
          <rPr>
            <b/>
            <sz val="10"/>
            <color rgb="FF000000"/>
            <rFont val="Tahoma"/>
            <family val="2"/>
          </rPr>
          <t>This was a partial transit!</t>
        </r>
        <r>
          <rPr>
            <sz val="10"/>
            <color rgb="FF000000"/>
            <rFont val="Tahoma"/>
            <family val="2"/>
          </rPr>
          <t xml:space="preserve">
</t>
        </r>
      </text>
    </comment>
    <comment ref="P73" authorId="0" shapeId="0" xr:uid="{181073E1-9F35-6541-809E-819BD5956FAF}">
      <text>
        <r>
          <rPr>
            <b/>
            <sz val="10"/>
            <color rgb="FF000000"/>
            <rFont val="Tahoma"/>
            <family val="2"/>
          </rPr>
          <t>This will be a partial transit!</t>
        </r>
        <r>
          <rPr>
            <sz val="10"/>
            <color rgb="FF000000"/>
            <rFont val="Tahoma"/>
            <family val="2"/>
          </rPr>
          <t xml:space="preserve">
</t>
        </r>
      </text>
    </comment>
    <comment ref="P80" authorId="0" shapeId="0" xr:uid="{34631B83-2020-A943-B435-D52B5A4E6D6B}">
      <text>
        <r>
          <rPr>
            <b/>
            <sz val="10"/>
            <color rgb="FF000000"/>
            <rFont val="Tahoma"/>
            <family val="2"/>
          </rPr>
          <t>This will be a partial transit!</t>
        </r>
        <r>
          <rPr>
            <sz val="10"/>
            <color rgb="FF000000"/>
            <rFont val="Tahoma"/>
            <family val="2"/>
          </rPr>
          <t xml:space="preserve">
</t>
        </r>
      </text>
    </comment>
    <comment ref="P83" authorId="0" shapeId="0" xr:uid="{5B9F3B7B-FC49-8146-A058-463488FC8EC4}">
      <text>
        <r>
          <rPr>
            <b/>
            <sz val="10"/>
            <color rgb="FF000000"/>
            <rFont val="Tahoma"/>
            <family val="2"/>
          </rPr>
          <t>This will be a partial transit!</t>
        </r>
        <r>
          <rPr>
            <sz val="10"/>
            <color rgb="FF000000"/>
            <rFont val="Tahoma"/>
            <family val="2"/>
          </rPr>
          <t xml:space="preserve">
</t>
        </r>
      </text>
    </comment>
  </commentList>
</comments>
</file>

<file path=xl/sharedStrings.xml><?xml version="1.0" encoding="utf-8"?>
<sst xmlns="http://schemas.openxmlformats.org/spreadsheetml/2006/main" count="235" uniqueCount="127">
  <si>
    <t>Sep.</t>
  </si>
  <si>
    <t>Series</t>
  </si>
  <si>
    <t>Date</t>
  </si>
  <si>
    <t>max</t>
  </si>
  <si>
    <t>Date, time, location</t>
  </si>
  <si>
    <t>Inputs</t>
  </si>
  <si>
    <t>Leap year?</t>
  </si>
  <si>
    <t>Day nr.</t>
  </si>
  <si>
    <t>Weekday</t>
  </si>
  <si>
    <t>JDE</t>
  </si>
  <si>
    <t>Location</t>
  </si>
  <si>
    <t>φ    (latitude)</t>
  </si>
  <si>
    <t>L     (longitude)</t>
  </si>
  <si>
    <t>-</t>
  </si>
  <si>
    <t>Locations</t>
  </si>
  <si>
    <t>Name</t>
  </si>
  <si>
    <t>φ (latitude)</t>
  </si>
  <si>
    <t>L (longitude)</t>
  </si>
  <si>
    <t>Lenk (CH)</t>
  </si>
  <si>
    <t>Transit Data</t>
  </si>
  <si>
    <t>DtoR</t>
  </si>
  <si>
    <t>RtoD</t>
  </si>
  <si>
    <t>alt</t>
  </si>
  <si>
    <t>Az</t>
  </si>
  <si>
    <t>Hour angles HA)</t>
  </si>
  <si>
    <t>Transit</t>
  </si>
  <si>
    <t>Email</t>
  </si>
  <si>
    <t>V1.0</t>
  </si>
  <si>
    <t>All Rights Reserved:  © Astronomy Morsels.</t>
  </si>
  <si>
    <t>I'm solely responsible for the input and express no warranty.  Use at your own risk.</t>
  </si>
  <si>
    <t>Nonetheless, this spreadsheet has been carefully reviewed, and calculation results have been compared with other applications.</t>
  </si>
  <si>
    <r>
      <rPr>
        <b/>
        <sz val="14"/>
        <color theme="0"/>
        <rFont val="Calibri"/>
        <family val="2"/>
      </rPr>
      <t>Compiled by</t>
    </r>
    <r>
      <rPr>
        <sz val="14"/>
        <color theme="0"/>
        <rFont val="Calibri"/>
        <family val="2"/>
      </rPr>
      <t>: Anton Viola (Astronomy Morsels).</t>
    </r>
  </si>
  <si>
    <r>
      <rPr>
        <b/>
        <sz val="14"/>
        <color theme="0"/>
        <rFont val="Calibri"/>
        <family val="2"/>
      </rPr>
      <t>Latest update</t>
    </r>
    <r>
      <rPr>
        <sz val="14"/>
        <color theme="0"/>
        <rFont val="Calibri"/>
        <family val="2"/>
      </rPr>
      <t>: 22nd May, 2024</t>
    </r>
  </si>
  <si>
    <t>RA (Sun)</t>
  </si>
  <si>
    <t>Dec (Sun)</t>
  </si>
  <si>
    <t>Contact 1</t>
  </si>
  <si>
    <t>Contact 2</t>
  </si>
  <si>
    <t>Contact 3</t>
  </si>
  <si>
    <t>Contact 4</t>
  </si>
  <si>
    <t>GMST</t>
  </si>
  <si>
    <t>Greenwich</t>
  </si>
  <si>
    <t>Source (Eclipsewise)</t>
  </si>
  <si>
    <t>-18.11.1998</t>
  </si>
  <si>
    <t>-21.05.1892</t>
  </si>
  <si>
    <t>-19.05.1884</t>
  </si>
  <si>
    <t>-20.11.1763</t>
  </si>
  <si>
    <t>-18.11.1755</t>
  </si>
  <si>
    <t>-23.05.1649</t>
  </si>
  <si>
    <t>-20.05.1641</t>
  </si>
  <si>
    <t>-20.11.1520</t>
  </si>
  <si>
    <t>-18.11.1512</t>
  </si>
  <si>
    <t>-23.05.1406</t>
  </si>
  <si>
    <t>-20.05.1398</t>
  </si>
  <si>
    <t>-22.11.1277</t>
  </si>
  <si>
    <t>-19.11.1269</t>
  </si>
  <si>
    <t>-23.05.1163</t>
  </si>
  <si>
    <t>-21.05.1155</t>
  </si>
  <si>
    <t>-22.11.1034</t>
  </si>
  <si>
    <t>-19.11.1026</t>
  </si>
  <si>
    <t>-23.05.0920</t>
  </si>
  <si>
    <t>-21.05.0912</t>
  </si>
  <si>
    <t>-22.11.0791</t>
  </si>
  <si>
    <t>-19.11.0783</t>
  </si>
  <si>
    <t>-22.05.0669</t>
  </si>
  <si>
    <t>-22.11.0548</t>
  </si>
  <si>
    <t>-19.11.0540</t>
  </si>
  <si>
    <t>-22.05.0426</t>
  </si>
  <si>
    <t>-23.11.0305</t>
  </si>
  <si>
    <t>-22.05.0183</t>
  </si>
  <si>
    <t>-23.11.0062</t>
  </si>
  <si>
    <t>23.05.0060</t>
  </si>
  <si>
    <t>22.11.0181</t>
  </si>
  <si>
    <t>24.05.0303</t>
  </si>
  <si>
    <t>22.11.0424</t>
  </si>
  <si>
    <t>24.05.0546</t>
  </si>
  <si>
    <t>22.05.0554</t>
  </si>
  <si>
    <t>23.11.0667</t>
  </si>
  <si>
    <t>24.05.0789</t>
  </si>
  <si>
    <t>22.05.0797</t>
  </si>
  <si>
    <t>23.11.0910</t>
  </si>
  <si>
    <t>24.05.1032</t>
  </si>
  <si>
    <t>22.05.1040</t>
  </si>
  <si>
    <t>23.11.1153</t>
  </si>
  <si>
    <t>25.05.1275</t>
  </si>
  <si>
    <t>23.05.1283</t>
  </si>
  <si>
    <t>23.11.1396</t>
  </si>
  <si>
    <t>26.05.1518</t>
  </si>
  <si>
    <t>23.05.1526</t>
  </si>
  <si>
    <t>07.12.1631</t>
  </si>
  <si>
    <t>04.12.1639</t>
  </si>
  <si>
    <t>06.06.1761</t>
  </si>
  <si>
    <t>03.06.1769</t>
  </si>
  <si>
    <t>09.12.1874</t>
  </si>
  <si>
    <t>06.12.1882</t>
  </si>
  <si>
    <t>08.06.2004</t>
  </si>
  <si>
    <t>06.06.2012</t>
  </si>
  <si>
    <t>11.06.2247</t>
  </si>
  <si>
    <t>09.06.2255</t>
  </si>
  <si>
    <t>12.06.2490</t>
  </si>
  <si>
    <t>10.06.2498</t>
  </si>
  <si>
    <t>15.06.2733</t>
  </si>
  <si>
    <t>13.06.2741</t>
  </si>
  <si>
    <t>16.06.2976</t>
  </si>
  <si>
    <t>14.06.2984</t>
  </si>
  <si>
    <t>19.06.3219</t>
  </si>
  <si>
    <t>17.06.3227</t>
  </si>
  <si>
    <t>19.06.3470</t>
  </si>
  <si>
    <t>21.06.3713</t>
  </si>
  <si>
    <t>23.06.3956</t>
  </si>
  <si>
    <t>11.12.2117</t>
  </si>
  <si>
    <t>08.12.2125</t>
  </si>
  <si>
    <t>13.12.2360</t>
  </si>
  <si>
    <t>10.12.2368</t>
  </si>
  <si>
    <t>16.12.2603</t>
  </si>
  <si>
    <t>13.12.2611</t>
  </si>
  <si>
    <t>16.12.2846</t>
  </si>
  <si>
    <t>18.12.3089</t>
  </si>
  <si>
    <t>20.12.3332</t>
  </si>
  <si>
    <t>23.12.3575</t>
  </si>
  <si>
    <t>25.12.3818</t>
  </si>
  <si>
    <t xml:space="preserve"> The transit of Venus occurs when the planet Venus crosses directly between the Sun and the Earth, blocking out a small part of the Sun's rays. During the transit, Venus appears as a tiny black dot moving across the disc of the Sun. Mercury and Venus are the only planets that can be seen transiting the Sun from the Earth, as they are the only planets that orbit within Earth's orbit.This spreadsheet enables one to select a transit occurence for a specific date and location for which the sun's position will be displayed.</t>
  </si>
  <si>
    <t>Transits for the date/location chosen</t>
  </si>
  <si>
    <t>Choose a date from the list at the right</t>
  </si>
  <si>
    <t>Choose your location from the list below</t>
  </si>
  <si>
    <t>14.12.2854</t>
  </si>
  <si>
    <t>22.063462</t>
  </si>
  <si>
    <t>24.06.3705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</si>
</sst>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1">
    <font>
      <sz val="9"/>
      <name val="Geneva"/>
    </font>
    <font>
      <u/>
      <sz val="9"/>
      <color indexed="12"/>
      <name val="Geneva"/>
      <family val="2"/>
    </font>
    <font>
      <b/>
      <sz val="12"/>
      <name val="Geneva"/>
      <family val="2"/>
    </font>
    <font>
      <sz val="12"/>
      <color theme="1"/>
      <name val="Aptos Narrow"/>
      <family val="2"/>
      <scheme val="minor"/>
    </font>
    <font>
      <sz val="12"/>
      <color theme="1"/>
      <name val="Calibri"/>
      <family val="2"/>
    </font>
    <font>
      <b/>
      <sz val="12"/>
      <color theme="1"/>
      <name val="Calibri"/>
      <family val="2"/>
    </font>
    <font>
      <sz val="11"/>
      <name val="ＭＳ Ｐゴシック"/>
      <family val="2"/>
      <charset val="128"/>
    </font>
    <font>
      <sz val="12"/>
      <name val="Calibri"/>
      <family val="2"/>
    </font>
    <font>
      <b/>
      <sz val="12"/>
      <name val="Calibri"/>
      <family val="2"/>
    </font>
    <font>
      <sz val="12"/>
      <color rgb="FF202122"/>
      <name val="Calibri"/>
      <family val="2"/>
    </font>
    <font>
      <sz val="9"/>
      <name val="Calibri"/>
      <family val="2"/>
    </font>
    <font>
      <u/>
      <sz val="12"/>
      <color indexed="12"/>
      <name val="Calibri"/>
      <family val="2"/>
    </font>
    <font>
      <i/>
      <sz val="14"/>
      <color theme="0"/>
      <name val="Calibri"/>
      <family val="2"/>
    </font>
    <font>
      <u/>
      <sz val="12"/>
      <color theme="10"/>
      <name val="Aptos Narrow"/>
      <family val="2"/>
      <scheme val="minor"/>
    </font>
    <font>
      <u/>
      <sz val="12"/>
      <color theme="0"/>
      <name val="Calibri"/>
      <family val="2"/>
    </font>
    <font>
      <sz val="9"/>
      <color theme="0"/>
      <name val="Calibri"/>
      <family val="2"/>
    </font>
    <font>
      <sz val="14"/>
      <color theme="0"/>
      <name val="Calibri"/>
      <family val="2"/>
    </font>
    <font>
      <b/>
      <sz val="14"/>
      <color theme="0"/>
      <name val="Calibri"/>
      <family val="2"/>
    </font>
    <font>
      <u/>
      <sz val="14"/>
      <color theme="0"/>
      <name val="Calibri"/>
      <family val="2"/>
    </font>
    <font>
      <sz val="10"/>
      <color rgb="FF000000"/>
      <name val="Tahoma"/>
      <family val="2"/>
    </font>
    <font>
      <b/>
      <sz val="10"/>
      <color rgb="FF000000"/>
      <name val="Tahoma"/>
      <family val="2"/>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auto="1"/>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3" fillId="0" borderId="0"/>
    <xf numFmtId="0" fontId="6" fillId="0" borderId="0"/>
    <xf numFmtId="0" fontId="3" fillId="0" borderId="0"/>
    <xf numFmtId="0" fontId="13" fillId="0" borderId="0" applyNumberFormat="0" applyFill="0" applyBorder="0" applyAlignment="0" applyProtection="0"/>
  </cellStyleXfs>
  <cellXfs count="123">
    <xf numFmtId="0" fontId="0" fillId="0" borderId="0" xfId="0"/>
    <xf numFmtId="0" fontId="2" fillId="0" borderId="0" xfId="0" applyFont="1"/>
    <xf numFmtId="0" fontId="0" fillId="0" borderId="0" xfId="0" applyAlignment="1">
      <alignment horizontal="left"/>
    </xf>
    <xf numFmtId="0" fontId="4" fillId="3" borderId="6" xfId="2" applyFont="1" applyFill="1" applyBorder="1"/>
    <xf numFmtId="0" fontId="5" fillId="4" borderId="7" xfId="2" applyFont="1" applyFill="1" applyBorder="1" applyAlignment="1">
      <alignment horizontal="right"/>
    </xf>
    <xf numFmtId="0" fontId="5" fillId="0" borderId="0" xfId="2" applyFont="1" applyAlignment="1">
      <alignment horizontal="right"/>
    </xf>
    <xf numFmtId="0" fontId="4" fillId="0" borderId="1" xfId="2" applyFont="1" applyBorder="1"/>
    <xf numFmtId="14" fontId="5" fillId="4" borderId="1" xfId="2" applyNumberFormat="1" applyFont="1" applyFill="1" applyBorder="1" applyAlignment="1" applyProtection="1">
      <alignment horizontal="right"/>
      <protection locked="0"/>
    </xf>
    <xf numFmtId="14" fontId="5" fillId="0" borderId="0" xfId="2" applyNumberFormat="1" applyFont="1" applyAlignment="1" applyProtection="1">
      <alignment horizontal="right"/>
      <protection locked="0"/>
    </xf>
    <xf numFmtId="21" fontId="8" fillId="0" borderId="0" xfId="3" applyNumberFormat="1" applyFont="1" applyAlignment="1" applyProtection="1">
      <alignment horizontal="right" vertical="center"/>
      <protection locked="0"/>
    </xf>
    <xf numFmtId="1" fontId="8" fillId="0" borderId="0" xfId="3" applyNumberFormat="1" applyFont="1" applyAlignment="1" applyProtection="1">
      <alignment horizontal="right" vertical="center"/>
      <protection locked="0"/>
    </xf>
    <xf numFmtId="0" fontId="4" fillId="0" borderId="1" xfId="2" applyFont="1" applyBorder="1" applyAlignment="1">
      <alignment horizontal="right"/>
    </xf>
    <xf numFmtId="0" fontId="4" fillId="0" borderId="0" xfId="2" applyFont="1" applyAlignment="1">
      <alignment horizontal="right"/>
    </xf>
    <xf numFmtId="1" fontId="4" fillId="0" borderId="1" xfId="2" applyNumberFormat="1" applyFont="1" applyBorder="1" applyAlignment="1">
      <alignment horizontal="right"/>
    </xf>
    <xf numFmtId="1" fontId="4" fillId="0" borderId="0" xfId="2" applyNumberFormat="1" applyFont="1" applyAlignment="1">
      <alignment horizontal="right"/>
    </xf>
    <xf numFmtId="4" fontId="4" fillId="0" borderId="1" xfId="2" applyNumberFormat="1" applyFont="1" applyBorder="1" applyAlignment="1">
      <alignment horizontal="right"/>
    </xf>
    <xf numFmtId="4" fontId="4" fillId="0" borderId="0" xfId="2" applyNumberFormat="1" applyFont="1" applyAlignment="1">
      <alignment horizontal="right"/>
    </xf>
    <xf numFmtId="0" fontId="5" fillId="0" borderId="0" xfId="0" applyFont="1" applyAlignment="1" applyProtection="1">
      <alignment horizontal="right"/>
      <protection locked="0"/>
    </xf>
    <xf numFmtId="0" fontId="9" fillId="0" borderId="1" xfId="2" applyFont="1" applyBorder="1" applyAlignment="1">
      <alignment vertical="center"/>
    </xf>
    <xf numFmtId="2" fontId="5" fillId="0" borderId="0" xfId="2" applyNumberFormat="1" applyFont="1" applyAlignment="1" applyProtection="1">
      <alignment horizontal="right"/>
      <protection locked="0"/>
    </xf>
    <xf numFmtId="0" fontId="5" fillId="0" borderId="0" xfId="0" applyFont="1" applyAlignment="1" applyProtection="1">
      <alignment horizontal="center"/>
      <protection locked="0"/>
    </xf>
    <xf numFmtId="0" fontId="4" fillId="0" borderId="0" xfId="2" applyFont="1"/>
    <xf numFmtId="0" fontId="8" fillId="0" borderId="0" xfId="0" applyFont="1"/>
    <xf numFmtId="0" fontId="5" fillId="4" borderId="1" xfId="2" applyFont="1" applyFill="1" applyBorder="1" applyAlignment="1" applyProtection="1">
      <alignment vertical="center"/>
      <protection locked="0"/>
    </xf>
    <xf numFmtId="2" fontId="5" fillId="4" borderId="1" xfId="2" applyNumberFormat="1" applyFont="1" applyFill="1" applyBorder="1" applyAlignment="1" applyProtection="1">
      <alignment vertical="center"/>
      <protection locked="0"/>
    </xf>
    <xf numFmtId="0" fontId="7" fillId="0" borderId="0" xfId="0" applyFont="1"/>
    <xf numFmtId="0" fontId="5" fillId="0" borderId="0" xfId="2" applyFont="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1" xfId="0" applyFont="1" applyBorder="1" applyAlignment="1">
      <alignment horizontal="center"/>
    </xf>
    <xf numFmtId="20" fontId="7" fillId="0" borderId="1" xfId="0" applyNumberFormat="1" applyFont="1" applyBorder="1" applyAlignment="1">
      <alignment horizontal="center"/>
    </xf>
    <xf numFmtId="0" fontId="4" fillId="0" borderId="0" xfId="2" applyFont="1" applyAlignment="1">
      <alignment horizontal="right" vertical="center"/>
    </xf>
    <xf numFmtId="2" fontId="5" fillId="0" borderId="0" xfId="2" applyNumberFormat="1" applyFont="1" applyAlignment="1" applyProtection="1">
      <alignment vertical="center"/>
      <protection locked="0"/>
    </xf>
    <xf numFmtId="164" fontId="7" fillId="0" borderId="0" xfId="0" applyNumberFormat="1" applyFont="1" applyAlignment="1">
      <alignment horizontal="center"/>
    </xf>
    <xf numFmtId="2" fontId="7" fillId="0" borderId="1" xfId="0" applyNumberFormat="1" applyFont="1" applyBorder="1" applyAlignment="1">
      <alignment horizontal="right"/>
    </xf>
    <xf numFmtId="0" fontId="4" fillId="0" borderId="0" xfId="0" applyFont="1" applyAlignment="1">
      <alignment horizontal="center"/>
    </xf>
    <xf numFmtId="0" fontId="4" fillId="0" borderId="0" xfId="2" applyFont="1" applyAlignment="1">
      <alignment horizontal="center" vertical="center" wrapText="1"/>
    </xf>
    <xf numFmtId="0" fontId="4" fillId="0" borderId="9" xfId="0" applyFont="1" applyBorder="1"/>
    <xf numFmtId="0" fontId="5" fillId="4" borderId="5" xfId="0" applyFont="1" applyFill="1" applyBorder="1" applyAlignment="1" applyProtection="1">
      <alignment horizontal="right"/>
      <protection locked="0"/>
    </xf>
    <xf numFmtId="164" fontId="7" fillId="0" borderId="1" xfId="0" applyNumberFormat="1" applyFont="1" applyBorder="1" applyProtection="1">
      <protection locked="0"/>
    </xf>
    <xf numFmtId="0" fontId="8" fillId="0" borderId="0" xfId="0" applyFont="1" applyAlignment="1">
      <alignment horizontal="center"/>
    </xf>
    <xf numFmtId="0" fontId="8" fillId="0" borderId="0" xfId="0" applyFont="1" applyAlignment="1">
      <alignment horizontal="right" vertical="center"/>
    </xf>
    <xf numFmtId="0" fontId="7" fillId="0" borderId="1" xfId="0" applyFont="1" applyBorder="1"/>
    <xf numFmtId="2" fontId="7" fillId="0" borderId="1" xfId="0" applyNumberFormat="1" applyFont="1" applyBorder="1"/>
    <xf numFmtId="0" fontId="4" fillId="5" borderId="0" xfId="4" applyFont="1" applyFill="1"/>
    <xf numFmtId="0" fontId="16" fillId="5" borderId="4" xfId="4" applyFont="1" applyFill="1" applyBorder="1" applyAlignment="1">
      <alignment horizontal="left"/>
    </xf>
    <xf numFmtId="0" fontId="16" fillId="5" borderId="12" xfId="4" applyFont="1" applyFill="1" applyBorder="1" applyAlignment="1">
      <alignment horizontal="center"/>
    </xf>
    <xf numFmtId="0" fontId="16" fillId="5" borderId="12" xfId="4" applyFont="1" applyFill="1" applyBorder="1"/>
    <xf numFmtId="0" fontId="18" fillId="5" borderId="5" xfId="5" applyFont="1" applyFill="1" applyBorder="1" applyAlignment="1">
      <alignment horizontal="center"/>
    </xf>
    <xf numFmtId="0" fontId="18" fillId="5" borderId="8" xfId="5" applyFont="1" applyFill="1" applyBorder="1" applyAlignment="1">
      <alignment horizontal="left"/>
    </xf>
    <xf numFmtId="0" fontId="16" fillId="5" borderId="0" xfId="4" applyFont="1" applyFill="1" applyAlignment="1">
      <alignment horizontal="center"/>
    </xf>
    <xf numFmtId="0" fontId="16" fillId="5" borderId="0" xfId="4" applyFont="1" applyFill="1"/>
    <xf numFmtId="0" fontId="16" fillId="5" borderId="13" xfId="4" applyFont="1" applyFill="1" applyBorder="1" applyAlignment="1">
      <alignment horizontal="center"/>
    </xf>
    <xf numFmtId="0" fontId="16" fillId="5" borderId="6" xfId="5" applyFont="1" applyFill="1" applyBorder="1" applyAlignment="1">
      <alignment horizontal="left"/>
    </xf>
    <xf numFmtId="0" fontId="16" fillId="5" borderId="10" xfId="5" applyFont="1" applyFill="1" applyBorder="1" applyAlignment="1">
      <alignment horizontal="left"/>
    </xf>
    <xf numFmtId="0" fontId="16" fillId="5" borderId="10" xfId="4" applyFont="1" applyFill="1" applyBorder="1"/>
    <xf numFmtId="0" fontId="17" fillId="5" borderId="7" xfId="4" applyFont="1" applyFill="1" applyBorder="1" applyAlignment="1">
      <alignment horizontal="center"/>
    </xf>
    <xf numFmtId="0" fontId="10" fillId="5" borderId="0" xfId="0" applyFont="1" applyFill="1"/>
    <xf numFmtId="0" fontId="4" fillId="0" borderId="0" xfId="2" applyFont="1" applyAlignment="1">
      <alignment horizontal="center" vertical="center"/>
    </xf>
    <xf numFmtId="0" fontId="7" fillId="0" borderId="0" xfId="0" applyFont="1" applyAlignment="1">
      <alignment horizontal="right"/>
    </xf>
    <xf numFmtId="2" fontId="7" fillId="0" borderId="0" xfId="0" applyNumberFormat="1" applyFont="1"/>
    <xf numFmtId="20" fontId="7" fillId="4" borderId="1" xfId="0" applyNumberFormat="1" applyFont="1" applyFill="1" applyBorder="1" applyAlignment="1">
      <alignment horizontal="right"/>
    </xf>
    <xf numFmtId="0" fontId="8" fillId="2" borderId="1" xfId="0" applyFont="1" applyFill="1" applyBorder="1" applyAlignment="1">
      <alignment horizontal="center" vertical="center"/>
    </xf>
    <xf numFmtId="0" fontId="8" fillId="2" borderId="1" xfId="0" applyFont="1" applyFill="1" applyBorder="1" applyAlignment="1">
      <alignment horizontal="right" vertical="center"/>
    </xf>
    <xf numFmtId="0" fontId="4" fillId="2" borderId="1" xfId="2" applyFont="1" applyFill="1" applyBorder="1" applyAlignment="1">
      <alignment vertical="center"/>
    </xf>
    <xf numFmtId="0" fontId="9" fillId="2" borderId="1" xfId="2" applyFont="1" applyFill="1" applyBorder="1" applyAlignment="1">
      <alignment horizontal="right" vertical="center"/>
    </xf>
    <xf numFmtId="0" fontId="4" fillId="2" borderId="1" xfId="2" applyFont="1" applyFill="1" applyBorder="1" applyAlignment="1">
      <alignment horizontal="right" vertical="center"/>
    </xf>
    <xf numFmtId="0" fontId="7" fillId="2" borderId="1" xfId="0" applyFont="1" applyFill="1" applyBorder="1" applyAlignment="1">
      <alignment horizontal="center"/>
    </xf>
    <xf numFmtId="0" fontId="7" fillId="2" borderId="1" xfId="0" applyFont="1" applyFill="1" applyBorder="1" applyAlignment="1">
      <alignment horizontal="right"/>
    </xf>
    <xf numFmtId="2" fontId="7" fillId="4" borderId="1" xfId="0" applyNumberFormat="1" applyFont="1" applyFill="1" applyBorder="1" applyAlignment="1">
      <alignment horizontal="right"/>
    </xf>
    <xf numFmtId="0" fontId="7" fillId="5" borderId="0" xfId="0" applyFont="1" applyFill="1"/>
    <xf numFmtId="0" fontId="5" fillId="5" borderId="0" xfId="2" applyFont="1" applyFill="1" applyAlignment="1">
      <alignment horizontal="center"/>
    </xf>
    <xf numFmtId="0" fontId="5" fillId="5" borderId="0" xfId="2" applyFont="1" applyFill="1" applyAlignment="1">
      <alignment horizontal="right"/>
    </xf>
    <xf numFmtId="14" fontId="5" fillId="5" borderId="0" xfId="2" applyNumberFormat="1" applyFont="1" applyFill="1" applyAlignment="1" applyProtection="1">
      <alignment horizontal="right"/>
      <protection locked="0"/>
    </xf>
    <xf numFmtId="21" fontId="8" fillId="5" borderId="0" xfId="3" applyNumberFormat="1" applyFont="1" applyFill="1" applyAlignment="1" applyProtection="1">
      <alignment horizontal="right" vertical="center"/>
      <protection locked="0"/>
    </xf>
    <xf numFmtId="1" fontId="8" fillId="5" borderId="0" xfId="3" applyNumberFormat="1" applyFont="1" applyFill="1" applyAlignment="1" applyProtection="1">
      <alignment horizontal="right" vertical="center"/>
      <protection locked="0"/>
    </xf>
    <xf numFmtId="0" fontId="4" fillId="5" borderId="0" xfId="2" applyFont="1" applyFill="1" applyAlignment="1">
      <alignment horizontal="right"/>
    </xf>
    <xf numFmtId="1" fontId="4" fillId="5" borderId="0" xfId="2" applyNumberFormat="1" applyFont="1" applyFill="1" applyAlignment="1">
      <alignment horizontal="right"/>
    </xf>
    <xf numFmtId="4" fontId="4" fillId="5" borderId="0" xfId="2" applyNumberFormat="1" applyFont="1" applyFill="1" applyAlignment="1">
      <alignment horizontal="right"/>
    </xf>
    <xf numFmtId="0" fontId="5" fillId="5" borderId="0" xfId="0" applyFont="1" applyFill="1" applyAlignment="1" applyProtection="1">
      <alignment horizontal="right"/>
      <protection locked="0"/>
    </xf>
    <xf numFmtId="2" fontId="5" fillId="5" borderId="0" xfId="2" applyNumberFormat="1" applyFont="1" applyFill="1" applyAlignment="1" applyProtection="1">
      <alignment horizontal="right"/>
      <protection locked="0"/>
    </xf>
    <xf numFmtId="0" fontId="4" fillId="5" borderId="0" xfId="2" applyFont="1" applyFill="1" applyAlignment="1">
      <alignment horizontal="center" vertical="center"/>
    </xf>
    <xf numFmtId="0" fontId="4" fillId="5" borderId="0" xfId="2" applyFont="1" applyFill="1" applyAlignment="1">
      <alignment horizontal="right" vertical="center"/>
    </xf>
    <xf numFmtId="2" fontId="5" fillId="5" borderId="0" xfId="2" applyNumberFormat="1" applyFont="1" applyFill="1" applyAlignment="1" applyProtection="1">
      <alignment vertical="center"/>
      <protection locked="0"/>
    </xf>
    <xf numFmtId="0" fontId="5" fillId="5" borderId="0" xfId="0" applyFont="1" applyFill="1" applyAlignment="1" applyProtection="1">
      <alignment horizontal="center"/>
      <protection locked="0"/>
    </xf>
    <xf numFmtId="0" fontId="7" fillId="5" borderId="0" xfId="0" applyFont="1" applyFill="1" applyAlignment="1">
      <alignment horizontal="right"/>
    </xf>
    <xf numFmtId="2" fontId="7" fillId="5" borderId="0" xfId="0" applyNumberFormat="1" applyFont="1" applyFill="1"/>
    <xf numFmtId="0" fontId="2" fillId="5" borderId="0" xfId="0" applyFont="1" applyFill="1"/>
    <xf numFmtId="0" fontId="0" fillId="5" borderId="0" xfId="0" applyFill="1" applyAlignment="1">
      <alignment horizontal="left"/>
    </xf>
    <xf numFmtId="0" fontId="11" fillId="0" borderId="0" xfId="1" applyFont="1" applyAlignment="1" applyProtection="1">
      <alignment horizontal="left"/>
    </xf>
    <xf numFmtId="165" fontId="7" fillId="0" borderId="1" xfId="0" applyNumberFormat="1" applyFont="1" applyBorder="1" applyAlignment="1">
      <alignment horizontal="center"/>
    </xf>
    <xf numFmtId="164" fontId="7" fillId="0" borderId="1" xfId="0" applyNumberFormat="1" applyFont="1" applyBorder="1" applyAlignment="1">
      <alignment horizontal="center"/>
    </xf>
    <xf numFmtId="2" fontId="7" fillId="0" borderId="1" xfId="0" applyNumberFormat="1" applyFont="1" applyBorder="1" applyAlignment="1">
      <alignment horizontal="center"/>
    </xf>
    <xf numFmtId="49" fontId="7" fillId="0" borderId="2" xfId="0" applyNumberFormat="1" applyFont="1" applyBorder="1" applyAlignment="1">
      <alignment horizontal="center"/>
    </xf>
    <xf numFmtId="2" fontId="7" fillId="0" borderId="3" xfId="0" applyNumberFormat="1" applyFont="1" applyBorder="1" applyAlignment="1">
      <alignment horizontal="right"/>
    </xf>
    <xf numFmtId="2" fontId="7" fillId="4" borderId="3" xfId="0" applyNumberFormat="1" applyFont="1" applyFill="1" applyBorder="1" applyAlignment="1">
      <alignment horizontal="right"/>
    </xf>
    <xf numFmtId="0" fontId="8" fillId="2" borderId="9" xfId="0" applyFont="1" applyFill="1" applyBorder="1" applyAlignment="1">
      <alignment horizontal="center" vertical="center"/>
    </xf>
    <xf numFmtId="0" fontId="8" fillId="2" borderId="9" xfId="0" applyFont="1" applyFill="1" applyBorder="1" applyAlignment="1">
      <alignment horizontal="center"/>
    </xf>
    <xf numFmtId="0" fontId="8" fillId="2" borderId="9" xfId="0" applyFont="1" applyFill="1" applyBorder="1" applyAlignment="1">
      <alignment horizontal="right" vertical="center"/>
    </xf>
    <xf numFmtId="2" fontId="7" fillId="0" borderId="0" xfId="0" applyNumberFormat="1" applyFont="1" applyAlignment="1">
      <alignment horizontal="center"/>
    </xf>
    <xf numFmtId="49" fontId="7" fillId="6" borderId="2" xfId="0" applyNumberFormat="1" applyFont="1" applyFill="1" applyBorder="1" applyAlignment="1">
      <alignment horizontal="center"/>
    </xf>
    <xf numFmtId="14" fontId="4" fillId="0" borderId="0" xfId="2" applyNumberFormat="1" applyFont="1" applyAlignment="1" applyProtection="1">
      <alignment horizontal="left"/>
      <protection locked="0"/>
    </xf>
    <xf numFmtId="1" fontId="4" fillId="0" borderId="0" xfId="2" applyNumberFormat="1" applyFont="1" applyAlignment="1">
      <alignment horizontal="left"/>
    </xf>
    <xf numFmtId="0" fontId="12" fillId="5" borderId="0" xfId="4" applyFont="1" applyFill="1" applyAlignment="1">
      <alignment horizontal="center" vertical="center" wrapText="1"/>
    </xf>
    <xf numFmtId="0" fontId="14" fillId="5" borderId="4" xfId="5" applyFont="1" applyFill="1" applyBorder="1" applyAlignment="1">
      <alignment horizontal="center"/>
    </xf>
    <xf numFmtId="0" fontId="14" fillId="5" borderId="12" xfId="5" applyFont="1" applyFill="1" applyBorder="1" applyAlignment="1">
      <alignment horizontal="center"/>
    </xf>
    <xf numFmtId="0" fontId="14" fillId="5" borderId="14" xfId="5" applyFont="1" applyFill="1" applyBorder="1" applyAlignment="1">
      <alignment horizontal="center"/>
    </xf>
    <xf numFmtId="0" fontId="15" fillId="5" borderId="8" xfId="0" applyFont="1" applyFill="1" applyBorder="1" applyAlignment="1">
      <alignment horizontal="center"/>
    </xf>
    <xf numFmtId="0" fontId="15" fillId="5" borderId="0" xfId="0" applyFont="1" applyFill="1" applyAlignment="1">
      <alignment horizontal="center"/>
    </xf>
    <xf numFmtId="0" fontId="15" fillId="5" borderId="15" xfId="0" applyFont="1" applyFill="1" applyBorder="1" applyAlignment="1">
      <alignment horizontal="center"/>
    </xf>
    <xf numFmtId="0" fontId="15" fillId="5" borderId="6" xfId="0" applyFont="1" applyFill="1" applyBorder="1" applyAlignment="1">
      <alignment horizontal="center"/>
    </xf>
    <xf numFmtId="0" fontId="15" fillId="5" borderId="10" xfId="0" applyFont="1" applyFill="1" applyBorder="1" applyAlignment="1">
      <alignment horizontal="center"/>
    </xf>
    <xf numFmtId="0" fontId="15" fillId="5" borderId="16" xfId="0" applyFont="1" applyFill="1" applyBorder="1" applyAlignment="1">
      <alignment horizontal="center"/>
    </xf>
    <xf numFmtId="0" fontId="7" fillId="0" borderId="10" xfId="0" applyFont="1" applyBorder="1" applyAlignment="1">
      <alignment horizont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xf>
    <xf numFmtId="0" fontId="8" fillId="2" borderId="11" xfId="0" applyFont="1" applyFill="1" applyBorder="1" applyAlignment="1">
      <alignment horizontal="center"/>
    </xf>
    <xf numFmtId="0" fontId="8" fillId="2" borderId="3" xfId="0" applyFont="1" applyFill="1" applyBorder="1" applyAlignment="1">
      <alignment horizontal="center"/>
    </xf>
    <xf numFmtId="0" fontId="5" fillId="2" borderId="2" xfId="2" applyFont="1" applyFill="1" applyBorder="1" applyAlignment="1">
      <alignment horizontal="center"/>
    </xf>
    <xf numFmtId="0" fontId="5" fillId="2" borderId="3" xfId="2" applyFont="1" applyFill="1" applyBorder="1" applyAlignment="1">
      <alignment horizontal="center"/>
    </xf>
    <xf numFmtId="0" fontId="5" fillId="2" borderId="11" xfId="2" applyFont="1" applyFill="1" applyBorder="1" applyAlignment="1">
      <alignment horizontal="center"/>
    </xf>
    <xf numFmtId="0" fontId="4" fillId="0" borderId="10" xfId="2" applyFont="1" applyBorder="1" applyAlignment="1">
      <alignment horizontal="center" vertical="center"/>
    </xf>
  </cellXfs>
  <cellStyles count="6">
    <cellStyle name="Hyperlink" xfId="1" builtinId="8"/>
    <cellStyle name="Hyperlink 2" xfId="5" xr:uid="{AC01E9E5-974E-FB45-831D-C4DB711A6B16}"/>
    <cellStyle name="Normal" xfId="0" builtinId="0"/>
    <cellStyle name="Normal 2" xfId="4" xr:uid="{FE3186F5-1C68-BD4E-BBFF-D55449AFB4F8}"/>
    <cellStyle name="Normal 3" xfId="2" xr:uid="{69C354B0-0E8D-7F44-98CD-64D7C20C6261}"/>
    <cellStyle name="Normal 3 2" xfId="3" xr:uid="{2F5C8E46-F55F-C442-B3C8-093CC6CC3978}"/>
  </cellStyles>
  <dxfs count="4">
    <dxf>
      <font>
        <color rgb="FF006100"/>
      </font>
      <fill>
        <patternFill>
          <bgColor rgb="FFC6EFCE"/>
        </patternFill>
      </fill>
    </dxf>
    <dxf>
      <font>
        <color theme="0"/>
      </font>
      <fill>
        <patternFill>
          <bgColor theme="1"/>
        </patternFill>
      </fill>
    </dxf>
    <dxf>
      <fill>
        <patternFill>
          <bgColor rgb="FFFFFF00"/>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a:t>Venus Transits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autoTitleDeleted val="0"/>
    <c:plotArea>
      <c:layout/>
      <c:scatterChart>
        <c:scatterStyle val="lineMarker"/>
        <c:varyColors val="0"/>
        <c:ser>
          <c:idx val="0"/>
          <c:order val="0"/>
          <c:spPr>
            <a:ln w="38100" cap="rnd">
              <a:noFill/>
              <a:round/>
            </a:ln>
            <a:effectLst/>
          </c:spPr>
          <c:marker>
            <c:symbol val="circle"/>
            <c:size val="5"/>
            <c:spPr>
              <a:solidFill>
                <a:schemeClr val="accent1"/>
              </a:solidFill>
              <a:ln w="9525">
                <a:solidFill>
                  <a:schemeClr val="accent1"/>
                </a:solidFill>
              </a:ln>
              <a:effectLst/>
            </c:spPr>
          </c:marker>
          <c:dPt>
            <c:idx val="0"/>
            <c:marker>
              <c:symbol val="circle"/>
              <c:size val="2"/>
              <c:spPr>
                <a:solidFill>
                  <a:srgbClr val="FFC000"/>
                </a:solidFill>
                <a:ln w="9525">
                  <a:solidFill>
                    <a:schemeClr val="tx1"/>
                  </a:solidFill>
                </a:ln>
                <a:effectLst/>
              </c:spPr>
            </c:marker>
            <c:bubble3D val="0"/>
            <c:extLst>
              <c:ext xmlns:c16="http://schemas.microsoft.com/office/drawing/2014/chart" uri="{C3380CC4-5D6E-409C-BE32-E72D297353CC}">
                <c16:uniqueId val="{00000004-2362-AC40-B212-EDE9B0F66206}"/>
              </c:ext>
            </c:extLst>
          </c:dPt>
          <c:dPt>
            <c:idx val="1"/>
            <c:marker>
              <c:symbol val="circle"/>
              <c:size val="2"/>
              <c:spPr>
                <a:solidFill>
                  <a:srgbClr val="00B050"/>
                </a:solidFill>
                <a:ln w="9525">
                  <a:solidFill>
                    <a:schemeClr val="tx1"/>
                  </a:solidFill>
                </a:ln>
                <a:effectLst/>
              </c:spPr>
            </c:marker>
            <c:bubble3D val="0"/>
            <c:extLst>
              <c:ext xmlns:c16="http://schemas.microsoft.com/office/drawing/2014/chart" uri="{C3380CC4-5D6E-409C-BE32-E72D297353CC}">
                <c16:uniqueId val="{00000005-2362-AC40-B212-EDE9B0F66206}"/>
              </c:ext>
            </c:extLst>
          </c:dPt>
          <c:dPt>
            <c:idx val="2"/>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02-2362-AC40-B212-EDE9B0F66206}"/>
              </c:ext>
            </c:extLst>
          </c:dPt>
          <c:dPt>
            <c:idx val="3"/>
            <c:marker>
              <c:symbol val="circle"/>
              <c:size val="2"/>
              <c:spPr>
                <a:solidFill>
                  <a:srgbClr val="00B050"/>
                </a:solidFill>
                <a:ln w="9525">
                  <a:solidFill>
                    <a:schemeClr val="tx1"/>
                  </a:solidFill>
                </a:ln>
                <a:effectLst/>
              </c:spPr>
            </c:marker>
            <c:bubble3D val="0"/>
            <c:extLst>
              <c:ext xmlns:c16="http://schemas.microsoft.com/office/drawing/2014/chart" uri="{C3380CC4-5D6E-409C-BE32-E72D297353CC}">
                <c16:uniqueId val="{00000003-2362-AC40-B212-EDE9B0F66206}"/>
              </c:ext>
            </c:extLst>
          </c:dPt>
          <c:dPt>
            <c:idx val="4"/>
            <c:marker>
              <c:symbol val="circle"/>
              <c:size val="2"/>
              <c:spPr>
                <a:solidFill>
                  <a:srgbClr val="FFC000"/>
                </a:solidFill>
                <a:ln w="9525">
                  <a:solidFill>
                    <a:schemeClr val="tx1"/>
                  </a:solidFill>
                </a:ln>
                <a:effectLst/>
              </c:spPr>
            </c:marker>
            <c:bubble3D val="0"/>
            <c:extLst>
              <c:ext xmlns:c16="http://schemas.microsoft.com/office/drawing/2014/chart" uri="{C3380CC4-5D6E-409C-BE32-E72D297353CC}">
                <c16:uniqueId val="{00000006-2362-AC40-B212-EDE9B0F66206}"/>
              </c:ext>
            </c:extLst>
          </c:dPt>
          <c:xVal>
            <c:numRef>
              <c:f>Venus!$D$27:$D$31</c:f>
              <c:numCache>
                <c:formatCode>0.00</c:formatCode>
                <c:ptCount val="5"/>
                <c:pt idx="0">
                  <c:v>259.51784838325551</c:v>
                </c:pt>
                <c:pt idx="1">
                  <c:v>265.1323112779728</c:v>
                </c:pt>
                <c:pt idx="2">
                  <c:v>284.0690531919555</c:v>
                </c:pt>
                <c:pt idx="3">
                  <c:v>302.44301737307404</c:v>
                </c:pt>
                <c:pt idx="4">
                  <c:v>307.51863657415936</c:v>
                </c:pt>
              </c:numCache>
            </c:numRef>
          </c:xVal>
          <c:yVal>
            <c:numRef>
              <c:f>Venus!$C$27:$C$31</c:f>
              <c:numCache>
                <c:formatCode>0.00</c:formatCode>
                <c:ptCount val="5"/>
                <c:pt idx="0">
                  <c:v>42.254982946778235</c:v>
                </c:pt>
                <c:pt idx="1">
                  <c:v>37.476736100326775</c:v>
                </c:pt>
                <c:pt idx="2">
                  <c:v>19.023490200358914</c:v>
                </c:pt>
                <c:pt idx="3">
                  <c:v>1.9919385510128966</c:v>
                </c:pt>
                <c:pt idx="4">
                  <c:v>-1.9591589067937816</c:v>
                </c:pt>
              </c:numCache>
            </c:numRef>
          </c:yVal>
          <c:smooth val="0"/>
          <c:extLst>
            <c:ext xmlns:c16="http://schemas.microsoft.com/office/drawing/2014/chart" uri="{C3380CC4-5D6E-409C-BE32-E72D297353CC}">
              <c16:uniqueId val="{00000000-2362-AC40-B212-EDE9B0F66206}"/>
            </c:ext>
          </c:extLst>
        </c:ser>
        <c:dLbls>
          <c:showLegendKey val="0"/>
          <c:showVal val="0"/>
          <c:showCatName val="0"/>
          <c:showSerName val="0"/>
          <c:showPercent val="0"/>
          <c:showBubbleSize val="0"/>
        </c:dLbls>
        <c:axId val="1127342735"/>
        <c:axId val="1112237631"/>
      </c:scatterChart>
      <c:valAx>
        <c:axId val="1127342735"/>
        <c:scaling>
          <c:orientation val="minMax"/>
          <c:max val="36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a:t>Azimuth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crossAx val="1112237631"/>
        <c:crosses val="autoZero"/>
        <c:crossBetween val="midCat"/>
        <c:majorUnit val="30"/>
      </c:valAx>
      <c:valAx>
        <c:axId val="1112237631"/>
        <c:scaling>
          <c:orientation val="minMax"/>
          <c:max val="90"/>
          <c:min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GB"/>
                  <a:t>Altitude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CH"/>
          </a:p>
        </c:txPr>
        <c:crossAx val="1127342735"/>
        <c:crosses val="autoZero"/>
        <c:crossBetween val="midCat"/>
        <c:majorUnit val="30"/>
      </c:valAx>
      <c:spPr>
        <a:solidFill>
          <a:schemeClr val="accent3">
            <a:lumMod val="20000"/>
            <a:lumOff val="80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alibri" panose="020F0502020204030204" pitchFamily="34" charset="0"/>
          <a:cs typeface="Calibri" panose="020F0502020204030204" pitchFamily="34" charset="0"/>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astronomy-morsels.ch/morsels"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596900</xdr:colOff>
      <xdr:row>44</xdr:row>
      <xdr:rowOff>0</xdr:rowOff>
    </xdr:from>
    <xdr:to>
      <xdr:col>9</xdr:col>
      <xdr:colOff>215900</xdr:colOff>
      <xdr:row>53</xdr:row>
      <xdr:rowOff>114300</xdr:rowOff>
    </xdr:to>
    <xdr:pic>
      <xdr:nvPicPr>
        <xdr:cNvPr id="2" name="Picture 1">
          <a:hlinkClick xmlns:r="http://schemas.openxmlformats.org/officeDocument/2006/relationships" r:id="rId1"/>
          <a:extLst>
            <a:ext uri="{FF2B5EF4-FFF2-40B4-BE49-F238E27FC236}">
              <a16:creationId xmlns:a16="http://schemas.microsoft.com/office/drawing/2014/main" id="{08D3742C-25AE-7E4E-B1F2-A96BDE30A877}"/>
            </a:ext>
          </a:extLst>
        </xdr:cNvPr>
        <xdr:cNvPicPr>
          <a:picLocks noChangeAspect="1"/>
        </xdr:cNvPicPr>
      </xdr:nvPicPr>
      <xdr:blipFill>
        <a:blip xmlns:r="http://schemas.openxmlformats.org/officeDocument/2006/relationships" r:embed="rId2"/>
        <a:stretch>
          <a:fillRect/>
        </a:stretch>
      </xdr:blipFill>
      <xdr:spPr>
        <a:xfrm>
          <a:off x="2247900" y="8039100"/>
          <a:ext cx="5397500" cy="1943100"/>
        </a:xfrm>
        <a:prstGeom prst="rect">
          <a:avLst/>
        </a:prstGeom>
      </xdr:spPr>
    </xdr:pic>
    <xdr:clientData/>
  </xdr:twoCellAnchor>
  <xdr:twoCellAnchor editAs="oneCell">
    <xdr:from>
      <xdr:col>1</xdr:col>
      <xdr:colOff>444500</xdr:colOff>
      <xdr:row>16</xdr:row>
      <xdr:rowOff>121766</xdr:rowOff>
    </xdr:from>
    <xdr:to>
      <xdr:col>10</xdr:col>
      <xdr:colOff>254000</xdr:colOff>
      <xdr:row>36</xdr:row>
      <xdr:rowOff>139700</xdr:rowOff>
    </xdr:to>
    <xdr:pic>
      <xdr:nvPicPr>
        <xdr:cNvPr id="4" name="Picture 3" descr="Solar Paths of 2004 and 2012 Venus Transit - NASA">
          <a:extLst>
            <a:ext uri="{FF2B5EF4-FFF2-40B4-BE49-F238E27FC236}">
              <a16:creationId xmlns:a16="http://schemas.microsoft.com/office/drawing/2014/main" id="{B5D49D85-6FD0-B399-159F-9664C32A06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0000" y="3487266"/>
          <a:ext cx="7239000" cy="4081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787400</xdr:colOff>
      <xdr:row>35</xdr:row>
      <xdr:rowOff>139700</xdr:rowOff>
    </xdr:from>
    <xdr:to>
      <xdr:col>12</xdr:col>
      <xdr:colOff>546100</xdr:colOff>
      <xdr:row>50</xdr:row>
      <xdr:rowOff>0</xdr:rowOff>
    </xdr:to>
    <xdr:graphicFrame macro="">
      <xdr:nvGraphicFramePr>
        <xdr:cNvPr id="2" name="Chart 1">
          <a:extLst>
            <a:ext uri="{FF2B5EF4-FFF2-40B4-BE49-F238E27FC236}">
              <a16:creationId xmlns:a16="http://schemas.microsoft.com/office/drawing/2014/main" id="{518D8842-5141-A15A-CC24-C73A49B505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364140</xdr:colOff>
      <xdr:row>11</xdr:row>
      <xdr:rowOff>101600</xdr:rowOff>
    </xdr:from>
    <xdr:to>
      <xdr:col>16</xdr:col>
      <xdr:colOff>416034</xdr:colOff>
      <xdr:row>36</xdr:row>
      <xdr:rowOff>114299</xdr:rowOff>
    </xdr:to>
    <xdr:pic>
      <xdr:nvPicPr>
        <xdr:cNvPr id="5" name="Picture 4" descr="Rare Transit of Venus Stages Explained | Space">
          <a:extLst>
            <a:ext uri="{FF2B5EF4-FFF2-40B4-BE49-F238E27FC236}">
              <a16:creationId xmlns:a16="http://schemas.microsoft.com/office/drawing/2014/main" id="{63C5D730-7D94-D938-2388-625A4A9C6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9140" y="2336800"/>
          <a:ext cx="5004894" cy="5092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800100</xdr:colOff>
      <xdr:row>1</xdr:row>
      <xdr:rowOff>12700</xdr:rowOff>
    </xdr:from>
    <xdr:to>
      <xdr:col>10</xdr:col>
      <xdr:colOff>76200</xdr:colOff>
      <xdr:row>36</xdr:row>
      <xdr:rowOff>152400</xdr:rowOff>
    </xdr:to>
    <xdr:pic>
      <xdr:nvPicPr>
        <xdr:cNvPr id="7" name="Picture 6">
          <a:extLst>
            <a:ext uri="{FF2B5EF4-FFF2-40B4-BE49-F238E27FC236}">
              <a16:creationId xmlns:a16="http://schemas.microsoft.com/office/drawing/2014/main" id="{287A7982-4131-C14F-A80A-5A542AAF98AA}"/>
            </a:ext>
          </a:extLst>
        </xdr:cNvPr>
        <xdr:cNvPicPr>
          <a:picLocks noChangeAspect="1"/>
        </xdr:cNvPicPr>
      </xdr:nvPicPr>
      <xdr:blipFill>
        <a:blip xmlns:r="http://schemas.openxmlformats.org/officeDocument/2006/relationships" r:embed="rId2"/>
        <a:stretch>
          <a:fillRect/>
        </a:stretch>
      </xdr:blipFill>
      <xdr:spPr>
        <a:xfrm>
          <a:off x="800100" y="215900"/>
          <a:ext cx="7531100" cy="7251700"/>
        </a:xfrm>
        <a:prstGeom prst="rect">
          <a:avLst/>
        </a:prstGeom>
        <a:ln>
          <a:solidFill>
            <a:schemeClr val="tx1"/>
          </a:solidFill>
        </a:ln>
      </xdr:spPr>
    </xdr:pic>
    <xdr:clientData/>
  </xdr:twoCellAnchor>
  <xdr:twoCellAnchor editAs="oneCell">
    <xdr:from>
      <xdr:col>10</xdr:col>
      <xdr:colOff>342900</xdr:colOff>
      <xdr:row>1</xdr:row>
      <xdr:rowOff>26034</xdr:rowOff>
    </xdr:from>
    <xdr:to>
      <xdr:col>16</xdr:col>
      <xdr:colOff>419100</xdr:colOff>
      <xdr:row>9</xdr:row>
      <xdr:rowOff>165683</xdr:rowOff>
    </xdr:to>
    <xdr:pic>
      <xdr:nvPicPr>
        <xdr:cNvPr id="8" name="Picture 7" descr="CESAR The Venus-Sun Distance">
          <a:extLst>
            <a:ext uri="{FF2B5EF4-FFF2-40B4-BE49-F238E27FC236}">
              <a16:creationId xmlns:a16="http://schemas.microsoft.com/office/drawing/2014/main" id="{72680A46-3560-E56E-A9D0-4B553662D3C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597900" y="229234"/>
          <a:ext cx="5029200" cy="176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eclipsewise.com/transit/catalog/visible.html" TargetMode="External"/><Relationship Id="rId1" Type="http://schemas.openxmlformats.org/officeDocument/2006/relationships/hyperlink" Target="http://sunearth.gsfc.nasa.gov/eclipse/transit/catalog/Tcatkey.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A5A5-52F4-4B4B-8995-07F7A011D426}">
  <dimension ref="A3:M42"/>
  <sheetViews>
    <sheetView tabSelected="1" zoomScaleNormal="100" workbookViewId="0">
      <selection activeCell="A5" sqref="A5"/>
    </sheetView>
  </sheetViews>
  <sheetFormatPr baseColWidth="10" defaultRowHeight="16"/>
  <cols>
    <col min="1" max="13" width="10.83203125" style="44"/>
    <col min="14" max="16384" width="10.83203125" style="57"/>
  </cols>
  <sheetData>
    <row r="3" spans="2:11">
      <c r="B3" s="103" t="s">
        <v>120</v>
      </c>
      <c r="C3" s="103"/>
      <c r="D3" s="103"/>
      <c r="E3" s="103"/>
      <c r="F3" s="103"/>
      <c r="G3" s="103"/>
      <c r="H3" s="103"/>
      <c r="I3" s="103"/>
      <c r="J3" s="103"/>
      <c r="K3" s="103"/>
    </row>
    <row r="4" spans="2:11">
      <c r="B4" s="103"/>
      <c r="C4" s="103"/>
      <c r="D4" s="103"/>
      <c r="E4" s="103"/>
      <c r="F4" s="103"/>
      <c r="G4" s="103"/>
      <c r="H4" s="103"/>
      <c r="I4" s="103"/>
      <c r="J4" s="103"/>
      <c r="K4" s="103"/>
    </row>
    <row r="5" spans="2:11">
      <c r="B5" s="103"/>
      <c r="C5" s="103"/>
      <c r="D5" s="103"/>
      <c r="E5" s="103"/>
      <c r="F5" s="103"/>
      <c r="G5" s="103"/>
      <c r="H5" s="103"/>
      <c r="I5" s="103"/>
      <c r="J5" s="103"/>
      <c r="K5" s="103"/>
    </row>
    <row r="6" spans="2:11">
      <c r="B6" s="103"/>
      <c r="C6" s="103"/>
      <c r="D6" s="103"/>
      <c r="E6" s="103"/>
      <c r="F6" s="103"/>
      <c r="G6" s="103"/>
      <c r="H6" s="103"/>
      <c r="I6" s="103"/>
      <c r="J6" s="103"/>
      <c r="K6" s="103"/>
    </row>
    <row r="7" spans="2:11">
      <c r="B7" s="103"/>
      <c r="C7" s="103"/>
      <c r="D7" s="103"/>
      <c r="E7" s="103"/>
      <c r="F7" s="103"/>
      <c r="G7" s="103"/>
      <c r="H7" s="103"/>
      <c r="I7" s="103"/>
      <c r="J7" s="103"/>
      <c r="K7" s="103"/>
    </row>
    <row r="8" spans="2:11">
      <c r="B8" s="103"/>
      <c r="C8" s="103"/>
      <c r="D8" s="103"/>
      <c r="E8" s="103"/>
      <c r="F8" s="103"/>
      <c r="G8" s="103"/>
      <c r="H8" s="103"/>
      <c r="I8" s="103"/>
      <c r="J8" s="103"/>
      <c r="K8" s="103"/>
    </row>
    <row r="9" spans="2:11">
      <c r="B9" s="103"/>
      <c r="C9" s="103"/>
      <c r="D9" s="103"/>
      <c r="E9" s="103"/>
      <c r="F9" s="103"/>
      <c r="G9" s="103"/>
      <c r="H9" s="103"/>
      <c r="I9" s="103"/>
      <c r="J9" s="103"/>
      <c r="K9" s="103"/>
    </row>
    <row r="13" spans="2:11" ht="19">
      <c r="D13" s="45" t="s">
        <v>31</v>
      </c>
      <c r="E13" s="46"/>
      <c r="F13" s="47"/>
      <c r="G13" s="47"/>
      <c r="H13" s="47"/>
      <c r="I13" s="48" t="s">
        <v>26</v>
      </c>
    </row>
    <row r="14" spans="2:11" ht="19">
      <c r="D14" s="49"/>
      <c r="E14" s="50"/>
      <c r="F14" s="51"/>
      <c r="G14" s="51"/>
      <c r="H14" s="51"/>
      <c r="I14" s="52"/>
    </row>
    <row r="15" spans="2:11" ht="19">
      <c r="D15" s="53" t="s">
        <v>32</v>
      </c>
      <c r="E15" s="54"/>
      <c r="F15" s="55"/>
      <c r="G15" s="55"/>
      <c r="H15" s="55"/>
      <c r="I15" s="56" t="s">
        <v>27</v>
      </c>
    </row>
    <row r="25" spans="3:4">
      <c r="C25" s="57"/>
    </row>
    <row r="26" spans="3:4">
      <c r="C26" s="57"/>
    </row>
    <row r="28" spans="3:4">
      <c r="D28" s="57"/>
    </row>
    <row r="39" spans="1:11">
      <c r="A39" s="57"/>
    </row>
    <row r="40" spans="1:11">
      <c r="B40" s="104" t="s">
        <v>28</v>
      </c>
      <c r="C40" s="105"/>
      <c r="D40" s="105"/>
      <c r="E40" s="105"/>
      <c r="F40" s="105"/>
      <c r="G40" s="105"/>
      <c r="H40" s="105"/>
      <c r="I40" s="105"/>
      <c r="J40" s="105"/>
      <c r="K40" s="106"/>
    </row>
    <row r="41" spans="1:11">
      <c r="B41" s="107" t="s">
        <v>29</v>
      </c>
      <c r="C41" s="108"/>
      <c r="D41" s="108"/>
      <c r="E41" s="108"/>
      <c r="F41" s="108"/>
      <c r="G41" s="108"/>
      <c r="H41" s="108"/>
      <c r="I41" s="108"/>
      <c r="J41" s="108"/>
      <c r="K41" s="109"/>
    </row>
    <row r="42" spans="1:11">
      <c r="B42" s="110" t="s">
        <v>30</v>
      </c>
      <c r="C42" s="111"/>
      <c r="D42" s="111"/>
      <c r="E42" s="111"/>
      <c r="F42" s="111"/>
      <c r="G42" s="111"/>
      <c r="H42" s="111"/>
      <c r="I42" s="111"/>
      <c r="J42" s="111"/>
      <c r="K42" s="112"/>
    </row>
  </sheetData>
  <sheetProtection sheet="1" objects="1" scenarios="1"/>
  <mergeCells count="4">
    <mergeCell ref="B3:K9"/>
    <mergeCell ref="B40:K40"/>
    <mergeCell ref="B41:K41"/>
    <mergeCell ref="B42:K42"/>
  </mergeCells>
  <hyperlinks>
    <hyperlink ref="I13" r:id="rId1" xr:uid="{1179C748-7A5A-094F-9B9E-0CE93328FF0C}"/>
    <hyperlink ref="B40" r:id="rId2" display="http://www.astronomy-morsels.ch/" xr:uid="{DF043592-6C83-024E-8900-2F243A92F72D}"/>
  </hyperlinks>
  <pageMargins left="0.7" right="0.7" top="0.75" bottom="0.75" header="0.3" footer="0.3"/>
  <pageSetup paperSize="9" orientation="portrait" horizontalDpi="0" verticalDpi="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1525-3F58-3F41-B0B5-A3F5271A43D9}">
  <sheetPr>
    <pageSetUpPr fitToPage="1"/>
  </sheetPr>
  <dimension ref="A2:AP107"/>
  <sheetViews>
    <sheetView showGridLines="0" topLeftCell="K30" workbookViewId="0">
      <selection activeCell="S67" sqref="S67"/>
    </sheetView>
  </sheetViews>
  <sheetFormatPr baseColWidth="10" defaultRowHeight="16"/>
  <cols>
    <col min="1" max="1" width="10.83203125" style="25"/>
    <col min="2" max="3" width="13.33203125" style="27" customWidth="1"/>
    <col min="4" max="13" width="13.33203125" style="25" customWidth="1"/>
    <col min="14" max="14" width="3.33203125" style="70" customWidth="1"/>
    <col min="15" max="15" width="5.83203125" style="25" customWidth="1"/>
    <col min="16" max="16" width="13.33203125" style="27" customWidth="1"/>
    <col min="17" max="17" width="5.83203125" style="25" customWidth="1"/>
    <col min="18" max="20" width="8.33203125" style="25" customWidth="1"/>
    <col min="21" max="41" width="8.33203125" customWidth="1"/>
  </cols>
  <sheetData>
    <row r="2" spans="1:42">
      <c r="P2" s="89" t="s">
        <v>41</v>
      </c>
    </row>
    <row r="4" spans="1:42">
      <c r="B4" s="119" t="s">
        <v>4</v>
      </c>
      <c r="C4" s="120"/>
      <c r="D4" s="26"/>
      <c r="E4" s="26"/>
      <c r="F4" s="26"/>
      <c r="G4" s="26"/>
      <c r="H4" s="26"/>
      <c r="I4" s="26"/>
      <c r="J4" s="26"/>
      <c r="K4" s="26"/>
      <c r="L4" s="26"/>
      <c r="M4" s="26"/>
      <c r="N4" s="71"/>
      <c r="O4" s="26"/>
      <c r="P4" s="119" t="s">
        <v>19</v>
      </c>
      <c r="Q4" s="121"/>
      <c r="R4" s="121"/>
      <c r="S4" s="121"/>
      <c r="T4" s="121"/>
      <c r="U4" s="121"/>
      <c r="V4" s="121"/>
      <c r="W4" s="121"/>
      <c r="X4" s="121"/>
      <c r="Y4" s="121"/>
      <c r="Z4" s="120"/>
      <c r="AA4" s="26"/>
      <c r="AB4" s="26"/>
      <c r="AC4" s="26"/>
      <c r="AD4" s="26"/>
      <c r="AE4" s="26"/>
      <c r="AF4" s="114" t="s">
        <v>35</v>
      </c>
      <c r="AG4" s="115"/>
      <c r="AH4" s="114" t="s">
        <v>36</v>
      </c>
      <c r="AI4" s="115"/>
      <c r="AJ4" s="114" t="s">
        <v>3</v>
      </c>
      <c r="AK4" s="115"/>
      <c r="AL4" s="114" t="s">
        <v>37</v>
      </c>
      <c r="AM4" s="115"/>
      <c r="AN4" s="114" t="s">
        <v>38</v>
      </c>
      <c r="AO4" s="115"/>
    </row>
    <row r="5" spans="1:42">
      <c r="B5" s="3"/>
      <c r="C5" s="4" t="s">
        <v>5</v>
      </c>
      <c r="D5" s="5"/>
      <c r="E5" s="5"/>
      <c r="F5" s="5"/>
      <c r="G5" s="5"/>
      <c r="H5" s="5"/>
      <c r="I5" s="5"/>
      <c r="J5" s="5"/>
      <c r="K5" s="5"/>
      <c r="L5" s="5"/>
      <c r="M5" s="5"/>
      <c r="N5" s="72"/>
      <c r="O5" s="21"/>
      <c r="P5" s="62" t="s">
        <v>2</v>
      </c>
      <c r="Q5" s="96" t="s">
        <v>1</v>
      </c>
      <c r="R5" s="97" t="s">
        <v>35</v>
      </c>
      <c r="S5" s="97" t="s">
        <v>36</v>
      </c>
      <c r="T5" s="97" t="s">
        <v>3</v>
      </c>
      <c r="U5" s="97" t="s">
        <v>37</v>
      </c>
      <c r="V5" s="97" t="s">
        <v>38</v>
      </c>
      <c r="W5" s="98" t="s">
        <v>0</v>
      </c>
      <c r="X5" s="98" t="s">
        <v>33</v>
      </c>
      <c r="Y5" s="98" t="s">
        <v>34</v>
      </c>
      <c r="Z5" s="98" t="s">
        <v>39</v>
      </c>
      <c r="AA5" s="116" t="s">
        <v>24</v>
      </c>
      <c r="AB5" s="117"/>
      <c r="AC5" s="117"/>
      <c r="AD5" s="117"/>
      <c r="AE5" s="118"/>
      <c r="AF5" s="63" t="s">
        <v>22</v>
      </c>
      <c r="AG5" s="63" t="s">
        <v>23</v>
      </c>
      <c r="AH5" s="63" t="s">
        <v>22</v>
      </c>
      <c r="AI5" s="63" t="s">
        <v>23</v>
      </c>
      <c r="AJ5" s="63" t="s">
        <v>22</v>
      </c>
      <c r="AK5" s="63" t="s">
        <v>23</v>
      </c>
      <c r="AL5" s="63" t="s">
        <v>22</v>
      </c>
      <c r="AM5" s="63" t="s">
        <v>23</v>
      </c>
      <c r="AN5" s="63" t="s">
        <v>22</v>
      </c>
      <c r="AO5" s="63" t="s">
        <v>23</v>
      </c>
      <c r="AP5" s="25"/>
    </row>
    <row r="6" spans="1:42">
      <c r="B6" s="6" t="s">
        <v>2</v>
      </c>
      <c r="C6" s="7" t="s">
        <v>100</v>
      </c>
      <c r="D6" s="101" t="s">
        <v>122</v>
      </c>
      <c r="E6" s="8"/>
      <c r="F6" s="8"/>
      <c r="G6" s="8"/>
      <c r="H6" s="8"/>
      <c r="I6" s="8"/>
      <c r="J6" s="8"/>
      <c r="K6" s="8"/>
      <c r="L6" s="8"/>
      <c r="M6" s="8"/>
      <c r="N6" s="73"/>
      <c r="O6" s="8" t="str">
        <f t="shared" ref="O6:O37" si="0">IF(P6=$C$6,"*","")</f>
        <v/>
      </c>
      <c r="P6" s="100" t="s">
        <v>42</v>
      </c>
      <c r="Q6" s="29">
        <v>2</v>
      </c>
      <c r="R6" s="30">
        <v>0.41875000000000001</v>
      </c>
      <c r="S6" s="30">
        <v>0.43055555555555558</v>
      </c>
      <c r="T6" s="30">
        <v>0.5756944444444444</v>
      </c>
      <c r="U6" s="30">
        <v>0.72152777777777777</v>
      </c>
      <c r="V6" s="30">
        <v>0.73333333333333339</v>
      </c>
      <c r="W6" s="90">
        <v>374</v>
      </c>
      <c r="X6" s="91">
        <v>14.541</v>
      </c>
      <c r="Y6" s="92">
        <v>-15.31</v>
      </c>
      <c r="Z6" s="91">
        <v>2.6720000000000002</v>
      </c>
      <c r="AA6" s="94">
        <f t="shared" ref="AA6:AA49" si="1">15*($Z6+HOUR(R6)+(MINUTE(R6)/60)-$X6)+$C$13</f>
        <v>-19.864999999999988</v>
      </c>
      <c r="AB6" s="34">
        <f t="shared" ref="AB6:AB49" si="2">15*($Z6+HOUR(S6)+(MINUTE(S6)/60)-$X6)+$C$13</f>
        <v>-15.61499999999999</v>
      </c>
      <c r="AC6" s="34">
        <f t="shared" ref="AC6:AC49" si="3">15*($Z6+HOUR(T6)+(MINUTE(T6)/60)-$X6)+$C$13</f>
        <v>36.634999999999998</v>
      </c>
      <c r="AD6" s="34">
        <f t="shared" ref="AD6:AD49" si="4">15*($Z6+HOUR(U6)+(MINUTE(U6)/60)-$X6)+$C$13</f>
        <v>89.135000000000005</v>
      </c>
      <c r="AE6" s="34">
        <f t="shared" ref="AE6:AE49" si="5">15*($Z6+HOUR(V6)+(MINUTE(V6)/60)-$X6)+$C$13</f>
        <v>93.385000000000034</v>
      </c>
      <c r="AF6" s="34">
        <f>$Z$90*ASIN(SIN($Z$89*$Y6)*SIN($Z$89*$C$12)+COS($Z$89*$Y6)*COS($Z$89*AA6)*COS($Z$89*$C$12))</f>
        <v>25.697723266503807</v>
      </c>
      <c r="AG6" s="34">
        <f>IF(SIN($Z$89*AA6)&lt;0,ACOS((SIN($Z$89*$Y6)-SIN($Z$89*AF6)*SIN($Z$89*$C$12))/(COS($Z$89*AF6)*COS($Z$89*$C$12)))/$Z$89,360-ACOS((SIN($Z$89*$Y6)-SIN($Z$89*AF6)*SIN($Z$89*$C$12))/(COS($Z$89*AF6)*COS($Z$89*$C$12)))/$Z$89)</f>
        <v>158.67117824961093</v>
      </c>
      <c r="AH6" s="34">
        <f>$Z$90*ASIN(SIN($Z$89*$Y6)*SIN($Z$89*$C$12)+COS($Z$89*$Y6)*COS($Z$89*AB6)*COS($Z$89*$C$12))</f>
        <v>26.656416593802401</v>
      </c>
      <c r="AI6" s="34">
        <f>IF(SIN($Z$89*AB6)&lt;0,ACOS((SIN($Z$89*$Y6)-SIN($Z$89*AH6)*SIN($Z$89*$C$12))/(COS($Z$89*AH6)*COS($Z$89*$C$12)))/$Z$89,360-ACOS((SIN($Z$89*$Y6)-SIN($Z$89*AH6)*SIN($Z$89*$C$12))/(COS($Z$89*AH6)*COS($Z$89*$C$12)))/$Z$89)</f>
        <v>163.11238773131393</v>
      </c>
      <c r="AJ6" s="34">
        <f>$Z$90*ASIN(SIN($Z$89*$Y6)*SIN($Z$89*$C$12)+COS($Z$89*$Y6)*COS($Z$89*AC6)*COS($Z$89*$C$12))</f>
        <v>19.991996633106979</v>
      </c>
      <c r="AK6" s="34">
        <f>IF(SIN($Z$89*AC6)&lt;0,ACOS((SIN($Z$89*$Y6)-SIN($Z$89*AJ6)*SIN($Z$89*$C$12))/(COS($Z$89*AJ6)*COS($Z$89*$C$12)))/$Z$89,360-ACOS((SIN($Z$89*$Y6)-SIN($Z$89*AJ6)*SIN($Z$89*$C$12))/(COS($Z$89*AJ6)*COS($Z$89*$C$12)))/$Z$89)</f>
        <v>217.76644599641432</v>
      </c>
      <c r="AL6" s="34">
        <f>$Z$90*ASIN(SIN($Z$89*$Y6)*SIN($Z$89*$C$12)+COS($Z$89*$Y6)*COS($Z$89*AD6)*COS($Z$89*$C$12))</f>
        <v>-10.447703677013392</v>
      </c>
      <c r="AM6" s="34">
        <f>IF(SIN($Z$89*AD6)&lt;0,ACOS((SIN($Z$89*$Y6)-SIN($Z$89*AL6)*SIN($Z$89*$C$12))/(COS($Z$89*AL6)*COS($Z$89*$C$12)))/$Z$89,360-ACOS((SIN($Z$89*$Y6)-SIN($Z$89*AL6)*SIN($Z$89*$C$12))/(COS($Z$89*AL6)*COS($Z$89*$C$12)))/$Z$89)</f>
        <v>258.71325423362453</v>
      </c>
      <c r="AN6" s="34">
        <f>$Z$90*ASIN(SIN($Z$89*$Y6)*SIN($Z$89*$C$12)+COS($Z$89*$Y6)*COS($Z$89*AE6)*COS($Z$89*$C$12))</f>
        <v>-13.332854071271671</v>
      </c>
      <c r="AO6" s="34">
        <f>IF(SIN($Z$89*AE6)&lt;0,ACOS((SIN($Z$89*$Y6)-SIN($Z$89*AN6)*SIN($Z$89*$C$12))/(COS($Z$89*AN6)*COS($Z$89*$C$12)))/$Z$89,360-ACOS((SIN($Z$89*$Y6)-SIN($Z$89*AN6)*SIN($Z$89*$C$12))/(COS($Z$89*AN6)*COS($Z$89*$C$12)))/$Z$89)</f>
        <v>261.6892723899519</v>
      </c>
      <c r="AP6" s="41"/>
    </row>
    <row r="7" spans="1:42">
      <c r="B7" s="6" t="s">
        <v>6</v>
      </c>
      <c r="C7" s="11" t="str">
        <f>IF(OR(MOD(VALUE(RIGHT($C$6,4)),400)=0,AND(MOD(VALUE(RIGHT($C$6,4)),4)=0,MOD(VALUE(RIGHT($C$6,4)),100)&lt;&gt;0)),"Y", "N")</f>
        <v>N</v>
      </c>
      <c r="D7" s="9"/>
      <c r="E7" s="9"/>
      <c r="F7" s="9"/>
      <c r="G7" s="9"/>
      <c r="H7" s="9"/>
      <c r="I7" s="9"/>
      <c r="J7" s="9"/>
      <c r="K7" s="9"/>
      <c r="L7" s="9"/>
      <c r="M7" s="9"/>
      <c r="N7" s="74"/>
      <c r="O7" s="8" t="str">
        <f t="shared" si="0"/>
        <v/>
      </c>
      <c r="P7" s="100" t="s">
        <v>43</v>
      </c>
      <c r="Q7" s="29">
        <v>1</v>
      </c>
      <c r="R7" s="30">
        <v>0.7729166666666667</v>
      </c>
      <c r="S7" s="30">
        <v>0.78680555555555554</v>
      </c>
      <c r="T7" s="30">
        <v>0.90416666666666667</v>
      </c>
      <c r="U7" s="30">
        <v>2.1527777777777781E-2</v>
      </c>
      <c r="V7" s="30">
        <v>3.4722222222222224E-2</v>
      </c>
      <c r="W7" s="90">
        <v>617.5</v>
      </c>
      <c r="X7" s="91">
        <v>2.7210000000000001</v>
      </c>
      <c r="Y7" s="92">
        <v>16.16</v>
      </c>
      <c r="Z7" s="91">
        <v>14.885</v>
      </c>
      <c r="AA7" s="94">
        <f t="shared" si="1"/>
        <v>468.12999999999994</v>
      </c>
      <c r="AB7" s="34">
        <f t="shared" si="2"/>
        <v>473.13</v>
      </c>
      <c r="AC7" s="34">
        <f t="shared" si="3"/>
        <v>515.38</v>
      </c>
      <c r="AD7" s="34">
        <f t="shared" si="4"/>
        <v>197.63</v>
      </c>
      <c r="AE7" s="34">
        <f t="shared" si="5"/>
        <v>202.38</v>
      </c>
      <c r="AF7" s="34">
        <f>$Z$90*ASIN(SIN($Z$89*$Y7)*SIN($Z$89*$C$12)+COS($Z$89*$Y7)*COS($Z$89*AA7)*COS($Z$89*$C$12))</f>
        <v>-0.24089976310127459</v>
      </c>
      <c r="AG7" s="34">
        <f>IF(SIN($Z$89*AA7)&lt;0,ACOS((SIN($Z$89*$Y7)-SIN($Z$89*AF7)*SIN($Z$89*$C$12))/(COS($Z$89*AF7)*COS($Z$89*$C$12)))/$Z$89,360-ACOS((SIN($Z$89*$Y7)-SIN($Z$89*AF7)*SIN($Z$89*$C$12))/(COS($Z$89*AF7)*COS($Z$89*$C$12)))/$Z$89)</f>
        <v>294.10327050828215</v>
      </c>
      <c r="AH7" s="34">
        <f>$Z$90*ASIN(SIN($Z$89*$Y7)*SIN($Z$89*$C$12)+COS($Z$89*$Y7)*COS($Z$89*AB7)*COS($Z$89*$C$12))</f>
        <v>-3.3384487605490261</v>
      </c>
      <c r="AI7" s="34">
        <f>IF(SIN($Z$89*AB7)&lt;0,ACOS((SIN($Z$89*$Y7)-SIN($Z$89*AH7)*SIN($Z$89*$C$12))/(COS($Z$89*AH7)*COS($Z$89*$C$12)))/$Z$89,360-ACOS((SIN($Z$89*$Y7)-SIN($Z$89*AH7)*SIN($Z$89*$C$12))/(COS($Z$89*AH7)*COS($Z$89*$C$12)))/$Z$89)</f>
        <v>297.77531945150167</v>
      </c>
      <c r="AJ7" s="34">
        <f>$Z$90*ASIN(SIN($Z$89*$Y7)*SIN($Z$89*$C$12)+COS($Z$89*$Y7)*COS($Z$89*AC7)*COS($Z$89*$C$12))</f>
        <v>-23.570947775209852</v>
      </c>
      <c r="AK7" s="34">
        <f>IF(SIN($Z$89*AC7)&lt;0,ACOS((SIN($Z$89*$Y7)-SIN($Z$89*AJ7)*SIN($Z$89*$C$12))/(COS($Z$89*AJ7)*COS($Z$89*$C$12)))/$Z$89,360-ACOS((SIN($Z$89*$Y7)-SIN($Z$89*AJ7)*SIN($Z$89*$C$12))/(COS($Z$89*AJ7)*COS($Z$89*$C$12)))/$Z$89)</f>
        <v>334.11527879987881</v>
      </c>
      <c r="AL7" s="34">
        <f>$Z$90*ASIN(SIN($Z$89*$Y7)*SIN($Z$89*$C$12)+COS($Z$89*$Y7)*COS($Z$89*AD7)*COS($Z$89*$C$12))</f>
        <v>-25.40178188652116</v>
      </c>
      <c r="AM7" s="34">
        <f>IF(SIN($Z$89*AD7)&lt;0,ACOS((SIN($Z$89*$Y7)-SIN($Z$89*AL7)*SIN($Z$89*$C$12))/(COS($Z$89*AL7)*COS($Z$89*$C$12)))/$Z$89,360-ACOS((SIN($Z$89*$Y7)-SIN($Z$89*AL7)*SIN($Z$89*$C$12))/(COS($Z$89*AL7)*COS($Z$89*$C$12)))/$Z$89)</f>
        <v>18.786088984440951</v>
      </c>
      <c r="AN7" s="34">
        <f>$Z$90*ASIN(SIN($Z$89*$Y7)*SIN($Z$89*$C$12)+COS($Z$89*$Y7)*COS($Z$89*AE7)*COS($Z$89*$C$12))</f>
        <v>-24.217404135783156</v>
      </c>
      <c r="AO7" s="34">
        <f>IF(SIN($Z$89*AE7)&lt;0,ACOS((SIN($Z$89*$Y7)-SIN($Z$89*AN7)*SIN($Z$89*$C$12))/(COS($Z$89*AN7)*COS($Z$89*$C$12)))/$Z$89,360-ACOS((SIN($Z$89*$Y7)-SIN($Z$89*AN7)*SIN($Z$89*$C$12))/(COS($Z$89*AN7)*COS($Z$89*$C$12)))/$Z$89)</f>
        <v>23.640255086725158</v>
      </c>
      <c r="AP7" s="40"/>
    </row>
    <row r="8" spans="1:42">
      <c r="B8" s="6" t="s">
        <v>7</v>
      </c>
      <c r="C8" s="13">
        <f>INT(275*VALUE(MID($C$6,4,2))/9)-IF(C7="Y",1,2)*INT((VALUE(MID($C$6,4,2))+9)/12)+VALUE(LEFT($C$6,2))-30</f>
        <v>166</v>
      </c>
      <c r="D8" s="10"/>
      <c r="E8" s="10"/>
      <c r="F8" s="10"/>
      <c r="G8" s="10"/>
      <c r="H8" s="10"/>
      <c r="I8" s="10"/>
      <c r="J8" s="10"/>
      <c r="K8" s="10"/>
      <c r="L8" s="10"/>
      <c r="M8" s="10"/>
      <c r="N8" s="75"/>
      <c r="O8" s="8" t="str">
        <f t="shared" si="0"/>
        <v/>
      </c>
      <c r="P8" s="100" t="s">
        <v>44</v>
      </c>
      <c r="Q8" s="29">
        <v>3</v>
      </c>
      <c r="R8" s="30">
        <v>0.47361111111111115</v>
      </c>
      <c r="S8" s="30">
        <v>0.4861111111111111</v>
      </c>
      <c r="T8" s="30">
        <v>0.61388888888888882</v>
      </c>
      <c r="U8" s="30">
        <v>0.74236111111111114</v>
      </c>
      <c r="V8" s="30">
        <v>0.75416666666666676</v>
      </c>
      <c r="W8" s="90">
        <v>545.4</v>
      </c>
      <c r="X8" s="91">
        <v>2.581</v>
      </c>
      <c r="Y8" s="92">
        <v>15.5</v>
      </c>
      <c r="Z8" s="91">
        <v>14.739000000000001</v>
      </c>
      <c r="AA8" s="94">
        <f t="shared" si="1"/>
        <v>360.29</v>
      </c>
      <c r="AB8" s="34">
        <f t="shared" si="2"/>
        <v>364.79000000000008</v>
      </c>
      <c r="AC8" s="34">
        <f t="shared" si="3"/>
        <v>410.79</v>
      </c>
      <c r="AD8" s="34">
        <f t="shared" si="4"/>
        <v>457.04</v>
      </c>
      <c r="AE8" s="34">
        <f t="shared" si="5"/>
        <v>461.29000000000013</v>
      </c>
      <c r="AF8" s="34">
        <f>$Z$90*ASIN(SIN($Z$89*$Y8)*SIN($Z$89*$C$12)+COS($Z$89*$Y8)*COS($Z$89*AA8)*COS($Z$89*$C$12))</f>
        <v>59.049052563223292</v>
      </c>
      <c r="AG8" s="34">
        <f>IF(SIN($Z$89*AA8)&lt;0,ACOS((SIN($Z$89*$Y8)-SIN($Z$89*AF8)*SIN($Z$89*$C$12))/(COS($Z$89*AF8)*COS($Z$89*$C$12)))/$Z$89,360-ACOS((SIN($Z$89*$Y8)-SIN($Z$89*AF8)*SIN($Z$89*$C$12))/(COS($Z$89*AF8)*COS($Z$89*$C$12)))/$Z$89)</f>
        <v>180.54336696787769</v>
      </c>
      <c r="AH8" s="34">
        <f>$Z$90*ASIN(SIN($Z$89*$Y8)*SIN($Z$89*$C$12)+COS($Z$89*$Y8)*COS($Z$89*AB8)*COS($Z$89*$C$12))</f>
        <v>58.792630460744157</v>
      </c>
      <c r="AI8" s="34">
        <f>IF(SIN($Z$89*AB8)&lt;0,ACOS((SIN($Z$89*$Y8)-SIN($Z$89*AH8)*SIN($Z$89*$C$12))/(COS($Z$89*AH8)*COS($Z$89*$C$12)))/$Z$89,360-ACOS((SIN($Z$89*$Y8)-SIN($Z$89*AH8)*SIN($Z$89*$C$12))/(COS($Z$89*AH8)*COS($Z$89*$C$12)))/$Z$89)</f>
        <v>188.93422272103928</v>
      </c>
      <c r="AJ8" s="34">
        <f>$Z$90*ASIN(SIN($Z$89*$Y8)*SIN($Z$89*$C$12)+COS($Z$89*$Y8)*COS($Z$89*AC8)*COS($Z$89*$C$12))</f>
        <v>37.835734647658136</v>
      </c>
      <c r="AK8" s="34">
        <f>IF(SIN($Z$89*AC8)&lt;0,ACOS((SIN($Z$89*$Y8)-SIN($Z$89*AJ8)*SIN($Z$89*$C$12))/(COS($Z$89*AJ8)*COS($Z$89*$C$12)))/$Z$89,360-ACOS((SIN($Z$89*$Y8)-SIN($Z$89*AJ8)*SIN($Z$89*$C$12))/(COS($Z$89*AJ8)*COS($Z$89*$C$12)))/$Z$89)</f>
        <v>250.9797636090511</v>
      </c>
      <c r="AL8" s="34">
        <f>$Z$90*ASIN(SIN($Z$89*$Y8)*SIN($Z$89*$C$12)+COS($Z$89*$Y8)*COS($Z$89*AD8)*COS($Z$89*$C$12))</f>
        <v>6.4487604006971981</v>
      </c>
      <c r="AM8" s="34">
        <f>IF(SIN($Z$89*AD8)&lt;0,ACOS((SIN($Z$89*$Y8)-SIN($Z$89*AL8)*SIN($Z$89*$C$12))/(COS($Z$89*AL8)*COS($Z$89*$C$12)))/$Z$89,360-ACOS((SIN($Z$89*$Y8)-SIN($Z$89*AL8)*SIN($Z$89*$C$12))/(COS($Z$89*AL8)*COS($Z$89*$C$12)))/$Z$89)</f>
        <v>285.75000237379999</v>
      </c>
      <c r="AN8" s="34">
        <f>$Z$90*ASIN(SIN($Z$89*$Y8)*SIN($Z$89*$C$12)+COS($Z$89*$Y8)*COS($Z$89*AE8)*COS($Z$89*$C$12))</f>
        <v>3.6525892592650959</v>
      </c>
      <c r="AO8" s="34">
        <f>IF(SIN($Z$89*AE8)&lt;0,ACOS((SIN($Z$89*$Y8)-SIN($Z$89*AN8)*SIN($Z$89*$C$12))/(COS($Z$89*AN8)*COS($Z$89*$C$12)))/$Z$89,360-ACOS((SIN($Z$89*$Y8)-SIN($Z$89*AN8)*SIN($Z$89*$C$12))/(COS($Z$89*AN8)*COS($Z$89*$C$12)))/$Z$89)</f>
        <v>288.75420016331327</v>
      </c>
      <c r="AP8" s="33"/>
    </row>
    <row r="9" spans="1:42">
      <c r="B9" s="6" t="s">
        <v>8</v>
      </c>
      <c r="C9" s="13" t="str">
        <f>IF(INT(MOD(C10+1.5,7))=1,"Monday",IF(INT(MOD(C10+1.5,7))=2,"Tuesday",IF(INT(MOD(C10+1.5,7))=3,"Wednesday",IF(INT(MOD(C10+1.5,7))=4,"Thursday",IF(INT(MOD(C10+1.5,7))=5,"Friday",IF(INT(MOD(C10+1.5,7))=6,"Saturday","Sunday"))))))</f>
        <v>Thursday</v>
      </c>
      <c r="D9" s="12"/>
      <c r="E9" s="12"/>
      <c r="F9" s="12"/>
      <c r="G9" s="12"/>
      <c r="H9" s="12"/>
      <c r="I9" s="12"/>
      <c r="J9" s="12"/>
      <c r="K9" s="12"/>
      <c r="L9" s="12"/>
      <c r="M9" s="12"/>
      <c r="N9" s="76"/>
      <c r="O9" s="8" t="str">
        <f t="shared" si="0"/>
        <v/>
      </c>
      <c r="P9" s="100" t="s">
        <v>45</v>
      </c>
      <c r="Q9" s="29">
        <v>4</v>
      </c>
      <c r="R9" s="30">
        <v>0.9902777777777777</v>
      </c>
      <c r="S9" s="69" t="s">
        <v>13</v>
      </c>
      <c r="T9" s="30">
        <v>3.888888888888889E-2</v>
      </c>
      <c r="U9" s="69" t="s">
        <v>13</v>
      </c>
      <c r="V9" s="30">
        <v>8.7499999999999994E-2</v>
      </c>
      <c r="W9" s="90">
        <v>966.6</v>
      </c>
      <c r="X9" s="91">
        <v>14.831</v>
      </c>
      <c r="Y9" s="92">
        <v>-16.649999999999999</v>
      </c>
      <c r="Z9" s="91">
        <v>2.9660000000000002</v>
      </c>
      <c r="AA9" s="94">
        <f t="shared" si="1"/>
        <v>185.94499999999999</v>
      </c>
      <c r="AB9" s="69" t="s">
        <v>13</v>
      </c>
      <c r="AC9" s="34">
        <f t="shared" si="3"/>
        <v>-156.55499999999998</v>
      </c>
      <c r="AD9" s="69" t="s">
        <v>13</v>
      </c>
      <c r="AE9" s="34">
        <f t="shared" si="5"/>
        <v>-139.05500000000004</v>
      </c>
      <c r="AF9" s="34">
        <f>$Z$90*ASIN(SIN($Z$89*$Y9)*SIN($Z$89*$C$12)+COS($Z$89*$Y9)*COS($Z$89*AA9)*COS($Z$89*$C$12))</f>
        <v>-59.793221847485064</v>
      </c>
      <c r="AG9" s="34">
        <f>IF(SIN($Z$89*AA9)&lt;0,ACOS((SIN($Z$89*$Y9)-SIN($Z$89*AF9)*SIN($Z$89*$C$12))/(COS($Z$89*AF9)*COS($Z$89*$C$12)))/$Z$89,360-ACOS((SIN($Z$89*$Y9)-SIN($Z$89*AF9)*SIN($Z$89*$C$12))/(COS($Z$89*AF9)*COS($Z$89*$C$12)))/$Z$89)</f>
        <v>11.375070790965657</v>
      </c>
      <c r="AH9" s="69" t="s">
        <v>13</v>
      </c>
      <c r="AI9" s="69" t="s">
        <v>13</v>
      </c>
      <c r="AJ9" s="34">
        <f>$Z$90*ASIN(SIN($Z$89*$Y9)*SIN($Z$89*$C$12)+COS($Z$89*$Y9)*COS($Z$89*AC9)*COS($Z$89*$C$12))</f>
        <v>-54.416581101174089</v>
      </c>
      <c r="AK9" s="34">
        <f>IF(SIN($Z$89*AC9)&lt;0,ACOS((SIN($Z$89*$Y9)-SIN($Z$89*AJ9)*SIN($Z$89*$C$12))/(COS($Z$89*AJ9)*COS($Z$89*$C$12)))/$Z$89,360-ACOS((SIN($Z$89*$Y9)-SIN($Z$89*AJ9)*SIN($Z$89*$C$12))/(COS($Z$89*AJ9)*COS($Z$89*$C$12)))/$Z$89)</f>
        <v>40.926255914977261</v>
      </c>
      <c r="AL9" s="69" t="s">
        <v>13</v>
      </c>
      <c r="AM9" s="69" t="s">
        <v>13</v>
      </c>
      <c r="AN9" s="34">
        <f>$Z$90*ASIN(SIN($Z$89*$Y9)*SIN($Z$89*$C$12)+COS($Z$89*$Y9)*COS($Z$89*AE9)*COS($Z$89*$C$12))</f>
        <v>-44.931808817952522</v>
      </c>
      <c r="AO9" s="34">
        <f>IF(SIN($Z$89*AE9)&lt;0,ACOS((SIN($Z$89*$Y9)-SIN($Z$89*AN9)*SIN($Z$89*$C$12))/(COS($Z$89*AN9)*COS($Z$89*$C$12)))/$Z$89,360-ACOS((SIN($Z$89*$Y9)-SIN($Z$89*AN9)*SIN($Z$89*$C$12))/(COS($Z$89*AN9)*COS($Z$89*$C$12)))/$Z$89)</f>
        <v>62.482579294499494</v>
      </c>
      <c r="AP9" s="33"/>
    </row>
    <row r="10" spans="1:42">
      <c r="B10" s="6" t="s">
        <v>9</v>
      </c>
      <c r="C10" s="15">
        <f>367*VALUE(RIGHT($C$6,4))-INT(7/4*VALUE(RIGHT($C$6,4)))-INT(3*(INT((VALUE(RIGHT($C$6,4))-8/7)/100)+1)/4)+1721059.5-1+C8</f>
        <v>2719432.5</v>
      </c>
      <c r="D10" s="14"/>
      <c r="E10" s="14"/>
      <c r="F10" s="14"/>
      <c r="G10" s="14"/>
      <c r="H10" s="14"/>
      <c r="I10" s="14"/>
      <c r="J10" s="14"/>
      <c r="K10" s="14"/>
      <c r="L10" s="14"/>
      <c r="M10" s="14"/>
      <c r="N10" s="77"/>
      <c r="O10" s="8" t="str">
        <f t="shared" si="0"/>
        <v/>
      </c>
      <c r="P10" s="100" t="s">
        <v>46</v>
      </c>
      <c r="Q10" s="29">
        <v>2</v>
      </c>
      <c r="R10" s="30">
        <v>0.4458333333333333</v>
      </c>
      <c r="S10" s="30">
        <v>0.45833333333333331</v>
      </c>
      <c r="T10" s="30">
        <v>0.59513888888888888</v>
      </c>
      <c r="U10" s="30">
        <v>0.73263888888888884</v>
      </c>
      <c r="V10" s="30">
        <v>0.74444444444444446</v>
      </c>
      <c r="W10" s="90">
        <v>474.8</v>
      </c>
      <c r="X10" s="91">
        <v>14.669</v>
      </c>
      <c r="Y10" s="92">
        <v>-15.91</v>
      </c>
      <c r="Z10" s="91">
        <v>2.81</v>
      </c>
      <c r="AA10" s="94">
        <f t="shared" si="1"/>
        <v>-9.9650000000000123</v>
      </c>
      <c r="AB10" s="34">
        <f t="shared" si="2"/>
        <v>-5.4649999999999999</v>
      </c>
      <c r="AC10" s="34">
        <f t="shared" si="3"/>
        <v>43.784999999999997</v>
      </c>
      <c r="AD10" s="34">
        <f t="shared" si="4"/>
        <v>93.284999999999954</v>
      </c>
      <c r="AE10" s="34">
        <f t="shared" si="5"/>
        <v>97.534999999999982</v>
      </c>
      <c r="AF10" s="34">
        <f>$Z$90*ASIN(SIN($Z$89*$Y10)*SIN($Z$89*$C$12)+COS($Z$89*$Y10)*COS($Z$89*AA10)*COS($Z$89*$C$12))</f>
        <v>26.995368339910915</v>
      </c>
      <c r="AG10" s="34">
        <f>IF(SIN($Z$89*AA10)&lt;0,ACOS((SIN($Z$89*$Y10)-SIN($Z$89*AF10)*SIN($Z$89*$C$12))/(COS($Z$89*AF10)*COS($Z$89*$C$12)))/$Z$89,360-ACOS((SIN($Z$89*$Y10)-SIN($Z$89*AF10)*SIN($Z$89*$C$12))/(COS($Z$89*AF10)*COS($Z$89*$C$12)))/$Z$89)</f>
        <v>169.23581187804717</v>
      </c>
      <c r="AH10" s="34">
        <f>$Z$90*ASIN(SIN($Z$89*$Y10)*SIN($Z$89*$C$12)+COS($Z$89*$Y10)*COS($Z$89*AB10)*COS($Z$89*$C$12))</f>
        <v>27.445380564242786</v>
      </c>
      <c r="AI10" s="34">
        <f>IF(SIN($Z$89*AB10)&lt;0,ACOS((SIN($Z$89*$Y10)-SIN($Z$89*AH10)*SIN($Z$89*$C$12))/(COS($Z$89*AH10)*COS($Z$89*$C$12)))/$Z$89,360-ACOS((SIN($Z$89*$Y10)-SIN($Z$89*AH10)*SIN($Z$89*$C$12))/(COS($Z$89*AH10)*COS($Z$89*$C$12)))/$Z$89)</f>
        <v>174.07623361815897</v>
      </c>
      <c r="AJ10" s="34">
        <f>$Z$90*ASIN(SIN($Z$89*$Y10)*SIN($Z$89*$C$12)+COS($Z$89*$Y10)*COS($Z$89*AC10)*COS($Z$89*$C$12))</f>
        <v>16.240777734185841</v>
      </c>
      <c r="AK10" s="34">
        <f>IF(SIN($Z$89*AC10)&lt;0,ACOS((SIN($Z$89*$Y10)-SIN($Z$89*AJ10)*SIN($Z$89*$C$12))/(COS($Z$89*AJ10)*COS($Z$89*$C$12)))/$Z$89,360-ACOS((SIN($Z$89*$Y10)-SIN($Z$89*AJ10)*SIN($Z$89*$C$12))/(COS($Z$89*AJ10)*COS($Z$89*$C$12)))/$Z$89)</f>
        <v>223.87650727024038</v>
      </c>
      <c r="AL10" s="34">
        <f>$Z$90*ASIN(SIN($Z$89*$Y10)*SIN($Z$89*$C$12)+COS($Z$89*$Y10)*COS($Z$89*AD10)*COS($Z$89*$C$12))</f>
        <v>-13.68881262384784</v>
      </c>
      <c r="AM10" s="34">
        <f>IF(SIN($Z$89*AD10)&lt;0,ACOS((SIN($Z$89*$Y10)-SIN($Z$89*AL10)*SIN($Z$89*$C$12))/(COS($Z$89*AL10)*COS($Z$89*$C$12)))/$Z$89,360-ACOS((SIN($Z$89*$Y10)-SIN($Z$89*AL10)*SIN($Z$89*$C$12))/(COS($Z$89*AL10)*COS($Z$89*$C$12)))/$Z$89)</f>
        <v>261.18274021214188</v>
      </c>
      <c r="AN10" s="34">
        <f>$Z$90*ASIN(SIN($Z$89*$Y10)*SIN($Z$89*$C$12)+COS($Z$89*$Y10)*COS($Z$89*AE10)*COS($Z$89*$C$12))</f>
        <v>-16.592757965825236</v>
      </c>
      <c r="AO10" s="34">
        <f>IF(SIN($Z$89*AE10)&lt;0,ACOS((SIN($Z$89*$Y10)-SIN($Z$89*AN10)*SIN($Z$89*$C$12))/(COS($Z$89*AN10)*COS($Z$89*$C$12)))/$Z$89,360-ACOS((SIN($Z$89*$Y10)-SIN($Z$89*AN10)*SIN($Z$89*$C$12))/(COS($Z$89*AN10)*COS($Z$89*$C$12)))/$Z$89)</f>
        <v>264.16263680639815</v>
      </c>
      <c r="AP10" s="33"/>
    </row>
    <row r="11" spans="1:42">
      <c r="B11" s="37" t="s">
        <v>10</v>
      </c>
      <c r="C11" s="38" t="s">
        <v>18</v>
      </c>
      <c r="D11" s="102" t="s">
        <v>123</v>
      </c>
      <c r="E11" s="14"/>
      <c r="F11" s="14"/>
      <c r="G11" s="14"/>
      <c r="H11" s="14"/>
      <c r="I11" s="14"/>
      <c r="J11" s="14"/>
      <c r="K11" s="14"/>
      <c r="L11" s="14"/>
      <c r="M11" s="14"/>
      <c r="N11" s="77"/>
      <c r="O11" s="8" t="str">
        <f t="shared" si="0"/>
        <v/>
      </c>
      <c r="P11" s="100" t="s">
        <v>47</v>
      </c>
      <c r="Q11" s="29">
        <v>1</v>
      </c>
      <c r="R11" s="30">
        <v>0.9868055555555556</v>
      </c>
      <c r="S11" s="30">
        <v>2.0833333333333333E-3</v>
      </c>
      <c r="T11" s="30">
        <v>0.10555555555555556</v>
      </c>
      <c r="U11" s="30">
        <v>0.20833333333333334</v>
      </c>
      <c r="V11" s="30">
        <v>0.22361111111111109</v>
      </c>
      <c r="W11" s="90">
        <v>696.9</v>
      </c>
      <c r="X11" s="91">
        <v>2.8719999999999999</v>
      </c>
      <c r="Y11" s="92">
        <v>16.829999999999998</v>
      </c>
      <c r="Z11" s="91">
        <v>15.035</v>
      </c>
      <c r="AA11" s="94">
        <f t="shared" si="1"/>
        <v>545.1149999999999</v>
      </c>
      <c r="AB11" s="34">
        <f t="shared" si="2"/>
        <v>190.61500000000001</v>
      </c>
      <c r="AC11" s="34">
        <f t="shared" si="3"/>
        <v>227.86500000000001</v>
      </c>
      <c r="AD11" s="34">
        <f t="shared" si="4"/>
        <v>264.86500000000001</v>
      </c>
      <c r="AE11" s="34">
        <f t="shared" si="5"/>
        <v>270.36500000000001</v>
      </c>
      <c r="AF11" s="34">
        <f>$Z$90*ASIN(SIN($Z$89*$Y11)*SIN($Z$89*$C$12)+COS($Z$89*$Y11)*COS($Z$89*AA11)*COS($Z$89*$C$12))</f>
        <v>-26.551665380197125</v>
      </c>
      <c r="AG11" s="34">
        <f>IF(SIN($Z$89*AA11)&lt;0,ACOS((SIN($Z$89*$Y11)-SIN($Z$89*AF11)*SIN($Z$89*$C$12))/(COS($Z$89*AF11)*COS($Z$89*$C$12)))/$Z$89,360-ACOS((SIN($Z$89*$Y11)-SIN($Z$89*AF11)*SIN($Z$89*$C$12))/(COS($Z$89*AF11)*COS($Z$89*$C$12)))/$Z$89)</f>
        <v>5.4742172727953085</v>
      </c>
      <c r="AH11" s="34">
        <f>$Z$90*ASIN(SIN($Z$89*$Y11)*SIN($Z$89*$C$12)+COS($Z$89*$Y11)*COS($Z$89*AB11)*COS($Z$89*$C$12))</f>
        <v>-25.998352129003322</v>
      </c>
      <c r="AI11" s="34">
        <f>IF(SIN($Z$89*AB11)&lt;0,ACOS((SIN($Z$89*$Y11)-SIN($Z$89*AH11)*SIN($Z$89*$C$12))/(COS($Z$89*AH11)*COS($Z$89*$C$12)))/$Z$89,360-ACOS((SIN($Z$89*$Y11)-SIN($Z$89*AH11)*SIN($Z$89*$C$12))/(COS($Z$89*AH11)*COS($Z$89*$C$12)))/$Z$89)</f>
        <v>11.313063869411843</v>
      </c>
      <c r="AJ11" s="34">
        <f>$Z$90*ASIN(SIN($Z$89*$Y11)*SIN($Z$89*$C$12)+COS($Z$89*$Y11)*COS($Z$89*AC11)*COS($Z$89*$C$12))</f>
        <v>-13.449232546814732</v>
      </c>
      <c r="AK11" s="34">
        <f>IF(SIN($Z$89*AC11)&lt;0,ACOS((SIN($Z$89*$Y11)-SIN($Z$89*AJ11)*SIN($Z$89*$C$12))/(COS($Z$89*AJ11)*COS($Z$89*$C$12)))/$Z$89,360-ACOS((SIN($Z$89*$Y11)-SIN($Z$89*AJ11)*SIN($Z$89*$C$12))/(COS($Z$89*AJ11)*COS($Z$89*$C$12)))/$Z$89)</f>
        <v>46.871110097920791</v>
      </c>
      <c r="AL11" s="34">
        <f>$Z$90*ASIN(SIN($Z$89*$Y11)*SIN($Z$89*$C$12)+COS($Z$89*$Y11)*COS($Z$89*AD11)*COS($Z$89*$C$12))</f>
        <v>8.6744997723118971</v>
      </c>
      <c r="AM11" s="34">
        <f>IF(SIN($Z$89*AD11)&lt;0,ACOS((SIN($Z$89*$Y11)-SIN($Z$89*AL11)*SIN($Z$89*$C$12))/(COS($Z$89*AL11)*COS($Z$89*$C$12)))/$Z$89,360-ACOS((SIN($Z$89*$Y11)-SIN($Z$89*AL11)*SIN($Z$89*$C$12))/(COS($Z$89*AL11)*COS($Z$89*$C$12)))/$Z$89)</f>
        <v>74.65669235924193</v>
      </c>
      <c r="AN11" s="34">
        <f>$Z$90*ASIN(SIN($Z$89*$Y11)*SIN($Z$89*$C$12)+COS($Z$89*$Y11)*COS($Z$89*AE11)*COS($Z$89*$C$12))</f>
        <v>12.359620353442446</v>
      </c>
      <c r="AO11" s="34">
        <f>IF(SIN($Z$89*AE11)&lt;0,ACOS((SIN($Z$89*$Y11)-SIN($Z$89*AN11)*SIN($Z$89*$C$12))/(COS($Z$89*AN11)*COS($Z$89*$C$12)))/$Z$89,360-ACOS((SIN($Z$89*$Y11)-SIN($Z$89*AN11)*SIN($Z$89*$C$12))/(COS($Z$89*AN11)*COS($Z$89*$C$12)))/$Z$89)</f>
        <v>78.480966603679207</v>
      </c>
      <c r="AP11" s="33"/>
    </row>
    <row r="12" spans="1:42">
      <c r="B12" s="18" t="s">
        <v>11</v>
      </c>
      <c r="C12" s="39">
        <f>VLOOKUP(C11,$B$18:$D$22,2,FALSE)</f>
        <v>46.45</v>
      </c>
      <c r="D12" s="16"/>
      <c r="E12" s="16"/>
      <c r="F12" s="16"/>
      <c r="G12" s="16"/>
      <c r="H12" s="16"/>
      <c r="I12" s="16"/>
      <c r="J12" s="16"/>
      <c r="K12" s="16"/>
      <c r="L12" s="16"/>
      <c r="M12" s="16"/>
      <c r="N12" s="78"/>
      <c r="O12" s="8" t="str">
        <f t="shared" si="0"/>
        <v/>
      </c>
      <c r="P12" s="100" t="s">
        <v>48</v>
      </c>
      <c r="Q12" s="29">
        <v>3</v>
      </c>
      <c r="R12" s="30">
        <v>0.67569444444444438</v>
      </c>
      <c r="S12" s="30">
        <v>0.68680555555555556</v>
      </c>
      <c r="T12" s="30">
        <v>0.82499999999999996</v>
      </c>
      <c r="U12" s="30">
        <v>0.96250000000000002</v>
      </c>
      <c r="V12" s="30">
        <v>0.97430555555555554</v>
      </c>
      <c r="W12" s="90">
        <v>459.9</v>
      </c>
      <c r="X12" s="91">
        <v>2.7320000000000002</v>
      </c>
      <c r="Y12" s="92">
        <v>16.2</v>
      </c>
      <c r="Z12" s="91">
        <v>14.888999999999999</v>
      </c>
      <c r="AA12" s="94">
        <f t="shared" si="1"/>
        <v>433.02499999999998</v>
      </c>
      <c r="AB12" s="34">
        <f t="shared" si="2"/>
        <v>437.02500000000003</v>
      </c>
      <c r="AC12" s="34">
        <f t="shared" si="3"/>
        <v>486.77499999999992</v>
      </c>
      <c r="AD12" s="34">
        <f t="shared" si="4"/>
        <v>536.27499999999998</v>
      </c>
      <c r="AE12" s="34">
        <f t="shared" si="5"/>
        <v>540.52499999999986</v>
      </c>
      <c r="AF12" s="34">
        <f>$Z$90*ASIN(SIN($Z$89*$Y12)*SIN($Z$89*$C$12)+COS($Z$89*$Y12)*COS($Z$89*AA12)*COS($Z$89*$C$12))</f>
        <v>23.289125479738349</v>
      </c>
      <c r="AG12" s="34">
        <f>IF(SIN($Z$89*AA12)&lt;0,ACOS((SIN($Z$89*$Y12)-SIN($Z$89*AF12)*SIN($Z$89*$C$12))/(COS($Z$89*AF12)*COS($Z$89*$C$12)))/$Z$89,360-ACOS((SIN($Z$89*$Y12)-SIN($Z$89*AF12)*SIN($Z$89*$C$12))/(COS($Z$89*AF12)*COS($Z$89*$C$12)))/$Z$89)</f>
        <v>269.31522211689708</v>
      </c>
      <c r="AH12" s="34">
        <f>$Z$90*ASIN(SIN($Z$89*$Y12)*SIN($Z$89*$C$12)+COS($Z$89*$Y12)*COS($Z$89*AB12)*COS($Z$89*$C$12))</f>
        <v>20.533711096729714</v>
      </c>
      <c r="AI12" s="34">
        <f>IF(SIN($Z$89*AB12)&lt;0,ACOS((SIN($Z$89*$Y12)-SIN($Z$89*AH12)*SIN($Z$89*$C$12))/(COS($Z$89*AH12)*COS($Z$89*$C$12)))/$Z$89,360-ACOS((SIN($Z$89*$Y12)-SIN($Z$89*AH12)*SIN($Z$89*$C$12))/(COS($Z$89*AH12)*COS($Z$89*$C$12)))/$Z$89)</f>
        <v>272.20021401499673</v>
      </c>
      <c r="AJ12" s="34">
        <f>$Z$90*ASIN(SIN($Z$89*$Y12)*SIN($Z$89*$C$12)+COS($Z$89*$Y12)*COS($Z$89*AC12)*COS($Z$89*$C$12))</f>
        <v>-11.18021230618384</v>
      </c>
      <c r="AK12" s="34">
        <f>IF(SIN($Z$89*AC12)&lt;0,ACOS((SIN($Z$89*$Y12)-SIN($Z$89*AJ12)*SIN($Z$89*$C$12))/(COS($Z$89*AJ12)*COS($Z$89*$C$12)))/$Z$89,360-ACOS((SIN($Z$89*$Y12)-SIN($Z$89*AJ12)*SIN($Z$89*$C$12))/(COS($Z$89*AJ12)*COS($Z$89*$C$12)))/$Z$89)</f>
        <v>308.3654285194612</v>
      </c>
      <c r="AL12" s="34">
        <f>$Z$90*ASIN(SIN($Z$89*$Y12)*SIN($Z$89*$C$12)+COS($Z$89*$Y12)*COS($Z$89*AD12)*COS($Z$89*$C$12))</f>
        <v>-27.259870517636717</v>
      </c>
      <c r="AM12" s="34">
        <f>IF(SIN($Z$89*AD12)&lt;0,ACOS((SIN($Z$89*$Y12)-SIN($Z$89*AL12)*SIN($Z$89*$C$12))/(COS($Z$89*AL12)*COS($Z$89*$C$12)))/$Z$89,360-ACOS((SIN($Z$89*$Y12)-SIN($Z$89*AL12)*SIN($Z$89*$C$12))/(COS($Z$89*AL12)*COS($Z$89*$C$12)))/$Z$89)</f>
        <v>355.97551841586943</v>
      </c>
      <c r="AN12" s="34">
        <f>$Z$90*ASIN(SIN($Z$89*$Y12)*SIN($Z$89*$C$12)+COS($Z$89*$Y12)*COS($Z$89*AE12)*COS($Z$89*$C$12))</f>
        <v>-27.348208339070272</v>
      </c>
      <c r="AO12" s="34">
        <f>IF(SIN($Z$89*AE12)&lt;0,ACOS((SIN($Z$89*$Y12)-SIN($Z$89*AN12)*SIN($Z$89*$C$12))/(COS($Z$89*AN12)*COS($Z$89*$C$12)))/$Z$89,360-ACOS((SIN($Z$89*$Y12)-SIN($Z$89*AN12)*SIN($Z$89*$C$12))/(COS($Z$89*AN12)*COS($Z$89*$C$12)))/$Z$89)</f>
        <v>0.56759488103119626</v>
      </c>
      <c r="AP12" s="33"/>
    </row>
    <row r="13" spans="1:42" s="1" customFormat="1">
      <c r="A13" s="22"/>
      <c r="B13" s="6" t="s">
        <v>12</v>
      </c>
      <c r="C13" s="39">
        <f>VLOOKUP(C11,$B$18:$D$22,3,FALSE)</f>
        <v>7.42</v>
      </c>
      <c r="D13" s="16"/>
      <c r="E13" s="16"/>
      <c r="F13" s="16"/>
      <c r="G13" s="16"/>
      <c r="H13" s="16"/>
      <c r="I13" s="16"/>
      <c r="J13" s="16"/>
      <c r="K13" s="16"/>
      <c r="L13" s="16"/>
      <c r="M13" s="16"/>
      <c r="N13" s="78"/>
      <c r="O13" s="8" t="str">
        <f t="shared" si="0"/>
        <v/>
      </c>
      <c r="P13" s="100" t="s">
        <v>49</v>
      </c>
      <c r="Q13" s="29">
        <v>4</v>
      </c>
      <c r="R13" s="30">
        <v>0.96805555555555556</v>
      </c>
      <c r="S13" s="30">
        <v>0.99236111111111114</v>
      </c>
      <c r="T13" s="30">
        <v>5.347222222222222E-2</v>
      </c>
      <c r="U13" s="30">
        <v>0.11458333333333333</v>
      </c>
      <c r="V13" s="30">
        <v>0.1388888888888889</v>
      </c>
      <c r="W13" s="90">
        <v>871.8</v>
      </c>
      <c r="X13" s="91">
        <v>14.961</v>
      </c>
      <c r="Y13" s="92">
        <v>-17.21</v>
      </c>
      <c r="Z13" s="91">
        <v>3.1040000000000001</v>
      </c>
      <c r="AA13" s="94">
        <f t="shared" si="1"/>
        <v>178.065</v>
      </c>
      <c r="AB13" s="34">
        <f t="shared" si="2"/>
        <v>186.81499999999997</v>
      </c>
      <c r="AC13" s="34">
        <f t="shared" si="3"/>
        <v>-151.18500000000003</v>
      </c>
      <c r="AD13" s="34">
        <f t="shared" si="4"/>
        <v>-129.185</v>
      </c>
      <c r="AE13" s="34">
        <f t="shared" si="5"/>
        <v>-120.435</v>
      </c>
      <c r="AF13" s="34">
        <f>$Z$90*ASIN(SIN($Z$89*$Y13)*SIN($Z$89*$C$12)+COS($Z$89*$Y13)*COS($Z$89*AA13)*COS($Z$89*$C$12))</f>
        <v>-60.716010290704389</v>
      </c>
      <c r="AG13" s="34">
        <f>IF(SIN($Z$89*AA13)&lt;0,ACOS((SIN($Z$89*$Y13)-SIN($Z$89*AF13)*SIN($Z$89*$C$12))/(COS($Z$89*AF13)*COS($Z$89*$C$12)))/$Z$89,360-ACOS((SIN($Z$89*$Y13)-SIN($Z$89*AF13)*SIN($Z$89*$C$12))/(COS($Z$89*AF13)*COS($Z$89*$C$12)))/$Z$89)</f>
        <v>356.21916224154819</v>
      </c>
      <c r="AH13" s="34">
        <f>$Z$90*ASIN(SIN($Z$89*$Y13)*SIN($Z$89*$C$12)+COS($Z$89*$Y13)*COS($Z$89*AB13)*COS($Z$89*$C$12))</f>
        <v>-60.219111679520907</v>
      </c>
      <c r="AI13" s="34">
        <f>IF(SIN($Z$89*AB13)&lt;0,ACOS((SIN($Z$89*$Y13)-SIN($Z$89*AH13)*SIN($Z$89*$C$12))/(COS($Z$89*AH13)*COS($Z$89*$C$12)))/$Z$89,360-ACOS((SIN($Z$89*$Y13)-SIN($Z$89*AH13)*SIN($Z$89*$C$12))/(COS($Z$89*AH13)*COS($Z$89*$C$12)))/$Z$89)</f>
        <v>13.192016213096084</v>
      </c>
      <c r="AJ13" s="34">
        <f>$Z$90*ASIN(SIN($Z$89*$Y13)*SIN($Z$89*$C$12)+COS($Z$89*$Y13)*COS($Z$89*AC13)*COS($Z$89*$C$12))</f>
        <v>-52.287569017946623</v>
      </c>
      <c r="AK13" s="34">
        <f>IF(SIN($Z$89*AC13)&lt;0,ACOS((SIN($Z$89*$Y13)-SIN($Z$89*AJ13)*SIN($Z$89*$C$12))/(COS($Z$89*AJ13)*COS($Z$89*$C$12)))/$Z$89,360-ACOS((SIN($Z$89*$Y13)-SIN($Z$89*AJ13)*SIN($Z$89*$C$12))/(COS($Z$89*AJ13)*COS($Z$89*$C$12)))/$Z$89)</f>
        <v>48.821605685452141</v>
      </c>
      <c r="AL13" s="34">
        <f>$Z$90*ASIN(SIN($Z$89*$Y13)*SIN($Z$89*$C$12)+COS($Z$89*$Y13)*COS($Z$89*AD13)*COS($Z$89*$C$12))</f>
        <v>-39.0701804368274</v>
      </c>
      <c r="AM13" s="34">
        <f>IF(SIN($Z$89*AD13)&lt;0,ACOS((SIN($Z$89*$Y13)-SIN($Z$89*AL13)*SIN($Z$89*$C$12))/(COS($Z$89*AL13)*COS($Z$89*$C$12)))/$Z$89,360-ACOS((SIN($Z$89*$Y13)-SIN($Z$89*AL13)*SIN($Z$89*$C$12))/(COS($Z$89*AL13)*COS($Z$89*$C$12)))/$Z$89)</f>
        <v>72.49120881696544</v>
      </c>
      <c r="AN13" s="34">
        <f>$Z$90*ASIN(SIN($Z$89*$Y13)*SIN($Z$89*$C$12)+COS($Z$89*$Y13)*COS($Z$89*AE13)*COS($Z$89*$C$12))</f>
        <v>-33.218232785309944</v>
      </c>
      <c r="AO13" s="34">
        <f>IF(SIN($Z$89*AE13)&lt;0,ACOS((SIN($Z$89*$Y13)-SIN($Z$89*AN13)*SIN($Z$89*$C$12))/(COS($Z$89*AN13)*COS($Z$89*$C$12)))/$Z$89,360-ACOS((SIN($Z$89*$Y13)-SIN($Z$89*AN13)*SIN($Z$89*$C$12))/(COS($Z$89*AN13)*COS($Z$89*$C$12)))/$Z$89)</f>
        <v>79.890298369741643</v>
      </c>
      <c r="AP13" s="33"/>
    </row>
    <row r="14" spans="1:42" s="1" customFormat="1">
      <c r="A14" s="22"/>
      <c r="B14" s="21"/>
      <c r="C14" s="35"/>
      <c r="D14" s="17"/>
      <c r="E14" s="17"/>
      <c r="F14" s="17"/>
      <c r="G14" s="17"/>
      <c r="H14" s="17"/>
      <c r="I14" s="17"/>
      <c r="J14" s="17"/>
      <c r="K14" s="17"/>
      <c r="L14" s="17"/>
      <c r="M14" s="17"/>
      <c r="N14" s="79"/>
      <c r="O14" s="8" t="str">
        <f t="shared" si="0"/>
        <v/>
      </c>
      <c r="P14" s="100" t="s">
        <v>50</v>
      </c>
      <c r="Q14" s="29">
        <v>2</v>
      </c>
      <c r="R14" s="30">
        <v>0.46111111111111108</v>
      </c>
      <c r="S14" s="30">
        <v>0.47430555555555554</v>
      </c>
      <c r="T14" s="30">
        <v>0.59930555555555554</v>
      </c>
      <c r="U14" s="30">
        <v>0.72361111111111109</v>
      </c>
      <c r="V14" s="30">
        <v>0.73750000000000004</v>
      </c>
      <c r="W14" s="90">
        <v>585.4</v>
      </c>
      <c r="X14" s="91">
        <v>14.797000000000001</v>
      </c>
      <c r="Y14" s="92">
        <v>-16.48</v>
      </c>
      <c r="Z14" s="91">
        <v>2.9460000000000002</v>
      </c>
      <c r="AA14" s="94">
        <f t="shared" si="1"/>
        <v>-4.3450000000000166</v>
      </c>
      <c r="AB14" s="34">
        <f t="shared" si="2"/>
        <v>0.40499999999997982</v>
      </c>
      <c r="AC14" s="34">
        <f t="shared" si="3"/>
        <v>45.405000000000008</v>
      </c>
      <c r="AD14" s="34">
        <f t="shared" si="4"/>
        <v>90.155000000000015</v>
      </c>
      <c r="AE14" s="34">
        <f t="shared" si="5"/>
        <v>95.155000000000001</v>
      </c>
      <c r="AF14" s="34">
        <f>$Z$90*ASIN(SIN($Z$89*$Y14)*SIN($Z$89*$C$12)+COS($Z$89*$Y14)*COS($Z$89*AA14)*COS($Z$89*$C$12))</f>
        <v>26.947885957823583</v>
      </c>
      <c r="AG14" s="34">
        <f>IF(SIN($Z$89*AA14)&lt;0,ACOS((SIN($Z$89*$Y14)-SIN($Z$89*AF14)*SIN($Z$89*$C$12))/(COS($Z$89*AF14)*COS($Z$89*$C$12)))/$Z$89,360-ACOS((SIN($Z$89*$Y14)-SIN($Z$89*AF14)*SIN($Z$89*$C$12))/(COS($Z$89*AF14)*COS($Z$89*$C$12)))/$Z$89)</f>
        <v>175.32528335268518</v>
      </c>
      <c r="AH14" s="34">
        <f>$Z$90*ASIN(SIN($Z$89*$Y14)*SIN($Z$89*$C$12)+COS($Z$89*$Y14)*COS($Z$89*AB14)*COS($Z$89*$C$12))</f>
        <v>27.068937970700684</v>
      </c>
      <c r="AI14" s="34">
        <f>IF(SIN($Z$89*AB14)&lt;0,ACOS((SIN($Z$89*$Y14)-SIN($Z$89*AH14)*SIN($Z$89*$C$12))/(COS($Z$89*AH14)*COS($Z$89*$C$12)))/$Z$89,360-ACOS((SIN($Z$89*$Y14)-SIN($Z$89*AH14)*SIN($Z$89*$C$12))/(COS($Z$89*AH14)*COS($Z$89*$C$12)))/$Z$89)</f>
        <v>180.43613727050453</v>
      </c>
      <c r="AJ14" s="34">
        <f>$Z$90*ASIN(SIN($Z$89*$Y14)*SIN($Z$89*$C$12)+COS($Z$89*$Y14)*COS($Z$89*AC14)*COS($Z$89*$C$12))</f>
        <v>14.966562351924477</v>
      </c>
      <c r="AK14" s="34">
        <f>IF(SIN($Z$89*AC14)&lt;0,ACOS((SIN($Z$89*$Y14)-SIN($Z$89*AJ14)*SIN($Z$89*$C$12))/(COS($Z$89*AJ14)*COS($Z$89*$C$12)))/$Z$89,360-ACOS((SIN($Z$89*$Y14)-SIN($Z$89*AJ14)*SIN($Z$89*$C$12))/(COS($Z$89*AJ14)*COS($Z$89*$C$12)))/$Z$89)</f>
        <v>224.97606212352702</v>
      </c>
      <c r="AL14" s="34">
        <f>$Z$90*ASIN(SIN($Z$89*$Y14)*SIN($Z$89*$C$12)+COS($Z$89*$Y14)*COS($Z$89*AD14)*COS($Z$89*$C$12))</f>
        <v>-11.969530779463252</v>
      </c>
      <c r="AM14" s="34">
        <f>IF(SIN($Z$89*AD14)&lt;0,ACOS((SIN($Z$89*$Y14)-SIN($Z$89*AL14)*SIN($Z$89*$C$12))/(COS($Z$89*AL14)*COS($Z$89*$C$12)))/$Z$89,360-ACOS((SIN($Z$89*$Y14)-SIN($Z$89*AL14)*SIN($Z$89*$C$12))/(COS($Z$89*AL14)*COS($Z$89*$C$12)))/$Z$89)</f>
        <v>258.5873133500595</v>
      </c>
      <c r="AN14" s="34">
        <f>$Z$90*ASIN(SIN($Z$89*$Y14)*SIN($Z$89*$C$12)+COS($Z$89*$Y14)*COS($Z$89*AE14)*COS($Z$89*$C$12))</f>
        <v>-15.364979559598389</v>
      </c>
      <c r="AO14" s="34">
        <f>IF(SIN($Z$89*AE14)&lt;0,ACOS((SIN($Z$89*$Y14)-SIN($Z$89*AN14)*SIN($Z$89*$C$12))/(COS($Z$89*AN14)*COS($Z$89*$C$12)))/$Z$89,360-ACOS((SIN($Z$89*$Y14)-SIN($Z$89*AN14)*SIN($Z$89*$C$12))/(COS($Z$89*AN14)*COS($Z$89*$C$12)))/$Z$89)</f>
        <v>262.07153382751034</v>
      </c>
      <c r="AP14" s="33"/>
    </row>
    <row r="15" spans="1:42" s="1" customFormat="1">
      <c r="A15" s="22"/>
      <c r="B15" s="36"/>
      <c r="C15" s="20"/>
      <c r="D15" s="19"/>
      <c r="E15" s="19"/>
      <c r="F15" s="19"/>
      <c r="G15" s="19"/>
      <c r="H15" s="19"/>
      <c r="I15" s="19"/>
      <c r="J15" s="19"/>
      <c r="K15" s="19"/>
      <c r="L15" s="19"/>
      <c r="M15" s="19"/>
      <c r="N15" s="80"/>
      <c r="O15" s="8" t="str">
        <f t="shared" si="0"/>
        <v/>
      </c>
      <c r="P15" s="100" t="s">
        <v>51</v>
      </c>
      <c r="Q15" s="29">
        <v>1</v>
      </c>
      <c r="R15" s="30">
        <v>0.20347222222222219</v>
      </c>
      <c r="S15" s="30">
        <v>0.22152777777777777</v>
      </c>
      <c r="T15" s="30">
        <v>0.30416666666666664</v>
      </c>
      <c r="U15" s="30">
        <v>0.38680555555555557</v>
      </c>
      <c r="V15" s="30">
        <v>0.4055555555555555</v>
      </c>
      <c r="W15" s="90">
        <v>780.4</v>
      </c>
      <c r="X15" s="91">
        <v>3.024</v>
      </c>
      <c r="Y15" s="92">
        <v>17.47</v>
      </c>
      <c r="Z15" s="91">
        <v>15.185</v>
      </c>
      <c r="AA15" s="94">
        <f t="shared" si="1"/>
        <v>263.08500000000004</v>
      </c>
      <c r="AB15" s="34">
        <f t="shared" si="2"/>
        <v>269.58500000000004</v>
      </c>
      <c r="AC15" s="34">
        <f t="shared" si="3"/>
        <v>299.33500000000004</v>
      </c>
      <c r="AD15" s="34">
        <f t="shared" si="4"/>
        <v>329.08500000000004</v>
      </c>
      <c r="AE15" s="34">
        <f t="shared" si="5"/>
        <v>335.83500000000004</v>
      </c>
      <c r="AF15" s="34">
        <f>$Z$90*ASIN(SIN($Z$89*$Y15)*SIN($Z$89*$C$12)+COS($Z$89*$Y15)*COS($Z$89*AA15)*COS($Z$89*$C$12))</f>
        <v>7.9585110906436984</v>
      </c>
      <c r="AG15" s="34">
        <f>IF(SIN($Z$89*AA15)&lt;0,ACOS((SIN($Z$89*$Y15)-SIN($Z$89*AF15)*SIN($Z$89*$C$12))/(COS($Z$89*AF15)*COS($Z$89*$C$12)))/$Z$89,360-ACOS((SIN($Z$89*$Y15)-SIN($Z$89*AF15)*SIN($Z$89*$C$12))/(COS($Z$89*AF15)*COS($Z$89*$C$12)))/$Z$89)</f>
        <v>72.968657125542521</v>
      </c>
      <c r="AH15" s="34">
        <f>$Z$90*ASIN(SIN($Z$89*$Y15)*SIN($Z$89*$C$12)+COS($Z$89*$Y15)*COS($Z$89*AB15)*COS($Z$89*$C$12))</f>
        <v>12.287746043646555</v>
      </c>
      <c r="AI15" s="34">
        <f>IF(SIN($Z$89*AB15)&lt;0,ACOS((SIN($Z$89*$Y15)-SIN($Z$89*AH15)*SIN($Z$89*$C$12))/(COS($Z$89*AH15)*COS($Z$89*$C$12)))/$Z$89,360-ACOS((SIN($Z$89*$Y15)-SIN($Z$89*AH15)*SIN($Z$89*$C$12))/(COS($Z$89*AH15)*COS($Z$89*$C$12)))/$Z$89)</f>
        <v>77.478099705094962</v>
      </c>
      <c r="AJ15" s="34">
        <f>$Z$90*ASIN(SIN($Z$89*$Y15)*SIN($Z$89*$C$12)+COS($Z$89*$Y15)*COS($Z$89*AC15)*COS($Z$89*$C$12))</f>
        <v>32.653511541850357</v>
      </c>
      <c r="AK15" s="34">
        <f>IF(SIN($Z$89*AC15)&lt;0,ACOS((SIN($Z$89*$Y15)-SIN($Z$89*AJ15)*SIN($Z$89*$C$12))/(COS($Z$89*AJ15)*COS($Z$89*$C$12)))/$Z$89,360-ACOS((SIN($Z$89*$Y15)-SIN($Z$89*AJ15)*SIN($Z$89*$C$12))/(COS($Z$89*AJ15)*COS($Z$89*$C$12)))/$Z$89)</f>
        <v>99.010403403803068</v>
      </c>
      <c r="AL15" s="34">
        <f>$Z$90*ASIN(SIN($Z$89*$Y15)*SIN($Z$89*$C$12)+COS($Z$89*$Y15)*COS($Z$89*AD15)*COS($Z$89*$C$12))</f>
        <v>51.390748957126824</v>
      </c>
      <c r="AM15" s="34">
        <f>IF(SIN($Z$89*AD15)&lt;0,ACOS((SIN($Z$89*$Y15)-SIN($Z$89*AL15)*SIN($Z$89*$C$12))/(COS($Z$89*AL15)*COS($Z$89*$C$12)))/$Z$89,360-ACOS((SIN($Z$89*$Y15)-SIN($Z$89*AL15)*SIN($Z$89*$C$12))/(COS($Z$89*AL15)*COS($Z$89*$C$12)))/$Z$89)</f>
        <v>128.24618083155701</v>
      </c>
      <c r="AN15" s="34">
        <f>$Z$90*ASIN(SIN($Z$89*$Y15)*SIN($Z$89*$C$12)+COS($Z$89*$Y15)*COS($Z$89*AE15)*COS($Z$89*$C$12))</f>
        <v>54.805282777416927</v>
      </c>
      <c r="AO15" s="34">
        <f>IF(SIN($Z$89*AE15)&lt;0,ACOS((SIN($Z$89*$Y15)-SIN($Z$89*AN15)*SIN($Z$89*$C$12))/(COS($Z$89*AN15)*COS($Z$89*$C$12)))/$Z$89,360-ACOS((SIN($Z$89*$Y15)-SIN($Z$89*AN15)*SIN($Z$89*$C$12))/(COS($Z$89*AN15)*COS($Z$89*$C$12)))/$Z$89)</f>
        <v>137.35118776600731</v>
      </c>
      <c r="AP15" s="33"/>
    </row>
    <row r="16" spans="1:42" s="1" customFormat="1" ht="16" customHeight="1">
      <c r="A16" s="22"/>
      <c r="B16" s="122" t="s">
        <v>14</v>
      </c>
      <c r="C16" s="122"/>
      <c r="D16" s="122"/>
      <c r="E16" s="58"/>
      <c r="F16" s="58"/>
      <c r="G16" s="58"/>
      <c r="H16" s="58"/>
      <c r="I16" s="58"/>
      <c r="J16" s="58"/>
      <c r="K16" s="58"/>
      <c r="L16" s="58"/>
      <c r="M16" s="58"/>
      <c r="N16" s="81"/>
      <c r="O16" s="8" t="str">
        <f t="shared" si="0"/>
        <v/>
      </c>
      <c r="P16" s="100" t="s">
        <v>52</v>
      </c>
      <c r="Q16" s="29">
        <v>3</v>
      </c>
      <c r="R16" s="30">
        <v>0.86041666666666661</v>
      </c>
      <c r="S16" s="30">
        <v>0.87152777777777779</v>
      </c>
      <c r="T16" s="30">
        <v>1.5972222222222224E-2</v>
      </c>
      <c r="U16" s="30">
        <v>0.16041666666666668</v>
      </c>
      <c r="V16" s="30">
        <v>0.17152777777777775</v>
      </c>
      <c r="W16" s="90">
        <v>384.6</v>
      </c>
      <c r="X16" s="91">
        <v>2.883</v>
      </c>
      <c r="Y16" s="92">
        <v>16.86</v>
      </c>
      <c r="Z16" s="91">
        <v>15.038</v>
      </c>
      <c r="AA16" s="94">
        <f t="shared" si="1"/>
        <v>499.49499999999989</v>
      </c>
      <c r="AB16" s="34">
        <f t="shared" si="2"/>
        <v>503.49499999999989</v>
      </c>
      <c r="AC16" s="34">
        <f t="shared" si="3"/>
        <v>195.495</v>
      </c>
      <c r="AD16" s="34">
        <f t="shared" si="4"/>
        <v>247.49500000000003</v>
      </c>
      <c r="AE16" s="34">
        <f t="shared" si="5"/>
        <v>251.495</v>
      </c>
      <c r="AF16" s="34">
        <f>$Z$90*ASIN(SIN($Z$89*$Y16)*SIN($Z$89*$C$12)+COS($Z$89*$Y16)*COS($Z$89*AA16)*COS($Z$89*$C$12))</f>
        <v>-16.926462614637302</v>
      </c>
      <c r="AG16" s="34">
        <f>IF(SIN($Z$89*AA16)&lt;0,ACOS((SIN($Z$89*$Y16)-SIN($Z$89*AF16)*SIN($Z$89*$C$12))/(COS($Z$89*AF16)*COS($Z$89*$C$12)))/$Z$89,360-ACOS((SIN($Z$89*$Y16)-SIN($Z$89*AF16)*SIN($Z$89*$C$12))/(COS($Z$89*AF16)*COS($Z$89*$C$12)))/$Z$89)</f>
        <v>319.47775266674239</v>
      </c>
      <c r="AH16" s="34">
        <f>$Z$90*ASIN(SIN($Z$89*$Y16)*SIN($Z$89*$C$12)+COS($Z$89*$Y16)*COS($Z$89*AB16)*COS($Z$89*$C$12))</f>
        <v>-18.650680629200121</v>
      </c>
      <c r="AI16" s="34">
        <f>IF(SIN($Z$89*AB16)&lt;0,ACOS((SIN($Z$89*$Y16)-SIN($Z$89*AH16)*SIN($Z$89*$C$12))/(COS($Z$89*AH16)*COS($Z$89*$C$12)))/$Z$89,360-ACOS((SIN($Z$89*$Y16)-SIN($Z$89*AH16)*SIN($Z$89*$C$12))/(COS($Z$89*AH16)*COS($Z$89*$C$12)))/$Z$89)</f>
        <v>323.06728523273546</v>
      </c>
      <c r="AJ16" s="34">
        <f>$Z$90*ASIN(SIN($Z$89*$Y16)*SIN($Z$89*$C$12)+COS($Z$89*$Y16)*COS($Z$89*AC16)*COS($Z$89*$C$12))</f>
        <v>-25.163157527467504</v>
      </c>
      <c r="AK16" s="34">
        <f>IF(SIN($Z$89*AC16)&lt;0,ACOS((SIN($Z$89*$Y16)-SIN($Z$89*AJ16)*SIN($Z$89*$C$12))/(COS($Z$89*AJ16)*COS($Z$89*$C$12)))/$Z$89,360-ACOS((SIN($Z$89*$Y16)-SIN($Z$89*AJ16)*SIN($Z$89*$C$12))/(COS($Z$89*AJ16)*COS($Z$89*$C$12)))/$Z$89)</f>
        <v>16.408154065407572</v>
      </c>
      <c r="AL16" s="34">
        <f>$Z$90*ASIN(SIN($Z$89*$Y16)*SIN($Z$89*$C$12)+COS($Z$89*$Y16)*COS($Z$89*AD16)*COS($Z$89*$C$12))</f>
        <v>-2.4171612401300298</v>
      </c>
      <c r="AM16" s="34">
        <f>IF(SIN($Z$89*AD16)&lt;0,ACOS((SIN($Z$89*$Y16)-SIN($Z$89*AL16)*SIN($Z$89*$C$12))/(COS($Z$89*AL16)*COS($Z$89*$C$12)))/$Z$89,360-ACOS((SIN($Z$89*$Y16)-SIN($Z$89*AL16)*SIN($Z$89*$C$12))/(COS($Z$89*AL16)*COS($Z$89*$C$12)))/$Z$89)</f>
        <v>62.242068638922397</v>
      </c>
      <c r="AN16" s="34">
        <f>$Z$90*ASIN(SIN($Z$89*$Y16)*SIN($Z$89*$C$12)+COS($Z$89*$Y16)*COS($Z$89*AE16)*COS($Z$89*$C$12))</f>
        <v>5.3435464218210681E-2</v>
      </c>
      <c r="AO16" s="34">
        <f>IF(SIN($Z$89*AE16)&lt;0,ACOS((SIN($Z$89*$Y16)-SIN($Z$89*AN16)*SIN($Z$89*$C$12))/(COS($Z$89*AN16)*COS($Z$89*$C$12)))/$Z$89,360-ACOS((SIN($Z$89*$Y16)-SIN($Z$89*AN16)*SIN($Z$89*$C$12))/(COS($Z$89*AN16)*COS($Z$89*$C$12)))/$Z$89)</f>
        <v>65.166910709339135</v>
      </c>
      <c r="AP16" s="33"/>
    </row>
    <row r="17" spans="1:42" s="1" customFormat="1" ht="16" customHeight="1">
      <c r="A17" s="22"/>
      <c r="B17" s="64" t="s">
        <v>15</v>
      </c>
      <c r="C17" s="65" t="s">
        <v>16</v>
      </c>
      <c r="D17" s="66" t="s">
        <v>17</v>
      </c>
      <c r="E17" s="31"/>
      <c r="F17" s="31"/>
      <c r="G17" s="31"/>
      <c r="H17" s="31"/>
      <c r="I17" s="31"/>
      <c r="J17" s="31"/>
      <c r="K17" s="31"/>
      <c r="L17" s="31"/>
      <c r="M17" s="31"/>
      <c r="N17" s="82"/>
      <c r="O17" s="8" t="str">
        <f t="shared" si="0"/>
        <v/>
      </c>
      <c r="P17" s="100" t="s">
        <v>53</v>
      </c>
      <c r="Q17" s="29">
        <v>4</v>
      </c>
      <c r="R17" s="30">
        <v>0.94236111111111109</v>
      </c>
      <c r="S17" s="30">
        <v>0.95972222222222225</v>
      </c>
      <c r="T17" s="30">
        <v>5.4166666666666669E-2</v>
      </c>
      <c r="U17" s="30">
        <v>0.14791666666666667</v>
      </c>
      <c r="V17" s="30">
        <v>0.16527777777777777</v>
      </c>
      <c r="W17" s="90">
        <v>760.3</v>
      </c>
      <c r="X17" s="91">
        <v>15.09</v>
      </c>
      <c r="Y17" s="92">
        <v>-17.739999999999998</v>
      </c>
      <c r="Z17" s="91">
        <v>3.2410000000000001</v>
      </c>
      <c r="AA17" s="94">
        <f t="shared" si="1"/>
        <v>168.935</v>
      </c>
      <c r="AB17" s="34">
        <f t="shared" si="2"/>
        <v>175.185</v>
      </c>
      <c r="AC17" s="34">
        <f t="shared" si="3"/>
        <v>-150.815</v>
      </c>
      <c r="AD17" s="34">
        <f t="shared" si="4"/>
        <v>-117.06499999999998</v>
      </c>
      <c r="AE17" s="34">
        <f t="shared" si="5"/>
        <v>-110.815</v>
      </c>
      <c r="AF17" s="34">
        <f>$Z$90*ASIN(SIN($Z$89*$Y17)*SIN($Z$89*$C$12)+COS($Z$89*$Y17)*COS($Z$89*AA17)*COS($Z$89*$C$12))</f>
        <v>-59.867084031637255</v>
      </c>
      <c r="AG17" s="34">
        <f>IF(SIN($Z$89*AA17)&lt;0,ACOS((SIN($Z$89*$Y17)-SIN($Z$89*AF17)*SIN($Z$89*$C$12))/(COS($Z$89*AF17)*COS($Z$89*$C$12)))/$Z$89,360-ACOS((SIN($Z$89*$Y17)-SIN($Z$89*AF17)*SIN($Z$89*$C$12))/(COS($Z$89*AF17)*COS($Z$89*$C$12)))/$Z$89)</f>
        <v>338.64590832905134</v>
      </c>
      <c r="AH17" s="34">
        <f>$Z$90*ASIN(SIN($Z$89*$Y17)*SIN($Z$89*$C$12)+COS($Z$89*$Y17)*COS($Z$89*AB17)*COS($Z$89*$C$12))</f>
        <v>-61.014983785993195</v>
      </c>
      <c r="AI17" s="34">
        <f>IF(SIN($Z$89*AB17)&lt;0,ACOS((SIN($Z$89*$Y17)-SIN($Z$89*AH17)*SIN($Z$89*$C$12))/(COS($Z$89*AH17)*COS($Z$89*$C$12)))/$Z$89,360-ACOS((SIN($Z$89*$Y17)-SIN($Z$89*AH17)*SIN($Z$89*$C$12))/(COS($Z$89*AH17)*COS($Z$89*$C$12)))/$Z$89)</f>
        <v>350.50378374617395</v>
      </c>
      <c r="AJ17" s="34">
        <f>$Z$90*ASIN(SIN($Z$89*$Y17)*SIN($Z$89*$C$12)+COS($Z$89*$Y17)*COS($Z$89*AC17)*COS($Z$89*$C$12))</f>
        <v>-52.537761918684346</v>
      </c>
      <c r="AK17" s="34">
        <f>IF(SIN($Z$89*AC17)&lt;0,ACOS((SIN($Z$89*$Y17)-SIN($Z$89*AJ17)*SIN($Z$89*$C$12))/(COS($Z$89*AJ17)*COS($Z$89*$C$12)))/$Z$89,360-ACOS((SIN($Z$89*$Y17)-SIN($Z$89*AJ17)*SIN($Z$89*$C$12))/(COS($Z$89*AJ17)*COS($Z$89*$C$12)))/$Z$89)</f>
        <v>49.781566792953818</v>
      </c>
      <c r="AL17" s="34">
        <f>$Z$90*ASIN(SIN($Z$89*$Y17)*SIN($Z$89*$C$12)+COS($Z$89*$Y17)*COS($Z$89*AD17)*COS($Z$89*$C$12))</f>
        <v>-31.293369554484794</v>
      </c>
      <c r="AM17" s="34">
        <f>IF(SIN($Z$89*AD17)&lt;0,ACOS((SIN($Z$89*$Y17)-SIN($Z$89*AL17)*SIN($Z$89*$C$12))/(COS($Z$89*AL17)*COS($Z$89*$C$12)))/$Z$89,360-ACOS((SIN($Z$89*$Y17)-SIN($Z$89*AL17)*SIN($Z$89*$C$12))/(COS($Z$89*AL17)*COS($Z$89*$C$12)))/$Z$89)</f>
        <v>82.998727025102454</v>
      </c>
      <c r="AN17" s="34">
        <f>$Z$90*ASIN(SIN($Z$89*$Y17)*SIN($Z$89*$C$12)+COS($Z$89*$Y17)*COS($Z$89*AE17)*COS($Z$89*$C$12))</f>
        <v>-27.002399548143835</v>
      </c>
      <c r="AO17" s="34">
        <f>IF(SIN($Z$89*AE17)&lt;0,ACOS((SIN($Z$89*$Y17)-SIN($Z$89*AN17)*SIN($Z$89*$C$12))/(COS($Z$89*AN17)*COS($Z$89*$C$12)))/$Z$89,360-ACOS((SIN($Z$89*$Y17)-SIN($Z$89*AN17)*SIN($Z$89*$C$12))/(COS($Z$89*AN17)*COS($Z$89*$C$12)))/$Z$89)</f>
        <v>87.724926892928735</v>
      </c>
      <c r="AP17" s="33"/>
    </row>
    <row r="18" spans="1:42" s="1" customFormat="1" ht="16" customHeight="1">
      <c r="A18" s="22"/>
      <c r="B18" s="23" t="s">
        <v>18</v>
      </c>
      <c r="C18" s="24">
        <v>46.45</v>
      </c>
      <c r="D18" s="24">
        <v>7.42</v>
      </c>
      <c r="E18" s="32"/>
      <c r="F18" s="32"/>
      <c r="G18" s="32"/>
      <c r="H18" s="32"/>
      <c r="I18" s="32"/>
      <c r="J18" s="32"/>
      <c r="K18" s="32"/>
      <c r="L18" s="32"/>
      <c r="M18" s="32"/>
      <c r="N18" s="83"/>
      <c r="O18" s="8" t="str">
        <f t="shared" si="0"/>
        <v/>
      </c>
      <c r="P18" s="100" t="s">
        <v>54</v>
      </c>
      <c r="Q18" s="29">
        <v>2</v>
      </c>
      <c r="R18" s="30">
        <v>0.48333333333333334</v>
      </c>
      <c r="S18" s="30">
        <v>0.49861111111111112</v>
      </c>
      <c r="T18" s="30">
        <v>0.60763888888888895</v>
      </c>
      <c r="U18" s="30">
        <v>0.71736111111111101</v>
      </c>
      <c r="V18" s="30">
        <v>0.73263888888888884</v>
      </c>
      <c r="W18" s="90">
        <v>684.5</v>
      </c>
      <c r="X18" s="91">
        <v>14.928000000000001</v>
      </c>
      <c r="Y18" s="92">
        <v>-17.04</v>
      </c>
      <c r="Z18" s="91">
        <v>3.0840000000000001</v>
      </c>
      <c r="AA18" s="94">
        <f t="shared" si="1"/>
        <v>3.7599999999999767</v>
      </c>
      <c r="AB18" s="34">
        <f t="shared" si="2"/>
        <v>9.2599999999999838</v>
      </c>
      <c r="AC18" s="34">
        <f t="shared" si="3"/>
        <v>48.509999999999962</v>
      </c>
      <c r="AD18" s="34">
        <f t="shared" si="4"/>
        <v>88.009999999999962</v>
      </c>
      <c r="AE18" s="34">
        <f t="shared" si="5"/>
        <v>93.509999999999962</v>
      </c>
      <c r="AF18" s="34">
        <f>$Z$90*ASIN(SIN($Z$89*$Y18)*SIN($Z$89*$C$12)+COS($Z$89*$Y18)*COS($Z$89*AA18)*COS($Z$89*$C$12))</f>
        <v>26.419247791269214</v>
      </c>
      <c r="AG18" s="34">
        <f>IF(SIN($Z$89*AA18)&lt;0,ACOS((SIN($Z$89*$Y18)-SIN($Z$89*AF18)*SIN($Z$89*$C$12))/(COS($Z$89*AF18)*COS($Z$89*$C$12)))/$Z$89,360-ACOS((SIN($Z$89*$Y18)-SIN($Z$89*AF18)*SIN($Z$89*$C$12))/(COS($Z$89*AF18)*COS($Z$89*$C$12)))/$Z$89)</f>
        <v>184.01457132937682</v>
      </c>
      <c r="AH18" s="34">
        <f>$Z$90*ASIN(SIN($Z$89*$Y18)*SIN($Z$89*$C$12)+COS($Z$89*$Y18)*COS($Z$89*AB18)*COS($Z$89*$C$12))</f>
        <v>25.961651804409399</v>
      </c>
      <c r="AI18" s="34">
        <f>IF(SIN($Z$89*AB18)&lt;0,ACOS((SIN($Z$89*$Y18)-SIN($Z$89*AH18)*SIN($Z$89*$C$12))/(COS($Z$89*AH18)*COS($Z$89*$C$12)))/$Z$89,360-ACOS((SIN($Z$89*$Y18)-SIN($Z$89*AH18)*SIN($Z$89*$C$12))/(COS($Z$89*AH18)*COS($Z$89*$C$12)))/$Z$89)</f>
        <v>189.85287484787682</v>
      </c>
      <c r="AJ18" s="34">
        <f>$Z$90*ASIN(SIN($Z$89*$Y18)*SIN($Z$89*$C$12)+COS($Z$89*$Y18)*COS($Z$89*AC18)*COS($Z$89*$C$12))</f>
        <v>12.945366632353009</v>
      </c>
      <c r="AK18" s="34">
        <f>IF(SIN($Z$89*AC18)&lt;0,ACOS((SIN($Z$89*$Y18)-SIN($Z$89*AJ18)*SIN($Z$89*$C$12))/(COS($Z$89*AJ18)*COS($Z$89*$C$12)))/$Z$89,360-ACOS((SIN($Z$89*$Y18)-SIN($Z$89*AJ18)*SIN($Z$89*$C$12))/(COS($Z$89*AJ18)*COS($Z$89*$C$12)))/$Z$89)</f>
        <v>227.29578165709711</v>
      </c>
      <c r="AL18" s="34">
        <f>$Z$90*ASIN(SIN($Z$89*$Y18)*SIN($Z$89*$C$12)+COS($Z$89*$Y18)*COS($Z$89*AD18)*COS($Z$89*$C$12))</f>
        <v>-10.924319841929172</v>
      </c>
      <c r="AM18" s="34">
        <f>IF(SIN($Z$89*AD18)&lt;0,ACOS((SIN($Z$89*$Y18)-SIN($Z$89*AL18)*SIN($Z$89*$C$12))/(COS($Z$89*AL18)*COS($Z$89*$C$12)))/$Z$89,360-ACOS((SIN($Z$89*$Y18)-SIN($Z$89*AL18)*SIN($Z$89*$C$12))/(COS($Z$89*AL18)*COS($Z$89*$C$12)))/$Z$89)</f>
        <v>256.69505754592694</v>
      </c>
      <c r="AN18" s="34">
        <f>$Z$90*ASIN(SIN($Z$89*$Y18)*SIN($Z$89*$C$12)+COS($Z$89*$Y18)*COS($Z$89*AE18)*COS($Z$89*$C$12))</f>
        <v>-14.638348403350509</v>
      </c>
      <c r="AO18" s="34">
        <f>IF(SIN($Z$89*AE18)&lt;0,ACOS((SIN($Z$89*$Y18)-SIN($Z$89*AN18)*SIN($Z$89*$C$12))/(COS($Z$89*AN18)*COS($Z$89*$C$12)))/$Z$89,360-ACOS((SIN($Z$89*$Y18)-SIN($Z$89*AN18)*SIN($Z$89*$C$12))/(COS($Z$89*AN18)*COS($Z$89*$C$12)))/$Z$89)</f>
        <v>260.51288122433766</v>
      </c>
      <c r="AP18" s="33"/>
    </row>
    <row r="19" spans="1:42" s="1" customFormat="1" ht="16" customHeight="1">
      <c r="A19" s="22"/>
      <c r="B19" s="23" t="s">
        <v>40</v>
      </c>
      <c r="C19" s="24">
        <v>51.493400000000001</v>
      </c>
      <c r="D19" s="24">
        <v>9.7999999999999997E-3</v>
      </c>
      <c r="E19" s="32"/>
      <c r="F19" s="32"/>
      <c r="G19" s="32"/>
      <c r="H19" s="32"/>
      <c r="I19" s="32"/>
      <c r="J19" s="32"/>
      <c r="K19" s="32"/>
      <c r="L19" s="32"/>
      <c r="M19" s="32"/>
      <c r="N19" s="83"/>
      <c r="O19" s="8" t="str">
        <f t="shared" si="0"/>
        <v/>
      </c>
      <c r="P19" s="100" t="s">
        <v>55</v>
      </c>
      <c r="Q19" s="29">
        <v>1</v>
      </c>
      <c r="R19" s="30">
        <v>0.4201388888888889</v>
      </c>
      <c r="S19" s="30">
        <v>0.44513888888888892</v>
      </c>
      <c r="T19" s="30">
        <v>0.5</v>
      </c>
      <c r="U19" s="30">
        <v>0.55486111111111114</v>
      </c>
      <c r="V19" s="30">
        <v>0.57916666666666672</v>
      </c>
      <c r="W19" s="90">
        <v>858.1</v>
      </c>
      <c r="X19" s="91">
        <v>3.177</v>
      </c>
      <c r="Y19" s="92">
        <v>18.079999999999998</v>
      </c>
      <c r="Z19" s="91">
        <v>15.334</v>
      </c>
      <c r="AA19" s="94">
        <f t="shared" si="1"/>
        <v>341.02499999999998</v>
      </c>
      <c r="AB19" s="34">
        <f t="shared" si="2"/>
        <v>350.02500000000003</v>
      </c>
      <c r="AC19" s="34">
        <f t="shared" si="3"/>
        <v>369.77500000000003</v>
      </c>
      <c r="AD19" s="34">
        <f t="shared" si="4"/>
        <v>389.52500000000003</v>
      </c>
      <c r="AE19" s="34">
        <f t="shared" si="5"/>
        <v>398.27499999999998</v>
      </c>
      <c r="AF19" s="34">
        <f>$Z$90*ASIN(SIN($Z$89*$Y19)*SIN($Z$89*$C$12)+COS($Z$89*$Y19)*COS($Z$89*AA19)*COS($Z$89*$C$12))</f>
        <v>57.597750094784793</v>
      </c>
      <c r="AG19" s="34">
        <f>IF(SIN($Z$89*AA19)&lt;0,ACOS((SIN($Z$89*$Y19)-SIN($Z$89*AF19)*SIN($Z$89*$C$12))/(COS($Z$89*AF19)*COS($Z$89*$C$12)))/$Z$89,360-ACOS((SIN($Z$89*$Y19)-SIN($Z$89*AF19)*SIN($Z$89*$C$12))/(COS($Z$89*AF19)*COS($Z$89*$C$12)))/$Z$89)</f>
        <v>144.77202881779115</v>
      </c>
      <c r="AH19" s="34">
        <f>$Z$90*ASIN(SIN($Z$89*$Y19)*SIN($Z$89*$C$12)+COS($Z$89*$Y19)*COS($Z$89*AB19)*COS($Z$89*$C$12))</f>
        <v>60.45824647119624</v>
      </c>
      <c r="AI19" s="34">
        <f>IF(SIN($Z$89*AB19)&lt;0,ACOS((SIN($Z$89*$Y19)-SIN($Z$89*AH19)*SIN($Z$89*$C$12))/(COS($Z$89*AH19)*COS($Z$89*$C$12)))/$Z$89,360-ACOS((SIN($Z$89*$Y19)-SIN($Z$89*AH19)*SIN($Z$89*$C$12))/(COS($Z$89*AH19)*COS($Z$89*$C$12)))/$Z$89)</f>
        <v>160.49018628612924</v>
      </c>
      <c r="AJ19" s="34">
        <f>$Z$90*ASIN(SIN($Z$89*$Y19)*SIN($Z$89*$C$12)+COS($Z$89*$Y19)*COS($Z$89*AC19)*COS($Z$89*$C$12))</f>
        <v>60.503841698373549</v>
      </c>
      <c r="AK19" s="34">
        <f>IF(SIN($Z$89*AC19)&lt;0,ACOS((SIN($Z$89*$Y19)-SIN($Z$89*AJ19)*SIN($Z$89*$C$12))/(COS($Z$89*AJ19)*COS($Z$89*$C$12)))/$Z$89,360-ACOS((SIN($Z$89*$Y19)-SIN($Z$89*AJ19)*SIN($Z$89*$C$12))/(COS($Z$89*AJ19)*COS($Z$89*$C$12)))/$Z$89)</f>
        <v>199.1351991513335</v>
      </c>
      <c r="AL19" s="34">
        <f>$Z$90*ASIN(SIN($Z$89*$Y19)*SIN($Z$89*$C$12)+COS($Z$89*$Y19)*COS($Z$89*AD19)*COS($Z$89*$C$12))</f>
        <v>52.640508561959855</v>
      </c>
      <c r="AM19" s="34">
        <f>IF(SIN($Z$89*AD19)&lt;0,ACOS((SIN($Z$89*$Y19)-SIN($Z$89*AL19)*SIN($Z$89*$C$12))/(COS($Z$89*AL19)*COS($Z$89*$C$12)))/$Z$89,360-ACOS((SIN($Z$89*$Y19)-SIN($Z$89*AL19)*SIN($Z$89*$C$12))/(COS($Z$89*AL19)*COS($Z$89*$C$12)))/$Z$89)</f>
        <v>230.53535109646654</v>
      </c>
      <c r="AN19" s="34">
        <f>$Z$90*ASIN(SIN($Z$89*$Y19)*SIN($Z$89*$C$12)+COS($Z$89*$Y19)*COS($Z$89*AE19)*COS($Z$89*$C$12))</f>
        <v>47.655654556322922</v>
      </c>
      <c r="AO19" s="34">
        <f>IF(SIN($Z$89*AE19)&lt;0,ACOS((SIN($Z$89*$Y19)-SIN($Z$89*AN19)*SIN($Z$89*$C$12))/(COS($Z$89*AN19)*COS($Z$89*$C$12)))/$Z$89,360-ACOS((SIN($Z$89*$Y19)-SIN($Z$89*AN19)*SIN($Z$89*$C$12))/(COS($Z$89*AN19)*COS($Z$89*$C$12)))/$Z$89)</f>
        <v>240.95105373417073</v>
      </c>
      <c r="AP19" s="33"/>
    </row>
    <row r="20" spans="1:42" s="1" customFormat="1">
      <c r="A20" s="22"/>
      <c r="B20" s="23"/>
      <c r="C20" s="24"/>
      <c r="D20" s="24"/>
      <c r="E20" s="32"/>
      <c r="F20" s="32"/>
      <c r="G20" s="32"/>
      <c r="H20" s="32"/>
      <c r="I20" s="32"/>
      <c r="J20" s="32"/>
      <c r="K20" s="32"/>
      <c r="L20" s="32"/>
      <c r="M20" s="32"/>
      <c r="N20" s="83"/>
      <c r="O20" s="8" t="str">
        <f t="shared" si="0"/>
        <v/>
      </c>
      <c r="P20" s="100" t="s">
        <v>56</v>
      </c>
      <c r="Q20" s="29">
        <v>3</v>
      </c>
      <c r="R20" s="30">
        <v>5.9722222222222225E-2</v>
      </c>
      <c r="S20" s="30">
        <v>7.0833333333333331E-2</v>
      </c>
      <c r="T20" s="30">
        <v>0.22152777777777777</v>
      </c>
      <c r="U20" s="30">
        <v>0.37222222222222223</v>
      </c>
      <c r="V20" s="30">
        <v>0.38263888888888892</v>
      </c>
      <c r="W20" s="90">
        <v>295.89999999999998</v>
      </c>
      <c r="X20" s="91">
        <v>3.036</v>
      </c>
      <c r="Y20" s="92">
        <v>17.5</v>
      </c>
      <c r="Z20" s="91">
        <v>15.189</v>
      </c>
      <c r="AA20" s="94">
        <f t="shared" si="1"/>
        <v>211.215</v>
      </c>
      <c r="AB20" s="34">
        <f t="shared" si="2"/>
        <v>215.21499999999997</v>
      </c>
      <c r="AC20" s="34">
        <f t="shared" si="3"/>
        <v>269.46499999999997</v>
      </c>
      <c r="AD20" s="34">
        <f t="shared" si="4"/>
        <v>323.71499999999997</v>
      </c>
      <c r="AE20" s="34">
        <f t="shared" si="5"/>
        <v>327.46499999999997</v>
      </c>
      <c r="AF20" s="34">
        <f>$Z$90*ASIN(SIN($Z$89*$Y20)*SIN($Z$89*$C$12)+COS($Z$89*$Y20)*COS($Z$89*AA20)*COS($Z$89*$C$12))</f>
        <v>-20.122363177246022</v>
      </c>
      <c r="AG20" s="34">
        <f>IF(SIN($Z$89*AA20)&lt;0,ACOS((SIN($Z$89*$Y20)-SIN($Z$89*AF20)*SIN($Z$89*$C$12))/(COS($Z$89*AF20)*COS($Z$89*$C$12)))/$Z$89,360-ACOS((SIN($Z$89*$Y20)-SIN($Z$89*AF20)*SIN($Z$89*$C$12))/(COS($Z$89*AF20)*COS($Z$89*$C$12)))/$Z$89)</f>
        <v>31.762260284784322</v>
      </c>
      <c r="AH20" s="34">
        <f>$Z$90*ASIN(SIN($Z$89*$Y20)*SIN($Z$89*$C$12)+COS($Z$89*$Y20)*COS($Z$89*AB20)*COS($Z$89*$C$12))</f>
        <v>-18.596551252272036</v>
      </c>
      <c r="AI20" s="34">
        <f>IF(SIN($Z$89*AB20)&lt;0,ACOS((SIN($Z$89*$Y20)-SIN($Z$89*AH20)*SIN($Z$89*$C$12))/(COS($Z$89*AH20)*COS($Z$89*$C$12)))/$Z$89,360-ACOS((SIN($Z$89*$Y20)-SIN($Z$89*AH20)*SIN($Z$89*$C$12))/(COS($Z$89*AH20)*COS($Z$89*$C$12)))/$Z$89)</f>
        <v>35.468389489352361</v>
      </c>
      <c r="AJ20" s="34">
        <f>$Z$90*ASIN(SIN($Z$89*$Y20)*SIN($Z$89*$C$12)+COS($Z$89*$Y20)*COS($Z$89*AC20)*COS($Z$89*$C$12))</f>
        <v>12.228325747883869</v>
      </c>
      <c r="AK20" s="34">
        <f>IF(SIN($Z$89*AC20)&lt;0,ACOS((SIN($Z$89*$Y20)-SIN($Z$89*AJ20)*SIN($Z$89*$C$12))/(COS($Z$89*AJ20)*COS($Z$89*$C$12)))/$Z$89,360-ACOS((SIN($Z$89*$Y20)-SIN($Z$89*AJ20)*SIN($Z$89*$C$12))/(COS($Z$89*AJ20)*COS($Z$89*$C$12)))/$Z$89)</f>
        <v>77.373393008124026</v>
      </c>
      <c r="AL20" s="34">
        <f>$Z$90*ASIN(SIN($Z$89*$Y20)*SIN($Z$89*$C$12)+COS($Z$89*$Y20)*COS($Z$89*AD20)*COS($Z$89*$C$12))</f>
        <v>48.38463038208873</v>
      </c>
      <c r="AM20" s="34">
        <f>IF(SIN($Z$89*AD20)&lt;0,ACOS((SIN($Z$89*$Y20)-SIN($Z$89*AL20)*SIN($Z$89*$C$12))/(COS($Z$89*AL20)*COS($Z$89*$C$12)))/$Z$89,360-ACOS((SIN($Z$89*$Y20)-SIN($Z$89*AL20)*SIN($Z$89*$C$12))/(COS($Z$89*AL20)*COS($Z$89*$C$12)))/$Z$89)</f>
        <v>121.80405088802056</v>
      </c>
      <c r="AN20" s="34">
        <f>$Z$90*ASIN(SIN($Z$89*$Y20)*SIN($Z$89*$C$12)+COS($Z$89*$Y20)*COS($Z$89*AE20)*COS($Z$89*$C$12))</f>
        <v>50.526560728858236</v>
      </c>
      <c r="AO20" s="34">
        <f>IF(SIN($Z$89*AE20)&lt;0,ACOS((SIN($Z$89*$Y20)-SIN($Z$89*AN20)*SIN($Z$89*$C$12))/(COS($Z$89*AN20)*COS($Z$89*$C$12)))/$Z$89,360-ACOS((SIN($Z$89*$Y20)-SIN($Z$89*AN20)*SIN($Z$89*$C$12))/(COS($Z$89*AN20)*COS($Z$89*$C$12)))/$Z$89)</f>
        <v>126.21192706283315</v>
      </c>
      <c r="AP20" s="33"/>
    </row>
    <row r="21" spans="1:42" s="1" customFormat="1">
      <c r="A21" s="22"/>
      <c r="B21" s="23"/>
      <c r="C21" s="24"/>
      <c r="D21" s="24"/>
      <c r="E21" s="32"/>
      <c r="F21" s="32"/>
      <c r="G21" s="32"/>
      <c r="H21" s="32"/>
      <c r="I21" s="32"/>
      <c r="J21" s="32"/>
      <c r="K21" s="32"/>
      <c r="L21" s="32"/>
      <c r="M21" s="32"/>
      <c r="N21" s="83"/>
      <c r="O21" s="8" t="str">
        <f t="shared" si="0"/>
        <v/>
      </c>
      <c r="P21" s="100" t="s">
        <v>57</v>
      </c>
      <c r="Q21" s="29">
        <v>4</v>
      </c>
      <c r="R21" s="30">
        <v>0.93541666666666667</v>
      </c>
      <c r="S21" s="30">
        <v>0.95</v>
      </c>
      <c r="T21" s="30">
        <v>6.25E-2</v>
      </c>
      <c r="U21" s="30">
        <v>0.17499999999999999</v>
      </c>
      <c r="V21" s="30">
        <v>0.19027777777777777</v>
      </c>
      <c r="W21" s="90">
        <v>665.6</v>
      </c>
      <c r="X21" s="91">
        <v>15.223000000000001</v>
      </c>
      <c r="Y21" s="92">
        <v>-18.25</v>
      </c>
      <c r="Z21" s="91">
        <v>3.3780000000000001</v>
      </c>
      <c r="AA21" s="94">
        <f t="shared" si="1"/>
        <v>166.49499999999998</v>
      </c>
      <c r="AB21" s="34">
        <f t="shared" si="2"/>
        <v>171.74499999999998</v>
      </c>
      <c r="AC21" s="34">
        <f t="shared" si="3"/>
        <v>-147.75500000000002</v>
      </c>
      <c r="AD21" s="34">
        <f t="shared" si="4"/>
        <v>-107.25500000000001</v>
      </c>
      <c r="AE21" s="34">
        <f t="shared" si="5"/>
        <v>-101.75500000000001</v>
      </c>
      <c r="AF21" s="34">
        <f>$Z$90*ASIN(SIN($Z$89*$Y21)*SIN($Z$89*$C$12)+COS($Z$89*$Y21)*COS($Z$89*AA21)*COS($Z$89*$C$12))</f>
        <v>-59.679038349547085</v>
      </c>
      <c r="AG21" s="34">
        <f>IF(SIN($Z$89*AA21)&lt;0,ACOS((SIN($Z$89*$Y21)-SIN($Z$89*AF21)*SIN($Z$89*$C$12))/(COS($Z$89*AF21)*COS($Z$89*$C$12)))/$Z$89,360-ACOS((SIN($Z$89*$Y21)-SIN($Z$89*AF21)*SIN($Z$89*$C$12))/(COS($Z$89*AF21)*COS($Z$89*$C$12)))/$Z$89)</f>
        <v>333.94005160126096</v>
      </c>
      <c r="AH21" s="34">
        <f>$Z$90*ASIN(SIN($Z$89*$Y21)*SIN($Z$89*$C$12)+COS($Z$89*$Y21)*COS($Z$89*AB21)*COS($Z$89*$C$12))</f>
        <v>-60.988672382797837</v>
      </c>
      <c r="AI21" s="34">
        <f>IF(SIN($Z$89*AB21)&lt;0,ACOS((SIN($Z$89*$Y21)-SIN($Z$89*AH21)*SIN($Z$89*$C$12))/(COS($Z$89*AH21)*COS($Z$89*$C$12)))/$Z$89,360-ACOS((SIN($Z$89*$Y21)-SIN($Z$89*AH21)*SIN($Z$89*$C$12))/(COS($Z$89*AH21)*COS($Z$89*$C$12)))/$Z$89)</f>
        <v>343.67065540927973</v>
      </c>
      <c r="AJ21" s="34">
        <f>$Z$90*ASIN(SIN($Z$89*$Y21)*SIN($Z$89*$C$12)+COS($Z$89*$Y21)*COS($Z$89*AC21)*COS($Z$89*$C$12))</f>
        <v>-51.296196893138145</v>
      </c>
      <c r="AK21" s="34">
        <f>IF(SIN($Z$89*AC21)&lt;0,ACOS((SIN($Z$89*$Y21)-SIN($Z$89*AJ21)*SIN($Z$89*$C$12))/(COS($Z$89*AJ21)*COS($Z$89*$C$12)))/$Z$89,360-ACOS((SIN($Z$89*$Y21)-SIN($Z$89*AJ21)*SIN($Z$89*$C$12))/(COS($Z$89*AJ21)*COS($Z$89*$C$12)))/$Z$89)</f>
        <v>54.129481979939797</v>
      </c>
      <c r="AL21" s="34">
        <f>$Z$90*ASIN(SIN($Z$89*$Y21)*SIN($Z$89*$C$12)+COS($Z$89*$Y21)*COS($Z$89*AD21)*COS($Z$89*$C$12))</f>
        <v>-24.901753338652597</v>
      </c>
      <c r="AM21" s="34">
        <f>IF(SIN($Z$89*AD21)&lt;0,ACOS((SIN($Z$89*$Y21)-SIN($Z$89*AL21)*SIN($Z$89*$C$12))/(COS($Z$89*AL21)*COS($Z$89*$C$12)))/$Z$89,360-ACOS((SIN($Z$89*$Y21)-SIN($Z$89*AL21)*SIN($Z$89*$C$12))/(COS($Z$89*AL21)*COS($Z$89*$C$12)))/$Z$89)</f>
        <v>90.732396739754122</v>
      </c>
      <c r="AN21" s="34">
        <f>$Z$90*ASIN(SIN($Z$89*$Y21)*SIN($Z$89*$C$12)+COS($Z$89*$Y21)*COS($Z$89*AE21)*COS($Z$89*$C$12))</f>
        <v>-21.117253926375458</v>
      </c>
      <c r="AO21" s="34">
        <f>IF(SIN($Z$89*AE21)&lt;0,ACOS((SIN($Z$89*$Y21)-SIN($Z$89*AN21)*SIN($Z$89*$C$12))/(COS($Z$89*AN21)*COS($Z$89*$C$12)))/$Z$89,360-ACOS((SIN($Z$89*$Y21)-SIN($Z$89*AN21)*SIN($Z$89*$C$12))/(COS($Z$89*AN21)*COS($Z$89*$C$12)))/$Z$89)</f>
        <v>94.644607538426413</v>
      </c>
      <c r="AP21" s="33"/>
    </row>
    <row r="22" spans="1:42" s="1" customFormat="1" ht="16" customHeight="1">
      <c r="A22" s="22"/>
      <c r="B22" s="23"/>
      <c r="C22" s="24"/>
      <c r="D22" s="24"/>
      <c r="E22" s="32"/>
      <c r="F22" s="32"/>
      <c r="G22" s="32"/>
      <c r="H22" s="32"/>
      <c r="I22" s="32"/>
      <c r="J22" s="32"/>
      <c r="K22" s="32"/>
      <c r="L22" s="32"/>
      <c r="M22" s="32"/>
      <c r="N22" s="83"/>
      <c r="O22" s="8" t="str">
        <f t="shared" si="0"/>
        <v/>
      </c>
      <c r="P22" s="100" t="s">
        <v>58</v>
      </c>
      <c r="Q22" s="29">
        <v>2</v>
      </c>
      <c r="R22" s="30">
        <v>0.50208333333333333</v>
      </c>
      <c r="S22" s="30">
        <v>0.52083333333333337</v>
      </c>
      <c r="T22" s="30">
        <v>0.60624999999999996</v>
      </c>
      <c r="U22" s="30">
        <v>0.69166666666666676</v>
      </c>
      <c r="V22" s="30">
        <v>0.7104166666666667</v>
      </c>
      <c r="W22" s="90">
        <v>796.4</v>
      </c>
      <c r="X22" s="91">
        <v>15.058</v>
      </c>
      <c r="Y22" s="92">
        <v>-17.579999999999998</v>
      </c>
      <c r="Z22" s="91">
        <v>3.2210000000000001</v>
      </c>
      <c r="AA22" s="94">
        <f t="shared" si="1"/>
        <v>10.615000000000014</v>
      </c>
      <c r="AB22" s="34">
        <f t="shared" si="2"/>
        <v>17.365000000000002</v>
      </c>
      <c r="AC22" s="34">
        <f t="shared" si="3"/>
        <v>48.115000000000016</v>
      </c>
      <c r="AD22" s="34">
        <f t="shared" si="4"/>
        <v>78.865000000000023</v>
      </c>
      <c r="AE22" s="34">
        <f t="shared" si="5"/>
        <v>85.615000000000023</v>
      </c>
      <c r="AF22" s="34">
        <f>$Z$90*ASIN(SIN($Z$89*$Y22)*SIN($Z$89*$C$12)+COS($Z$89*$Y22)*COS($Z$89*AA22)*COS($Z$89*$C$12))</f>
        <v>25.255820001367006</v>
      </c>
      <c r="AG22" s="34">
        <f>IF(SIN($Z$89*AA22)&lt;0,ACOS((SIN($Z$89*$Y22)-SIN($Z$89*AF22)*SIN($Z$89*$C$12))/(COS($Z$89*AF22)*COS($Z$89*$C$12)))/$Z$89,360-ACOS((SIN($Z$89*$Y22)-SIN($Z$89*AF22)*SIN($Z$89*$C$12))/(COS($Z$89*AF22)*COS($Z$89*$C$12)))/$Z$89)</f>
        <v>191.19596897178909</v>
      </c>
      <c r="AH22" s="34">
        <f>$Z$90*ASIN(SIN($Z$89*$Y22)*SIN($Z$89*$C$12)+COS($Z$89*$Y22)*COS($Z$89*AB22)*COS($Z$89*$C$12))</f>
        <v>24.077062071625452</v>
      </c>
      <c r="AI22" s="34">
        <f>IF(SIN($Z$89*AB22)&lt;0,ACOS((SIN($Z$89*$Y22)-SIN($Z$89*AH22)*SIN($Z$89*$C$12))/(COS($Z$89*AH22)*COS($Z$89*$C$12)))/$Z$89,360-ACOS((SIN($Z$89*$Y22)-SIN($Z$89*AH22)*SIN($Z$89*$C$12))/(COS($Z$89*AH22)*COS($Z$89*$C$12)))/$Z$89)</f>
        <v>198.15757270513581</v>
      </c>
      <c r="AJ22" s="34">
        <f>$Z$90*ASIN(SIN($Z$89*$Y22)*SIN($Z$89*$C$12)+COS($Z$89*$Y22)*COS($Z$89*AC22)*COS($Z$89*$C$12))</f>
        <v>12.685653065539478</v>
      </c>
      <c r="AK22" s="34">
        <f>IF(SIN($Z$89*AC22)&lt;0,ACOS((SIN($Z$89*$Y22)-SIN($Z$89*AJ22)*SIN($Z$89*$C$12))/(COS($Z$89*AJ22)*COS($Z$89*$C$12)))/$Z$89,360-ACOS((SIN($Z$89*$Y22)-SIN($Z$89*AJ22)*SIN($Z$89*$C$12))/(COS($Z$89*AJ22)*COS($Z$89*$C$12)))/$Z$89)</f>
        <v>226.6750415598936</v>
      </c>
      <c r="AL22" s="34">
        <f>$Z$90*ASIN(SIN($Z$89*$Y22)*SIN($Z$89*$C$12)+COS($Z$89*$Y22)*COS($Z$89*AD22)*COS($Z$89*$C$12))</f>
        <v>-5.2823955301354921</v>
      </c>
      <c r="AM22" s="34">
        <f>IF(SIN($Z$89*AD22)&lt;0,ACOS((SIN($Z$89*$Y22)-SIN($Z$89*AL22)*SIN($Z$89*$C$12))/(COS($Z$89*AL22)*COS($Z$89*$C$12)))/$Z$89,360-ACOS((SIN($Z$89*$Y22)-SIN($Z$89*AL22)*SIN($Z$89*$C$12))/(COS($Z$89*AL22)*COS($Z$89*$C$12)))/$Z$89)</f>
        <v>249.94094212315736</v>
      </c>
      <c r="AN22" s="34">
        <f>$Z$90*ASIN(SIN($Z$89*$Y22)*SIN($Z$89*$C$12)+COS($Z$89*$Y22)*COS($Z$89*AE22)*COS($Z$89*$C$12))</f>
        <v>-9.7116725805937936</v>
      </c>
      <c r="AO22" s="34">
        <f>IF(SIN($Z$89*AE22)&lt;0,ACOS((SIN($Z$89*$Y22)-SIN($Z$89*AN22)*SIN($Z$89*$C$12))/(COS($Z$89*AN22)*COS($Z$89*$C$12)))/$Z$89,360-ACOS((SIN($Z$89*$Y22)-SIN($Z$89*AN22)*SIN($Z$89*$C$12))/(COS($Z$89*AN22)*COS($Z$89*$C$12)))/$Z$89)</f>
        <v>254.64967959949564</v>
      </c>
      <c r="AP22" s="33"/>
    </row>
    <row r="23" spans="1:42" s="1" customFormat="1">
      <c r="A23" s="22"/>
      <c r="D23" s="20"/>
      <c r="E23" s="20"/>
      <c r="F23" s="20"/>
      <c r="G23" s="20"/>
      <c r="H23" s="20"/>
      <c r="I23" s="20"/>
      <c r="J23" s="20"/>
      <c r="K23" s="20"/>
      <c r="L23" s="20"/>
      <c r="M23" s="20"/>
      <c r="N23" s="84"/>
      <c r="O23" s="8" t="str">
        <f t="shared" si="0"/>
        <v/>
      </c>
      <c r="P23" s="100" t="s">
        <v>59</v>
      </c>
      <c r="Q23" s="29">
        <v>1</v>
      </c>
      <c r="R23" s="30">
        <v>0.65277777777777779</v>
      </c>
      <c r="S23" s="69" t="s">
        <v>13</v>
      </c>
      <c r="T23" s="30">
        <v>0.69444444444444453</v>
      </c>
      <c r="U23" s="69" t="s">
        <v>13</v>
      </c>
      <c r="V23" s="30">
        <v>0.73541666666666661</v>
      </c>
      <c r="W23" s="90">
        <v>942.2</v>
      </c>
      <c r="X23" s="91">
        <v>3.3319999999999999</v>
      </c>
      <c r="Y23" s="92">
        <v>18.670000000000002</v>
      </c>
      <c r="Z23" s="91">
        <v>15.484</v>
      </c>
      <c r="AA23" s="94">
        <f t="shared" si="1"/>
        <v>424.70000000000005</v>
      </c>
      <c r="AB23" s="69" t="s">
        <v>13</v>
      </c>
      <c r="AC23" s="34">
        <f t="shared" si="3"/>
        <v>439.7</v>
      </c>
      <c r="AD23" s="69" t="s">
        <v>13</v>
      </c>
      <c r="AE23" s="34">
        <f t="shared" si="5"/>
        <v>454.45</v>
      </c>
      <c r="AF23" s="34">
        <f>$Z$90*ASIN(SIN($Z$89*$Y23)*SIN($Z$89*$C$12)+COS($Z$89*$Y23)*COS($Z$89*AA23)*COS($Z$89*$C$12))</f>
        <v>30.727942109638498</v>
      </c>
      <c r="AG23" s="34">
        <f>IF(SIN($Z$89*AA23)&lt;0,ACOS((SIN($Z$89*$Y23)-SIN($Z$89*AF23)*SIN($Z$89*$C$12))/(COS($Z$89*AF23)*COS($Z$89*$C$12)))/$Z$89,360-ACOS((SIN($Z$89*$Y23)-SIN($Z$89*AF23)*SIN($Z$89*$C$12))/(COS($Z$89*AF23)*COS($Z$89*$C$12)))/$Z$89)</f>
        <v>265.13629825749791</v>
      </c>
      <c r="AH23" s="69" t="s">
        <v>13</v>
      </c>
      <c r="AI23" s="69" t="s">
        <v>13</v>
      </c>
      <c r="AJ23" s="34">
        <f>$Z$90*ASIN(SIN($Z$89*$Y23)*SIN($Z$89*$C$12)+COS($Z$89*$Y23)*COS($Z$89*AC23)*COS($Z$89*$C$12))</f>
        <v>20.409173192692027</v>
      </c>
      <c r="AK23" s="34">
        <f>IF(SIN($Z$89*AC23)&lt;0,ACOS((SIN($Z$89*$Y23)-SIN($Z$89*AJ23)*SIN($Z$89*$C$12))/(COS($Z$89*AJ23)*COS($Z$89*$C$12)))/$Z$89,360-ACOS((SIN($Z$89*$Y23)-SIN($Z$89*AJ23)*SIN($Z$89*$C$12))/(COS($Z$89*AJ23)*COS($Z$89*$C$12)))/$Z$89)</f>
        <v>275.98881175557199</v>
      </c>
      <c r="AL23" s="69" t="s">
        <v>13</v>
      </c>
      <c r="AM23" s="69" t="s">
        <v>13</v>
      </c>
      <c r="AN23" s="34">
        <f>$Z$90*ASIN(SIN($Z$89*$Y23)*SIN($Z$89*$C$12)+COS($Z$89*$Y23)*COS($Z$89*AE23)*COS($Z$89*$C$12))</f>
        <v>10.449419209614893</v>
      </c>
      <c r="AO23" s="34">
        <f>IF(SIN($Z$89*AE23)&lt;0,ACOS((SIN($Z$89*$Y23)-SIN($Z$89*AN23)*SIN($Z$89*$C$12))/(COS($Z$89*AN23)*COS($Z$89*$C$12)))/$Z$89,360-ACOS((SIN($Z$89*$Y23)-SIN($Z$89*AN23)*SIN($Z$89*$C$12))/(COS($Z$89*AN23)*COS($Z$89*$C$12)))/$Z$89)</f>
        <v>286.1677094870073</v>
      </c>
      <c r="AP23" s="33"/>
    </row>
    <row r="24" spans="1:42" s="1" customFormat="1">
      <c r="A24" s="22"/>
      <c r="B24" s="25"/>
      <c r="C24" s="25"/>
      <c r="D24" s="25"/>
      <c r="E24" s="25"/>
      <c r="F24" s="25"/>
      <c r="G24" s="25"/>
      <c r="H24" s="25"/>
      <c r="I24" s="25"/>
      <c r="J24" s="25"/>
      <c r="K24" s="25"/>
      <c r="L24" s="25"/>
      <c r="M24" s="25"/>
      <c r="N24" s="70"/>
      <c r="O24" s="8" t="str">
        <f t="shared" si="0"/>
        <v/>
      </c>
      <c r="P24" s="100" t="s">
        <v>60</v>
      </c>
      <c r="Q24" s="29">
        <v>3</v>
      </c>
      <c r="R24" s="30">
        <v>0.24444444444444446</v>
      </c>
      <c r="S24" s="30">
        <v>0.25486111111111109</v>
      </c>
      <c r="T24" s="30">
        <v>0.40972222222222227</v>
      </c>
      <c r="U24" s="30">
        <v>0.56388888888888888</v>
      </c>
      <c r="V24" s="30">
        <v>0.57430555555555551</v>
      </c>
      <c r="W24" s="90">
        <v>222.1</v>
      </c>
      <c r="X24" s="91">
        <v>3.19</v>
      </c>
      <c r="Y24" s="92">
        <v>18.11</v>
      </c>
      <c r="Z24" s="91">
        <v>15.337999999999999</v>
      </c>
      <c r="AA24" s="94">
        <f t="shared" si="1"/>
        <v>277.64000000000004</v>
      </c>
      <c r="AB24" s="34">
        <f t="shared" si="2"/>
        <v>281.39000000000004</v>
      </c>
      <c r="AC24" s="34">
        <f t="shared" si="3"/>
        <v>337.14</v>
      </c>
      <c r="AD24" s="34">
        <f t="shared" si="4"/>
        <v>392.64000000000004</v>
      </c>
      <c r="AE24" s="34">
        <f t="shared" si="5"/>
        <v>396.39000000000004</v>
      </c>
      <c r="AF24" s="34">
        <f>$Z$90*ASIN(SIN($Z$89*$Y24)*SIN($Z$89*$C$12)+COS($Z$89*$Y24)*COS($Z$89*AA24)*COS($Z$89*$C$12))</f>
        <v>18.201046048879903</v>
      </c>
      <c r="AG24" s="34">
        <f>IF(SIN($Z$89*AA24)&lt;0,ACOS((SIN($Z$89*$Y24)-SIN($Z$89*AF24)*SIN($Z$89*$C$12))/(COS($Z$89*AF24)*COS($Z$89*$C$12)))/$Z$89,360-ACOS((SIN($Z$89*$Y24)-SIN($Z$89*AF24)*SIN($Z$89*$C$12))/(COS($Z$89*AF24)*COS($Z$89*$C$12)))/$Z$89)</f>
        <v>82.585955980753567</v>
      </c>
      <c r="AH24" s="34">
        <f>$Z$90*ASIN(SIN($Z$89*$Y24)*SIN($Z$89*$C$12)+COS($Z$89*$Y24)*COS($Z$89*AB24)*COS($Z$89*$C$12))</f>
        <v>20.769867746296377</v>
      </c>
      <c r="AI24" s="34">
        <f>IF(SIN($Z$89*AB24)&lt;0,ACOS((SIN($Z$89*$Y24)-SIN($Z$89*AH24)*SIN($Z$89*$C$12))/(COS($Z$89*AH24)*COS($Z$89*$C$12)))/$Z$89,360-ACOS((SIN($Z$89*$Y24)-SIN($Z$89*AH24)*SIN($Z$89*$C$12))/(COS($Z$89*AH24)*COS($Z$89*$C$12)))/$Z$89)</f>
        <v>85.207107908025037</v>
      </c>
      <c r="AJ24" s="34">
        <f>$Z$90*ASIN(SIN($Z$89*$Y24)*SIN($Z$89*$C$12)+COS($Z$89*$Y24)*COS($Z$89*AC24)*COS($Z$89*$C$12))</f>
        <v>55.966626046562524</v>
      </c>
      <c r="AK24" s="34">
        <f>IF(SIN($Z$89*AC24)&lt;0,ACOS((SIN($Z$89*$Y24)-SIN($Z$89*AJ24)*SIN($Z$89*$C$12))/(COS($Z$89*AJ24)*COS($Z$89*$C$12)))/$Z$89,360-ACOS((SIN($Z$89*$Y24)-SIN($Z$89*AJ24)*SIN($Z$89*$C$12))/(COS($Z$89*AJ24)*COS($Z$89*$C$12)))/$Z$89)</f>
        <v>138.72056120234336</v>
      </c>
      <c r="AL24" s="34">
        <f>$Z$90*ASIN(SIN($Z$89*$Y24)*SIN($Z$89*$C$12)+COS($Z$89*$Y24)*COS($Z$89*AD24)*COS($Z$89*$C$12))</f>
        <v>50.962029633916245</v>
      </c>
      <c r="AM24" s="34">
        <f>IF(SIN($Z$89*AD24)&lt;0,ACOS((SIN($Z$89*$Y24)-SIN($Z$89*AL24)*SIN($Z$89*$C$12))/(COS($Z$89*AL24)*COS($Z$89*$C$12)))/$Z$89,360-ACOS((SIN($Z$89*$Y24)-SIN($Z$89*AL24)*SIN($Z$89*$C$12))/(COS($Z$89*AL24)*COS($Z$89*$C$12)))/$Z$89)</f>
        <v>234.4813776245586</v>
      </c>
      <c r="AN24" s="34">
        <f>$Z$90*ASIN(SIN($Z$89*$Y24)*SIN($Z$89*$C$12)+COS($Z$89*$Y24)*COS($Z$89*AE24)*COS($Z$89*$C$12))</f>
        <v>48.802837384080227</v>
      </c>
      <c r="AO24" s="34">
        <f>IF(SIN($Z$89*AE24)&lt;0,ACOS((SIN($Z$89*$Y24)-SIN($Z$89*AN24)*SIN($Z$89*$C$12))/(COS($Z$89*AN24)*COS($Z$89*$C$12)))/$Z$89,360-ACOS((SIN($Z$89*$Y24)-SIN($Z$89*AN24)*SIN($Z$89*$C$12))/(COS($Z$89*AN24)*COS($Z$89*$C$12)))/$Z$89)</f>
        <v>238.88418550742901</v>
      </c>
      <c r="AP24" s="33"/>
    </row>
    <row r="25" spans="1:42" s="1" customFormat="1">
      <c r="A25" s="22"/>
      <c r="B25" s="113" t="s">
        <v>121</v>
      </c>
      <c r="C25" s="113"/>
      <c r="D25" s="113"/>
      <c r="E25" s="59"/>
      <c r="F25" s="59"/>
      <c r="G25" s="59"/>
      <c r="H25" s="59"/>
      <c r="I25" s="59"/>
      <c r="J25" s="59"/>
      <c r="K25" s="59"/>
      <c r="L25" s="59"/>
      <c r="M25" s="59"/>
      <c r="N25" s="85"/>
      <c r="O25" s="8" t="str">
        <f t="shared" si="0"/>
        <v/>
      </c>
      <c r="P25" s="100" t="s">
        <v>61</v>
      </c>
      <c r="Q25" s="29">
        <v>4</v>
      </c>
      <c r="R25" s="30">
        <v>0.90902777777777777</v>
      </c>
      <c r="S25" s="30">
        <v>0.92222222222222217</v>
      </c>
      <c r="T25" s="30">
        <v>5.0694444444444452E-2</v>
      </c>
      <c r="U25" s="30">
        <v>0.17986111111111111</v>
      </c>
      <c r="V25" s="30">
        <v>0.19305555555555554</v>
      </c>
      <c r="W25" s="90">
        <v>553.1</v>
      </c>
      <c r="X25" s="91">
        <v>15.355</v>
      </c>
      <c r="Y25" s="92">
        <v>-18.739999999999998</v>
      </c>
      <c r="Z25" s="91">
        <v>3.5150000000000001</v>
      </c>
      <c r="AA25" s="94">
        <f t="shared" si="1"/>
        <v>157.07</v>
      </c>
      <c r="AB25" s="34">
        <f t="shared" si="2"/>
        <v>161.82</v>
      </c>
      <c r="AC25" s="34">
        <f t="shared" si="3"/>
        <v>-151.93</v>
      </c>
      <c r="AD25" s="34">
        <f t="shared" si="4"/>
        <v>-105.42999999999999</v>
      </c>
      <c r="AE25" s="34">
        <f t="shared" si="5"/>
        <v>-100.68</v>
      </c>
      <c r="AF25" s="34">
        <f>$Z$90*ASIN(SIN($Z$89*$Y25)*SIN($Z$89*$C$12)+COS($Z$89*$Y25)*COS($Z$89*AA25)*COS($Z$89*$C$12))</f>
        <v>-56.486523228644877</v>
      </c>
      <c r="AG25" s="34">
        <f>IF(SIN($Z$89*AA25)&lt;0,ACOS((SIN($Z$89*$Y25)-SIN($Z$89*AF25)*SIN($Z$89*$C$12))/(COS($Z$89*AF25)*COS($Z$89*$C$12)))/$Z$89,360-ACOS((SIN($Z$89*$Y25)-SIN($Z$89*AF25)*SIN($Z$89*$C$12))/(COS($Z$89*AF25)*COS($Z$89*$C$12)))/$Z$89)</f>
        <v>318.06942333995477</v>
      </c>
      <c r="AH25" s="34">
        <f>$Z$90*ASIN(SIN($Z$89*$Y25)*SIN($Z$89*$C$12)+COS($Z$89*$Y25)*COS($Z$89*AB25)*COS($Z$89*$C$12))</f>
        <v>-58.511198304405546</v>
      </c>
      <c r="AI25" s="34">
        <f>IF(SIN($Z$89*AB25)&lt;0,ACOS((SIN($Z$89*$Y25)-SIN($Z$89*AH25)*SIN($Z$89*$C$12))/(COS($Z$89*AH25)*COS($Z$89*$C$12)))/$Z$89,360-ACOS((SIN($Z$89*$Y25)-SIN($Z$89*AH25)*SIN($Z$89*$C$12))/(COS($Z$89*AH25)*COS($Z$89*$C$12)))/$Z$89)</f>
        <v>325.55179083500707</v>
      </c>
      <c r="AJ25" s="34">
        <f>$Z$90*ASIN(SIN($Z$89*$Y25)*SIN($Z$89*$C$12)+COS($Z$89*$Y25)*COS($Z$89*AC25)*COS($Z$89*$C$12))</f>
        <v>-53.956025636207109</v>
      </c>
      <c r="AK25" s="34">
        <f>IF(SIN($Z$89*AC25)&lt;0,ACOS((SIN($Z$89*$Y25)-SIN($Z$89*AJ25)*SIN($Z$89*$C$12))/(COS($Z$89*AJ25)*COS($Z$89*$C$12)))/$Z$89,360-ACOS((SIN($Z$89*$Y25)-SIN($Z$89*AJ25)*SIN($Z$89*$C$12))/(COS($Z$89*AJ25)*COS($Z$89*$C$12)))/$Z$89)</f>
        <v>49.227408859983292</v>
      </c>
      <c r="AL25" s="34">
        <f>$Z$90*ASIN(SIN($Z$89*$Y25)*SIN($Z$89*$C$12)+COS($Z$89*$Y25)*COS($Z$89*AD25)*COS($Z$89*$C$12))</f>
        <v>-23.98173916609251</v>
      </c>
      <c r="AM25" s="34">
        <f>IF(SIN($Z$89*AD25)&lt;0,ACOS((SIN($Z$89*$Y25)-SIN($Z$89*AL25)*SIN($Z$89*$C$12))/(COS($Z$89*AL25)*COS($Z$89*$C$12)))/$Z$89,360-ACOS((SIN($Z$89*$Y25)-SIN($Z$89*AL25)*SIN($Z$89*$C$12))/(COS($Z$89*AL25)*COS($Z$89*$C$12)))/$Z$89)</f>
        <v>92.430259526151602</v>
      </c>
      <c r="AN25" s="34">
        <f>$Z$90*ASIN(SIN($Z$89*$Y25)*SIN($Z$89*$C$12)+COS($Z$89*$Y25)*COS($Z$89*AE25)*COS($Z$89*$C$12))</f>
        <v>-20.717926381635277</v>
      </c>
      <c r="AO25" s="34">
        <f>IF(SIN($Z$89*AE25)&lt;0,ACOS((SIN($Z$89*$Y25)-SIN($Z$89*AN25)*SIN($Z$89*$C$12))/(COS($Z$89*AN25)*COS($Z$89*$C$12)))/$Z$89,360-ACOS((SIN($Z$89*$Y25)-SIN($Z$89*AN25)*SIN($Z$89*$C$12))/(COS($Z$89*AN25)*COS($Z$89*$C$12)))/$Z$89)</f>
        <v>95.777562281034847</v>
      </c>
      <c r="AP25" s="33"/>
    </row>
    <row r="26" spans="1:42" s="1" customFormat="1">
      <c r="A26" s="22"/>
      <c r="B26" s="67" t="s">
        <v>25</v>
      </c>
      <c r="C26" s="68" t="s">
        <v>22</v>
      </c>
      <c r="D26" s="68" t="s">
        <v>23</v>
      </c>
      <c r="F26" s="60"/>
      <c r="G26" s="60"/>
      <c r="H26" s="60"/>
      <c r="I26" s="60"/>
      <c r="J26" s="60"/>
      <c r="K26" s="60"/>
      <c r="L26" s="60"/>
      <c r="M26" s="60"/>
      <c r="N26" s="86"/>
      <c r="O26" s="8" t="str">
        <f t="shared" si="0"/>
        <v/>
      </c>
      <c r="P26" s="100" t="s">
        <v>62</v>
      </c>
      <c r="Q26" s="29">
        <v>2</v>
      </c>
      <c r="R26" s="30">
        <v>0.52569444444444446</v>
      </c>
      <c r="S26" s="30">
        <v>0.55347222222222225</v>
      </c>
      <c r="T26" s="30">
        <v>0.60277777777777775</v>
      </c>
      <c r="U26" s="30">
        <v>0.65138888888888891</v>
      </c>
      <c r="V26" s="30">
        <v>0.6791666666666667</v>
      </c>
      <c r="W26" s="90">
        <v>899.2</v>
      </c>
      <c r="X26" s="91">
        <v>15.19</v>
      </c>
      <c r="Y26" s="92">
        <v>-18.100000000000001</v>
      </c>
      <c r="Z26" s="91">
        <v>3.3580000000000001</v>
      </c>
      <c r="AA26" s="94">
        <f t="shared" si="1"/>
        <v>19.190000000000023</v>
      </c>
      <c r="AB26" s="34">
        <f t="shared" si="2"/>
        <v>29.19000000000004</v>
      </c>
      <c r="AC26" s="34">
        <f t="shared" si="3"/>
        <v>46.939999999999991</v>
      </c>
      <c r="AD26" s="34">
        <f t="shared" si="4"/>
        <v>64.440000000000012</v>
      </c>
      <c r="AE26" s="34">
        <f t="shared" si="5"/>
        <v>74.440000000000026</v>
      </c>
      <c r="AF26" s="34">
        <f>$Z$90*ASIN(SIN($Z$89*$Y26)*SIN($Z$89*$C$12)+COS($Z$89*$Y26)*COS($Z$89*AA26)*COS($Z$89*$C$12))</f>
        <v>23.1620677872986</v>
      </c>
      <c r="AG26" s="34">
        <f>IF(SIN($Z$89*AA26)&lt;0,ACOS((SIN($Z$89*$Y26)-SIN($Z$89*AF26)*SIN($Z$89*$C$12))/(COS($Z$89*AF26)*COS($Z$89*$C$12)))/$Z$89,360-ACOS((SIN($Z$89*$Y26)-SIN($Z$89*AF26)*SIN($Z$89*$C$12))/(COS($Z$89*AF26)*COS($Z$89*$C$12)))/$Z$89)</f>
        <v>199.86637956050015</v>
      </c>
      <c r="AH26" s="34">
        <f>$Z$90*ASIN(SIN($Z$89*$Y26)*SIN($Z$89*$C$12)+COS($Z$89*$Y26)*COS($Z$89*AB26)*COS($Z$89*$C$12))</f>
        <v>20.27684259431124</v>
      </c>
      <c r="AI26" s="34">
        <f>IF(SIN($Z$89*AB26)&lt;0,ACOS((SIN($Z$89*$Y26)-SIN($Z$89*AH26)*SIN($Z$89*$C$12))/(COS($Z$89*AH26)*COS($Z$89*$C$12)))/$Z$89,360-ACOS((SIN($Z$89*$Y26)-SIN($Z$89*AH26)*SIN($Z$89*$C$12))/(COS($Z$89*AH26)*COS($Z$89*$C$12)))/$Z$89)</f>
        <v>209.61697527754444</v>
      </c>
      <c r="AJ26" s="34">
        <f>$Z$90*ASIN(SIN($Z$89*$Y26)*SIN($Z$89*$C$12)+COS($Z$89*$Y26)*COS($Z$89*AC26)*COS($Z$89*$C$12))</f>
        <v>12.824617615951764</v>
      </c>
      <c r="AK26" s="34">
        <f>IF(SIN($Z$89*AC26)&lt;0,ACOS((SIN($Z$89*$Y26)-SIN($Z$89*AJ26)*SIN($Z$89*$C$12))/(COS($Z$89*AJ26)*COS($Z$89*$C$12)))/$Z$89,360-ACOS((SIN($Z$89*$Y26)-SIN($Z$89*AJ26)*SIN($Z$89*$C$12))/(COS($Z$89*AJ26)*COS($Z$89*$C$12)))/$Z$89)</f>
        <v>225.41842057197391</v>
      </c>
      <c r="AL26" s="34">
        <f>$Z$90*ASIN(SIN($Z$89*$Y26)*SIN($Z$89*$C$12)+COS($Z$89*$Y26)*COS($Z$89*AD26)*COS($Z$89*$C$12))</f>
        <v>3.2898781177126124</v>
      </c>
      <c r="AM26" s="34">
        <f>IF(SIN($Z$89*AD26)&lt;0,ACOS((SIN($Z$89*$Y26)-SIN($Z$89*AL26)*SIN($Z$89*$C$12))/(COS($Z$89*AL26)*COS($Z$89*$C$12)))/$Z$89,360-ACOS((SIN($Z$89*$Y26)-SIN($Z$89*AL26)*SIN($Z$89*$C$12))/(COS($Z$89*AL26)*COS($Z$89*$C$12)))/$Z$89)</f>
        <v>239.19419635878765</v>
      </c>
      <c r="AN26" s="34">
        <f>$Z$90*ASIN(SIN($Z$89*$Y26)*SIN($Z$89*$C$12)+COS($Z$89*$Y26)*COS($Z$89*AE26)*COS($Z$89*$C$12))</f>
        <v>-2.8371070562119027</v>
      </c>
      <c r="AO26" s="34">
        <f>IF(SIN($Z$89*AE26)&lt;0,ACOS((SIN($Z$89*$Y26)-SIN($Z$89*AN26)*SIN($Z$89*$C$12))/(COS($Z$89*AN26)*COS($Z$89*$C$12)))/$Z$89,360-ACOS((SIN($Z$89*$Y26)-SIN($Z$89*AN26)*SIN($Z$89*$C$12))/(COS($Z$89*AN26)*COS($Z$89*$C$12)))/$Z$89)</f>
        <v>246.46310785243662</v>
      </c>
      <c r="AP26" s="33"/>
    </row>
    <row r="27" spans="1:42" s="1" customFormat="1">
      <c r="A27" s="22"/>
      <c r="B27" s="29" t="s">
        <v>35</v>
      </c>
      <c r="C27" s="43">
        <f>IF(VLOOKUP($C$6,$P$6:$AO$86,17,FALSE)="-",0,VLOOKUP($C$6,$P$6:$AO$86,17,FALSE))</f>
        <v>42.254982946778235</v>
      </c>
      <c r="D27" s="43">
        <f>IF(VLOOKUP($C$6,$P$6:$AO$86,18,FALSE)="-",0,VLOOKUP($C$6,$P$6:$AO$86,18,FALSE))</f>
        <v>259.51784838325551</v>
      </c>
      <c r="E27" s="99" t="str">
        <f>IF(VLOOKUP($C$6,$P$6:$AO$86,17,FALSE)="-","(partial)","")</f>
        <v/>
      </c>
      <c r="F27" s="60"/>
      <c r="G27" s="60"/>
      <c r="H27" s="60"/>
      <c r="I27" s="60"/>
      <c r="J27" s="60"/>
      <c r="K27" s="60"/>
      <c r="L27" s="60"/>
      <c r="M27" s="60"/>
      <c r="N27" s="86"/>
      <c r="O27" s="8" t="str">
        <f t="shared" si="0"/>
        <v/>
      </c>
      <c r="P27" s="100" t="s">
        <v>63</v>
      </c>
      <c r="Q27" s="29">
        <v>3</v>
      </c>
      <c r="R27" s="30">
        <v>0.43333333333333335</v>
      </c>
      <c r="S27" s="30">
        <v>0.44374999999999998</v>
      </c>
      <c r="T27" s="30">
        <v>0.60069444444444442</v>
      </c>
      <c r="U27" s="30">
        <v>0.7583333333333333</v>
      </c>
      <c r="V27" s="30">
        <v>0.7680555555555556</v>
      </c>
      <c r="W27" s="90">
        <v>137.4</v>
      </c>
      <c r="X27" s="91">
        <v>3.3450000000000002</v>
      </c>
      <c r="Y27" s="92">
        <v>18.690000000000001</v>
      </c>
      <c r="Z27" s="91">
        <v>15.489000000000001</v>
      </c>
      <c r="AA27" s="94">
        <f t="shared" si="1"/>
        <v>345.58000000000004</v>
      </c>
      <c r="AB27" s="34">
        <f t="shared" si="2"/>
        <v>349.33000000000004</v>
      </c>
      <c r="AC27" s="34">
        <f t="shared" si="3"/>
        <v>405.83000000000004</v>
      </c>
      <c r="AD27" s="34">
        <f t="shared" si="4"/>
        <v>462.58000000000015</v>
      </c>
      <c r="AE27" s="34">
        <f t="shared" si="5"/>
        <v>466.08000000000004</v>
      </c>
      <c r="AF27" s="34">
        <f>$Z$90*ASIN(SIN($Z$89*$Y27)*SIN($Z$89*$C$12)+COS($Z$89*$Y27)*COS($Z$89*AA27)*COS($Z$89*$C$12))</f>
        <v>59.808033839983274</v>
      </c>
      <c r="AG27" s="34">
        <f>IF(SIN($Z$89*AA27)&lt;0,ACOS((SIN($Z$89*$Y27)-SIN($Z$89*AF27)*SIN($Z$89*$C$12))/(COS($Z$89*AF27)*COS($Z$89*$C$12)))/$Z$89,360-ACOS((SIN($Z$89*$Y27)-SIN($Z$89*AF27)*SIN($Z$89*$C$12))/(COS($Z$89*AF27)*COS($Z$89*$C$12)))/$Z$89)</f>
        <v>152.0259173468026</v>
      </c>
      <c r="AH27" s="34">
        <f>$Z$90*ASIN(SIN($Z$89*$Y27)*SIN($Z$89*$C$12)+COS($Z$89*$Y27)*COS($Z$89*AB27)*COS($Z$89*$C$12))</f>
        <v>60.882293233058299</v>
      </c>
      <c r="AI27" s="34">
        <f>IF(SIN($Z$89*AB27)&lt;0,ACOS((SIN($Z$89*$Y27)-SIN($Z$89*AH27)*SIN($Z$89*$C$12))/(COS($Z$89*AH27)*COS($Z$89*$C$12)))/$Z$89,360-ACOS((SIN($Z$89*$Y27)-SIN($Z$89*AH27)*SIN($Z$89*$C$12))/(COS($Z$89*AH27)*COS($Z$89*$C$12)))/$Z$89)</f>
        <v>158.87324931985054</v>
      </c>
      <c r="AJ27" s="34">
        <f>$Z$90*ASIN(SIN($Z$89*$Y27)*SIN($Z$89*$C$12)+COS($Z$89*$Y27)*COS($Z$89*AC27)*COS($Z$89*$C$12))</f>
        <v>43.394264452956925</v>
      </c>
      <c r="AK27" s="34">
        <f>IF(SIN($Z$89*AC27)&lt;0,ACOS((SIN($Z$89*$Y27)-SIN($Z$89*AJ27)*SIN($Z$89*$C$12))/(COS($Z$89*AJ27)*COS($Z$89*$C$12)))/$Z$89,360-ACOS((SIN($Z$89*$Y27)-SIN($Z$89*AJ27)*SIN($Z$89*$C$12))/(COS($Z$89*AJ27)*COS($Z$89*$C$12)))/$Z$89)</f>
        <v>249.23687782990208</v>
      </c>
      <c r="AL27" s="34">
        <f>$Z$90*ASIN(SIN($Z$89*$Y27)*SIN($Z$89*$C$12)+COS($Z$89*$Y27)*COS($Z$89*AD27)*COS($Z$89*$C$12))</f>
        <v>5.1694827851572303</v>
      </c>
      <c r="AM27" s="34">
        <f>IF(SIN($Z$89*AD27)&lt;0,ACOS((SIN($Z$89*$Y27)-SIN($Z$89*AL27)*SIN($Z$89*$C$12))/(COS($Z$89*AL27)*COS($Z$89*$C$12)))/$Z$89,360-ACOS((SIN($Z$89*$Y27)-SIN($Z$89*AL27)*SIN($Z$89*$C$12))/(COS($Z$89*AL27)*COS($Z$89*$C$12)))/$Z$89)</f>
        <v>291.82851444031138</v>
      </c>
      <c r="AN27" s="34">
        <f>$Z$90*ASIN(SIN($Z$89*$Y27)*SIN($Z$89*$C$12)+COS($Z$89*$Y27)*COS($Z$89*AE27)*COS($Z$89*$C$12))</f>
        <v>2.9509028142864495</v>
      </c>
      <c r="AO27" s="34">
        <f>IF(SIN($Z$89*AE27)&lt;0,ACOS((SIN($Z$89*$Y27)-SIN($Z$89*AN27)*SIN($Z$89*$C$12))/(COS($Z$89*AN27)*COS($Z$89*$C$12)))/$Z$89,360-ACOS((SIN($Z$89*$Y27)-SIN($Z$89*AN27)*SIN($Z$89*$C$12))/(COS($Z$89*AN27)*COS($Z$89*$C$12)))/$Z$89)</f>
        <v>294.29853474307845</v>
      </c>
      <c r="AP27" s="33"/>
    </row>
    <row r="28" spans="1:42" s="1" customFormat="1">
      <c r="A28" s="22"/>
      <c r="B28" s="29" t="s">
        <v>36</v>
      </c>
      <c r="C28" s="43">
        <f>IF(VLOOKUP($C$6,$P$6:$AO$86,19,FALSE)="-",0,VLOOKUP($C$6,$P$6:$AO$86,19,FALSE))</f>
        <v>37.476736100326775</v>
      </c>
      <c r="D28" s="43">
        <f>IF(VLOOKUP($C$6,$P$6:$AO$86,20,FALSE)="-",0,VLOOKUP($C$6,$P$6:$AO$86,20,FALSE))</f>
        <v>265.1323112779728</v>
      </c>
      <c r="E28" s="99" t="str">
        <f>IF(VLOOKUP($C$6,$P$6:$AO$86,19,FALSE)="-","(partial)","")</f>
        <v/>
      </c>
      <c r="F28" s="60"/>
      <c r="G28" s="60"/>
      <c r="H28" s="60"/>
      <c r="I28" s="60"/>
      <c r="J28" s="60"/>
      <c r="K28" s="60"/>
      <c r="L28" s="60"/>
      <c r="M28" s="60"/>
      <c r="N28" s="86"/>
      <c r="O28" s="8" t="str">
        <f t="shared" si="0"/>
        <v/>
      </c>
      <c r="P28" s="100" t="s">
        <v>64</v>
      </c>
      <c r="Q28" s="29">
        <v>4</v>
      </c>
      <c r="R28" s="30">
        <v>0.89444444444444438</v>
      </c>
      <c r="S28" s="30">
        <v>0.90694444444444444</v>
      </c>
      <c r="T28" s="30">
        <v>4.6527777777777779E-2</v>
      </c>
      <c r="U28" s="30">
        <v>0.18611111111111112</v>
      </c>
      <c r="V28" s="30">
        <v>0.19791666666666666</v>
      </c>
      <c r="W28" s="90">
        <v>451.2</v>
      </c>
      <c r="X28" s="91">
        <v>15.489000000000001</v>
      </c>
      <c r="Y28" s="92">
        <v>-19.21</v>
      </c>
      <c r="Z28" s="91">
        <v>3.6520000000000001</v>
      </c>
      <c r="AA28" s="94">
        <f t="shared" si="1"/>
        <v>151.86499999999998</v>
      </c>
      <c r="AB28" s="34">
        <f t="shared" si="2"/>
        <v>156.36499999999998</v>
      </c>
      <c r="AC28" s="34">
        <f t="shared" si="3"/>
        <v>-153.38500000000002</v>
      </c>
      <c r="AD28" s="34">
        <f t="shared" si="4"/>
        <v>-103.13500000000002</v>
      </c>
      <c r="AE28" s="34">
        <f t="shared" si="5"/>
        <v>-98.884999999999991</v>
      </c>
      <c r="AF28" s="34">
        <f>$Z$90*ASIN(SIN($Z$89*$Y28)*SIN($Z$89*$C$12)+COS($Z$89*$Y28)*COS($Z$89*AA28)*COS($Z$89*$C$12))</f>
        <v>-54.313271268302124</v>
      </c>
      <c r="AG28" s="34">
        <f>IF(SIN($Z$89*AA28)&lt;0,ACOS((SIN($Z$89*$Y28)-SIN($Z$89*AF28)*SIN($Z$89*$C$12))/(COS($Z$89*AF28)*COS($Z$89*$C$12)))/$Z$89,360-ACOS((SIN($Z$89*$Y28)-SIN($Z$89*AF28)*SIN($Z$89*$C$12))/(COS($Z$89*AF28)*COS($Z$89*$C$12)))/$Z$89)</f>
        <v>310.24084827381773</v>
      </c>
      <c r="AH28" s="34">
        <f>$Z$90*ASIN(SIN($Z$89*$Y28)*SIN($Z$89*$C$12)+COS($Z$89*$Y28)*COS($Z$89*AB28)*COS($Z$89*$C$12))</f>
        <v>-56.566037682904636</v>
      </c>
      <c r="AI28" s="34">
        <f>IF(SIN($Z$89*AB28)&lt;0,ACOS((SIN($Z$89*$Y28)-SIN($Z$89*AH28)*SIN($Z$89*$C$12))/(COS($Z$89*AH28)*COS($Z$89*$C$12)))/$Z$89,360-ACOS((SIN($Z$89*$Y28)-SIN($Z$89*AH28)*SIN($Z$89*$C$12))/(COS($Z$89*AH28)*COS($Z$89*$C$12)))/$Z$89)</f>
        <v>316.59751975446414</v>
      </c>
      <c r="AJ28" s="34">
        <f>$Z$90*ASIN(SIN($Z$89*$Y28)*SIN($Z$89*$C$12)+COS($Z$89*$Y28)*COS($Z$89*AC28)*COS($Z$89*$C$12))</f>
        <v>-55.10031109484769</v>
      </c>
      <c r="AK28" s="34">
        <f>IF(SIN($Z$89*AC28)&lt;0,ACOS((SIN($Z$89*$Y28)-SIN($Z$89*AJ28)*SIN($Z$89*$C$12))/(COS($Z$89*AJ28)*COS($Z$89*$C$12)))/$Z$89,360-ACOS((SIN($Z$89*$Y28)-SIN($Z$89*AJ28)*SIN($Z$89*$C$12))/(COS($Z$89*AJ28)*COS($Z$89*$C$12)))/$Z$89)</f>
        <v>47.681381326552106</v>
      </c>
      <c r="AL28" s="34">
        <f>$Z$90*ASIN(SIN($Z$89*$Y28)*SIN($Z$89*$C$12)+COS($Z$89*$Y28)*COS($Z$89*AD28)*COS($Z$89*$C$12))</f>
        <v>-22.726026120860247</v>
      </c>
      <c r="AM28" s="34">
        <f>IF(SIN($Z$89*AD28)&lt;0,ACOS((SIN($Z$89*$Y28)-SIN($Z$89*AL28)*SIN($Z$89*$C$12))/(COS($Z$89*AL28)*COS($Z$89*$C$12)))/$Z$89,360-ACOS((SIN($Z$89*$Y28)-SIN($Z$89*AL28)*SIN($Z$89*$C$12))/(COS($Z$89*AL28)*COS($Z$89*$C$12)))/$Z$89)</f>
        <v>94.425201388339815</v>
      </c>
      <c r="AN28" s="34">
        <f>$Z$90*ASIN(SIN($Z$89*$Y28)*SIN($Z$89*$C$12)+COS($Z$89*$Y28)*COS($Z$89*AE28)*COS($Z$89*$C$12))</f>
        <v>-19.813720694107545</v>
      </c>
      <c r="AO28" s="34">
        <f>IF(SIN($Z$89*AE28)&lt;0,ACOS((SIN($Z$89*$Y28)-SIN($Z$89*AN28)*SIN($Z$89*$C$12))/(COS($Z$89*AN28)*COS($Z$89*$C$12)))/$Z$89,360-ACOS((SIN($Z$89*$Y28)-SIN($Z$89*AN28)*SIN($Z$89*$C$12))/(COS($Z$89*AN28)*COS($Z$89*$C$12)))/$Z$89)</f>
        <v>97.388837080244301</v>
      </c>
      <c r="AP28" s="33"/>
    </row>
    <row r="29" spans="1:42" s="1" customFormat="1">
      <c r="A29" s="22"/>
      <c r="B29" s="29" t="s">
        <v>3</v>
      </c>
      <c r="C29" s="43">
        <f>IF(VLOOKUP($C$6,$P$6:$AO$86,21,FALSE)="-",0,VLOOKUP($C$6,$P$6:$AO$86,21,FALSE))</f>
        <v>19.023490200358914</v>
      </c>
      <c r="D29" s="43">
        <f>IF(VLOOKUP($C$6,$P$6:$AO$86,22,FALSE)="-",0,VLOOKUP($C$6,$P$6:$AO$86,22,FALSE))</f>
        <v>284.0690531919555</v>
      </c>
      <c r="E29" s="99" t="str">
        <f>IF(VLOOKUP($C$6,$P$6:$AO$86,21,FALSE)="-","(partial)","")</f>
        <v/>
      </c>
      <c r="F29" s="60"/>
      <c r="G29" s="60"/>
      <c r="H29" s="60"/>
      <c r="I29" s="60"/>
      <c r="J29" s="60"/>
      <c r="K29" s="60"/>
      <c r="L29" s="60"/>
      <c r="M29" s="60"/>
      <c r="N29" s="86"/>
      <c r="O29" s="8" t="str">
        <f t="shared" si="0"/>
        <v/>
      </c>
      <c r="P29" s="100" t="s">
        <v>65</v>
      </c>
      <c r="Q29" s="29">
        <v>2</v>
      </c>
      <c r="R29" s="69" t="s">
        <v>13</v>
      </c>
      <c r="S29" s="69" t="s">
        <v>13</v>
      </c>
      <c r="T29" s="30">
        <v>0.58680555555555558</v>
      </c>
      <c r="U29" s="69" t="s">
        <v>13</v>
      </c>
      <c r="V29" s="69" t="s">
        <v>13</v>
      </c>
      <c r="W29" s="90">
        <v>1012.3</v>
      </c>
      <c r="X29" s="91">
        <v>15.321999999999999</v>
      </c>
      <c r="Y29" s="92">
        <v>-18.59</v>
      </c>
      <c r="Z29" s="91">
        <v>3.4950000000000001</v>
      </c>
      <c r="AA29" s="95" t="s">
        <v>13</v>
      </c>
      <c r="AB29" s="69" t="s">
        <v>13</v>
      </c>
      <c r="AC29" s="34">
        <f t="shared" si="3"/>
        <v>41.265000000000015</v>
      </c>
      <c r="AD29" s="69" t="s">
        <v>13</v>
      </c>
      <c r="AE29" s="69" t="s">
        <v>13</v>
      </c>
      <c r="AF29" s="69" t="s">
        <v>13</v>
      </c>
      <c r="AG29" s="69" t="s">
        <v>13</v>
      </c>
      <c r="AH29" s="69" t="s">
        <v>13</v>
      </c>
      <c r="AI29" s="69" t="s">
        <v>13</v>
      </c>
      <c r="AJ29" s="34">
        <f>$Z$90*ASIN(SIN($Z$89*$Y29)*SIN($Z$89*$C$12)+COS($Z$89*$Y29)*COS($Z$89*AC29)*COS($Z$89*$C$12))</f>
        <v>15.059053694192572</v>
      </c>
      <c r="AK29" s="34">
        <f>IF(SIN($Z$89*AC29)&lt;0,ACOS((SIN($Z$89*$Y29)-SIN($Z$89*AJ29)*SIN($Z$89*$C$12))/(COS($Z$89*AJ29)*COS($Z$89*$C$12)))/$Z$89,360-ACOS((SIN($Z$89*$Y29)-SIN($Z$89*AJ29)*SIN($Z$89*$C$12))/(COS($Z$89*AJ29)*COS($Z$89*$C$12)))/$Z$89)</f>
        <v>220.34298003460322</v>
      </c>
      <c r="AL29" s="69" t="s">
        <v>13</v>
      </c>
      <c r="AM29" s="69" t="s">
        <v>13</v>
      </c>
      <c r="AN29" s="69" t="s">
        <v>13</v>
      </c>
      <c r="AO29" s="69" t="s">
        <v>13</v>
      </c>
      <c r="AP29" s="33"/>
    </row>
    <row r="30" spans="1:42" s="1" customFormat="1">
      <c r="A30" s="22"/>
      <c r="B30" s="29" t="s">
        <v>37</v>
      </c>
      <c r="C30" s="43">
        <f>IF(VLOOKUP($C$6,$P$6:$AO$86,23,FALSE)="-",0,VLOOKUP($C$6,$P$6:$AO$86,23,FALSE))</f>
        <v>1.9919385510128966</v>
      </c>
      <c r="D30" s="43">
        <f>IF(VLOOKUP($C$6,$P$6:$AO$86,24,FALSE)="-",0,VLOOKUP($C$6,$P$6:$AO$86,24,FALSE))</f>
        <v>302.44301737307404</v>
      </c>
      <c r="E30" s="99" t="str">
        <f>IF(VLOOKUP($C$6,$P$6:$AO$86,23,FALSE)="-","(partial)","")</f>
        <v/>
      </c>
      <c r="F30" s="60"/>
      <c r="G30" s="60"/>
      <c r="H30" s="60"/>
      <c r="I30" s="60"/>
      <c r="J30" s="60"/>
      <c r="K30" s="60"/>
      <c r="L30" s="60"/>
      <c r="M30" s="60"/>
      <c r="N30" s="86"/>
      <c r="O30" s="8" t="str">
        <f t="shared" si="0"/>
        <v/>
      </c>
      <c r="P30" s="100" t="s">
        <v>66</v>
      </c>
      <c r="Q30" s="29">
        <v>3</v>
      </c>
      <c r="R30" s="30">
        <v>0.61527777777777781</v>
      </c>
      <c r="S30" s="30">
        <v>0.62569444444444444</v>
      </c>
      <c r="T30" s="30">
        <v>0.78472222222222221</v>
      </c>
      <c r="U30" s="30">
        <v>0.94305555555555554</v>
      </c>
      <c r="V30" s="30">
        <v>0.95347222222222217</v>
      </c>
      <c r="W30" s="90">
        <v>61.5</v>
      </c>
      <c r="X30" s="91">
        <v>3.5019999999999998</v>
      </c>
      <c r="Y30" s="92">
        <v>19.25</v>
      </c>
      <c r="Z30" s="91">
        <v>15.638999999999999</v>
      </c>
      <c r="AA30" s="94">
        <f t="shared" si="1"/>
        <v>410.97500000000002</v>
      </c>
      <c r="AB30" s="34">
        <f t="shared" si="2"/>
        <v>414.72500000000002</v>
      </c>
      <c r="AC30" s="34">
        <f t="shared" si="3"/>
        <v>471.97500000000002</v>
      </c>
      <c r="AD30" s="34">
        <f t="shared" si="4"/>
        <v>528.9749999999998</v>
      </c>
      <c r="AE30" s="34">
        <f t="shared" si="5"/>
        <v>532.7249999999998</v>
      </c>
      <c r="AF30" s="34">
        <f>$Z$90*ASIN(SIN($Z$89*$Y30)*SIN($Z$89*$C$12)+COS($Z$89*$Y30)*COS($Z$89*AA30)*COS($Z$89*$C$12))</f>
        <v>40.430308830746398</v>
      </c>
      <c r="AG30" s="34">
        <f>IF(SIN($Z$89*AA30)&lt;0,ACOS((SIN($Z$89*$Y30)-SIN($Z$89*AF30)*SIN($Z$89*$C$12))/(COS($Z$89*AF30)*COS($Z$89*$C$12)))/$Z$89,360-ACOS((SIN($Z$89*$Y30)-SIN($Z$89*AF30)*SIN($Z$89*$C$12))/(COS($Z$89*AF30)*COS($Z$89*$C$12)))/$Z$89)</f>
        <v>254.47878723101189</v>
      </c>
      <c r="AH30" s="34">
        <f>$Z$90*ASIN(SIN($Z$89*$Y30)*SIN($Z$89*$C$12)+COS($Z$89*$Y30)*COS($Z$89*AB30)*COS($Z$89*$C$12))</f>
        <v>37.922549532413449</v>
      </c>
      <c r="AI30" s="34">
        <f>IF(SIN($Z$89*AB30)&lt;0,ACOS((SIN($Z$89*$Y30)-SIN($Z$89*AH30)*SIN($Z$89*$C$12))/(COS($Z$89*AH30)*COS($Z$89*$C$12)))/$Z$89,360-ACOS((SIN($Z$89*$Y30)-SIN($Z$89*AH30)*SIN($Z$89*$C$12))/(COS($Z$89*AH30)*COS($Z$89*$C$12)))/$Z$89)</f>
        <v>257.70329497426371</v>
      </c>
      <c r="AJ30" s="34">
        <f>$Z$90*ASIN(SIN($Z$89*$Y30)*SIN($Z$89*$C$12)+COS($Z$89*$Y30)*COS($Z$89*AC30)*COS($Z$89*$C$12))</f>
        <v>-0.25522099171626839</v>
      </c>
      <c r="AK30" s="34">
        <f>IF(SIN($Z$89*AC30)&lt;0,ACOS((SIN($Z$89*$Y30)-SIN($Z$89*AJ30)*SIN($Z$89*$C$12))/(COS($Z$89*AJ30)*COS($Z$89*$C$12)))/$Z$89,360-ACOS((SIN($Z$89*$Y30)-SIN($Z$89*AJ30)*SIN($Z$89*$C$12))/(COS($Z$89*AJ30)*COS($Z$89*$C$12)))/$Z$89)</f>
        <v>298.89496256391078</v>
      </c>
      <c r="AL30" s="34">
        <f>$Z$90*ASIN(SIN($Z$89*$Y30)*SIN($Z$89*$C$12)+COS($Z$89*$Y30)*COS($Z$89*AD30)*COS($Z$89*$C$12))</f>
        <v>-23.54750364697307</v>
      </c>
      <c r="AM30" s="34">
        <f>IF(SIN($Z$89*AD30)&lt;0,ACOS((SIN($Z$89*$Y30)-SIN($Z$89*AL30)*SIN($Z$89*$C$12))/(COS($Z$89*AL30)*COS($Z$89*$C$12)))/$Z$89,360-ACOS((SIN($Z$89*$Y30)-SIN($Z$89*AL30)*SIN($Z$89*$C$12))/(COS($Z$89*AL30)*COS($Z$89*$C$12)))/$Z$89)</f>
        <v>348.64164494112202</v>
      </c>
      <c r="AN30" s="34">
        <f>$Z$90*ASIN(SIN($Z$89*$Y30)*SIN($Z$89*$C$12)+COS($Z$89*$Y30)*COS($Z$89*AE30)*COS($Z$89*$C$12))</f>
        <v>-23.971236524890337</v>
      </c>
      <c r="AO30" s="34">
        <f>IF(SIN($Z$89*AE30)&lt;0,ACOS((SIN($Z$89*$Y30)-SIN($Z$89*AN30)*SIN($Z$89*$C$12))/(COS($Z$89*AN30)*COS($Z$89*$C$12)))/$Z$89,360-ACOS((SIN($Z$89*$Y30)-SIN($Z$89*AN30)*SIN($Z$89*$C$12))/(COS($Z$89*AN30)*COS($Z$89*$C$12)))/$Z$89)</f>
        <v>352.48207306481254</v>
      </c>
      <c r="AP30" s="33"/>
    </row>
    <row r="31" spans="1:42" s="1" customFormat="1">
      <c r="A31" s="22"/>
      <c r="B31" s="29" t="s">
        <v>38</v>
      </c>
      <c r="C31" s="43">
        <f>IF(VLOOKUP($C$6,$P$6:$AO$86,25,FALSE)="-",0,VLOOKUP($C$6,$P$6:$AO$86,25,FALSE))</f>
        <v>-1.9591589067937816</v>
      </c>
      <c r="D31" s="43">
        <f>IF(VLOOKUP($C$6,$P$6:$AO$86,26,FALSE)="-",0,VLOOKUP($C$6,$P$6:$AO$86,26,FALSE))</f>
        <v>307.51863657415936</v>
      </c>
      <c r="E31" s="99" t="str">
        <f>IF(VLOOKUP($C$6,$P$6:$AO$86,25,FALSE)="-","(partial)","")</f>
        <v/>
      </c>
      <c r="N31" s="87"/>
      <c r="O31" s="8" t="str">
        <f t="shared" si="0"/>
        <v/>
      </c>
      <c r="P31" s="100" t="s">
        <v>67</v>
      </c>
      <c r="Q31" s="29">
        <v>4</v>
      </c>
      <c r="R31" s="30">
        <v>0.8618055555555556</v>
      </c>
      <c r="S31" s="30">
        <v>0.87361111111111101</v>
      </c>
      <c r="T31" s="30">
        <v>2.2222222222222223E-2</v>
      </c>
      <c r="U31" s="30">
        <v>0.17083333333333331</v>
      </c>
      <c r="V31" s="30">
        <v>0.18194444444444444</v>
      </c>
      <c r="W31" s="90">
        <v>335.5</v>
      </c>
      <c r="X31" s="91">
        <v>15.622999999999999</v>
      </c>
      <c r="Y31" s="92">
        <v>-19.66</v>
      </c>
      <c r="Z31" s="91">
        <v>3.7890000000000001</v>
      </c>
      <c r="AA31" s="94">
        <f t="shared" si="1"/>
        <v>140.16000000000003</v>
      </c>
      <c r="AB31" s="34">
        <f t="shared" si="2"/>
        <v>144.41</v>
      </c>
      <c r="AC31" s="34">
        <f t="shared" si="3"/>
        <v>-162.08999999999997</v>
      </c>
      <c r="AD31" s="34">
        <f t="shared" si="4"/>
        <v>-108.59</v>
      </c>
      <c r="AE31" s="34">
        <f t="shared" si="5"/>
        <v>-104.58999999999999</v>
      </c>
      <c r="AF31" s="34">
        <f>$Z$90*ASIN(SIN($Z$89*$Y31)*SIN($Z$89*$C$12)+COS($Z$89*$Y31)*COS($Z$89*AA31)*COS($Z$89*$C$12))</f>
        <v>-47.904747624086568</v>
      </c>
      <c r="AG31" s="34">
        <f>IF(SIN($Z$89*AA31)&lt;0,ACOS((SIN($Z$89*$Y31)-SIN($Z$89*AF31)*SIN($Z$89*$C$12))/(COS($Z$89*AF31)*COS($Z$89*$C$12)))/$Z$89,360-ACOS((SIN($Z$89*$Y31)-SIN($Z$89*AF31)*SIN($Z$89*$C$12))/(COS($Z$89*AF31)*COS($Z$89*$C$12)))/$Z$89)</f>
        <v>295.84756960243726</v>
      </c>
      <c r="AH31" s="34">
        <f>$Z$90*ASIN(SIN($Z$89*$Y31)*SIN($Z$89*$C$12)+COS($Z$89*$Y31)*COS($Z$89*AB31)*COS($Z$89*$C$12))</f>
        <v>-50.485702854290544</v>
      </c>
      <c r="AI31" s="34">
        <f>IF(SIN($Z$89*AB31)&lt;0,ACOS((SIN($Z$89*$Y31)-SIN($Z$89*AH31)*SIN($Z$89*$C$12))/(COS($Z$89*AH31)*COS($Z$89*$C$12)))/$Z$89,360-ACOS((SIN($Z$89*$Y31)-SIN($Z$89*AH31)*SIN($Z$89*$C$12))/(COS($Z$89*AH31)*COS($Z$89*$C$12)))/$Z$89)</f>
        <v>300.5309614384376</v>
      </c>
      <c r="AJ31" s="34">
        <f>$Z$90*ASIN(SIN($Z$89*$Y31)*SIN($Z$89*$C$12)+COS($Z$89*$Y31)*COS($Z$89*AC31)*COS($Z$89*$C$12))</f>
        <v>-59.454180570857268</v>
      </c>
      <c r="AK31" s="34">
        <f>IF(SIN($Z$89*AC31)&lt;0,ACOS((SIN($Z$89*$Y31)-SIN($Z$89*AJ31)*SIN($Z$89*$C$12))/(COS($Z$89*AJ31)*COS($Z$89*$C$12)))/$Z$89,360-ACOS((SIN($Z$89*$Y31)-SIN($Z$89*AJ31)*SIN($Z$89*$C$12))/(COS($Z$89*AJ31)*COS($Z$89*$C$12)))/$Z$89)</f>
        <v>34.737374820857923</v>
      </c>
      <c r="AL31" s="34">
        <f>$Z$90*ASIN(SIN($Z$89*$Y31)*SIN($Z$89*$C$12)+COS($Z$89*$Y31)*COS($Z$89*AD31)*COS($Z$89*$C$12))</f>
        <v>-26.787457150825709</v>
      </c>
      <c r="AM31" s="34">
        <f>IF(SIN($Z$89*AD31)&lt;0,ACOS((SIN($Z$89*$Y31)-SIN($Z$89*AL31)*SIN($Z$89*$C$12))/(COS($Z$89*AL31)*COS($Z$89*$C$12)))/$Z$89,360-ACOS((SIN($Z$89*$Y31)-SIN($Z$89*AL31)*SIN($Z$89*$C$12))/(COS($Z$89*AL31)*COS($Z$89*$C$12)))/$Z$89)</f>
        <v>90.912552610445559</v>
      </c>
      <c r="AN31" s="34">
        <f>$Z$90*ASIN(SIN($Z$89*$Y31)*SIN($Z$89*$C$12)+COS($Z$89*$Y31)*COS($Z$89*AE31)*COS($Z$89*$C$12))</f>
        <v>-24.034090141402125</v>
      </c>
      <c r="AO31" s="34">
        <f>IF(SIN($Z$89*AE31)&lt;0,ACOS((SIN($Z$89*$Y31)-SIN($Z$89*AN31)*SIN($Z$89*$C$12))/(COS($Z$89*AN31)*COS($Z$89*$C$12)))/$Z$89,360-ACOS((SIN($Z$89*$Y31)-SIN($Z$89*AN31)*SIN($Z$89*$C$12))/(COS($Z$89*AN31)*COS($Z$89*$C$12)))/$Z$89)</f>
        <v>93.758842751864847</v>
      </c>
      <c r="AP31" s="33"/>
    </row>
    <row r="32" spans="1:42" s="1" customFormat="1">
      <c r="A32" s="22"/>
      <c r="B32" s="25"/>
      <c r="C32" s="25"/>
      <c r="D32" s="25"/>
      <c r="E32" s="25"/>
      <c r="F32" s="25"/>
      <c r="G32" s="25"/>
      <c r="H32" s="25"/>
      <c r="I32" s="25"/>
      <c r="J32" s="25"/>
      <c r="K32" s="25"/>
      <c r="L32" s="25"/>
      <c r="M32" s="25"/>
      <c r="N32" s="70"/>
      <c r="O32" s="8" t="str">
        <f t="shared" si="0"/>
        <v/>
      </c>
      <c r="P32" s="100" t="s">
        <v>68</v>
      </c>
      <c r="Q32" s="29">
        <v>3</v>
      </c>
      <c r="R32" s="30">
        <v>0.78888888888888886</v>
      </c>
      <c r="S32" s="30">
        <v>0.7993055555555556</v>
      </c>
      <c r="T32" s="30">
        <v>0.95833333333333337</v>
      </c>
      <c r="U32" s="30">
        <v>0.1173611111111111</v>
      </c>
      <c r="V32" s="30">
        <v>0.12708333333333333</v>
      </c>
      <c r="W32" s="90">
        <v>11</v>
      </c>
      <c r="X32" s="91">
        <v>3.6589999999999998</v>
      </c>
      <c r="Y32" s="92">
        <v>19.760000000000002</v>
      </c>
      <c r="Z32" s="91">
        <v>15.788</v>
      </c>
      <c r="AA32" s="94">
        <f t="shared" si="1"/>
        <v>473.35499999999996</v>
      </c>
      <c r="AB32" s="34">
        <f t="shared" si="2"/>
        <v>477.10499999999996</v>
      </c>
      <c r="AC32" s="34">
        <f t="shared" si="3"/>
        <v>534.3549999999999</v>
      </c>
      <c r="AD32" s="34">
        <f t="shared" si="4"/>
        <v>231.60499999999999</v>
      </c>
      <c r="AE32" s="34">
        <f t="shared" si="5"/>
        <v>235.10500000000002</v>
      </c>
      <c r="AF32" s="34">
        <f>$Z$90*ASIN(SIN($Z$89*$Y32)*SIN($Z$89*$C$12)+COS($Z$89*$Y32)*COS($Z$89*AA32)*COS($Z$89*$C$12))</f>
        <v>-0.68860654739997285</v>
      </c>
      <c r="AG32" s="34">
        <f>IF(SIN($Z$89*AA32)&lt;0,ACOS((SIN($Z$89*$Y32)-SIN($Z$89*AF32)*SIN($Z$89*$C$12))/(COS($Z$89*AF32)*COS($Z$89*$C$12)))/$Z$89,360-ACOS((SIN($Z$89*$Y32)-SIN($Z$89*AF32)*SIN($Z$89*$C$12))/(COS($Z$89*AF32)*COS($Z$89*$C$12)))/$Z$89)</f>
        <v>300.22329774975037</v>
      </c>
      <c r="AH32" s="34">
        <f>$Z$90*ASIN(SIN($Z$89*$Y32)*SIN($Z$89*$C$12)+COS($Z$89*$Y32)*COS($Z$89*AB32)*COS($Z$89*$C$12))</f>
        <v>-2.8890260897449922</v>
      </c>
      <c r="AI32" s="34">
        <f>IF(SIN($Z$89*AB32)&lt;0,ACOS((SIN($Z$89*$Y32)-SIN($Z$89*AH32)*SIN($Z$89*$C$12))/(COS($Z$89*AH32)*COS($Z$89*$C$12)))/$Z$89,360-ACOS((SIN($Z$89*$Y32)-SIN($Z$89*AH32)*SIN($Z$89*$C$12))/(COS($Z$89*AH32)*COS($Z$89*$C$12)))/$Z$89)</f>
        <v>302.98394723214619</v>
      </c>
      <c r="AJ32" s="34">
        <f>$Z$90*ASIN(SIN($Z$89*$Y32)*SIN($Z$89*$C$12)+COS($Z$89*$Y32)*COS($Z$89*AC32)*COS($Z$89*$C$12))</f>
        <v>-23.593249579686113</v>
      </c>
      <c r="AK32" s="34">
        <f>IF(SIN($Z$89*AC32)&lt;0,ACOS((SIN($Z$89*$Y32)-SIN($Z$89*AJ32)*SIN($Z$89*$C$12))/(COS($Z$89*AJ32)*COS($Z$89*$C$12)))/$Z$89,360-ACOS((SIN($Z$89*$Y32)-SIN($Z$89*AJ32)*SIN($Z$89*$C$12))/(COS($Z$89*AJ32)*COS($Z$89*$C$12)))/$Z$89)</f>
        <v>354.20229169486396</v>
      </c>
      <c r="AL32" s="34">
        <f>$Z$90*ASIN(SIN($Z$89*$Y32)*SIN($Z$89*$C$12)+COS($Z$89*$Y32)*COS($Z$89*AD32)*COS($Z$89*$C$12))</f>
        <v>-9.0726534201335873</v>
      </c>
      <c r="AM32" s="34">
        <f>IF(SIN($Z$89*AD32)&lt;0,ACOS((SIN($Z$89*$Y32)-SIN($Z$89*AL32)*SIN($Z$89*$C$12))/(COS($Z$89*AL32)*COS($Z$89*$C$12)))/$Z$89,360-ACOS((SIN($Z$89*$Y32)-SIN($Z$89*AL32)*SIN($Z$89*$C$12))/(COS($Z$89*AL32)*COS($Z$89*$C$12)))/$Z$89)</f>
        <v>48.326272083536757</v>
      </c>
      <c r="AN32" s="34">
        <f>$Z$90*ASIN(SIN($Z$89*$Y32)*SIN($Z$89*$C$12)+COS($Z$89*$Y32)*COS($Z$89*AE32)*COS($Z$89*$C$12))</f>
        <v>-7.2333680378423528</v>
      </c>
      <c r="AO32" s="34">
        <f>IF(SIN($Z$89*AE32)&lt;0,ACOS((SIN($Z$89*$Y32)-SIN($Z$89*AN32)*SIN($Z$89*$C$12))/(COS($Z$89*AN32)*COS($Z$89*$C$12)))/$Z$89,360-ACOS((SIN($Z$89*$Y32)-SIN($Z$89*AN32)*SIN($Z$89*$C$12))/(COS($Z$89*AN32)*COS($Z$89*$C$12)))/$Z$89)</f>
        <v>51.086789631349539</v>
      </c>
      <c r="AP32" s="33"/>
    </row>
    <row r="33" spans="1:42" s="1" customFormat="1">
      <c r="A33" s="22"/>
      <c r="B33" s="25"/>
      <c r="C33" s="25"/>
      <c r="D33" s="25"/>
      <c r="E33" s="25"/>
      <c r="F33" s="25"/>
      <c r="G33" s="25"/>
      <c r="H33" s="25"/>
      <c r="I33" s="25"/>
      <c r="J33" s="25"/>
      <c r="K33" s="25"/>
      <c r="L33" s="25"/>
      <c r="M33" s="25"/>
      <c r="N33" s="70"/>
      <c r="O33" s="8" t="str">
        <f t="shared" si="0"/>
        <v/>
      </c>
      <c r="P33" s="100" t="s">
        <v>69</v>
      </c>
      <c r="Q33" s="29">
        <v>4</v>
      </c>
      <c r="R33" s="30">
        <v>0.83958333333333324</v>
      </c>
      <c r="S33" s="30">
        <v>0.85069444444444453</v>
      </c>
      <c r="T33" s="30">
        <v>4.8611111111111112E-3</v>
      </c>
      <c r="U33" s="30">
        <v>0.15902777777777777</v>
      </c>
      <c r="V33" s="30">
        <v>0.17013888888888887</v>
      </c>
      <c r="W33" s="90">
        <v>229.8</v>
      </c>
      <c r="X33" s="91">
        <v>15.759</v>
      </c>
      <c r="Y33" s="92">
        <v>-20.079999999999998</v>
      </c>
      <c r="Z33" s="91">
        <v>3.9260000000000002</v>
      </c>
      <c r="AA33" s="94">
        <f t="shared" si="1"/>
        <v>132.17499999999998</v>
      </c>
      <c r="AB33" s="34">
        <f t="shared" si="2"/>
        <v>136.17500000000004</v>
      </c>
      <c r="AC33" s="34">
        <f t="shared" si="3"/>
        <v>-168.32500000000005</v>
      </c>
      <c r="AD33" s="34">
        <f t="shared" si="4"/>
        <v>-112.825</v>
      </c>
      <c r="AE33" s="34">
        <f t="shared" si="5"/>
        <v>-108.82499999999999</v>
      </c>
      <c r="AF33" s="34">
        <f>$Z$90*ASIN(SIN($Z$89*$Y33)*SIN($Z$89*$C$12)+COS($Z$89*$Y33)*COS($Z$89*AA33)*COS($Z$89*$C$12))</f>
        <v>-43.10232870678913</v>
      </c>
      <c r="AG33" s="34">
        <f>IF(SIN($Z$89*AA33)&lt;0,ACOS((SIN($Z$89*$Y33)-SIN($Z$89*AF33)*SIN($Z$89*$C$12))/(COS($Z$89*AF33)*COS($Z$89*$C$12)))/$Z$89,360-ACOS((SIN($Z$89*$Y33)-SIN($Z$89*AF33)*SIN($Z$89*$C$12))/(COS($Z$89*AF33)*COS($Z$89*$C$12)))/$Z$89)</f>
        <v>287.57611379381854</v>
      </c>
      <c r="AH33" s="34">
        <f>$Z$90*ASIN(SIN($Z$89*$Y33)*SIN($Z$89*$C$12)+COS($Z$89*$Y33)*COS($Z$89*AB33)*COS($Z$89*$C$12))</f>
        <v>-45.700445893276353</v>
      </c>
      <c r="AI33" s="34">
        <f>IF(SIN($Z$89*AB33)&lt;0,ACOS((SIN($Z$89*$Y33)-SIN($Z$89*AH33)*SIN($Z$89*$C$12))/(COS($Z$89*AH33)*COS($Z$89*$C$12)))/$Z$89,360-ACOS((SIN($Z$89*$Y33)-SIN($Z$89*AH33)*SIN($Z$89*$C$12))/(COS($Z$89*AH33)*COS($Z$89*$C$12)))/$Z$89)</f>
        <v>291.37571340330209</v>
      </c>
      <c r="AJ33" s="34">
        <f>$Z$90*ASIN(SIN($Z$89*$Y33)*SIN($Z$89*$C$12)+COS($Z$89*$Y33)*COS($Z$89*AC33)*COS($Z$89*$C$12))</f>
        <v>-61.952317846573379</v>
      </c>
      <c r="AK33" s="34">
        <f>IF(SIN($Z$89*AC33)&lt;0,ACOS((SIN($Z$89*$Y33)-SIN($Z$89*AJ33)*SIN($Z$89*$C$12))/(COS($Z$89*AJ33)*COS($Z$89*$C$12)))/$Z$89,360-ACOS((SIN($Z$89*$Y33)-SIN($Z$89*AJ33)*SIN($Z$89*$C$12))/(COS($Z$89*AJ33)*COS($Z$89*$C$12)))/$Z$89)</f>
        <v>23.841276489047662</v>
      </c>
      <c r="AL33" s="34">
        <f>$Z$90*ASIN(SIN($Z$89*$Y33)*SIN($Z$89*$C$12)+COS($Z$89*$Y33)*COS($Z$89*AD33)*COS($Z$89*$C$12))</f>
        <v>-29.990869167421312</v>
      </c>
      <c r="AM33" s="34">
        <f>IF(SIN($Z$89*AD33)&lt;0,ACOS((SIN($Z$89*$Y33)-SIN($Z$89*AL33)*SIN($Z$89*$C$12))/(COS($Z$89*AL33)*COS($Z$89*$C$12)))/$Z$89,360-ACOS((SIN($Z$89*$Y33)-SIN($Z$89*AL33)*SIN($Z$89*$C$12))/(COS($Z$89*AL33)*COS($Z$89*$C$12)))/$Z$89)</f>
        <v>88.179741838582544</v>
      </c>
      <c r="AN33" s="34">
        <f>$Z$90*ASIN(SIN($Z$89*$Y33)*SIN($Z$89*$C$12)+COS($Z$89*$Y33)*COS($Z$89*AE33)*COS($Z$89*$C$12))</f>
        <v>-27.235270011266259</v>
      </c>
      <c r="AO33" s="34">
        <f>IF(SIN($Z$89*AE33)&lt;0,ACOS((SIN($Z$89*$Y33)-SIN($Z$89*AN33)*SIN($Z$89*$C$12))/(COS($Z$89*AN33)*COS($Z$89*$C$12)))/$Z$89,360-ACOS((SIN($Z$89*$Y33)-SIN($Z$89*AN33)*SIN($Z$89*$C$12))/(COS($Z$89*AN33)*COS($Z$89*$C$12)))/$Z$89)</f>
        <v>91.088989218711291</v>
      </c>
      <c r="AP33" s="33"/>
    </row>
    <row r="34" spans="1:42" s="1" customFormat="1">
      <c r="A34" s="22"/>
      <c r="B34" s="25"/>
      <c r="C34" s="25"/>
      <c r="D34" s="25"/>
      <c r="E34" s="25"/>
      <c r="F34" s="25"/>
      <c r="G34" s="25"/>
      <c r="H34" s="25"/>
      <c r="I34" s="25"/>
      <c r="J34" s="25"/>
      <c r="K34" s="25"/>
      <c r="L34" s="25"/>
      <c r="M34" s="25"/>
      <c r="N34" s="70"/>
      <c r="O34" s="8" t="str">
        <f t="shared" si="0"/>
        <v/>
      </c>
      <c r="P34" s="93" t="s">
        <v>70</v>
      </c>
      <c r="Q34" s="29">
        <v>3</v>
      </c>
      <c r="R34" s="30">
        <v>0.96180555555555547</v>
      </c>
      <c r="S34" s="30">
        <v>0.97152777777777777</v>
      </c>
      <c r="T34" s="30">
        <v>0.12986111111111112</v>
      </c>
      <c r="U34" s="30">
        <v>0.28819444444444448</v>
      </c>
      <c r="V34" s="30">
        <v>0.2986111111111111</v>
      </c>
      <c r="W34" s="90">
        <v>87.4</v>
      </c>
      <c r="X34" s="91">
        <v>3.8170000000000002</v>
      </c>
      <c r="Y34" s="92">
        <v>20.25</v>
      </c>
      <c r="Z34" s="91">
        <v>15.938000000000001</v>
      </c>
      <c r="AA34" s="94">
        <f t="shared" si="1"/>
        <v>535.48500000000001</v>
      </c>
      <c r="AB34" s="34">
        <f t="shared" si="2"/>
        <v>538.98500000000001</v>
      </c>
      <c r="AC34" s="34">
        <f t="shared" si="3"/>
        <v>235.98500000000004</v>
      </c>
      <c r="AD34" s="34">
        <f t="shared" si="4"/>
        <v>292.98500000000007</v>
      </c>
      <c r="AE34" s="34">
        <f t="shared" si="5"/>
        <v>296.73500000000007</v>
      </c>
      <c r="AF34" s="34">
        <f>$Z$90*ASIN(SIN($Z$89*$Y34)*SIN($Z$89*$C$12)+COS($Z$89*$Y34)*COS($Z$89*AA34)*COS($Z$89*$C$12))</f>
        <v>-23.174921341854386</v>
      </c>
      <c r="AG34" s="34">
        <f>IF(SIN($Z$89*AA34)&lt;0,ACOS((SIN($Z$89*$Y34)-SIN($Z$89*AF34)*SIN($Z$89*$C$12))/(COS($Z$89*AF34)*COS($Z$89*$C$12)))/$Z$89,360-ACOS((SIN($Z$89*$Y34)-SIN($Z$89*AF34)*SIN($Z$89*$C$12))/(COS($Z$89*AF34)*COS($Z$89*$C$12)))/$Z$89)</f>
        <v>355.39205818191891</v>
      </c>
      <c r="AH34" s="34">
        <f>$Z$90*ASIN(SIN($Z$89*$Y34)*SIN($Z$89*$C$12)+COS($Z$89*$Y34)*COS($Z$89*AB34)*COS($Z$89*$C$12))</f>
        <v>-23.293672872098046</v>
      </c>
      <c r="AI34" s="34">
        <f>IF(SIN($Z$89*AB34)&lt;0,ACOS((SIN($Z$89*$Y34)-SIN($Z$89*AH34)*SIN($Z$89*$C$12))/(COS($Z$89*AH34)*COS($Z$89*$C$12)))/$Z$89,360-ACOS((SIN($Z$89*$Y34)-SIN($Z$89*AH34)*SIN($Z$89*$C$12))/(COS($Z$89*AH34)*COS($Z$89*$C$12)))/$Z$89)</f>
        <v>358.96322626452672</v>
      </c>
      <c r="AJ34" s="34">
        <f>$Z$90*ASIN(SIN($Z$89*$Y34)*SIN($Z$89*$C$12)+COS($Z$89*$Y34)*COS($Z$89*AC34)*COS($Z$89*$C$12))</f>
        <v>-6.3583916304108907</v>
      </c>
      <c r="AK34" s="34">
        <f>IF(SIN($Z$89*AC34)&lt;0,ACOS((SIN($Z$89*$Y34)-SIN($Z$89*AJ34)*SIN($Z$89*$C$12))/(COS($Z$89*AJ34)*COS($Z$89*$C$12)))/$Z$89,360-ACOS((SIN($Z$89*$Y34)-SIN($Z$89*AJ34)*SIN($Z$89*$C$12))/(COS($Z$89*AJ34)*COS($Z$89*$C$12)))/$Z$89)</f>
        <v>51.487450199303737</v>
      </c>
      <c r="AL34" s="34">
        <f>$Z$90*ASIN(SIN($Z$89*$Y34)*SIN($Z$89*$C$12)+COS($Z$89*$Y34)*COS($Z$89*AD34)*COS($Z$89*$C$12))</f>
        <v>30.216578833506492</v>
      </c>
      <c r="AM34" s="34">
        <f>IF(SIN($Z$89*AD34)&lt;0,ACOS((SIN($Z$89*$Y34)-SIN($Z$89*AL34)*SIN($Z$89*$C$12))/(COS($Z$89*AL34)*COS($Z$89*$C$12)))/$Z$89,360-ACOS((SIN($Z$89*$Y34)-SIN($Z$89*AL34)*SIN($Z$89*$C$12))/(COS($Z$89*AL34)*COS($Z$89*$C$12)))/$Z$89)</f>
        <v>91.794078855267756</v>
      </c>
      <c r="AN34" s="34">
        <f>$Z$90*ASIN(SIN($Z$89*$Y34)*SIN($Z$89*$C$12)+COS($Z$89*$Y34)*COS($Z$89*AE34)*COS($Z$89*$C$12))</f>
        <v>32.79601937541603</v>
      </c>
      <c r="AO34" s="34">
        <f>IF(SIN($Z$89*AE34)&lt;0,ACOS((SIN($Z$89*$Y34)-SIN($Z$89*AN34)*SIN($Z$89*$C$12))/(COS($Z$89*AN34)*COS($Z$89*$C$12)))/$Z$89,360-ACOS((SIN($Z$89*$Y34)-SIN($Z$89*AN34)*SIN($Z$89*$C$12))/(COS($Z$89*AN34)*COS($Z$89*$C$12)))/$Z$89)</f>
        <v>94.60077913999406</v>
      </c>
      <c r="AP34" s="33"/>
    </row>
    <row r="35" spans="1:42" s="1" customFormat="1">
      <c r="A35" s="22"/>
      <c r="B35" s="25"/>
      <c r="C35" s="25"/>
      <c r="D35" s="25"/>
      <c r="E35" s="25"/>
      <c r="F35" s="25"/>
      <c r="G35" s="25"/>
      <c r="H35" s="25"/>
      <c r="I35" s="25"/>
      <c r="J35" s="25"/>
      <c r="K35" s="25"/>
      <c r="L35" s="25"/>
      <c r="M35" s="25"/>
      <c r="N35" s="70"/>
      <c r="O35" s="8" t="str">
        <f t="shared" si="0"/>
        <v/>
      </c>
      <c r="P35" s="93" t="s">
        <v>71</v>
      </c>
      <c r="Q35" s="29">
        <v>4</v>
      </c>
      <c r="R35" s="30">
        <v>0.8041666666666667</v>
      </c>
      <c r="S35" s="30">
        <v>0.81458333333333333</v>
      </c>
      <c r="T35" s="30">
        <v>0.97291666666666676</v>
      </c>
      <c r="U35" s="30">
        <v>0.13055555555555556</v>
      </c>
      <c r="V35" s="30">
        <v>0.14166666666666666</v>
      </c>
      <c r="W35" s="90">
        <v>114.3</v>
      </c>
      <c r="X35" s="91">
        <v>15.895</v>
      </c>
      <c r="Y35" s="92">
        <v>-20.48</v>
      </c>
      <c r="Z35" s="91">
        <v>4.0629999999999997</v>
      </c>
      <c r="AA35" s="94">
        <f t="shared" si="1"/>
        <v>119.44</v>
      </c>
      <c r="AB35" s="34">
        <f t="shared" si="2"/>
        <v>123.19</v>
      </c>
      <c r="AC35" s="34">
        <f t="shared" si="3"/>
        <v>180.19</v>
      </c>
      <c r="AD35" s="34">
        <f t="shared" si="4"/>
        <v>-123.05999999999999</v>
      </c>
      <c r="AE35" s="34">
        <f t="shared" si="5"/>
        <v>-119.05999999999997</v>
      </c>
      <c r="AF35" s="34">
        <f>$Z$90*ASIN(SIN($Z$89*$Y35)*SIN($Z$89*$C$12)+COS($Z$89*$Y35)*COS($Z$89*AA35)*COS($Z$89*$C$12))</f>
        <v>-34.807785747238185</v>
      </c>
      <c r="AG35" s="34">
        <f>IF(SIN($Z$89*AA35)&lt;0,ACOS((SIN($Z$89*$Y35)-SIN($Z$89*AF35)*SIN($Z$89*$C$12))/(COS($Z$89*AF35)*COS($Z$89*$C$12)))/$Z$89,360-ACOS((SIN($Z$89*$Y35)-SIN($Z$89*AF35)*SIN($Z$89*$C$12))/(COS($Z$89*AF35)*COS($Z$89*$C$12)))/$Z$89)</f>
        <v>276.4794620777057</v>
      </c>
      <c r="AH35" s="34">
        <f>$Z$90*ASIN(SIN($Z$89*$Y35)*SIN($Z$89*$C$12)+COS($Z$89*$Y35)*COS($Z$89*AB35)*COS($Z$89*$C$12))</f>
        <v>-37.366311775037438</v>
      </c>
      <c r="AI35" s="34">
        <f>IF(SIN($Z$89*AB35)&lt;0,ACOS((SIN($Z$89*$Y35)-SIN($Z$89*AH35)*SIN($Z$89*$C$12))/(COS($Z$89*AH35)*COS($Z$89*$C$12)))/$Z$89,360-ACOS((SIN($Z$89*$Y35)-SIN($Z$89*AH35)*SIN($Z$89*$C$12))/(COS($Z$89*AH35)*COS($Z$89*$C$12)))/$Z$89)</f>
        <v>279.45892734659509</v>
      </c>
      <c r="AJ35" s="34">
        <f>$Z$90*ASIN(SIN($Z$89*$Y35)*SIN($Z$89*$C$12)+COS($Z$89*$Y35)*COS($Z$89*AC35)*COS($Z$89*$C$12))</f>
        <v>-64.029535665825335</v>
      </c>
      <c r="AK35" s="34">
        <f>IF(SIN($Z$89*AC35)&lt;0,ACOS((SIN($Z$89*$Y35)-SIN($Z$89*AJ35)*SIN($Z$89*$C$12))/(COS($Z$89*AJ35)*COS($Z$89*$C$12)))/$Z$89,360-ACOS((SIN($Z$89*$Y35)-SIN($Z$89*AJ35)*SIN($Z$89*$C$12))/(COS($Z$89*AJ35)*COS($Z$89*$C$12)))/$Z$89)</f>
        <v>0.40646024723621704</v>
      </c>
      <c r="AL35" s="34">
        <f>$Z$90*ASIN(SIN($Z$89*$Y35)*SIN($Z$89*$C$12)+COS($Z$89*$Y35)*COS($Z$89*AD35)*COS($Z$89*$C$12))</f>
        <v>-37.277947734502256</v>
      </c>
      <c r="AM35" s="34">
        <f>IF(SIN($Z$89*AD35)&lt;0,ACOS((SIN($Z$89*$Y35)-SIN($Z$89*AL35)*SIN($Z$89*$C$12))/(COS($Z$89*AL35)*COS($Z$89*$C$12)))/$Z$89,360-ACOS((SIN($Z$89*$Y35)-SIN($Z$89*AL35)*SIN($Z$89*$C$12))/(COS($Z$89*AL35)*COS($Z$89*$C$12)))/$Z$89)</f>
        <v>80.64645366746133</v>
      </c>
      <c r="AN35" s="34">
        <f>$Z$90*ASIN(SIN($Z$89*$Y35)*SIN($Z$89*$C$12)+COS($Z$89*$Y35)*COS($Z$89*AE35)*COS($Z$89*$C$12))</f>
        <v>-34.547567888258712</v>
      </c>
      <c r="AO35" s="34">
        <f>IF(SIN($Z$89*AE35)&lt;0,ACOS((SIN($Z$89*$Y35)-SIN($Z$89*AN35)*SIN($Z$89*$C$12))/(COS($Z$89*AN35)*COS($Z$89*$C$12)))/$Z$89,360-ACOS((SIN($Z$89*$Y35)-SIN($Z$89*AN35)*SIN($Z$89*$C$12))/(COS($Z$89*AN35)*COS($Z$89*$C$12)))/$Z$89)</f>
        <v>83.815929239347327</v>
      </c>
      <c r="AP35" s="33"/>
    </row>
    <row r="36" spans="1:42" s="1" customFormat="1">
      <c r="A36" s="22"/>
      <c r="B36" s="25"/>
      <c r="C36" s="25"/>
      <c r="D36" s="25"/>
      <c r="E36" s="25"/>
      <c r="F36" s="25"/>
      <c r="G36" s="25"/>
      <c r="H36" s="25"/>
      <c r="I36" s="25"/>
      <c r="J36" s="25"/>
      <c r="K36" s="25"/>
      <c r="L36" s="25"/>
      <c r="M36" s="25"/>
      <c r="N36" s="70"/>
      <c r="O36" s="8" t="str">
        <f t="shared" si="0"/>
        <v/>
      </c>
      <c r="P36" s="93" t="s">
        <v>72</v>
      </c>
      <c r="Q36" s="29">
        <v>3</v>
      </c>
      <c r="R36" s="30">
        <v>0.12916666666666668</v>
      </c>
      <c r="S36" s="30">
        <v>0.13958333333333334</v>
      </c>
      <c r="T36" s="30">
        <v>0.29583333333333334</v>
      </c>
      <c r="U36" s="30">
        <v>0.45277777777777778</v>
      </c>
      <c r="V36" s="30">
        <v>0.46250000000000002</v>
      </c>
      <c r="W36" s="90">
        <v>157.69999999999999</v>
      </c>
      <c r="X36" s="91">
        <v>3.9769999999999999</v>
      </c>
      <c r="Y36" s="92">
        <v>20.71</v>
      </c>
      <c r="Z36" s="91">
        <v>16.088000000000001</v>
      </c>
      <c r="AA36" s="94">
        <f t="shared" si="1"/>
        <v>235.58500000000001</v>
      </c>
      <c r="AB36" s="34">
        <f t="shared" si="2"/>
        <v>239.33500000000001</v>
      </c>
      <c r="AC36" s="34">
        <f t="shared" si="3"/>
        <v>295.58500000000004</v>
      </c>
      <c r="AD36" s="34">
        <f t="shared" si="4"/>
        <v>352.08500000000004</v>
      </c>
      <c r="AE36" s="34">
        <f t="shared" si="5"/>
        <v>355.58500000000004</v>
      </c>
      <c r="AF36" s="34">
        <f>$Z$90*ASIN(SIN($Z$89*$Y36)*SIN($Z$89*$C$12)+COS($Z$89*$Y36)*COS($Z$89*AA36)*COS($Z$89*$C$12))</f>
        <v>-6.1962365776409323</v>
      </c>
      <c r="AG36" s="34">
        <f>IF(SIN($Z$89*AA36)&lt;0,ACOS((SIN($Z$89*$Y36)-SIN($Z$89*AF36)*SIN($Z$89*$C$12))/(COS($Z$89*AF36)*COS($Z$89*$C$12)))/$Z$89,360-ACOS((SIN($Z$89*$Y36)-SIN($Z$89*AF36)*SIN($Z$89*$C$12))/(COS($Z$89*AF36)*COS($Z$89*$C$12)))/$Z$89)</f>
        <v>50.913290412633849</v>
      </c>
      <c r="AH36" s="34">
        <f>$Z$90*ASIN(SIN($Z$89*$Y36)*SIN($Z$89*$C$12)+COS($Z$89*$Y36)*COS($Z$89*AB36)*COS($Z$89*$C$12))</f>
        <v>-4.1508003779697509</v>
      </c>
      <c r="AI36" s="34">
        <f>IF(SIN($Z$89*AB36)&lt;0,ACOS((SIN($Z$89*$Y36)-SIN($Z$89*AH36)*SIN($Z$89*$C$12))/(COS($Z$89*AH36)*COS($Z$89*$C$12)))/$Z$89,360-ACOS((SIN($Z$89*$Y36)-SIN($Z$89*AH36)*SIN($Z$89*$C$12))/(COS($Z$89*AH36)*COS($Z$89*$C$12)))/$Z$89)</f>
        <v>53.774575468317614</v>
      </c>
      <c r="AJ36" s="34">
        <f>$Z$90*ASIN(SIN($Z$89*$Y36)*SIN($Z$89*$C$12)+COS($Z$89*$Y36)*COS($Z$89*AC36)*COS($Z$89*$C$12))</f>
        <v>32.318153770241821</v>
      </c>
      <c r="AK36" s="34">
        <f>IF(SIN($Z$89*AC36)&lt;0,ACOS((SIN($Z$89*$Y36)-SIN($Z$89*AJ36)*SIN($Z$89*$C$12))/(COS($Z$89*AJ36)*COS($Z$89*$C$12)))/$Z$89,360-ACOS((SIN($Z$89*$Y36)-SIN($Z$89*AJ36)*SIN($Z$89*$C$12))/(COS($Z$89*AJ36)*COS($Z$89*$C$12)))/$Z$89)</f>
        <v>93.331860159132873</v>
      </c>
      <c r="AL36" s="34">
        <f>$Z$90*ASIN(SIN($Z$89*$Y36)*SIN($Z$89*$C$12)+COS($Z$89*$Y36)*COS($Z$89*AD36)*COS($Z$89*$C$12))</f>
        <v>63.461521694583126</v>
      </c>
      <c r="AM36" s="34">
        <f>IF(SIN($Z$89*AD36)&lt;0,ACOS((SIN($Z$89*$Y36)-SIN($Z$89*AL36)*SIN($Z$89*$C$12))/(COS($Z$89*AL36)*COS($Z$89*$C$12)))/$Z$89,360-ACOS((SIN($Z$89*$Y36)-SIN($Z$89*AL36)*SIN($Z$89*$C$12))/(COS($Z$89*AL36)*COS($Z$89*$C$12)))/$Z$89)</f>
        <v>163.24463953412945</v>
      </c>
      <c r="AN36" s="34">
        <f>$Z$90*ASIN(SIN($Z$89*$Y36)*SIN($Z$89*$C$12)+COS($Z$89*$Y36)*COS($Z$89*AE36)*COS($Z$89*$C$12))</f>
        <v>64.008841467011123</v>
      </c>
      <c r="AO36" s="34">
        <f>IF(SIN($Z$89*AE36)&lt;0,ACOS((SIN($Z$89*$Y36)-SIN($Z$89*AN36)*SIN($Z$89*$C$12))/(COS($Z$89*AN36)*COS($Z$89*$C$12)))/$Z$89,360-ACOS((SIN($Z$89*$Y36)-SIN($Z$89*AN36)*SIN($Z$89*$C$12))/(COS($Z$89*AN36)*COS($Z$89*$C$12)))/$Z$89)</f>
        <v>170.54287214319359</v>
      </c>
      <c r="AP36" s="33"/>
    </row>
    <row r="37" spans="1:42">
      <c r="O37" s="8" t="str">
        <f t="shared" si="0"/>
        <v/>
      </c>
      <c r="P37" s="93" t="s">
        <v>73</v>
      </c>
      <c r="Q37" s="29">
        <v>4</v>
      </c>
      <c r="R37" s="30">
        <v>0.77847222222222223</v>
      </c>
      <c r="S37" s="30">
        <v>0.78888888888888886</v>
      </c>
      <c r="T37" s="30">
        <v>0.94791666666666663</v>
      </c>
      <c r="U37" s="30">
        <v>0.10694444444444444</v>
      </c>
      <c r="V37" s="30">
        <v>0.1173611111111111</v>
      </c>
      <c r="W37" s="90">
        <v>9.6</v>
      </c>
      <c r="X37" s="91">
        <v>16.033000000000001</v>
      </c>
      <c r="Y37" s="92">
        <v>-20.86</v>
      </c>
      <c r="Z37" s="91">
        <v>4.2</v>
      </c>
      <c r="AA37" s="94">
        <f t="shared" si="1"/>
        <v>110.17499999999997</v>
      </c>
      <c r="AB37" s="34">
        <f t="shared" si="2"/>
        <v>113.92499999999997</v>
      </c>
      <c r="AC37" s="34">
        <f t="shared" si="3"/>
        <v>171.17499999999995</v>
      </c>
      <c r="AD37" s="34">
        <f t="shared" si="4"/>
        <v>-131.57500000000005</v>
      </c>
      <c r="AE37" s="34">
        <f t="shared" si="5"/>
        <v>-127.82500000000003</v>
      </c>
      <c r="AF37" s="34">
        <f>$Z$90*ASIN(SIN($Z$89*$Y37)*SIN($Z$89*$C$12)+COS($Z$89*$Y37)*COS($Z$89*AA37)*COS($Z$89*$C$12))</f>
        <v>-28.693886898125744</v>
      </c>
      <c r="AG37" s="34">
        <f>IF(SIN($Z$89*AA37)&lt;0,ACOS((SIN($Z$89*$Y37)-SIN($Z$89*AF37)*SIN($Z$89*$C$12))/(COS($Z$89*AF37)*COS($Z$89*$C$12)))/$Z$89,360-ACOS((SIN($Z$89*$Y37)-SIN($Z$89*AF37)*SIN($Z$89*$C$12))/(COS($Z$89*AF37)*COS($Z$89*$C$12)))/$Z$89)</f>
        <v>269.23205539463981</v>
      </c>
      <c r="AH37" s="34">
        <f>$Z$90*ASIN(SIN($Z$89*$Y37)*SIN($Z$89*$C$12)+COS($Z$89*$Y37)*COS($Z$89*AB37)*COS($Z$89*$C$12))</f>
        <v>-31.277205946204411</v>
      </c>
      <c r="AI37" s="34">
        <f>IF(SIN($Z$89*AB37)&lt;0,ACOS((SIN($Z$89*$Y37)-SIN($Z$89*AH37)*SIN($Z$89*$C$12))/(COS($Z$89*AH37)*COS($Z$89*$C$12)))/$Z$89,360-ACOS((SIN($Z$89*$Y37)-SIN($Z$89*AH37)*SIN($Z$89*$C$12))/(COS($Z$89*AH37)*COS($Z$89*$C$12)))/$Z$89)</f>
        <v>271.96600382986907</v>
      </c>
      <c r="AJ37" s="34">
        <f>$Z$90*ASIN(SIN($Z$89*$Y37)*SIN($Z$89*$C$12)+COS($Z$89*$Y37)*COS($Z$89*AC37)*COS($Z$89*$C$12))</f>
        <v>-63.416866613105981</v>
      </c>
      <c r="AK37" s="34">
        <f>IF(SIN($Z$89*AC37)&lt;0,ACOS((SIN($Z$89*$Y37)-SIN($Z$89*AJ37)*SIN($Z$89*$C$12))/(COS($Z$89*AJ37)*COS($Z$89*$C$12)))/$Z$89,360-ACOS((SIN($Z$89*$Y37)-SIN($Z$89*AJ37)*SIN($Z$89*$C$12))/(COS($Z$89*AJ37)*COS($Z$89*$C$12)))/$Z$89)</f>
        <v>341.31513110597331</v>
      </c>
      <c r="AL37" s="34">
        <f>$Z$90*ASIN(SIN($Z$89*$Y37)*SIN($Z$89*$C$12)+COS($Z$89*$Y37)*COS($Z$89*AD37)*COS($Z$89*$C$12))</f>
        <v>-43.261141260823827</v>
      </c>
      <c r="AM37" s="34">
        <f>IF(SIN($Z$89*AD37)&lt;0,ACOS((SIN($Z$89*$Y37)-SIN($Z$89*AL37)*SIN($Z$89*$C$12))/(COS($Z$89*AL37)*COS($Z$89*$C$12)))/$Z$89,360-ACOS((SIN($Z$89*$Y37)-SIN($Z$89*AL37)*SIN($Z$89*$C$12))/(COS($Z$89*AL37)*COS($Z$89*$C$12)))/$Z$89)</f>
        <v>73.724296371783197</v>
      </c>
      <c r="AN37" s="34">
        <f>$Z$90*ASIN(SIN($Z$89*$Y37)*SIN($Z$89*$C$12)+COS($Z$89*$Y37)*COS($Z$89*AE37)*COS($Z$89*$C$12))</f>
        <v>-40.761301897648345</v>
      </c>
      <c r="AO37" s="34">
        <f>IF(SIN($Z$89*AE37)&lt;0,ACOS((SIN($Z$89*$Y37)-SIN($Z$89*AN37)*SIN($Z$89*$C$12))/(COS($Z$89*AN37)*COS($Z$89*$C$12)))/$Z$89,360-ACOS((SIN($Z$89*$Y37)-SIN($Z$89*AN37)*SIN($Z$89*$C$12))/(COS($Z$89*AN37)*COS($Z$89*$C$12)))/$Z$89)</f>
        <v>77.030236920898986</v>
      </c>
      <c r="AP37" s="33"/>
    </row>
    <row r="38" spans="1:42">
      <c r="O38" s="8" t="str">
        <f t="shared" ref="O38:O69" si="6">IF(P38=$C$6,"*","")</f>
        <v/>
      </c>
      <c r="P38" s="93" t="s">
        <v>74</v>
      </c>
      <c r="Q38" s="29">
        <v>3</v>
      </c>
      <c r="R38" s="30">
        <v>0.30416666666666664</v>
      </c>
      <c r="S38" s="30">
        <v>0.31458333333333333</v>
      </c>
      <c r="T38" s="30">
        <v>0.4680555555555555</v>
      </c>
      <c r="U38" s="30">
        <v>0.62222222222222223</v>
      </c>
      <c r="V38" s="30">
        <v>0.63263888888888886</v>
      </c>
      <c r="W38" s="90">
        <v>232.3</v>
      </c>
      <c r="X38" s="91">
        <v>4.1379999999999999</v>
      </c>
      <c r="Y38" s="92">
        <v>21.13</v>
      </c>
      <c r="Z38" s="91">
        <v>16.238</v>
      </c>
      <c r="AA38" s="94">
        <f t="shared" si="1"/>
        <v>298.42</v>
      </c>
      <c r="AB38" s="34">
        <f t="shared" si="2"/>
        <v>302.17</v>
      </c>
      <c r="AC38" s="34">
        <f t="shared" si="3"/>
        <v>357.42000000000007</v>
      </c>
      <c r="AD38" s="34">
        <f t="shared" si="4"/>
        <v>412.92</v>
      </c>
      <c r="AE38" s="34">
        <f t="shared" si="5"/>
        <v>416.67</v>
      </c>
      <c r="AF38" s="34">
        <f>$Z$90*ASIN(SIN($Z$89*$Y38)*SIN($Z$89*$C$12)+COS($Z$89*$Y38)*COS($Z$89*AA38)*COS($Z$89*$C$12))</f>
        <v>34.550584523392018</v>
      </c>
      <c r="AG38" s="34">
        <f>IF(SIN($Z$89*AA38)&lt;0,ACOS((SIN($Z$89*$Y38)-SIN($Z$89*AF38)*SIN($Z$89*$C$12))/(COS($Z$89*AF38)*COS($Z$89*$C$12)))/$Z$89,360-ACOS((SIN($Z$89*$Y38)-SIN($Z$89*AF38)*SIN($Z$89*$C$12))/(COS($Z$89*AF38)*COS($Z$89*$C$12)))/$Z$89)</f>
        <v>95.111500620200317</v>
      </c>
      <c r="AH38" s="34">
        <f>$Z$90*ASIN(SIN($Z$89*$Y38)*SIN($Z$89*$C$12)+COS($Z$89*$Y38)*COS($Z$89*AB38)*COS($Z$89*$C$12))</f>
        <v>37.117049828210035</v>
      </c>
      <c r="AI38" s="34">
        <f>IF(SIN($Z$89*AB38)&lt;0,ACOS((SIN($Z$89*$Y38)-SIN($Z$89*AH38)*SIN($Z$89*$C$12))/(COS($Z$89*AH38)*COS($Z$89*$C$12)))/$Z$89,360-ACOS((SIN($Z$89*$Y38)-SIN($Z$89*AH38)*SIN($Z$89*$C$12))/(COS($Z$89*AH38)*COS($Z$89*$C$12)))/$Z$89)</f>
        <v>98.043594766502679</v>
      </c>
      <c r="AJ38" s="34">
        <f>$Z$90*ASIN(SIN($Z$89*$Y38)*SIN($Z$89*$C$12)+COS($Z$89*$Y38)*COS($Z$89*AC38)*COS($Z$89*$C$12))</f>
        <v>64.592866067043758</v>
      </c>
      <c r="AK38" s="34">
        <f>IF(SIN($Z$89*AC38)&lt;0,ACOS((SIN($Z$89*$Y38)-SIN($Z$89*AJ38)*SIN($Z$89*$C$12))/(COS($Z$89*AJ38)*COS($Z$89*$C$12)))/$Z$89,360-ACOS((SIN($Z$89*$Y38)-SIN($Z$89*AJ38)*SIN($Z$89*$C$12))/(COS($Z$89*AJ38)*COS($Z$89*$C$12)))/$Z$89)</f>
        <v>174.38389382616489</v>
      </c>
      <c r="AL38" s="34">
        <f>$Z$90*ASIN(SIN($Z$89*$Y38)*SIN($Z$89*$C$12)+COS($Z$89*$Y38)*COS($Z$89*AD38)*COS($Z$89*$C$12))</f>
        <v>40.447479666163005</v>
      </c>
      <c r="AM38" s="34">
        <f>IF(SIN($Z$89*AD38)&lt;0,ACOS((SIN($Z$89*$Y38)-SIN($Z$89*AL38)*SIN($Z$89*$C$12))/(COS($Z$89*AL38)*COS($Z$89*$C$12)))/$Z$89,360-ACOS((SIN($Z$89*$Y38)-SIN($Z$89*AL38)*SIN($Z$89*$C$12))/(COS($Z$89*AL38)*COS($Z$89*$C$12)))/$Z$89)</f>
        <v>257.92181235364973</v>
      </c>
      <c r="AN38" s="34">
        <f>$Z$90*ASIN(SIN($Z$89*$Y38)*SIN($Z$89*$C$12)+COS($Z$89*$Y38)*COS($Z$89*AE38)*COS($Z$89*$C$12))</f>
        <v>37.907470442959841</v>
      </c>
      <c r="AO38" s="34">
        <f>IF(SIN($Z$89*AE38)&lt;0,ACOS((SIN($Z$89*$Y38)-SIN($Z$89*AN38)*SIN($Z$89*$C$12))/(COS($Z$89*AN38)*COS($Z$89*$C$12)))/$Z$89,360-ACOS((SIN($Z$89*$Y38)-SIN($Z$89*AN38)*SIN($Z$89*$C$12))/(COS($Z$89*AN38)*COS($Z$89*$C$12)))/$Z$89)</f>
        <v>261.02486781226196</v>
      </c>
      <c r="AP38" s="33"/>
    </row>
    <row r="39" spans="1:42">
      <c r="O39" s="8" t="str">
        <f t="shared" si="6"/>
        <v/>
      </c>
      <c r="P39" s="93" t="s">
        <v>75</v>
      </c>
      <c r="Q39" s="29">
        <v>5</v>
      </c>
      <c r="R39" s="30">
        <v>0.14305555555555557</v>
      </c>
      <c r="S39" s="69" t="s">
        <v>13</v>
      </c>
      <c r="T39" s="30">
        <v>0.19027777777777777</v>
      </c>
      <c r="U39" s="69" t="s">
        <v>13</v>
      </c>
      <c r="V39" s="30">
        <v>0.23819444444444446</v>
      </c>
      <c r="W39" s="90">
        <v>933.6</v>
      </c>
      <c r="X39" s="91">
        <v>3.99</v>
      </c>
      <c r="Y39" s="92">
        <v>20.72</v>
      </c>
      <c r="Z39" s="91">
        <v>16.093</v>
      </c>
      <c r="AA39" s="94">
        <f t="shared" si="1"/>
        <v>240.46499999999997</v>
      </c>
      <c r="AB39" s="69" t="s">
        <v>13</v>
      </c>
      <c r="AC39" s="34">
        <f t="shared" si="3"/>
        <v>257.46499999999997</v>
      </c>
      <c r="AD39" s="69" t="s">
        <v>13</v>
      </c>
      <c r="AE39" s="34">
        <f t="shared" si="5"/>
        <v>274.71499999999997</v>
      </c>
      <c r="AF39" s="34">
        <f>$Z$90*ASIN(SIN($Z$89*$Y39)*SIN($Z$89*$C$12)+COS($Z$89*$Y39)*COS($Z$89*AA39)*COS($Z$89*$C$12))</f>
        <v>-3.5113536896286552</v>
      </c>
      <c r="AG39" s="34">
        <f>IF(SIN($Z$89*AA39)&lt;0,ACOS((SIN($Z$89*$Y39)-SIN($Z$89*AF39)*SIN($Z$89*$C$12))/(COS($Z$89*AF39)*COS($Z$89*$C$12)))/$Z$89,360-ACOS((SIN($Z$89*$Y39)-SIN($Z$89*AF39)*SIN($Z$89*$C$12))/(COS($Z$89*AF39)*COS($Z$89*$C$12)))/$Z$89)</f>
        <v>54.618094650567016</v>
      </c>
      <c r="AH39" s="69" t="s">
        <v>13</v>
      </c>
      <c r="AI39" s="69" t="s">
        <v>13</v>
      </c>
      <c r="AJ39" s="34">
        <f>$Z$90*ASIN(SIN($Z$89*$Y39)*SIN($Z$89*$C$12)+COS($Z$89*$Y39)*COS($Z$89*AC39)*COS($Z$89*$C$12))</f>
        <v>6.6937628339016308</v>
      </c>
      <c r="AK39" s="34">
        <f>IF(SIN($Z$89*AC39)&lt;0,ACOS((SIN($Z$89*$Y39)-SIN($Z$89*AJ39)*SIN($Z$89*$C$12))/(COS($Z$89*AJ39)*COS($Z$89*$C$12)))/$Z$89,360-ACOS((SIN($Z$89*$Y39)-SIN($Z$89*AJ39)*SIN($Z$89*$C$12))/(COS($Z$89*AJ39)*COS($Z$89*$C$12)))/$Z$89)</f>
        <v>66.82285695368995</v>
      </c>
      <c r="AL39" s="69" t="s">
        <v>13</v>
      </c>
      <c r="AM39" s="69" t="s">
        <v>13</v>
      </c>
      <c r="AN39" s="34">
        <f>$Z$90*ASIN(SIN($Z$89*$Y39)*SIN($Z$89*$C$12)+COS($Z$89*$Y39)*COS($Z$89*AE39)*COS($Z$89*$C$12))</f>
        <v>18.022900206879331</v>
      </c>
      <c r="AO39" s="34">
        <f>IF(SIN($Z$89*AE39)&lt;0,ACOS((SIN($Z$89*$Y39)-SIN($Z$89*AN39)*SIN($Z$89*$C$12))/(COS($Z$89*AN39)*COS($Z$89*$C$12)))/$Z$89,360-ACOS((SIN($Z$89*$Y39)-SIN($Z$89*AN39)*SIN($Z$89*$C$12))/(COS($Z$89*AN39)*COS($Z$89*$C$12)))/$Z$89)</f>
        <v>78.594888844986926</v>
      </c>
      <c r="AP39" s="33"/>
    </row>
    <row r="40" spans="1:42">
      <c r="O40" s="8" t="str">
        <f t="shared" si="6"/>
        <v/>
      </c>
      <c r="P40" s="93" t="s">
        <v>76</v>
      </c>
      <c r="Q40" s="29">
        <v>4</v>
      </c>
      <c r="R40" s="30">
        <v>0.75486111111111109</v>
      </c>
      <c r="S40" s="30">
        <v>0.76527777777777783</v>
      </c>
      <c r="T40" s="30">
        <v>0.92361111111111116</v>
      </c>
      <c r="U40" s="30">
        <v>8.1944444444444445E-2</v>
      </c>
      <c r="V40" s="30">
        <v>9.3055555555555558E-2</v>
      </c>
      <c r="W40" s="90">
        <v>99.2</v>
      </c>
      <c r="X40" s="91">
        <v>16.172000000000001</v>
      </c>
      <c r="Y40" s="92">
        <v>-21.21</v>
      </c>
      <c r="Z40" s="91">
        <v>4.3380000000000001</v>
      </c>
      <c r="AA40" s="94">
        <f t="shared" si="1"/>
        <v>101.66000000000001</v>
      </c>
      <c r="AB40" s="34">
        <f t="shared" si="2"/>
        <v>105.41000000000001</v>
      </c>
      <c r="AC40" s="34">
        <f t="shared" si="3"/>
        <v>162.41</v>
      </c>
      <c r="AD40" s="34">
        <f t="shared" si="4"/>
        <v>-140.59000000000003</v>
      </c>
      <c r="AE40" s="34">
        <f t="shared" si="5"/>
        <v>-136.59000000000003</v>
      </c>
      <c r="AF40" s="34">
        <f>$Z$90*ASIN(SIN($Z$89*$Y40)*SIN($Z$89*$C$12)+COS($Z$89*$Y40)*COS($Z$89*AA40)*COS($Z$89*$C$12))</f>
        <v>-23.080755385435005</v>
      </c>
      <c r="AG40" s="34">
        <f>IF(SIN($Z$89*AA40)&lt;0,ACOS((SIN($Z$89*$Y40)-SIN($Z$89*AF40)*SIN($Z$89*$C$12))/(COS($Z$89*AF40)*COS($Z$89*$C$12)))/$Z$89,360-ACOS((SIN($Z$89*$Y40)-SIN($Z$89*AF40)*SIN($Z$89*$C$12))/(COS($Z$89*AF40)*COS($Z$89*$C$12)))/$Z$89)</f>
        <v>262.96260999921969</v>
      </c>
      <c r="AH40" s="34">
        <f>$Z$90*ASIN(SIN($Z$89*$Y40)*SIN($Z$89*$C$12)+COS($Z$89*$Y40)*COS($Z$89*AB40)*COS($Z$89*$C$12))</f>
        <v>-25.651282638119881</v>
      </c>
      <c r="AI40" s="34">
        <f>IF(SIN($Z$89*AB40)&lt;0,ACOS((SIN($Z$89*$Y40)-SIN($Z$89*AH40)*SIN($Z$89*$C$12))/(COS($Z$89*AH40)*COS($Z$89*$C$12)))/$Z$89,360-ACOS((SIN($Z$89*$Y40)-SIN($Z$89*AH40)*SIN($Z$89*$C$12))/(COS($Z$89*AH40)*COS($Z$89*$C$12)))/$Z$89)</f>
        <v>265.56399498453317</v>
      </c>
      <c r="AJ40" s="34">
        <f>$Z$90*ASIN(SIN($Z$89*$Y40)*SIN($Z$89*$C$12)+COS($Z$89*$Y40)*COS($Z$89*AC40)*COS($Z$89*$C$12))</f>
        <v>-60.98551299012022</v>
      </c>
      <c r="AK40" s="34">
        <f>IF(SIN($Z$89*AC40)&lt;0,ACOS((SIN($Z$89*$Y40)-SIN($Z$89*AJ40)*SIN($Z$89*$C$12))/(COS($Z$89*AJ40)*COS($Z$89*$C$12)))/$Z$89,360-ACOS((SIN($Z$89*$Y40)-SIN($Z$89*AJ40)*SIN($Z$89*$C$12))/(COS($Z$89*AJ40)*COS($Z$89*$C$12)))/$Z$89)</f>
        <v>324.48930979748275</v>
      </c>
      <c r="AL40" s="34">
        <f>$Z$90*ASIN(SIN($Z$89*$Y40)*SIN($Z$89*$C$12)+COS($Z$89*$Y40)*COS($Z$89*AD40)*COS($Z$89*$C$12))</f>
        <v>-49.330521771678576</v>
      </c>
      <c r="AM40" s="34">
        <f>IF(SIN($Z$89*AD40)&lt;0,ACOS((SIN($Z$89*$Y40)-SIN($Z$89*AL40)*SIN($Z$89*$C$12))/(COS($Z$89*AL40)*COS($Z$89*$C$12)))/$Z$89,360-ACOS((SIN($Z$89*$Y40)-SIN($Z$89*AL40)*SIN($Z$89*$C$12))/(COS($Z$89*AL40)*COS($Z$89*$C$12)))/$Z$89)</f>
        <v>65.255912515749472</v>
      </c>
      <c r="AN40" s="34">
        <f>$Z$90*ASIN(SIN($Z$89*$Y40)*SIN($Z$89*$C$12)+COS($Z$89*$Y40)*COS($Z$89*AE40)*COS($Z$89*$C$12))</f>
        <v>-46.788159331041854</v>
      </c>
      <c r="AO40" s="34">
        <f>IF(SIN($Z$89*AE40)&lt;0,ACOS((SIN($Z$89*$Y40)-SIN($Z$89*AN40)*SIN($Z$89*$C$12))/(COS($Z$89*AN40)*COS($Z$89*$C$12)))/$Z$89,360-ACOS((SIN($Z$89*$Y40)-SIN($Z$89*AN40)*SIN($Z$89*$C$12))/(COS($Z$89*AN40)*COS($Z$89*$C$12)))/$Z$89)</f>
        <v>69.339443746626046</v>
      </c>
      <c r="AP40" s="33"/>
    </row>
    <row r="41" spans="1:42">
      <c r="O41" s="8" t="str">
        <f t="shared" si="6"/>
        <v/>
      </c>
      <c r="P41" s="93" t="s">
        <v>77</v>
      </c>
      <c r="Q41" s="29">
        <v>3</v>
      </c>
      <c r="R41" s="30">
        <v>0.47569444444444442</v>
      </c>
      <c r="S41" s="30">
        <v>0.4861111111111111</v>
      </c>
      <c r="T41" s="30">
        <v>0.63611111111111118</v>
      </c>
      <c r="U41" s="30">
        <v>0.78541666666666676</v>
      </c>
      <c r="V41" s="30">
        <v>0.79652777777777783</v>
      </c>
      <c r="W41" s="90">
        <v>307.60000000000002</v>
      </c>
      <c r="X41" s="91">
        <v>4.3</v>
      </c>
      <c r="Y41" s="92">
        <v>21.52</v>
      </c>
      <c r="Z41" s="91">
        <v>16.388999999999999</v>
      </c>
      <c r="AA41" s="94">
        <f t="shared" si="1"/>
        <v>360.005</v>
      </c>
      <c r="AB41" s="34">
        <f t="shared" si="2"/>
        <v>363.755</v>
      </c>
      <c r="AC41" s="34">
        <f t="shared" si="3"/>
        <v>417.755</v>
      </c>
      <c r="AD41" s="34">
        <f t="shared" si="4"/>
        <v>471.50499999999994</v>
      </c>
      <c r="AE41" s="34">
        <f t="shared" si="5"/>
        <v>475.50499999999994</v>
      </c>
      <c r="AF41" s="34">
        <f>$Z$90*ASIN(SIN($Z$89*$Y41)*SIN($Z$89*$C$12)+COS($Z$89*$Y41)*COS($Z$89*AA41)*COS($Z$89*$C$12))</f>
        <v>65.069999668252095</v>
      </c>
      <c r="AG41" s="34">
        <f>IF(SIN($Z$89*AA41)&lt;0,ACOS((SIN($Z$89*$Y41)-SIN($Z$89*AF41)*SIN($Z$89*$C$12))/(COS($Z$89*AF41)*COS($Z$89*$C$12)))/$Z$89,360-ACOS((SIN($Z$89*$Y41)-SIN($Z$89*AF41)*SIN($Z$89*$C$12))/(COS($Z$89*AF41)*COS($Z$89*$C$12)))/$Z$89)</f>
        <v>180.01103518381981</v>
      </c>
      <c r="AH41" s="34">
        <f>$Z$90*ASIN(SIN($Z$89*$Y41)*SIN($Z$89*$C$12)+COS($Z$89*$Y41)*COS($Z$89*AB41)*COS($Z$89*$C$12))</f>
        <v>64.883612704544774</v>
      </c>
      <c r="AI41" s="34">
        <f>IF(SIN($Z$89*AB41)&lt;0,ACOS((SIN($Z$89*$Y41)-SIN($Z$89*AH41)*SIN($Z$89*$C$12))/(COS($Z$89*AH41)*COS($Z$89*$C$12)))/$Z$89,360-ACOS((SIN($Z$89*$Y41)-SIN($Z$89*AH41)*SIN($Z$89*$C$12))/(COS($Z$89*AH41)*COS($Z$89*$C$12)))/$Z$89)</f>
        <v>188.25248359212583</v>
      </c>
      <c r="AJ41" s="34">
        <f>$Z$90*ASIN(SIN($Z$89*$Y41)*SIN($Z$89*$C$12)+COS($Z$89*$Y41)*COS($Z$89*AC41)*COS($Z$89*$C$12))</f>
        <v>37.433682726388888</v>
      </c>
      <c r="AK41" s="34">
        <f>IF(SIN($Z$89*AC41)&lt;0,ACOS((SIN($Z$89*$Y41)-SIN($Z$89*AJ41)*SIN($Z$89*$C$12))/(COS($Z$89*AJ41)*COS($Z$89*$C$12)))/$Z$89,360-ACOS((SIN($Z$89*$Y41)-SIN($Z$89*AJ41)*SIN($Z$89*$C$12))/(COS($Z$89*AJ41)*COS($Z$89*$C$12)))/$Z$89)</f>
        <v>262.25571430457569</v>
      </c>
      <c r="AL41" s="34">
        <f>$Z$90*ASIN(SIN($Z$89*$Y41)*SIN($Z$89*$C$12)+COS($Z$89*$Y41)*COS($Z$89*AD41)*COS($Z$89*$C$12))</f>
        <v>1.7708290486786336</v>
      </c>
      <c r="AM41" s="34">
        <f>IF(SIN($Z$89*AD41)&lt;0,ACOS((SIN($Z$89*$Y41)-SIN($Z$89*AL41)*SIN($Z$89*$C$12))/(COS($Z$89*AL41)*COS($Z$89*$C$12)))/$Z$89,360-ACOS((SIN($Z$89*$Y41)-SIN($Z$89*AL41)*SIN($Z$89*$C$12))/(COS($Z$89*AL41)*COS($Z$89*$C$12)))/$Z$89)</f>
        <v>300.00960596885869</v>
      </c>
      <c r="AN41" s="34">
        <f>$Z$90*ASIN(SIN($Z$89*$Y41)*SIN($Z$89*$C$12)+COS($Z$89*$Y41)*COS($Z$89*AE41)*COS($Z$89*$C$12))</f>
        <v>-0.58008307802924131</v>
      </c>
      <c r="AO41" s="34">
        <f>IF(SIN($Z$89*AE41)&lt;0,ACOS((SIN($Z$89*$Y41)-SIN($Z$89*AN41)*SIN($Z$89*$C$12))/(COS($Z$89*AN41)*COS($Z$89*$C$12)))/$Z$89,360-ACOS((SIN($Z$89*$Y41)-SIN($Z$89*AN41)*SIN($Z$89*$C$12))/(COS($Z$89*AN41)*COS($Z$89*$C$12)))/$Z$89)</f>
        <v>302.89431406347904</v>
      </c>
      <c r="AP41" s="33"/>
    </row>
    <row r="42" spans="1:42">
      <c r="O42" s="8" t="str">
        <f t="shared" si="6"/>
        <v/>
      </c>
      <c r="P42" s="93" t="s">
        <v>78</v>
      </c>
      <c r="Q42" s="29">
        <v>5</v>
      </c>
      <c r="R42" s="30">
        <v>0.27291666666666664</v>
      </c>
      <c r="S42" s="30">
        <v>0.2986111111111111</v>
      </c>
      <c r="T42" s="30">
        <v>0.35</v>
      </c>
      <c r="U42" s="30">
        <v>0.40069444444444446</v>
      </c>
      <c r="V42" s="30">
        <v>0.42708333333333331</v>
      </c>
      <c r="W42" s="90">
        <v>866.6</v>
      </c>
      <c r="X42" s="91">
        <v>4.1509999999999998</v>
      </c>
      <c r="Y42" s="92">
        <v>21.14</v>
      </c>
      <c r="Z42" s="91">
        <v>16.242999999999999</v>
      </c>
      <c r="AA42" s="94">
        <f t="shared" si="1"/>
        <v>287.05</v>
      </c>
      <c r="AB42" s="34">
        <f t="shared" si="2"/>
        <v>296.3</v>
      </c>
      <c r="AC42" s="34">
        <f t="shared" si="3"/>
        <v>314.79999999999995</v>
      </c>
      <c r="AD42" s="34">
        <f t="shared" si="4"/>
        <v>333.05</v>
      </c>
      <c r="AE42" s="34">
        <f t="shared" si="5"/>
        <v>342.55</v>
      </c>
      <c r="AF42" s="34">
        <f>$Z$90*ASIN(SIN($Z$89*$Y42)*SIN($Z$89*$C$12)+COS($Z$89*$Y42)*COS($Z$89*AA42)*COS($Z$89*$C$12))</f>
        <v>26.731377728335563</v>
      </c>
      <c r="AG42" s="34">
        <f>IF(SIN($Z$89*AA42)&lt;0,ACOS((SIN($Z$89*$Y42)-SIN($Z$89*AF42)*SIN($Z$89*$C$12))/(COS($Z$89*AF42)*COS($Z$89*$C$12)))/$Z$89,360-ACOS((SIN($Z$89*$Y42)-SIN($Z$89*AF42)*SIN($Z$89*$C$12))/(COS($Z$89*AF42)*COS($Z$89*$C$12)))/$Z$89)</f>
        <v>86.773032575625692</v>
      </c>
      <c r="AH42" s="34">
        <f>$Z$90*ASIN(SIN($Z$89*$Y42)*SIN($Z$89*$C$12)+COS($Z$89*$Y42)*COS($Z$89*AB42)*COS($Z$89*$C$12))</f>
        <v>33.100853848692509</v>
      </c>
      <c r="AI42" s="34">
        <f>IF(SIN($Z$89*AB42)&lt;0,ACOS((SIN($Z$89*$Y42)-SIN($Z$89*AH42)*SIN($Z$89*$C$12))/(COS($Z$89*AH42)*COS($Z$89*$C$12)))/$Z$89,360-ACOS((SIN($Z$89*$Y42)-SIN($Z$89*AH42)*SIN($Z$89*$C$12))/(COS($Z$89*AH42)*COS($Z$89*$C$12)))/$Z$89)</f>
        <v>93.492607350239226</v>
      </c>
      <c r="AJ42" s="34">
        <f>$Z$90*ASIN(SIN($Z$89*$Y42)*SIN($Z$89*$C$12)+COS($Z$89*$Y42)*COS($Z$89*AC42)*COS($Z$89*$C$12))</f>
        <v>45.577677093139194</v>
      </c>
      <c r="AK42" s="34">
        <f>IF(SIN($Z$89*AC42)&lt;0,ACOS((SIN($Z$89*$Y42)-SIN($Z$89*AJ42)*SIN($Z$89*$C$12))/(COS($Z$89*AJ42)*COS($Z$89*$C$12)))/$Z$89,360-ACOS((SIN($Z$89*$Y42)-SIN($Z$89*AJ42)*SIN($Z$89*$C$12))/(COS($Z$89*AJ42)*COS($Z$89*$C$12)))/$Z$89)</f>
        <v>108.99743551116804</v>
      </c>
      <c r="AL42" s="34">
        <f>$Z$90*ASIN(SIN($Z$89*$Y42)*SIN($Z$89*$C$12)+COS($Z$89*$Y42)*COS($Z$89*AD42)*COS($Z$89*$C$12))</f>
        <v>56.534805511723377</v>
      </c>
      <c r="AM42" s="34">
        <f>IF(SIN($Z$89*AD42)&lt;0,ACOS((SIN($Z$89*$Y42)-SIN($Z$89*AL42)*SIN($Z$89*$C$12))/(COS($Z$89*AL42)*COS($Z$89*$C$12)))/$Z$89,360-ACOS((SIN($Z$89*$Y42)-SIN($Z$89*AL42)*SIN($Z$89*$C$12))/(COS($Z$89*AL42)*COS($Z$89*$C$12)))/$Z$89)</f>
        <v>129.95272420252024</v>
      </c>
      <c r="AN42" s="34">
        <f>$Z$90*ASIN(SIN($Z$89*$Y42)*SIN($Z$89*$C$12)+COS($Z$89*$Y42)*COS($Z$89*AE42)*COS($Z$89*$C$12))</f>
        <v>60.978053485232657</v>
      </c>
      <c r="AO42" s="34">
        <f>IF(SIN($Z$89*AE42)&lt;0,ACOS((SIN($Z$89*$Y42)-SIN($Z$89*AN42)*SIN($Z$89*$C$12))/(COS($Z$89*AN42)*COS($Z$89*$C$12)))/$Z$89,360-ACOS((SIN($Z$89*$Y42)-SIN($Z$89*AN42)*SIN($Z$89*$C$12))/(COS($Z$89*AN42)*COS($Z$89*$C$12)))/$Z$89)</f>
        <v>144.79429098785721</v>
      </c>
      <c r="AP42" s="33"/>
    </row>
    <row r="43" spans="1:42">
      <c r="O43" s="8" t="str">
        <f t="shared" si="6"/>
        <v/>
      </c>
      <c r="P43" s="93" t="s">
        <v>79</v>
      </c>
      <c r="Q43" s="29">
        <v>4</v>
      </c>
      <c r="R43" s="30">
        <v>0.72638888888888886</v>
      </c>
      <c r="S43" s="30">
        <v>0.73750000000000004</v>
      </c>
      <c r="T43" s="30">
        <v>0.89236111111111116</v>
      </c>
      <c r="U43" s="30">
        <v>4.7916666666666663E-2</v>
      </c>
      <c r="V43" s="30">
        <v>5.8333333333333327E-2</v>
      </c>
      <c r="W43" s="90">
        <v>207.9</v>
      </c>
      <c r="X43" s="91">
        <v>16.312000000000001</v>
      </c>
      <c r="Y43" s="92">
        <v>-21.53</v>
      </c>
      <c r="Z43" s="91">
        <v>4.4749999999999996</v>
      </c>
      <c r="AA43" s="94">
        <f t="shared" si="1"/>
        <v>91.365000000000009</v>
      </c>
      <c r="AB43" s="34">
        <f t="shared" si="2"/>
        <v>95.364999999999995</v>
      </c>
      <c r="AC43" s="34">
        <f t="shared" si="3"/>
        <v>151.11500000000001</v>
      </c>
      <c r="AD43" s="34">
        <f t="shared" si="4"/>
        <v>-152.88500000000002</v>
      </c>
      <c r="AE43" s="34">
        <f t="shared" si="5"/>
        <v>-149.13500000000002</v>
      </c>
      <c r="AF43" s="34">
        <f>$Z$90*ASIN(SIN($Z$89*$Y43)*SIN($Z$89*$C$12)+COS($Z$89*$Y43)*COS($Z$89*AA43)*COS($Z$89*$C$12))</f>
        <v>-16.334876694673742</v>
      </c>
      <c r="AG43" s="34">
        <f>IF(SIN($Z$89*AA43)&lt;0,ACOS((SIN($Z$89*$Y43)-SIN($Z$89*AF43)*SIN($Z$89*$C$12))/(COS($Z$89*AF43)*COS($Z$89*$C$12)))/$Z$89,360-ACOS((SIN($Z$89*$Y43)-SIN($Z$89*AF43)*SIN($Z$89*$C$12))/(COS($Z$89*AF43)*COS($Z$89*$C$12)))/$Z$89)</f>
        <v>255.714720304613</v>
      </c>
      <c r="AH43" s="34">
        <f>$Z$90*ASIN(SIN($Z$89*$Y43)*SIN($Z$89*$C$12)+COS($Z$89*$Y43)*COS($Z$89*AB43)*COS($Z$89*$C$12))</f>
        <v>-19.020649402414691</v>
      </c>
      <c r="AI43" s="34">
        <f>IF(SIN($Z$89*AB43)&lt;0,ACOS((SIN($Z$89*$Y43)-SIN($Z$89*AH43)*SIN($Z$89*$C$12))/(COS($Z$89*AH43)*COS($Z$89*$C$12)))/$Z$89,360-ACOS((SIN($Z$89*$Y43)-SIN($Z$89*AH43)*SIN($Z$89*$C$12))/(COS($Z$89*AH43)*COS($Z$89*$C$12)))/$Z$89)</f>
        <v>258.41775805297357</v>
      </c>
      <c r="AJ43" s="34">
        <f>$Z$90*ASIN(SIN($Z$89*$Y43)*SIN($Z$89*$C$12)+COS($Z$89*$Y43)*COS($Z$89*AC43)*COS($Z$89*$C$12))</f>
        <v>-55.808258375875212</v>
      </c>
      <c r="AK43" s="34">
        <f>IF(SIN($Z$89*AC43)&lt;0,ACOS((SIN($Z$89*$Y43)-SIN($Z$89*AJ43)*SIN($Z$89*$C$12))/(COS($Z$89*AJ43)*COS($Z$89*$C$12)))/$Z$89,360-ACOS((SIN($Z$89*$Y43)-SIN($Z$89*AJ43)*SIN($Z$89*$C$12))/(COS($Z$89*AJ43)*COS($Z$89*$C$12)))/$Z$89)</f>
        <v>306.90776301814685</v>
      </c>
      <c r="AL43" s="34">
        <f>$Z$90*ASIN(SIN($Z$89*$Y43)*SIN($Z$89*$C$12)+COS($Z$89*$Y43)*COS($Z$89*AD43)*COS($Z$89*$C$12))</f>
        <v>-56.767797274801531</v>
      </c>
      <c r="AM43" s="34">
        <f>IF(SIN($Z$89*AD43)&lt;0,ACOS((SIN($Z$89*$Y43)-SIN($Z$89*AL43)*SIN($Z$89*$C$12))/(COS($Z$89*AL43)*COS($Z$89*$C$12)))/$Z$89,360-ACOS((SIN($Z$89*$Y43)-SIN($Z$89*AL43)*SIN($Z$89*$C$12))/(COS($Z$89*AL43)*COS($Z$89*$C$12)))/$Z$89)</f>
        <v>50.681183359353668</v>
      </c>
      <c r="AN43" s="34">
        <f>$Z$90*ASIN(SIN($Z$89*$Y43)*SIN($Z$89*$C$12)+COS($Z$89*$Y43)*COS($Z$89*AE43)*COS($Z$89*$C$12))</f>
        <v>-54.699228776770966</v>
      </c>
      <c r="AO43" s="34">
        <f>IF(SIN($Z$89*AE43)&lt;0,ACOS((SIN($Z$89*$Y43)-SIN($Z$89*AN43)*SIN($Z$89*$C$12))/(COS($Z$89*AN43)*COS($Z$89*$C$12)))/$Z$89,360-ACOS((SIN($Z$89*$Y43)-SIN($Z$89*AN43)*SIN($Z$89*$C$12))/(COS($Z$89*AN43)*COS($Z$89*$C$12)))/$Z$89)</f>
        <v>55.672779697172444</v>
      </c>
      <c r="AP43" s="33"/>
    </row>
    <row r="44" spans="1:42" ht="16" customHeight="1">
      <c r="O44" s="8" t="str">
        <f t="shared" si="6"/>
        <v/>
      </c>
      <c r="P44" s="93" t="s">
        <v>80</v>
      </c>
      <c r="Q44" s="29">
        <v>3</v>
      </c>
      <c r="R44" s="30">
        <v>0.6381944444444444</v>
      </c>
      <c r="S44" s="30">
        <v>0.64930555555555558</v>
      </c>
      <c r="T44" s="30">
        <v>0.7944444444444444</v>
      </c>
      <c r="U44" s="30">
        <v>0.93958333333333333</v>
      </c>
      <c r="V44" s="30">
        <v>0.9506944444444444</v>
      </c>
      <c r="W44" s="90">
        <v>373.4</v>
      </c>
      <c r="X44" s="91">
        <v>4.4630000000000001</v>
      </c>
      <c r="Y44" s="92">
        <v>21.87</v>
      </c>
      <c r="Z44" s="91">
        <v>16.539000000000001</v>
      </c>
      <c r="AA44" s="94">
        <f t="shared" si="1"/>
        <v>418.31</v>
      </c>
      <c r="AB44" s="34">
        <f t="shared" si="2"/>
        <v>422.31000000000006</v>
      </c>
      <c r="AC44" s="34">
        <f t="shared" si="3"/>
        <v>474.56000000000006</v>
      </c>
      <c r="AD44" s="34">
        <f t="shared" si="4"/>
        <v>526.80999999999995</v>
      </c>
      <c r="AE44" s="34">
        <f t="shared" si="5"/>
        <v>530.81000000000006</v>
      </c>
      <c r="AF44" s="34">
        <f>$Z$90*ASIN(SIN($Z$89*$Y44)*SIN($Z$89*$C$12)+COS($Z$89*$Y44)*COS($Z$89*AA44)*COS($Z$89*$C$12))</f>
        <v>37.291622927805001</v>
      </c>
      <c r="AG44" s="34">
        <f>IF(SIN($Z$89*AA44)&lt;0,ACOS((SIN($Z$89*$Y44)-SIN($Z$89*AF44)*SIN($Z$89*$C$12))/(COS($Z$89*AF44)*COS($Z$89*$C$12)))/$Z$89,360-ACOS((SIN($Z$89*$Y44)-SIN($Z$89*AF44)*SIN($Z$89*$C$12))/(COS($Z$89*AF44)*COS($Z$89*$C$12)))/$Z$89)</f>
        <v>263.01921490554031</v>
      </c>
      <c r="AH44" s="34">
        <f>$Z$90*ASIN(SIN($Z$89*$Y44)*SIN($Z$89*$C$12)+COS($Z$89*$Y44)*COS($Z$89*AB44)*COS($Z$89*$C$12))</f>
        <v>34.548354115698722</v>
      </c>
      <c r="AI44" s="34">
        <f>IF(SIN($Z$89*AB44)&lt;0,ACOS((SIN($Z$89*$Y44)-SIN($Z$89*AH44)*SIN($Z$89*$C$12))/(COS($Z$89*AH44)*COS($Z$89*$C$12)))/$Z$89,360-ACOS((SIN($Z$89*$Y44)-SIN($Z$89*AH44)*SIN($Z$89*$C$12))/(COS($Z$89*AH44)*COS($Z$89*$C$12)))/$Z$89)</f>
        <v>266.10802741566442</v>
      </c>
      <c r="AJ44" s="34">
        <f>$Z$90*ASIN(SIN($Z$89*$Y44)*SIN($Z$89*$C$12)+COS($Z$89*$Y44)*COS($Z$89*AC44)*COS($Z$89*$C$12))</f>
        <v>0.24148472180694497</v>
      </c>
      <c r="AK44" s="34">
        <f>IF(SIN($Z$89*AC44)&lt;0,ACOS((SIN($Z$89*$Y44)-SIN($Z$89*AJ44)*SIN($Z$89*$C$12))/(COS($Z$89*AJ44)*COS($Z$89*$C$12)))/$Z$89,360-ACOS((SIN($Z$89*$Y44)-SIN($Z$89*AJ44)*SIN($Z$89*$C$12))/(COS($Z$89*AJ44)*COS($Z$89*$C$12)))/$Z$89)</f>
        <v>302.42685626726859</v>
      </c>
      <c r="AL44" s="34">
        <f>$Z$90*ASIN(SIN($Z$89*$Y44)*SIN($Z$89*$C$12)+COS($Z$89*$Y44)*COS($Z$89*AD44)*COS($Z$89*$C$12))</f>
        <v>-20.64362002525235</v>
      </c>
      <c r="AM44" s="34">
        <f>IF(SIN($Z$89*AD44)&lt;0,ACOS((SIN($Z$89*$Y44)-SIN($Z$89*AL44)*SIN($Z$89*$C$12))/(COS($Z$89*AL44)*COS($Z$89*$C$12)))/$Z$89,360-ACOS((SIN($Z$89*$Y44)-SIN($Z$89*AL44)*SIN($Z$89*$C$12))/(COS($Z$89*AL44)*COS($Z$89*$C$12)))/$Z$89)</f>
        <v>346.92132585666866</v>
      </c>
      <c r="AN44" s="34">
        <f>$Z$90*ASIN(SIN($Z$89*$Y44)*SIN($Z$89*$C$12)+COS($Z$89*$Y44)*COS($Z$89*AE44)*COS($Z$89*$C$12))</f>
        <v>-21.17484085123812</v>
      </c>
      <c r="AO44" s="34">
        <f>IF(SIN($Z$89*AE44)&lt;0,ACOS((SIN($Z$89*$Y44)-SIN($Z$89*AN44)*SIN($Z$89*$C$12))/(COS($Z$89*AN44)*COS($Z$89*$C$12)))/$Z$89,360-ACOS((SIN($Z$89*$Y44)-SIN($Z$89*AN44)*SIN($Z$89*$C$12))/(COS($Z$89*AN44)*COS($Z$89*$C$12)))/$Z$89)</f>
        <v>350.85424458739965</v>
      </c>
      <c r="AP44" s="33"/>
    </row>
    <row r="45" spans="1:42">
      <c r="O45" s="8" t="str">
        <f t="shared" si="6"/>
        <v/>
      </c>
      <c r="P45" s="93" t="s">
        <v>81</v>
      </c>
      <c r="Q45" s="29">
        <v>5</v>
      </c>
      <c r="R45" s="30">
        <v>0.41875000000000001</v>
      </c>
      <c r="S45" s="30">
        <v>0.4375</v>
      </c>
      <c r="T45" s="30">
        <v>0.51736111111111105</v>
      </c>
      <c r="U45" s="30">
        <v>0.59722222222222221</v>
      </c>
      <c r="V45" s="30">
        <v>0.61527777777777781</v>
      </c>
      <c r="W45" s="90">
        <v>791.8</v>
      </c>
      <c r="X45" s="91">
        <v>4.3140000000000001</v>
      </c>
      <c r="Y45" s="92">
        <v>21.52</v>
      </c>
      <c r="Z45" s="91">
        <v>16.393000000000001</v>
      </c>
      <c r="AA45" s="94">
        <f t="shared" si="1"/>
        <v>339.35500000000002</v>
      </c>
      <c r="AB45" s="34">
        <f t="shared" si="2"/>
        <v>346.10500000000002</v>
      </c>
      <c r="AC45" s="34">
        <f t="shared" si="3"/>
        <v>374.85500000000002</v>
      </c>
      <c r="AD45" s="34">
        <f t="shared" si="4"/>
        <v>403.60500000000002</v>
      </c>
      <c r="AE45" s="34">
        <f t="shared" si="5"/>
        <v>410.10500000000002</v>
      </c>
      <c r="AF45" s="34">
        <f>$Z$90*ASIN(SIN($Z$89*$Y45)*SIN($Z$89*$C$12)+COS($Z$89*$Y45)*COS($Z$89*AA45)*COS($Z$89*$C$12))</f>
        <v>59.958497275494175</v>
      </c>
      <c r="AG45" s="34">
        <f>IF(SIN($Z$89*AA45)&lt;0,ACOS((SIN($Z$89*$Y45)-SIN($Z$89*AF45)*SIN($Z$89*$C$12))/(COS($Z$89*AF45)*COS($Z$89*$C$12)))/$Z$89,360-ACOS((SIN($Z$89*$Y45)-SIN($Z$89*AF45)*SIN($Z$89*$C$12))/(COS($Z$89*AF45)*COS($Z$89*$C$12)))/$Z$89)</f>
        <v>139.06707423750879</v>
      </c>
      <c r="AH45" s="34">
        <f>$Z$90*ASIN(SIN($Z$89*$Y45)*SIN($Z$89*$C$12)+COS($Z$89*$Y45)*COS($Z$89*AB45)*COS($Z$89*$C$12))</f>
        <v>62.631389618231836</v>
      </c>
      <c r="AI45" s="34">
        <f>IF(SIN($Z$89*AB45)&lt;0,ACOS((SIN($Z$89*$Y45)-SIN($Z$89*AH45)*SIN($Z$89*$C$12))/(COS($Z$89*AH45)*COS($Z$89*$C$12)))/$Z$89,360-ACOS((SIN($Z$89*$Y45)-SIN($Z$89*AH45)*SIN($Z$89*$C$12))/(COS($Z$89*AH45)*COS($Z$89*$C$12)))/$Z$89)</f>
        <v>150.92453330794319</v>
      </c>
      <c r="AJ45" s="34">
        <f>$Z$90*ASIN(SIN($Z$89*$Y45)*SIN($Z$89*$C$12)+COS($Z$89*$Y45)*COS($Z$89*AC45)*COS($Z$89*$C$12))</f>
        <v>62.300930624504616</v>
      </c>
      <c r="AK45" s="34">
        <f>IF(SIN($Z$89*AC45)&lt;0,ACOS((SIN($Z$89*$Y45)-SIN($Z$89*AJ45)*SIN($Z$89*$C$12))/(COS($Z$89*AJ45)*COS($Z$89*$C$12)))/$Z$89,360-ACOS((SIN($Z$89*$Y45)-SIN($Z$89*AJ45)*SIN($Z$89*$C$12))/(COS($Z$89*AJ45)*COS($Z$89*$C$12)))/$Z$89)</f>
        <v>210.87035813829536</v>
      </c>
      <c r="AL45" s="34">
        <f>$Z$90*ASIN(SIN($Z$89*$Y45)*SIN($Z$89*$C$12)+COS($Z$89*$Y45)*COS($Z$89*AD45)*COS($Z$89*$C$12))</f>
        <v>46.885613138054076</v>
      </c>
      <c r="AM45" s="34">
        <f>IF(SIN($Z$89*AD45)&lt;0,ACOS((SIN($Z$89*$Y45)-SIN($Z$89*AL45)*SIN($Z$89*$C$12))/(COS($Z$89*AL45)*COS($Z$89*$C$12)))/$Z$89,360-ACOS((SIN($Z$89*$Y45)-SIN($Z$89*AL45)*SIN($Z$89*$C$12))/(COS($Z$89*AL45)*COS($Z$89*$C$12)))/$Z$89)</f>
        <v>249.84495003196017</v>
      </c>
      <c r="AN45" s="34">
        <f>$Z$90*ASIN(SIN($Z$89*$Y45)*SIN($Z$89*$C$12)+COS($Z$89*$Y45)*COS($Z$89*AE45)*COS($Z$89*$C$12))</f>
        <v>42.60692211266857</v>
      </c>
      <c r="AO45" s="34">
        <f>IF(SIN($Z$89*AE45)&lt;0,ACOS((SIN($Z$89*$Y45)-SIN($Z$89*AN45)*SIN($Z$89*$C$12))/(COS($Z$89*AN45)*COS($Z$89*$C$12)))/$Z$89,360-ACOS((SIN($Z$89*$Y45)-SIN($Z$89*AN45)*SIN($Z$89*$C$12))/(COS($Z$89*AN45)*COS($Z$89*$C$12)))/$Z$89)</f>
        <v>255.86717852496787</v>
      </c>
      <c r="AP45" s="33"/>
    </row>
    <row r="46" spans="1:42">
      <c r="O46" s="8" t="str">
        <f t="shared" si="6"/>
        <v/>
      </c>
      <c r="P46" s="93" t="s">
        <v>82</v>
      </c>
      <c r="Q46" s="29">
        <v>4</v>
      </c>
      <c r="R46" s="30">
        <v>0.7</v>
      </c>
      <c r="S46" s="30">
        <v>0.71180555555555547</v>
      </c>
      <c r="T46" s="30">
        <v>0.8618055555555556</v>
      </c>
      <c r="U46" s="30">
        <v>1.2500000000000001E-2</v>
      </c>
      <c r="V46" s="30">
        <v>2.361111111111111E-2</v>
      </c>
      <c r="W46" s="90">
        <v>307.60000000000002</v>
      </c>
      <c r="X46" s="91">
        <v>16.454000000000001</v>
      </c>
      <c r="Y46" s="92">
        <v>-21.83</v>
      </c>
      <c r="Z46" s="91">
        <v>4.6130000000000004</v>
      </c>
      <c r="AA46" s="94">
        <f t="shared" si="1"/>
        <v>81.804999999999993</v>
      </c>
      <c r="AB46" s="34">
        <f t="shared" si="2"/>
        <v>86.054999999999964</v>
      </c>
      <c r="AC46" s="34">
        <f t="shared" si="3"/>
        <v>140.05499999999998</v>
      </c>
      <c r="AD46" s="34">
        <f t="shared" si="4"/>
        <v>-165.69500000000002</v>
      </c>
      <c r="AE46" s="34">
        <f t="shared" si="5"/>
        <v>-161.69500000000002</v>
      </c>
      <c r="AF46" s="34">
        <f>$Z$90*ASIN(SIN($Z$89*$Y46)*SIN($Z$89*$C$12)+COS($Z$89*$Y46)*COS($Z$89*AA46)*COS($Z$89*$C$12))</f>
        <v>-10.273220777026504</v>
      </c>
      <c r="AG46" s="34">
        <f>IF(SIN($Z$89*AA46)&lt;0,ACOS((SIN($Z$89*$Y46)-SIN($Z$89*AF46)*SIN($Z$89*$C$12))/(COS($Z$89*AF46)*COS($Z$89*$C$12)))/$Z$89,360-ACOS((SIN($Z$89*$Y46)-SIN($Z$89*AF46)*SIN($Z$89*$C$12))/(COS($Z$89*AF46)*COS($Z$89*$C$12)))/$Z$89)</f>
        <v>249.03226634122132</v>
      </c>
      <c r="AH46" s="34">
        <f>$Z$90*ASIN(SIN($Z$89*$Y46)*SIN($Z$89*$C$12)+COS($Z$89*$Y46)*COS($Z$89*AB46)*COS($Z$89*$C$12))</f>
        <v>-13.03271751066751</v>
      </c>
      <c r="AI46" s="34">
        <f>IF(SIN($Z$89*AB46)&lt;0,ACOS((SIN($Z$89*$Y46)-SIN($Z$89*AH46)*SIN($Z$89*$C$12))/(COS($Z$89*AH46)*COS($Z$89*$C$12)))/$Z$89,360-ACOS((SIN($Z$89*$Y46)-SIN($Z$89*AH46)*SIN($Z$89*$C$12))/(COS($Z$89*AH46)*COS($Z$89*$C$12)))/$Z$89)</f>
        <v>251.91133997458036</v>
      </c>
      <c r="AJ46" s="34">
        <f>$Z$90*ASIN(SIN($Z$89*$Y46)*SIN($Z$89*$C$12)+COS($Z$89*$Y46)*COS($Z$89*AC46)*COS($Z$89*$C$12))</f>
        <v>-49.451121753183926</v>
      </c>
      <c r="AK46" s="34">
        <f>IF(SIN($Z$89*AC46)&lt;0,ACOS((SIN($Z$89*$Y46)-SIN($Z$89*AJ46)*SIN($Z$89*$C$12))/(COS($Z$89*AJ46)*COS($Z$89*$C$12)))/$Z$89,360-ACOS((SIN($Z$89*$Y46)-SIN($Z$89*AJ46)*SIN($Z$89*$C$12))/(COS($Z$89*AJ46)*COS($Z$89*$C$12)))/$Z$89)</f>
        <v>293.53673565502925</v>
      </c>
      <c r="AL46" s="34">
        <f>$Z$90*ASIN(SIN($Z$89*$Y46)*SIN($Z$89*$C$12)+COS($Z$89*$Y46)*COS($Z$89*AD46)*COS($Z$89*$C$12))</f>
        <v>-62.780406797199966</v>
      </c>
      <c r="AM46" s="34">
        <f>IF(SIN($Z$89*AD46)&lt;0,ACOS((SIN($Z$89*$Y46)-SIN($Z$89*AL46)*SIN($Z$89*$C$12))/(COS($Z$89*AL46)*COS($Z$89*$C$12)))/$Z$89,360-ACOS((SIN($Z$89*$Y46)-SIN($Z$89*AL46)*SIN($Z$89*$C$12))/(COS($Z$89*AL46)*COS($Z$89*$C$12)))/$Z$89)</f>
        <v>30.096160455285276</v>
      </c>
      <c r="AN46" s="34">
        <f>$Z$90*ASIN(SIN($Z$89*$Y46)*SIN($Z$89*$C$12)+COS($Z$89*$Y46)*COS($Z$89*AE46)*COS($Z$89*$C$12))</f>
        <v>-61.249995515036609</v>
      </c>
      <c r="AO46" s="34">
        <f>IF(SIN($Z$89*AE46)&lt;0,ACOS((SIN($Z$89*$Y46)-SIN($Z$89*AN46)*SIN($Z$89*$C$12))/(COS($Z$89*AN46)*COS($Z$89*$C$12)))/$Z$89,360-ACOS((SIN($Z$89*$Y46)-SIN($Z$89*AN46)*SIN($Z$89*$C$12))/(COS($Z$89*AN46)*COS($Z$89*$C$12)))/$Z$89)</f>
        <v>37.311936550200095</v>
      </c>
      <c r="AP46" s="33"/>
    </row>
    <row r="47" spans="1:42">
      <c r="O47" s="8" t="str">
        <f t="shared" si="6"/>
        <v/>
      </c>
      <c r="P47" s="93" t="s">
        <v>83</v>
      </c>
      <c r="Q47" s="29">
        <v>3</v>
      </c>
      <c r="R47" s="30">
        <v>0.7944444444444444</v>
      </c>
      <c r="S47" s="30">
        <v>0.80555555555555547</v>
      </c>
      <c r="T47" s="30">
        <v>0.94444444444444453</v>
      </c>
      <c r="U47" s="30">
        <v>8.4027777777777771E-2</v>
      </c>
      <c r="V47" s="30">
        <v>9.5138888888888884E-2</v>
      </c>
      <c r="W47" s="90">
        <v>444.9</v>
      </c>
      <c r="X47" s="91">
        <v>4.6269999999999998</v>
      </c>
      <c r="Y47" s="92">
        <v>22.18</v>
      </c>
      <c r="Z47" s="91">
        <v>16.689</v>
      </c>
      <c r="AA47" s="94">
        <f t="shared" si="1"/>
        <v>474.35000000000008</v>
      </c>
      <c r="AB47" s="34">
        <f t="shared" si="2"/>
        <v>478.35000000000008</v>
      </c>
      <c r="AC47" s="34">
        <f t="shared" si="3"/>
        <v>528.34999999999991</v>
      </c>
      <c r="AD47" s="34">
        <f t="shared" si="4"/>
        <v>218.6</v>
      </c>
      <c r="AE47" s="34">
        <f t="shared" si="5"/>
        <v>222.60000000000002</v>
      </c>
      <c r="AF47" s="34">
        <f>$Z$90*ASIN(SIN($Z$89*$Y47)*SIN($Z$89*$C$12)+COS($Z$89*$Y47)*COS($Z$89*AA47)*COS($Z$89*$C$12))</f>
        <v>0.60503059768610801</v>
      </c>
      <c r="AG47" s="34">
        <f>IF(SIN($Z$89*AA47)&lt;0,ACOS((SIN($Z$89*$Y47)-SIN($Z$89*AF47)*SIN($Z$89*$C$12))/(COS($Z$89*AF47)*COS($Z$89*$C$12)))/$Z$89,360-ACOS((SIN($Z$89*$Y47)-SIN($Z$89*AF47)*SIN($Z$89*$C$12))/(COS($Z$89*AF47)*COS($Z$89*$C$12)))/$Z$89)</f>
        <v>302.469663138626</v>
      </c>
      <c r="AH47" s="34">
        <f>$Z$90*ASIN(SIN($Z$89*$Y47)*SIN($Z$89*$C$12)+COS($Z$89*$Y47)*COS($Z$89*AB47)*COS($Z$89*$C$12))</f>
        <v>-1.6816175188848297</v>
      </c>
      <c r="AI47" s="34">
        <f>IF(SIN($Z$89*AB47)&lt;0,ACOS((SIN($Z$89*$Y47)-SIN($Z$89*AH47)*SIN($Z$89*$C$12))/(COS($Z$89*AH47)*COS($Z$89*$C$12)))/$Z$89,360-ACOS((SIN($Z$89*$Y47)-SIN($Z$89*AH47)*SIN($Z$89*$C$12))/(COS($Z$89*AH47)*COS($Z$89*$C$12)))/$Z$89)</f>
        <v>305.3837686164178</v>
      </c>
      <c r="AJ47" s="34">
        <f>$Z$90*ASIN(SIN($Z$89*$Y47)*SIN($Z$89*$C$12)+COS($Z$89*$Y47)*COS($Z$89*AC47)*COS($Z$89*$C$12))</f>
        <v>-20.563543329121703</v>
      </c>
      <c r="AK47" s="34">
        <f>IF(SIN($Z$89*AC47)&lt;0,ACOS((SIN($Z$89*$Y47)-SIN($Z$89*AJ47)*SIN($Z$89*$C$12))/(COS($Z$89*AJ47)*COS($Z$89*$C$12)))/$Z$89,360-ACOS((SIN($Z$89*$Y47)-SIN($Z$89*AJ47)*SIN($Z$89*$C$12))/(COS($Z$89*AJ47)*COS($Z$89*$C$12)))/$Z$89)</f>
        <v>348.47968451199131</v>
      </c>
      <c r="AL47" s="34">
        <f>$Z$90*ASIN(SIN($Z$89*$Y47)*SIN($Z$89*$C$12)+COS($Z$89*$Y47)*COS($Z$89*AD47)*COS($Z$89*$C$12))</f>
        <v>-13.002786312258165</v>
      </c>
      <c r="AM47" s="34">
        <f>IF(SIN($Z$89*AD47)&lt;0,ACOS((SIN($Z$89*$Y47)-SIN($Z$89*AL47)*SIN($Z$89*$C$12))/(COS($Z$89*AL47)*COS($Z$89*$C$12)))/$Z$89,360-ACOS((SIN($Z$89*$Y47)-SIN($Z$89*AL47)*SIN($Z$89*$C$12))/(COS($Z$89*AL47)*COS($Z$89*$C$12)))/$Z$89)</f>
        <v>36.364276466173827</v>
      </c>
      <c r="AN47" s="34">
        <f>$Z$90*ASIN(SIN($Z$89*$Y47)*SIN($Z$89*$C$12)+COS($Z$89*$Y47)*COS($Z$89*AE47)*COS($Z$89*$C$12))</f>
        <v>-11.304206618172573</v>
      </c>
      <c r="AO47" s="34">
        <f>IF(SIN($Z$89*AE47)&lt;0,ACOS((SIN($Z$89*$Y47)-SIN($Z$89*AN47)*SIN($Z$89*$C$12))/(COS($Z$89*AN47)*COS($Z$89*$C$12)))/$Z$89,360-ACOS((SIN($Z$89*$Y47)-SIN($Z$89*AN47)*SIN($Z$89*$C$12))/(COS($Z$89*AN47)*COS($Z$89*$C$12)))/$Z$89)</f>
        <v>39.73136270559521</v>
      </c>
      <c r="AP47" s="33"/>
    </row>
    <row r="48" spans="1:42">
      <c r="O48" s="8" t="str">
        <f t="shared" si="6"/>
        <v/>
      </c>
      <c r="P48" s="93" t="s">
        <v>84</v>
      </c>
      <c r="Q48" s="29">
        <v>5</v>
      </c>
      <c r="R48" s="30">
        <v>0.54722222222222217</v>
      </c>
      <c r="S48" s="30">
        <v>0.56319444444444444</v>
      </c>
      <c r="T48" s="30">
        <v>0.65833333333333333</v>
      </c>
      <c r="U48" s="30">
        <v>0.75347222222222221</v>
      </c>
      <c r="V48" s="30">
        <v>0.76944444444444438</v>
      </c>
      <c r="W48" s="90">
        <v>733.6</v>
      </c>
      <c r="X48" s="91">
        <v>4.4770000000000003</v>
      </c>
      <c r="Y48" s="92">
        <v>21.87</v>
      </c>
      <c r="Z48" s="91">
        <v>16.542999999999999</v>
      </c>
      <c r="AA48" s="94">
        <f t="shared" si="1"/>
        <v>385.40999999999997</v>
      </c>
      <c r="AB48" s="34">
        <f t="shared" si="2"/>
        <v>391.15999999999997</v>
      </c>
      <c r="AC48" s="34">
        <f t="shared" si="3"/>
        <v>425.40999999999997</v>
      </c>
      <c r="AD48" s="34">
        <f t="shared" si="4"/>
        <v>459.66</v>
      </c>
      <c r="AE48" s="34">
        <f t="shared" si="5"/>
        <v>465.41</v>
      </c>
      <c r="AF48" s="34">
        <f>$Z$90*ASIN(SIN($Z$89*$Y48)*SIN($Z$89*$C$12)+COS($Z$89*$Y48)*COS($Z$89*AA48)*COS($Z$89*$C$12))</f>
        <v>57.943582681757569</v>
      </c>
      <c r="AG48" s="34">
        <f>IF(SIN($Z$89*AA48)&lt;0,ACOS((SIN($Z$89*$Y48)-SIN($Z$89*AF48)*SIN($Z$89*$C$12))/(COS($Z$89*AF48)*COS($Z$89*$C$12)))/$Z$89,360-ACOS((SIN($Z$89*$Y48)-SIN($Z$89*AF48)*SIN($Z$89*$C$12))/(COS($Z$89*AF48)*COS($Z$89*$C$12)))/$Z$89)</f>
        <v>228.61422019838014</v>
      </c>
      <c r="AH48" s="34">
        <f>$Z$90*ASIN(SIN($Z$89*$Y48)*SIN($Z$89*$C$12)+COS($Z$89*$Y48)*COS($Z$89*AB48)*COS($Z$89*$C$12))</f>
        <v>54.798728446891744</v>
      </c>
      <c r="AI48" s="34">
        <f>IF(SIN($Z$89*AB48)&lt;0,ACOS((SIN($Z$89*$Y48)-SIN($Z$89*AH48)*SIN($Z$89*$C$12))/(COS($Z$89*AH48)*COS($Z$89*$C$12)))/$Z$89,360-ACOS((SIN($Z$89*$Y48)-SIN($Z$89*AH48)*SIN($Z$89*$C$12))/(COS($Z$89*AH48)*COS($Z$89*$C$12)))/$Z$89)</f>
        <v>236.4095600549297</v>
      </c>
      <c r="AJ48" s="34">
        <f>$Z$90*ASIN(SIN($Z$89*$Y48)*SIN($Z$89*$C$12)+COS($Z$89*$Y48)*COS($Z$89*AC48)*COS($Z$89*$C$12))</f>
        <v>32.415061665632315</v>
      </c>
      <c r="AK48" s="34">
        <f>IF(SIN($Z$89*AC48)&lt;0,ACOS((SIN($Z$89*$Y48)-SIN($Z$89*AJ48)*SIN($Z$89*$C$12))/(COS($Z$89*AJ48)*COS($Z$89*$C$12)))/$Z$89,360-ACOS((SIN($Z$89*$Y48)-SIN($Z$89*AJ48)*SIN($Z$89*$C$12))/(COS($Z$89*AJ48)*COS($Z$89*$C$12)))/$Z$89)</f>
        <v>268.42249221894417</v>
      </c>
      <c r="AL48" s="34">
        <f>$Z$90*ASIN(SIN($Z$89*$Y48)*SIN($Z$89*$C$12)+COS($Z$89*$Y48)*COS($Z$89*AD48)*COS($Z$89*$C$12))</f>
        <v>9.362898667142316</v>
      </c>
      <c r="AM48" s="34">
        <f>IF(SIN($Z$89*AD48)&lt;0,ACOS((SIN($Z$89*$Y48)-SIN($Z$89*AL48)*SIN($Z$89*$C$12))/(COS($Z$89*AL48)*COS($Z$89*$C$12)))/$Z$89,360-ACOS((SIN($Z$89*$Y48)-SIN($Z$89*AL48)*SIN($Z$89*$C$12))/(COS($Z$89*AL48)*COS($Z$89*$C$12)))/$Z$89)</f>
        <v>291.99363033815735</v>
      </c>
      <c r="AN48" s="34">
        <f>$Z$90*ASIN(SIN($Z$89*$Y48)*SIN($Z$89*$C$12)+COS($Z$89*$Y48)*COS($Z$89*AE48)*COS($Z$89*$C$12))</f>
        <v>5.7434783329945116</v>
      </c>
      <c r="AO48" s="34">
        <f>IF(SIN($Z$89*AE48)&lt;0,ACOS((SIN($Z$89*$Y48)-SIN($Z$89*AN48)*SIN($Z$89*$C$12))/(COS($Z$89*AN48)*COS($Z$89*$C$12)))/$Z$89,360-ACOS((SIN($Z$89*$Y48)-SIN($Z$89*AN48)*SIN($Z$89*$C$12))/(COS($Z$89*AN48)*COS($Z$89*$C$12)))/$Z$89)</f>
        <v>295.94927767190887</v>
      </c>
      <c r="AP48" s="33"/>
    </row>
    <row r="49" spans="1:42">
      <c r="O49" s="8" t="str">
        <f t="shared" si="6"/>
        <v/>
      </c>
      <c r="P49" s="93" t="s">
        <v>85</v>
      </c>
      <c r="Q49" s="29">
        <v>4</v>
      </c>
      <c r="R49" s="30">
        <v>0.65625</v>
      </c>
      <c r="S49" s="30">
        <v>0.66805555555555562</v>
      </c>
      <c r="T49" s="30">
        <v>0.81041666666666667</v>
      </c>
      <c r="U49" s="30">
        <v>0.95277777777777783</v>
      </c>
      <c r="V49" s="30">
        <v>0.96458333333333324</v>
      </c>
      <c r="W49" s="90">
        <v>424.3</v>
      </c>
      <c r="X49" s="91">
        <v>16.594999999999999</v>
      </c>
      <c r="Y49" s="92">
        <v>-22.1</v>
      </c>
      <c r="Z49" s="91">
        <v>4.75</v>
      </c>
      <c r="AA49" s="94">
        <f t="shared" si="1"/>
        <v>65.995000000000019</v>
      </c>
      <c r="AB49" s="34">
        <f t="shared" si="2"/>
        <v>70.245000000000047</v>
      </c>
      <c r="AC49" s="34">
        <f t="shared" si="3"/>
        <v>121.495</v>
      </c>
      <c r="AD49" s="34">
        <f t="shared" si="4"/>
        <v>172.745</v>
      </c>
      <c r="AE49" s="34">
        <f t="shared" si="5"/>
        <v>176.99499999999998</v>
      </c>
      <c r="AF49" s="34">
        <f>$Z$90*ASIN(SIN($Z$89*$Y49)*SIN($Z$89*$C$12)+COS($Z$89*$Y49)*COS($Z$89*AA49)*COS($Z$89*$C$12))</f>
        <v>-0.74368603341927197</v>
      </c>
      <c r="AG49" s="34">
        <f>IF(SIN($Z$89*AA49)&lt;0,ACOS((SIN($Z$89*$Y49)-SIN($Z$89*AF49)*SIN($Z$89*$C$12))/(COS($Z$89*AF49)*COS($Z$89*$C$12)))/$Z$89,360-ACOS((SIN($Z$89*$Y49)-SIN($Z$89*AF49)*SIN($Z$89*$C$12))/(COS($Z$89*AF49)*COS($Z$89*$C$12)))/$Z$89)</f>
        <v>237.82917910391006</v>
      </c>
      <c r="AH49" s="34">
        <f>$Z$90*ASIN(SIN($Z$89*$Y49)*SIN($Z$89*$C$12)+COS($Z$89*$Y49)*COS($Z$89*AB49)*COS($Z$89*$C$12))</f>
        <v>-3.262476922106909</v>
      </c>
      <c r="AI49" s="34">
        <f>IF(SIN($Z$89*AB49)&lt;0,ACOS((SIN($Z$89*$Y49)-SIN($Z$89*AH49)*SIN($Z$89*$C$12))/(COS($Z$89*AH49)*COS($Z$89*$C$12)))/$Z$89,360-ACOS((SIN($Z$89*$Y49)-SIN($Z$89*AH49)*SIN($Z$89*$C$12))/(COS($Z$89*AH49)*COS($Z$89*$C$12)))/$Z$89)</f>
        <v>240.85791241615263</v>
      </c>
      <c r="AJ49" s="34">
        <f>$Z$90*ASIN(SIN($Z$89*$Y49)*SIN($Z$89*$C$12)+COS($Z$89*$Y49)*COS($Z$89*AC49)*COS($Z$89*$C$12))</f>
        <v>-37.313470642739809</v>
      </c>
      <c r="AK49" s="34">
        <f>IF(SIN($Z$89*AC49)&lt;0,ACOS((SIN($Z$89*$Y49)-SIN($Z$89*AJ49)*SIN($Z$89*$C$12))/(COS($Z$89*AJ49)*COS($Z$89*$C$12)))/$Z$89,360-ACOS((SIN($Z$89*$Y49)-SIN($Z$89*AJ49)*SIN($Z$89*$C$12))/(COS($Z$89*AJ49)*COS($Z$89*$C$12)))/$Z$89)</f>
        <v>276.61400886482511</v>
      </c>
      <c r="AL49" s="34">
        <f>$Z$90*ASIN(SIN($Z$89*$Y49)*SIN($Z$89*$C$12)+COS($Z$89*$Y49)*COS($Z$89*AD49)*COS($Z$89*$C$12))</f>
        <v>-64.949238538145551</v>
      </c>
      <c r="AM49" s="34">
        <f>IF(SIN($Z$89*AD49)&lt;0,ACOS((SIN($Z$89*$Y49)-SIN($Z$89*AL49)*SIN($Z$89*$C$12))/(COS($Z$89*AL49)*COS($Z$89*$C$12)))/$Z$89,360-ACOS((SIN($Z$89*$Y49)-SIN($Z$89*AL49)*SIN($Z$89*$C$12))/(COS($Z$89*AL49)*COS($Z$89*$C$12)))/$Z$89)</f>
        <v>343.95825617215564</v>
      </c>
      <c r="AN49" s="34">
        <f>$Z$90*ASIN(SIN($Z$89*$Y49)*SIN($Z$89*$C$12)+COS($Z$89*$Y49)*COS($Z$89*AE49)*COS($Z$89*$C$12))</f>
        <v>-65.528306921356403</v>
      </c>
      <c r="AO49" s="34">
        <f>IF(SIN($Z$89*AE49)&lt;0,ACOS((SIN($Z$89*$Y49)-SIN($Z$89*AN49)*SIN($Z$89*$C$12))/(COS($Z$89*AN49)*COS($Z$89*$C$12)))/$Z$89,360-ACOS((SIN($Z$89*$Y49)-SIN($Z$89*AN49)*SIN($Z$89*$C$12))/(COS($Z$89*AN49)*COS($Z$89*$C$12)))/$Z$89)</f>
        <v>353.2663806821289</v>
      </c>
      <c r="AP49" s="33"/>
    </row>
    <row r="50" spans="1:42">
      <c r="O50" s="8" t="str">
        <f t="shared" si="6"/>
        <v/>
      </c>
      <c r="P50" s="93" t="s">
        <v>86</v>
      </c>
      <c r="Q50" s="29">
        <v>3</v>
      </c>
      <c r="R50" s="30">
        <v>0.93680555555555556</v>
      </c>
      <c r="S50" s="30">
        <v>0.94861111111111107</v>
      </c>
      <c r="T50" s="30">
        <v>8.1250000000000003E-2</v>
      </c>
      <c r="U50" s="30">
        <v>0.21388888888888891</v>
      </c>
      <c r="V50" s="30">
        <v>0.22569444444444445</v>
      </c>
      <c r="W50" s="90">
        <v>505.3</v>
      </c>
      <c r="X50" s="91">
        <v>4.7910000000000004</v>
      </c>
      <c r="Y50" s="92">
        <v>22.45</v>
      </c>
      <c r="Z50" s="91">
        <v>16.838000000000001</v>
      </c>
      <c r="AA50" s="94">
        <f t="shared" ref="AA50:AA81" si="7">15*($Z50+HOUR(R50)+(MINUTE(R50)/60)-$X50)+$C$13</f>
        <v>525.37499999999989</v>
      </c>
      <c r="AB50" s="69" t="s">
        <v>13</v>
      </c>
      <c r="AC50" s="34">
        <f t="shared" ref="AC50:AC81" si="8">15*($Z50+HOUR(T50)+(MINUTE(T50)/60)-$X50)+$C$13</f>
        <v>217.37499999999997</v>
      </c>
      <c r="AD50" s="69" t="s">
        <v>13</v>
      </c>
      <c r="AE50" s="34">
        <f t="shared" ref="AE50:AE81" si="9">15*($Z50+HOUR(V50)+(MINUTE(V50)/60)-$X50)+$C$13</f>
        <v>269.37500000000006</v>
      </c>
      <c r="AF50" s="34">
        <f>$Z$90*ASIN(SIN($Z$89*$Y50)*SIN($Z$89*$C$12)+COS($Z$89*$Y50)*COS($Z$89*AA50)*COS($Z$89*$C$12))</f>
        <v>-19.838181756864891</v>
      </c>
      <c r="AG50" s="34">
        <f>IF(SIN($Z$89*AA50)&lt;0,ACOS((SIN($Z$89*$Y50)-SIN($Z$89*AF50)*SIN($Z$89*$C$12))/(COS($Z$89*AF50)*COS($Z$89*$C$12)))/$Z$89,360-ACOS((SIN($Z$89*$Y50)-SIN($Z$89*AF50)*SIN($Z$89*$C$12))/(COS($Z$89*AF50)*COS($Z$89*$C$12)))/$Z$89)</f>
        <v>345.63617617331278</v>
      </c>
      <c r="AH50" s="61" t="s">
        <v>13</v>
      </c>
      <c r="AI50" s="61" t="s">
        <v>13</v>
      </c>
      <c r="AJ50" s="34">
        <f>$Z$90*ASIN(SIN($Z$89*$Y50)*SIN($Z$89*$C$12)+COS($Z$89*$Y50)*COS($Z$89*AC50)*COS($Z$89*$C$12))</f>
        <v>-13.253195660629562</v>
      </c>
      <c r="AK50" s="34">
        <f>IF(SIN($Z$89*AC50)&lt;0,ACOS((SIN($Z$89*$Y50)-SIN($Z$89*AJ50)*SIN($Z$89*$C$12))/(COS($Z$89*AJ50)*COS($Z$89*$C$12)))/$Z$89,360-ACOS((SIN($Z$89*$Y50)-SIN($Z$89*AJ50)*SIN($Z$89*$C$12))/(COS($Z$89*AJ50)*COS($Z$89*$C$12)))/$Z$89)</f>
        <v>35.195996788105553</v>
      </c>
      <c r="AL50" s="61" t="s">
        <v>13</v>
      </c>
      <c r="AM50" s="61" t="s">
        <v>13</v>
      </c>
      <c r="AN50" s="34">
        <f>$Z$90*ASIN(SIN($Z$89*$Y50)*SIN($Z$89*$C$12)+COS($Z$89*$Y50)*COS($Z$89*AE50)*COS($Z$89*$C$12))</f>
        <v>15.654053945546519</v>
      </c>
      <c r="AO50" s="34">
        <f>IF(SIN($Z$89*AE50)&lt;0,ACOS((SIN($Z$89*$Y50)-SIN($Z$89*AN50)*SIN($Z$89*$C$12))/(COS($Z$89*AN50)*COS($Z$89*$C$12)))/$Z$89,360-ACOS((SIN($Z$89*$Y50)-SIN($Z$89*AN50)*SIN($Z$89*$C$12))/(COS($Z$89*AN50)*COS($Z$89*$C$12)))/$Z$89)</f>
        <v>73.690152750441314</v>
      </c>
      <c r="AP50" s="33"/>
    </row>
    <row r="51" spans="1:42">
      <c r="O51" s="8" t="str">
        <f t="shared" si="6"/>
        <v/>
      </c>
      <c r="P51" s="93" t="s">
        <v>87</v>
      </c>
      <c r="Q51" s="29">
        <v>5</v>
      </c>
      <c r="R51" s="30">
        <v>0.67708333333333337</v>
      </c>
      <c r="S51" s="30">
        <v>0.69097222222222221</v>
      </c>
      <c r="T51" s="30">
        <v>0.8</v>
      </c>
      <c r="U51" s="30">
        <v>0.90902777777777777</v>
      </c>
      <c r="V51" s="30">
        <v>0.92291666666666661</v>
      </c>
      <c r="W51" s="90">
        <v>666.7</v>
      </c>
      <c r="X51" s="91">
        <v>4.6399999999999997</v>
      </c>
      <c r="Y51" s="92">
        <v>22.18</v>
      </c>
      <c r="Z51" s="91">
        <v>16.692</v>
      </c>
      <c r="AA51" s="94">
        <f t="shared" si="7"/>
        <v>431.95</v>
      </c>
      <c r="AB51" s="34">
        <f t="shared" ref="AB51:AB82" si="10">15*($Z51+HOUR(S51)+(MINUTE(S51)/60)-$X51)+$C$13</f>
        <v>436.95000000000005</v>
      </c>
      <c r="AC51" s="34">
        <f t="shared" si="8"/>
        <v>476.20000000000005</v>
      </c>
      <c r="AD51" s="34">
        <f t="shared" ref="AD51:AD82" si="11">15*($Z51+HOUR(U51)+(MINUTE(U51)/60)-$X51)+$C$13</f>
        <v>515.45000000000005</v>
      </c>
      <c r="AE51" s="34">
        <f t="shared" si="9"/>
        <v>520.44999999999993</v>
      </c>
      <c r="AF51" s="34">
        <f>$Z$90*ASIN(SIN($Z$89*$Y51)*SIN($Z$89*$C$12)+COS($Z$89*$Y51)*COS($Z$89*AA51)*COS($Z$89*$C$12))</f>
        <v>28.118597713707874</v>
      </c>
      <c r="AG51" s="34">
        <f>IF(SIN($Z$89*AA51)&lt;0,ACOS((SIN($Z$89*$Y51)-SIN($Z$89*AF51)*SIN($Z$89*$C$12))/(COS($Z$89*AF51)*COS($Z$89*$C$12)))/$Z$89,360-ACOS((SIN($Z$89*$Y51)-SIN($Z$89*AF51)*SIN($Z$89*$C$12))/(COS($Z$89*AF51)*COS($Z$89*$C$12)))/$Z$89)</f>
        <v>273.39004004237631</v>
      </c>
      <c r="AH51" s="34">
        <f>$Z$90*ASIN(SIN($Z$89*$Y51)*SIN($Z$89*$C$12)+COS($Z$89*$Y51)*COS($Z$89*AB51)*COS($Z$89*$C$12))</f>
        <v>24.688000041923562</v>
      </c>
      <c r="AI51" s="34">
        <f>IF(SIN($Z$89*AB51)&lt;0,ACOS((SIN($Z$89*$Y51)-SIN($Z$89*AH51)*SIN($Z$89*$C$12))/(COS($Z$89*AH51)*COS($Z$89*$C$12)))/$Z$89,360-ACOS((SIN($Z$89*$Y51)-SIN($Z$89*AH51)*SIN($Z$89*$C$12))/(COS($Z$89*AH51)*COS($Z$89*$C$12)))/$Z$89)</f>
        <v>276.86216377234177</v>
      </c>
      <c r="AJ51" s="34">
        <f>$Z$90*ASIN(SIN($Z$89*$Y51)*SIN($Z$89*$C$12)+COS($Z$89*$Y51)*COS($Z$89*AC51)*COS($Z$89*$C$12))</f>
        <v>-0.46225449055606893</v>
      </c>
      <c r="AK51" s="34">
        <f>IF(SIN($Z$89*AC51)&lt;0,ACOS((SIN($Z$89*$Y51)-SIN($Z$89*AJ51)*SIN($Z$89*$C$12))/(COS($Z$89*AJ51)*COS($Z$89*$C$12)))/$Z$89,360-ACOS((SIN($Z$89*$Y51)-SIN($Z$89*AJ51)*SIN($Z$89*$C$12))/(COS($Z$89*AJ51)*COS($Z$89*$C$12)))/$Z$89)</f>
        <v>303.80968099595628</v>
      </c>
      <c r="AL51" s="34">
        <f>$Z$90*ASIN(SIN($Z$89*$Y51)*SIN($Z$89*$C$12)+COS($Z$89*$Y51)*COS($Z$89*AD51)*COS($Z$89*$C$12))</f>
        <v>-17.861255711500494</v>
      </c>
      <c r="AM51" s="34">
        <f>IF(SIN($Z$89*AD51)&lt;0,ACOS((SIN($Z$89*$Y51)-SIN($Z$89*AL51)*SIN($Z$89*$C$12))/(COS($Z$89*AL51)*COS($Z$89*$C$12)))/$Z$89,360-ACOS((SIN($Z$89*$Y51)-SIN($Z$89*AL51)*SIN($Z$89*$C$12))/(COS($Z$89*AL51)*COS($Z$89*$C$12)))/$Z$89)</f>
        <v>336.1574321119042</v>
      </c>
      <c r="AN51" s="34">
        <f>$Z$90*ASIN(SIN($Z$89*$Y51)*SIN($Z$89*$C$12)+COS($Z$89*$Y51)*COS($Z$89*AE51)*COS($Z$89*$C$12))</f>
        <v>-19.123667117290609</v>
      </c>
      <c r="AO51" s="34">
        <f>IF(SIN($Z$89*AE51)&lt;0,ACOS((SIN($Z$89*$Y51)-SIN($Z$89*AN51)*SIN($Z$89*$C$12))/(COS($Z$89*AN51)*COS($Z$89*$C$12)))/$Z$89,360-ACOS((SIN($Z$89*$Y51)-SIN($Z$89*AN51)*SIN($Z$89*$C$12))/(COS($Z$89*AN51)*COS($Z$89*$C$12)))/$Z$89)</f>
        <v>340.85458092289963</v>
      </c>
    </row>
    <row r="52" spans="1:42">
      <c r="O52" s="8" t="str">
        <f t="shared" si="6"/>
        <v/>
      </c>
      <c r="P52" s="93" t="s">
        <v>88</v>
      </c>
      <c r="Q52" s="29">
        <v>6</v>
      </c>
      <c r="R52" s="30">
        <v>0.16111111111111112</v>
      </c>
      <c r="S52" s="30">
        <v>0.2076388888888889</v>
      </c>
      <c r="T52" s="30">
        <v>0.22152777777777777</v>
      </c>
      <c r="U52" s="30">
        <v>0.23611111111111113</v>
      </c>
      <c r="V52" s="30">
        <v>0.28263888888888888</v>
      </c>
      <c r="W52" s="90">
        <v>939.3</v>
      </c>
      <c r="X52" s="91">
        <v>16.911999999999999</v>
      </c>
      <c r="Y52" s="92">
        <v>-22.64</v>
      </c>
      <c r="Z52" s="91">
        <v>5.0449999999999999</v>
      </c>
      <c r="AA52" s="94">
        <f t="shared" si="7"/>
        <v>-112.58499999999998</v>
      </c>
      <c r="AB52" s="34">
        <f t="shared" si="10"/>
        <v>-95.834999999999994</v>
      </c>
      <c r="AC52" s="34">
        <f t="shared" si="8"/>
        <v>-90.834999999999994</v>
      </c>
      <c r="AD52" s="34">
        <f t="shared" si="11"/>
        <v>-85.584999999999994</v>
      </c>
      <c r="AE52" s="34">
        <f t="shared" si="9"/>
        <v>-68.834999999999994</v>
      </c>
      <c r="AF52" s="34">
        <f>$Z$90*ASIN(SIN($Z$89*$Y52)*SIN($Z$89*$C$12)+COS($Z$89*$Y52)*COS($Z$89*AA52)*COS($Z$89*$C$12))</f>
        <v>-31.547947926495461</v>
      </c>
      <c r="AG52" s="34">
        <f>IF(SIN($Z$89*AA52)&lt;0,ACOS((SIN($Z$89*$Y52)-SIN($Z$89*AF52)*SIN($Z$89*$C$12))/(COS($Z$89*AF52)*COS($Z$89*$C$12)))/$Z$89,360-ACOS((SIN($Z$89*$Y52)-SIN($Z$89*AF52)*SIN($Z$89*$C$12))/(COS($Z$89*AF52)*COS($Z$89*$C$12)))/$Z$89)</f>
        <v>90.559120831536902</v>
      </c>
      <c r="AH52" s="34">
        <f>$Z$90*ASIN(SIN($Z$89*$Y52)*SIN($Z$89*$C$12)+COS($Z$89*$Y52)*COS($Z$89*AB52)*COS($Z$89*$C$12))</f>
        <v>-20.098904714226354</v>
      </c>
      <c r="AI52" s="34">
        <f>IF(SIN($Z$89*AB52)&lt;0,ACOS((SIN($Z$89*$Y52)-SIN($Z$89*AH52)*SIN($Z$89*$C$12))/(COS($Z$89*AH52)*COS($Z$89*$C$12)))/$Z$89,360-ACOS((SIN($Z$89*$Y52)-SIN($Z$89*AH52)*SIN($Z$89*$C$12))/(COS($Z$89*AH52)*COS($Z$89*$C$12)))/$Z$89)</f>
        <v>102.12247562701648</v>
      </c>
      <c r="AJ52" s="34">
        <f>$Z$90*ASIN(SIN($Z$89*$Y52)*SIN($Z$89*$C$12)+COS($Z$89*$Y52)*COS($Z$89*AC52)*COS($Z$89*$C$12))</f>
        <v>-16.753871951929579</v>
      </c>
      <c r="AK52" s="34">
        <f>IF(SIN($Z$89*AC52)&lt;0,ACOS((SIN($Z$89*$Y52)-SIN($Z$89*AJ52)*SIN($Z$89*$C$12))/(COS($Z$89*AJ52)*COS($Z$89*$C$12)))/$Z$89,360-ACOS((SIN($Z$89*$Y52)-SIN($Z$89*AJ52)*SIN($Z$89*$C$12))/(COS($Z$89*AJ52)*COS($Z$89*$C$12)))/$Z$89)</f>
        <v>105.47366051543774</v>
      </c>
      <c r="AL52" s="34">
        <f>$Z$90*ASIN(SIN($Z$89*$Y52)*SIN($Z$89*$C$12)+COS($Z$89*$Y52)*COS($Z$89*AD52)*COS($Z$89*$C$12))</f>
        <v>-13.299594407526646</v>
      </c>
      <c r="AM52" s="34">
        <f>IF(SIN($Z$89*AD52)&lt;0,ACOS((SIN($Z$89*$Y52)-SIN($Z$89*AL52)*SIN($Z$89*$C$12))/(COS($Z$89*AL52)*COS($Z$89*$C$12)))/$Z$89,360-ACOS((SIN($Z$89*$Y52)-SIN($Z$89*AL52)*SIN($Z$89*$C$12))/(COS($Z$89*AL52)*COS($Z$89*$C$12)))/$Z$89)</f>
        <v>108.99226673242858</v>
      </c>
      <c r="AN52" s="34">
        <f>$Z$90*ASIN(SIN($Z$89*$Y52)*SIN($Z$89*$C$12)+COS($Z$89*$Y52)*COS($Z$89*AE52)*COS($Z$89*$C$12))</f>
        <v>-2.8316205354867332</v>
      </c>
      <c r="AO52" s="34">
        <f>IF(SIN($Z$89*AE52)&lt;0,ACOS((SIN($Z$89*$Y52)-SIN($Z$89*AN52)*SIN($Z$89*$C$12))/(COS($Z$89*AN52)*COS($Z$89*$C$12)))/$Z$89,360-ACOS((SIN($Z$89*$Y52)-SIN($Z$89*AN52)*SIN($Z$89*$C$12))/(COS($Z$89*AN52)*COS($Z$89*$C$12)))/$Z$89)</f>
        <v>120.48789206737328</v>
      </c>
      <c r="AP52" s="33"/>
    </row>
    <row r="53" spans="1:42" s="2" customFormat="1">
      <c r="A53" s="28"/>
      <c r="B53" s="27"/>
      <c r="N53" s="88"/>
      <c r="O53" s="8" t="str">
        <f t="shared" si="6"/>
        <v/>
      </c>
      <c r="P53" s="93" t="s">
        <v>89</v>
      </c>
      <c r="Q53" s="29">
        <v>4</v>
      </c>
      <c r="R53" s="30">
        <v>0.62291666666666667</v>
      </c>
      <c r="S53" s="30">
        <v>0.63541666666666663</v>
      </c>
      <c r="T53" s="30">
        <v>0.7680555555555556</v>
      </c>
      <c r="U53" s="30">
        <v>0.9</v>
      </c>
      <c r="V53" s="30">
        <v>0.91319444444444453</v>
      </c>
      <c r="W53" s="90">
        <v>523.6</v>
      </c>
      <c r="X53" s="91">
        <v>16.738</v>
      </c>
      <c r="Y53" s="92">
        <v>-22.34</v>
      </c>
      <c r="Z53" s="91">
        <v>4.8879999999999999</v>
      </c>
      <c r="AA53" s="94">
        <f t="shared" si="7"/>
        <v>53.919999999999973</v>
      </c>
      <c r="AB53" s="34">
        <f t="shared" si="10"/>
        <v>58.41999999999998</v>
      </c>
      <c r="AC53" s="34">
        <f t="shared" si="8"/>
        <v>106.16999999999999</v>
      </c>
      <c r="AD53" s="34">
        <f t="shared" si="11"/>
        <v>153.66999999999999</v>
      </c>
      <c r="AE53" s="34">
        <f t="shared" si="9"/>
        <v>158.41999999999999</v>
      </c>
      <c r="AF53" s="34">
        <f>$Z$90*ASIN(SIN($Z$89*$Y53)*SIN($Z$89*$C$12)+COS($Z$89*$Y53)*COS($Z$89*AA53)*COS($Z$89*$C$12))</f>
        <v>5.7283790287536336</v>
      </c>
      <c r="AG53" s="34">
        <f>IF(SIN($Z$89*AA53)&lt;0,ACOS((SIN($Z$89*$Y53)-SIN($Z$89*AF53)*SIN($Z$89*$C$12))/(COS($Z$89*AF53)*COS($Z$89*$C$12)))/$Z$89,360-ACOS((SIN($Z$89*$Y53)-SIN($Z$89*AF53)*SIN($Z$89*$C$12))/(COS($Z$89*AF53)*COS($Z$89*$C$12)))/$Z$89)</f>
        <v>228.70205391572983</v>
      </c>
      <c r="AH53" s="34">
        <f>$Z$90*ASIN(SIN($Z$89*$Y53)*SIN($Z$89*$C$12)+COS($Z$89*$Y53)*COS($Z$89*AB53)*COS($Z$89*$C$12))</f>
        <v>3.3391325536775285</v>
      </c>
      <c r="AI53" s="34">
        <f>IF(SIN($Z$89*AB53)&lt;0,ACOS((SIN($Z$89*$Y53)-SIN($Z$89*AH53)*SIN($Z$89*$C$12))/(COS($Z$89*AH53)*COS($Z$89*$C$12)))/$Z$89,360-ACOS((SIN($Z$89*$Y53)-SIN($Z$89*AH53)*SIN($Z$89*$C$12))/(COS($Z$89*AH53)*COS($Z$89*$C$12)))/$Z$89)</f>
        <v>232.121018641701</v>
      </c>
      <c r="AJ53" s="34">
        <f>$Z$90*ASIN(SIN($Z$89*$Y53)*SIN($Z$89*$C$12)+COS($Z$89*$Y53)*COS($Z$89*AC53)*COS($Z$89*$C$12))</f>
        <v>-26.933845954427046</v>
      </c>
      <c r="AK53" s="34">
        <f>IF(SIN($Z$89*AC53)&lt;0,ACOS((SIN($Z$89*$Y53)-SIN($Z$89*AJ53)*SIN($Z$89*$C$12))/(COS($Z$89*AJ53)*COS($Z$89*$C$12)))/$Z$89,360-ACOS((SIN($Z$89*$Y53)-SIN($Z$89*AJ53)*SIN($Z$89*$C$12))/(COS($Z$89*AJ53)*COS($Z$89*$C$12)))/$Z$89)</f>
        <v>265.16178662964796</v>
      </c>
      <c r="AL53" s="34">
        <f>$Z$90*ASIN(SIN($Z$89*$Y53)*SIN($Z$89*$C$12)+COS($Z$89*$Y53)*COS($Z$89*AD53)*COS($Z$89*$C$12))</f>
        <v>-57.848976047731064</v>
      </c>
      <c r="AM53" s="34">
        <f>IF(SIN($Z$89*AD53)&lt;0,ACOS((SIN($Z$89*$Y53)-SIN($Z$89*AL53)*SIN($Z$89*$C$12))/(COS($Z$89*AL53)*COS($Z$89*$C$12)))/$Z$89,360-ACOS((SIN($Z$89*$Y53)-SIN($Z$89*AL53)*SIN($Z$89*$C$12))/(COS($Z$89*AL53)*COS($Z$89*$C$12)))/$Z$89)</f>
        <v>309.56288248041471</v>
      </c>
      <c r="AN53" s="34">
        <f>$Z$90*ASIN(SIN($Z$89*$Y53)*SIN($Z$89*$C$12)+COS($Z$89*$Y53)*COS($Z$89*AE53)*COS($Z$89*$C$12))</f>
        <v>-60.237790546289077</v>
      </c>
      <c r="AO53" s="34">
        <f>IF(SIN($Z$89*AE53)&lt;0,ACOS((SIN($Z$89*$Y53)-SIN($Z$89*AN53)*SIN($Z$89*$C$12))/(COS($Z$89*AN53)*COS($Z$89*$C$12)))/$Z$89,360-ACOS((SIN($Z$89*$Y53)-SIN($Z$89*AN53)*SIN($Z$89*$C$12))/(COS($Z$89*AN53)*COS($Z$89*$C$12)))/$Z$89)</f>
        <v>316.73910746006516</v>
      </c>
      <c r="AP53" s="33"/>
    </row>
    <row r="54" spans="1:42">
      <c r="O54" s="8" t="str">
        <f t="shared" si="6"/>
        <v/>
      </c>
      <c r="P54" s="93" t="s">
        <v>90</v>
      </c>
      <c r="Q54" s="29">
        <v>3</v>
      </c>
      <c r="R54" s="30">
        <v>8.4722222222222213E-2</v>
      </c>
      <c r="S54" s="30">
        <v>9.7222222222222224E-2</v>
      </c>
      <c r="T54" s="30">
        <v>0.22152777777777777</v>
      </c>
      <c r="U54" s="30">
        <v>0.34583333333333338</v>
      </c>
      <c r="V54" s="30">
        <v>0.35902777777777778</v>
      </c>
      <c r="W54" s="90">
        <v>570.4</v>
      </c>
      <c r="X54" s="91">
        <v>4.9569999999999999</v>
      </c>
      <c r="Y54" s="92">
        <v>22.69</v>
      </c>
      <c r="Z54" s="91">
        <v>16.988</v>
      </c>
      <c r="AA54" s="94">
        <f t="shared" si="7"/>
        <v>218.38499999999999</v>
      </c>
      <c r="AB54" s="34">
        <f t="shared" si="10"/>
        <v>222.88499999999996</v>
      </c>
      <c r="AC54" s="34">
        <f t="shared" si="8"/>
        <v>267.63499999999999</v>
      </c>
      <c r="AD54" s="34">
        <f t="shared" si="11"/>
        <v>312.38499999999999</v>
      </c>
      <c r="AE54" s="34">
        <f t="shared" si="9"/>
        <v>317.13499999999999</v>
      </c>
      <c r="AF54" s="34">
        <f>$Z$90*ASIN(SIN($Z$89*$Y54)*SIN($Z$89*$C$12)+COS($Z$89*$Y54)*COS($Z$89*AA54)*COS($Z$89*$C$12))</f>
        <v>-12.632155179354786</v>
      </c>
      <c r="AG54" s="34">
        <f>IF(SIN($Z$89*AA54)&lt;0,ACOS((SIN($Z$89*$Y54)-SIN($Z$89*AF54)*SIN($Z$89*$C$12))/(COS($Z$89*AF54)*COS($Z$89*$C$12)))/$Z$89,360-ACOS((SIN($Z$89*$Y54)-SIN($Z$89*AF54)*SIN($Z$89*$C$12))/(COS($Z$89*AF54)*COS($Z$89*$C$12)))/$Z$89)</f>
        <v>35.951211473151538</v>
      </c>
      <c r="AH54" s="34">
        <f>$Z$90*ASIN(SIN($Z$89*$Y54)*SIN($Z$89*$C$12)+COS($Z$89*$Y54)*COS($Z$89*AB54)*COS($Z$89*$C$12))</f>
        <v>-10.730302949518219</v>
      </c>
      <c r="AI54" s="34">
        <f>IF(SIN($Z$89*AB54)&lt;0,ACOS((SIN($Z$89*$Y54)-SIN($Z$89*AH54)*SIN($Z$89*$C$12))/(COS($Z$89*AH54)*COS($Z$89*$C$12)))/$Z$89,360-ACOS((SIN($Z$89*$Y54)-SIN($Z$89*AH54)*SIN($Z$89*$C$12))/(COS($Z$89*AH54)*COS($Z$89*$C$12)))/$Z$89)</f>
        <v>39.719799491316927</v>
      </c>
      <c r="AJ54" s="34">
        <f>$Z$90*ASIN(SIN($Z$89*$Y54)*SIN($Z$89*$C$12)+COS($Z$89*$Y54)*COS($Z$89*AC54)*COS($Z$89*$C$12))</f>
        <v>14.675651832554802</v>
      </c>
      <c r="AK54" s="34">
        <f>IF(SIN($Z$89*AC54)&lt;0,ACOS((SIN($Z$89*$Y54)-SIN($Z$89*AJ54)*SIN($Z$89*$C$12))/(COS($Z$89*AJ54)*COS($Z$89*$C$12)))/$Z$89,360-ACOS((SIN($Z$89*$Y54)-SIN($Z$89*AJ54)*SIN($Z$89*$C$12))/(COS($Z$89*AJ54)*COS($Z$89*$C$12)))/$Z$89)</f>
        <v>72.346461825541311</v>
      </c>
      <c r="AL54" s="34">
        <f>$Z$90*ASIN(SIN($Z$89*$Y54)*SIN($Z$89*$C$12)+COS($Z$89*$Y54)*COS($Z$89*AD54)*COS($Z$89*$C$12))</f>
        <v>45.079253671582777</v>
      </c>
      <c r="AM54" s="34">
        <f>IF(SIN($Z$89*AD54)&lt;0,ACOS((SIN($Z$89*$Y54)-SIN($Z$89*AL54)*SIN($Z$89*$C$12))/(COS($Z$89*AL54)*COS($Z$89*$C$12)))/$Z$89,360-ACOS((SIN($Z$89*$Y54)-SIN($Z$89*AL54)*SIN($Z$89*$C$12))/(COS($Z$89*AL54)*COS($Z$89*$C$12)))/$Z$89)</f>
        <v>105.18743746013577</v>
      </c>
      <c r="AN54" s="34">
        <f>$Z$90*ASIN(SIN($Z$89*$Y54)*SIN($Z$89*$C$12)+COS($Z$89*$Y54)*COS($Z$89*AE54)*COS($Z$89*$C$12))</f>
        <v>48.201436528511444</v>
      </c>
      <c r="AO54" s="34">
        <f>IF(SIN($Z$89*AE54)&lt;0,ACOS((SIN($Z$89*$Y54)-SIN($Z$89*AN54)*SIN($Z$89*$C$12))/(COS($Z$89*AN54)*COS($Z$89*$C$12)))/$Z$89,360-ACOS((SIN($Z$89*$Y54)-SIN($Z$89*AN54)*SIN($Z$89*$C$12))/(COS($Z$89*AN54)*COS($Z$89*$C$12)))/$Z$89)</f>
        <v>109.66919462593279</v>
      </c>
      <c r="AP54" s="33"/>
    </row>
    <row r="55" spans="1:42">
      <c r="O55" s="8" t="str">
        <f t="shared" si="6"/>
        <v/>
      </c>
      <c r="P55" s="93" t="s">
        <v>91</v>
      </c>
      <c r="Q55" s="29">
        <v>5</v>
      </c>
      <c r="R55" s="30">
        <v>0.80208333333333337</v>
      </c>
      <c r="S55" s="30">
        <v>0.81527777777777777</v>
      </c>
      <c r="T55" s="30">
        <v>0.93402777777777779</v>
      </c>
      <c r="U55" s="30">
        <v>5.2777777777777778E-2</v>
      </c>
      <c r="V55" s="30">
        <v>6.5972222222222224E-2</v>
      </c>
      <c r="W55" s="90">
        <v>609.29999999999995</v>
      </c>
      <c r="X55" s="91">
        <v>4.8049999999999997</v>
      </c>
      <c r="Y55" s="92">
        <v>22.44</v>
      </c>
      <c r="Z55" s="91">
        <v>16.841999999999999</v>
      </c>
      <c r="AA55" s="94">
        <f t="shared" si="7"/>
        <v>476.72500000000002</v>
      </c>
      <c r="AB55" s="34">
        <f t="shared" si="10"/>
        <v>481.47500000000008</v>
      </c>
      <c r="AC55" s="34">
        <f t="shared" si="8"/>
        <v>524.22499999999991</v>
      </c>
      <c r="AD55" s="34">
        <f t="shared" si="11"/>
        <v>206.97499999999997</v>
      </c>
      <c r="AE55" s="34">
        <f t="shared" si="9"/>
        <v>211.72499999999997</v>
      </c>
      <c r="AF55" s="34">
        <f>$Z$90*ASIN(SIN($Z$89*$Y55)*SIN($Z$89*$C$12)+COS($Z$89*$Y55)*COS($Z$89*AA55)*COS($Z$89*$C$12))</f>
        <v>-0.55719846310627619</v>
      </c>
      <c r="AG55" s="34">
        <f>IF(SIN($Z$89*AA55)&lt;0,ACOS((SIN($Z$89*$Y55)-SIN($Z$89*AF55)*SIN($Z$89*$C$12))/(COS($Z$89*AF55)*COS($Z$89*$C$12)))/$Z$89,360-ACOS((SIN($Z$89*$Y55)-SIN($Z$89*AF55)*SIN($Z$89*$C$12))/(COS($Z$89*AF55)*COS($Z$89*$C$12)))/$Z$89)</f>
        <v>304.35237149465422</v>
      </c>
      <c r="AH55" s="34">
        <f>$Z$90*ASIN(SIN($Z$89*$Y55)*SIN($Z$89*$C$12)+COS($Z$89*$Y55)*COS($Z$89*AB55)*COS($Z$89*$C$12))</f>
        <v>-3.2011549680009903</v>
      </c>
      <c r="AI55" s="34">
        <f>IF(SIN($Z$89*AB55)&lt;0,ACOS((SIN($Z$89*$Y55)-SIN($Z$89*AH55)*SIN($Z$89*$C$12))/(COS($Z$89*AH55)*COS($Z$89*$C$12)))/$Z$89,360-ACOS((SIN($Z$89*$Y55)-SIN($Z$89*AH55)*SIN($Z$89*$C$12))/(COS($Z$89*AH55)*COS($Z$89*$C$12)))/$Z$89)</f>
        <v>307.85926305312216</v>
      </c>
      <c r="AJ55" s="34">
        <f>$Z$90*ASIN(SIN($Z$89*$Y55)*SIN($Z$89*$C$12)+COS($Z$89*$Y55)*COS($Z$89*AC55)*COS($Z$89*$C$12))</f>
        <v>-19.644005329950602</v>
      </c>
      <c r="AK55" s="34">
        <f>IF(SIN($Z$89*AC55)&lt;0,ACOS((SIN($Z$89*$Y55)-SIN($Z$89*AJ55)*SIN($Z$89*$C$12))/(COS($Z$89*AJ55)*COS($Z$89*$C$12)))/$Z$89,360-ACOS((SIN($Z$89*$Y55)-SIN($Z$89*AJ55)*SIN($Z$89*$C$12))/(COS($Z$89*AJ55)*COS($Z$89*$C$12)))/$Z$89)</f>
        <v>344.52587857163303</v>
      </c>
      <c r="AL55" s="34">
        <f>$Z$90*ASIN(SIN($Z$89*$Y55)*SIN($Z$89*$C$12)+COS($Z$89*$Y55)*COS($Z$89*AD55)*COS($Z$89*$C$12))</f>
        <v>-16.910457493739045</v>
      </c>
      <c r="AM55" s="34">
        <f>IF(SIN($Z$89*AD55)&lt;0,ACOS((SIN($Z$89*$Y55)-SIN($Z$89*AL55)*SIN($Z$89*$C$12))/(COS($Z$89*AL55)*COS($Z$89*$C$12)))/$Z$89,360-ACOS((SIN($Z$89*$Y55)-SIN($Z$89*AL55)*SIN($Z$89*$C$12))/(COS($Z$89*AL55)*COS($Z$89*$C$12)))/$Z$89)</f>
        <v>25.989250437331812</v>
      </c>
      <c r="AN55" s="34">
        <f>$Z$90*ASIN(SIN($Z$89*$Y55)*SIN($Z$89*$C$12)+COS($Z$89*$Y55)*COS($Z$89*AE55)*COS($Z$89*$C$12))</f>
        <v>-15.367401079350502</v>
      </c>
      <c r="AO55" s="34">
        <f>IF(SIN($Z$89*AE55)&lt;0,ACOS((SIN($Z$89*$Y55)-SIN($Z$89*AN55)*SIN($Z$89*$C$12))/(COS($Z$89*AN55)*COS($Z$89*$C$12)))/$Z$89,360-ACOS((SIN($Z$89*$Y55)-SIN($Z$89*AN55)*SIN($Z$89*$C$12))/(COS($Z$89*AN55)*COS($Z$89*$C$12)))/$Z$89)</f>
        <v>30.268139625459469</v>
      </c>
      <c r="AP55" s="33"/>
    </row>
    <row r="56" spans="1:42">
      <c r="O56" s="8" t="str">
        <f t="shared" si="6"/>
        <v/>
      </c>
      <c r="P56" s="93" t="s">
        <v>92</v>
      </c>
      <c r="Q56" s="29">
        <v>6</v>
      </c>
      <c r="R56" s="30">
        <v>7.5694444444444439E-2</v>
      </c>
      <c r="S56" s="30">
        <v>9.6527777777777768E-2</v>
      </c>
      <c r="T56" s="30">
        <v>0.17152777777777775</v>
      </c>
      <c r="U56" s="30">
        <v>0.24722222222222223</v>
      </c>
      <c r="V56" s="30">
        <v>0.26805555555555555</v>
      </c>
      <c r="W56" s="90">
        <v>829.9</v>
      </c>
      <c r="X56" s="91">
        <v>17.056000000000001</v>
      </c>
      <c r="Y56" s="92">
        <v>-22.82</v>
      </c>
      <c r="Z56" s="91">
        <v>5.1820000000000004</v>
      </c>
      <c r="AA56" s="94">
        <f t="shared" si="7"/>
        <v>-143.44000000000003</v>
      </c>
      <c r="AB56" s="34">
        <f t="shared" si="10"/>
        <v>-135.94000000000003</v>
      </c>
      <c r="AC56" s="34">
        <f t="shared" si="8"/>
        <v>-108.94</v>
      </c>
      <c r="AD56" s="34">
        <f t="shared" si="11"/>
        <v>-81.69</v>
      </c>
      <c r="AE56" s="34">
        <f t="shared" si="9"/>
        <v>-74.19</v>
      </c>
      <c r="AF56" s="34">
        <f>$Z$90*ASIN(SIN($Z$89*$Y56)*SIN($Z$89*$C$12)+COS($Z$89*$Y56)*COS($Z$89*AA56)*COS($Z$89*$C$12))</f>
        <v>-52.297298772724226</v>
      </c>
      <c r="AG56" s="34">
        <f>IF(SIN($Z$89*AA56)&lt;0,ACOS((SIN($Z$89*$Y56)-SIN($Z$89*AF56)*SIN($Z$89*$C$12))/(COS($Z$89*AF56)*COS($Z$89*$C$12)))/$Z$89,360-ACOS((SIN($Z$89*$Y56)-SIN($Z$89*AF56)*SIN($Z$89*$C$12))/(COS($Z$89*AF56)*COS($Z$89*$C$12)))/$Z$89)</f>
        <v>63.865666692284478</v>
      </c>
      <c r="AH56" s="34">
        <f>$Z$90*ASIN(SIN($Z$89*$Y56)*SIN($Z$89*$C$12)+COS($Z$89*$Y56)*COS($Z$89*AB56)*COS($Z$89*$C$12))</f>
        <v>-47.515072497997281</v>
      </c>
      <c r="AI56" s="34">
        <f>IF(SIN($Z$89*AB56)&lt;0,ACOS((SIN($Z$89*$Y56)-SIN($Z$89*AH56)*SIN($Z$89*$C$12))/(COS($Z$89*AH56)*COS($Z$89*$C$12)))/$Z$89,360-ACOS((SIN($Z$89*$Y56)-SIN($Z$89*AH56)*SIN($Z$89*$C$12))/(COS($Z$89*AH56)*COS($Z$89*$C$12)))/$Z$89)</f>
        <v>71.630298141811522</v>
      </c>
      <c r="AJ56" s="34">
        <f>$Z$90*ASIN(SIN($Z$89*$Y56)*SIN($Z$89*$C$12)+COS($Z$89*$Y56)*COS($Z$89*AC56)*COS($Z$89*$C$12))</f>
        <v>-29.158036456036371</v>
      </c>
      <c r="AK56" s="34">
        <f>IF(SIN($Z$89*AC56)&lt;0,ACOS((SIN($Z$89*$Y56)-SIN($Z$89*AJ56)*SIN($Z$89*$C$12))/(COS($Z$89*AJ56)*COS($Z$89*$C$12)))/$Z$89,360-ACOS((SIN($Z$89*$Y56)-SIN($Z$89*AJ56)*SIN($Z$89*$C$12))/(COS($Z$89*AJ56)*COS($Z$89*$C$12)))/$Z$89)</f>
        <v>93.307449000761821</v>
      </c>
      <c r="AL56" s="34">
        <f>$Z$90*ASIN(SIN($Z$89*$Y56)*SIN($Z$89*$C$12)+COS($Z$89*$Y56)*COS($Z$89*AD56)*COS($Z$89*$C$12))</f>
        <v>-10.91251024777325</v>
      </c>
      <c r="AM56" s="34">
        <f>IF(SIN($Z$89*AD56)&lt;0,ACOS((SIN($Z$89*$Y56)-SIN($Z$89*AL56)*SIN($Z$89*$C$12))/(COS($Z$89*AL56)*COS($Z$89*$C$12)))/$Z$89,360-ACOS((SIN($Z$89*$Y56)-SIN($Z$89*AL56)*SIN($Z$89*$C$12))/(COS($Z$89*AL56)*COS($Z$89*$C$12)))/$Z$89)</f>
        <v>111.74433735884355</v>
      </c>
      <c r="AN56" s="34">
        <f>$Z$90*ASIN(SIN($Z$89*$Y56)*SIN($Z$89*$C$12)+COS($Z$89*$Y56)*COS($Z$89*AE56)*COS($Z$89*$C$12))</f>
        <v>-6.2042779347116879</v>
      </c>
      <c r="AO56" s="34">
        <f>IF(SIN($Z$89*AE56)&lt;0,ACOS((SIN($Z$89*$Y56)-SIN($Z$89*AN56)*SIN($Z$89*$C$12))/(COS($Z$89*AN56)*COS($Z$89*$C$12)))/$Z$89,360-ACOS((SIN($Z$89*$Y56)-SIN($Z$89*AN56)*SIN($Z$89*$C$12))/(COS($Z$89*AN56)*COS($Z$89*$C$12)))/$Z$89)</f>
        <v>116.86365928716067</v>
      </c>
      <c r="AP56" s="33"/>
    </row>
    <row r="57" spans="1:42">
      <c r="O57" s="8" t="str">
        <f t="shared" si="6"/>
        <v/>
      </c>
      <c r="P57" s="93" t="s">
        <v>93</v>
      </c>
      <c r="Q57" s="29">
        <v>4</v>
      </c>
      <c r="R57" s="30">
        <v>0.58125000000000004</v>
      </c>
      <c r="S57" s="30">
        <v>0.59513888888888888</v>
      </c>
      <c r="T57" s="30">
        <v>0.71250000000000002</v>
      </c>
      <c r="U57" s="30">
        <v>0.82986111111111116</v>
      </c>
      <c r="V57" s="30">
        <v>0.84375</v>
      </c>
      <c r="W57" s="90">
        <v>637.29999999999995</v>
      </c>
      <c r="X57" s="91">
        <v>16.881</v>
      </c>
      <c r="Y57" s="92">
        <v>-22.56</v>
      </c>
      <c r="Z57" s="91">
        <v>5.0250000000000004</v>
      </c>
      <c r="AA57" s="94">
        <f t="shared" si="7"/>
        <v>38.829999999999963</v>
      </c>
      <c r="AB57" s="34">
        <f t="shared" si="10"/>
        <v>43.83</v>
      </c>
      <c r="AC57" s="34">
        <f t="shared" si="8"/>
        <v>86.08</v>
      </c>
      <c r="AD57" s="34">
        <f t="shared" si="11"/>
        <v>128.32999999999998</v>
      </c>
      <c r="AE57" s="34">
        <f t="shared" si="9"/>
        <v>133.32999999999996</v>
      </c>
      <c r="AF57" s="34">
        <f>$Z$90*ASIN(SIN($Z$89*$Y57)*SIN($Z$89*$C$12)+COS($Z$89*$Y57)*COS($Z$89*AA57)*COS($Z$89*$C$12))</f>
        <v>12.567914278953559</v>
      </c>
      <c r="AG57" s="34">
        <f>IF(SIN($Z$89*AA57)&lt;0,ACOS((SIN($Z$89*$Y57)-SIN($Z$89*AF57)*SIN($Z$89*$C$12))/(COS($Z$89*AF57)*COS($Z$89*$C$12)))/$Z$89,360-ACOS((SIN($Z$89*$Y57)-SIN($Z$89*AF57)*SIN($Z$89*$C$12))/(COS($Z$89*AF57)*COS($Z$89*$C$12)))/$Z$89)</f>
        <v>216.38774304278721</v>
      </c>
      <c r="AH57" s="34">
        <f>$Z$90*ASIN(SIN($Z$89*$Y57)*SIN($Z$89*$C$12)+COS($Z$89*$Y57)*COS($Z$89*AB57)*COS($Z$89*$C$12))</f>
        <v>10.424527081990913</v>
      </c>
      <c r="AI57" s="34">
        <f>IF(SIN($Z$89*AB57)&lt;0,ACOS((SIN($Z$89*$Y57)-SIN($Z$89*AH57)*SIN($Z$89*$C$12))/(COS($Z$89*AH57)*COS($Z$89*$C$12)))/$Z$89,360-ACOS((SIN($Z$89*$Y57)-SIN($Z$89*AH57)*SIN($Z$89*$C$12))/(COS($Z$89*AH57)*COS($Z$89*$C$12)))/$Z$89)</f>
        <v>220.56130107554745</v>
      </c>
      <c r="AJ57" s="34">
        <f>$Z$90*ASIN(SIN($Z$89*$Y57)*SIN($Z$89*$C$12)+COS($Z$89*$Y57)*COS($Z$89*AC57)*COS($Z$89*$C$12))</f>
        <v>-13.565835387014346</v>
      </c>
      <c r="AK57" s="34">
        <f>IF(SIN($Z$89*AC57)&lt;0,ACOS((SIN($Z$89*$Y57)-SIN($Z$89*AJ57)*SIN($Z$89*$C$12))/(COS($Z$89*AJ57)*COS($Z$89*$C$12)))/$Z$89,360-ACOS((SIN($Z$89*$Y57)-SIN($Z$89*AJ57)*SIN($Z$89*$C$12))/(COS($Z$89*AJ57)*COS($Z$89*$C$12)))/$Z$89)</f>
        <v>251.39836005172293</v>
      </c>
      <c r="AL57" s="34">
        <f>$Z$90*ASIN(SIN($Z$89*$Y57)*SIN($Z$89*$C$12)+COS($Z$89*$Y57)*COS($Z$89*AD57)*COS($Z$89*$C$12))</f>
        <v>-42.273071189685758</v>
      </c>
      <c r="AM57" s="34">
        <f>IF(SIN($Z$89*AD57)&lt;0,ACOS((SIN($Z$89*$Y57)-SIN($Z$89*AL57)*SIN($Z$89*$C$12))/(COS($Z$89*AL57)*COS($Z$89*$C$12)))/$Z$89,360-ACOS((SIN($Z$89*$Y57)-SIN($Z$89*AL57)*SIN($Z$89*$C$12))/(COS($Z$89*AL57)*COS($Z$89*$C$12)))/$Z$89)</f>
        <v>281.75681532503779</v>
      </c>
      <c r="AN57" s="34">
        <f>$Z$90*ASIN(SIN($Z$89*$Y57)*SIN($Z$89*$C$12)+COS($Z$89*$Y57)*COS($Z$89*AE57)*COS($Z$89*$C$12))</f>
        <v>-45.615695405165354</v>
      </c>
      <c r="AO57" s="34">
        <f>IF(SIN($Z$89*AE57)&lt;0,ACOS((SIN($Z$89*$Y57)-SIN($Z$89*AN57)*SIN($Z$89*$C$12))/(COS($Z$89*AN57)*COS($Z$89*$C$12)))/$Z$89,360-ACOS((SIN($Z$89*$Y57)-SIN($Z$89*AN57)*SIN($Z$89*$C$12))/(COS($Z$89*AN57)*COS($Z$89*$C$12)))/$Z$89)</f>
        <v>286.18345771197414</v>
      </c>
      <c r="AP57" s="33"/>
    </row>
    <row r="58" spans="1:42">
      <c r="O58" s="8" t="str">
        <f t="shared" si="6"/>
        <v/>
      </c>
      <c r="P58" s="93" t="s">
        <v>94</v>
      </c>
      <c r="Q58" s="29">
        <v>3</v>
      </c>
      <c r="R58" s="30">
        <v>0.21736111111111112</v>
      </c>
      <c r="S58" s="30">
        <v>0.23125000000000001</v>
      </c>
      <c r="T58" s="30">
        <v>0.34722222222222227</v>
      </c>
      <c r="U58" s="30">
        <v>0.46319444444444446</v>
      </c>
      <c r="V58" s="30">
        <v>0.47638888888888892</v>
      </c>
      <c r="W58" s="90">
        <v>626.9</v>
      </c>
      <c r="X58" s="91">
        <v>5.1210000000000004</v>
      </c>
      <c r="Y58" s="92">
        <v>22.89</v>
      </c>
      <c r="Z58" s="91">
        <v>17.137</v>
      </c>
      <c r="AA58" s="94">
        <f t="shared" si="7"/>
        <v>265.91000000000003</v>
      </c>
      <c r="AB58" s="34">
        <f t="shared" si="10"/>
        <v>270.91000000000003</v>
      </c>
      <c r="AC58" s="34">
        <f t="shared" si="8"/>
        <v>312.66000000000003</v>
      </c>
      <c r="AD58" s="34">
        <f t="shared" si="11"/>
        <v>354.41</v>
      </c>
      <c r="AE58" s="34">
        <f t="shared" si="9"/>
        <v>359.16</v>
      </c>
      <c r="AF58" s="34">
        <f>$Z$90*ASIN(SIN($Z$89*$Y58)*SIN($Z$89*$C$12)+COS($Z$89*$Y58)*COS($Z$89*AA58)*COS($Z$89*$C$12))</f>
        <v>13.688252847391453</v>
      </c>
      <c r="AG58" s="34">
        <f>IF(SIN($Z$89*AA58)&lt;0,ACOS((SIN($Z$89*$Y58)-SIN($Z$89*AF58)*SIN($Z$89*$C$12))/(COS($Z$89*AF58)*COS($Z$89*$C$12)))/$Z$89,360-ACOS((SIN($Z$89*$Y58)-SIN($Z$89*AF58)*SIN($Z$89*$C$12))/(COS($Z$89*AF58)*COS($Z$89*$C$12)))/$Z$89)</f>
        <v>71.044149148322958</v>
      </c>
      <c r="AH58" s="34">
        <f>$Z$90*ASIN(SIN($Z$89*$Y58)*SIN($Z$89*$C$12)+COS($Z$89*$Y58)*COS($Z$89*AB58)*COS($Z$89*$C$12))</f>
        <v>16.977183343914557</v>
      </c>
      <c r="AI58" s="34">
        <f>IF(SIN($Z$89*AB58)&lt;0,ACOS((SIN($Z$89*$Y58)-SIN($Z$89*AH58)*SIN($Z$89*$C$12))/(COS($Z$89*AH58)*COS($Z$89*$C$12)))/$Z$89,360-ACOS((SIN($Z$89*$Y58)-SIN($Z$89*AH58)*SIN($Z$89*$C$12))/(COS($Z$89*AH58)*COS($Z$89*$C$12)))/$Z$89)</f>
        <v>74.388443200987098</v>
      </c>
      <c r="AJ58" s="34">
        <f>$Z$90*ASIN(SIN($Z$89*$Y58)*SIN($Z$89*$C$12)+COS($Z$89*$Y58)*COS($Z$89*AC58)*COS($Z$89*$C$12))</f>
        <v>45.400643334994989</v>
      </c>
      <c r="AK58" s="34">
        <f>IF(SIN($Z$89*AC58)&lt;0,ACOS((SIN($Z$89*$Y58)-SIN($Z$89*AJ58)*SIN($Z$89*$C$12))/(COS($Z$89*AJ58)*COS($Z$89*$C$12)))/$Z$89,360-ACOS((SIN($Z$89*$Y58)-SIN($Z$89*AJ58)*SIN($Z$89*$C$12))/(COS($Z$89*AJ58)*COS($Z$89*$C$12)))/$Z$89)</f>
        <v>105.23204368922717</v>
      </c>
      <c r="AL58" s="34">
        <f>$Z$90*ASIN(SIN($Z$89*$Y58)*SIN($Z$89*$C$12)+COS($Z$89*$Y58)*COS($Z$89*AD58)*COS($Z$89*$C$12))</f>
        <v>66.010993443992518</v>
      </c>
      <c r="AM58" s="34">
        <f>IF(SIN($Z$89*AD58)&lt;0,ACOS((SIN($Z$89*$Y58)-SIN($Z$89*AL58)*SIN($Z$89*$C$12))/(COS($Z$89*AL58)*COS($Z$89*$C$12)))/$Z$89,360-ACOS((SIN($Z$89*$Y58)-SIN($Z$89*AL58)*SIN($Z$89*$C$12))/(COS($Z$89*AL58)*COS($Z$89*$C$12)))/$Z$89)</f>
        <v>167.24833857335804</v>
      </c>
      <c r="AN58" s="34">
        <f>$Z$90*ASIN(SIN($Z$89*$Y58)*SIN($Z$89*$C$12)+COS($Z$89*$Y58)*COS($Z$89*AE58)*COS($Z$89*$C$12))</f>
        <v>66.430224041202393</v>
      </c>
      <c r="AO58" s="34">
        <f>IF(SIN($Z$89*AE58)&lt;0,ACOS((SIN($Z$89*$Y58)-SIN($Z$89*AN58)*SIN($Z$89*$C$12))/(COS($Z$89*AN58)*COS($Z$89*$C$12)))/$Z$89,360-ACOS((SIN($Z$89*$Y58)-SIN($Z$89*AN58)*SIN($Z$89*$C$12))/(COS($Z$89*AN58)*COS($Z$89*$C$12)))/$Z$89)</f>
        <v>178.06441892698754</v>
      </c>
      <c r="AP58" s="33"/>
    </row>
    <row r="59" spans="1:42">
      <c r="O59" s="8" t="str">
        <f t="shared" si="6"/>
        <v/>
      </c>
      <c r="P59" s="93" t="s">
        <v>95</v>
      </c>
      <c r="Q59" s="29">
        <v>5</v>
      </c>
      <c r="R59" s="30">
        <v>0.92361111111111116</v>
      </c>
      <c r="S59" s="30">
        <v>0.93541666666666667</v>
      </c>
      <c r="T59" s="30">
        <v>6.25E-2</v>
      </c>
      <c r="U59" s="30">
        <v>0.18888888888888888</v>
      </c>
      <c r="V59" s="30">
        <v>0.20069444444444443</v>
      </c>
      <c r="W59" s="90">
        <v>554.4</v>
      </c>
      <c r="X59" s="91">
        <v>4.9690000000000003</v>
      </c>
      <c r="Y59" s="92">
        <v>22.68</v>
      </c>
      <c r="Z59" s="91">
        <v>16.991</v>
      </c>
      <c r="AA59" s="94">
        <f t="shared" si="7"/>
        <v>520.24999999999989</v>
      </c>
      <c r="AB59" s="34">
        <f t="shared" si="10"/>
        <v>524.5</v>
      </c>
      <c r="AC59" s="34">
        <f t="shared" si="8"/>
        <v>210.24999999999997</v>
      </c>
      <c r="AD59" s="34">
        <f t="shared" si="11"/>
        <v>255.75</v>
      </c>
      <c r="AE59" s="34">
        <f t="shared" si="9"/>
        <v>260</v>
      </c>
      <c r="AF59" s="34">
        <f>$Z$90*ASIN(SIN($Z$89*$Y59)*SIN($Z$89*$C$12)+COS($Z$89*$Y59)*COS($Z$89*AA59)*COS($Z$89*$C$12))</f>
        <v>-18.59362277781765</v>
      </c>
      <c r="AG59" s="34">
        <f>IF(SIN($Z$89*AA59)&lt;0,ACOS((SIN($Z$89*$Y59)-SIN($Z$89*AF59)*SIN($Z$89*$C$12))/(COS($Z$89*AF59)*COS($Z$89*$C$12)))/$Z$89,360-ACOS((SIN($Z$89*$Y59)-SIN($Z$89*AF59)*SIN($Z$89*$C$12))/(COS($Z$89*AF59)*COS($Z$89*$C$12)))/$Z$89)</f>
        <v>340.79452999174629</v>
      </c>
      <c r="AH59" s="34">
        <f>$Z$90*ASIN(SIN($Z$89*$Y59)*SIN($Z$89*$C$12)+COS($Z$89*$Y59)*COS($Z$89*AB59)*COS($Z$89*$C$12))</f>
        <v>-19.458762423368928</v>
      </c>
      <c r="AI59" s="34">
        <f>IF(SIN($Z$89*AB59)&lt;0,ACOS((SIN($Z$89*$Y59)-SIN($Z$89*AH59)*SIN($Z$89*$C$12))/(COS($Z$89*AH59)*COS($Z$89*$C$12)))/$Z$89,360-ACOS((SIN($Z$89*$Y59)-SIN($Z$89*AH59)*SIN($Z$89*$C$12))/(COS($Z$89*AH59)*COS($Z$89*$C$12)))/$Z$89)</f>
        <v>344.840281631327</v>
      </c>
      <c r="AJ59" s="34">
        <f>$Z$90*ASIN(SIN($Z$89*$Y59)*SIN($Z$89*$C$12)+COS($Z$89*$Y59)*COS($Z$89*AC59)*COS($Z$89*$C$12))</f>
        <v>-15.645683772284384</v>
      </c>
      <c r="AK59" s="34">
        <f>IF(SIN($Z$89*AC59)&lt;0,ACOS((SIN($Z$89*$Y59)-SIN($Z$89*AJ59)*SIN($Z$89*$C$12))/(COS($Z$89*AJ59)*COS($Z$89*$C$12)))/$Z$89,360-ACOS((SIN($Z$89*$Y59)-SIN($Z$89*AJ59)*SIN($Z$89*$C$12))/(COS($Z$89*AJ59)*COS($Z$89*$C$12)))/$Z$89)</f>
        <v>28.862136308172616</v>
      </c>
      <c r="AL59" s="34">
        <f>$Z$90*ASIN(SIN($Z$89*$Y59)*SIN($Z$89*$C$12)+COS($Z$89*$Y59)*COS($Z$89*AD59)*COS($Z$89*$C$12))</f>
        <v>7.0640577671033515</v>
      </c>
      <c r="AM59" s="34">
        <f>IF(SIN($Z$89*AD59)&lt;0,ACOS((SIN($Z$89*$Y59)-SIN($Z$89*AL59)*SIN($Z$89*$C$12))/(COS($Z$89*AL59)*COS($Z$89*$C$12)))/$Z$89,360-ACOS((SIN($Z$89*$Y59)-SIN($Z$89*AL59)*SIN($Z$89*$C$12))/(COS($Z$89*AL59)*COS($Z$89*$C$12)))/$Z$89)</f>
        <v>64.306090392416706</v>
      </c>
      <c r="AN59" s="34">
        <f>$Z$90*ASIN(SIN($Z$89*$Y59)*SIN($Z$89*$C$12)+COS($Z$89*$Y59)*COS($Z$89*AE59)*COS($Z$89*$C$12))</f>
        <v>9.7338191016819273</v>
      </c>
      <c r="AO59" s="34">
        <f>IF(SIN($Z$89*AE59)&lt;0,ACOS((SIN($Z$89*$Y59)-SIN($Z$89*AN59)*SIN($Z$89*$C$12))/(COS($Z$89*AN59)*COS($Z$89*$C$12)))/$Z$89,360-ACOS((SIN($Z$89*$Y59)-SIN($Z$89*AN59)*SIN($Z$89*$C$12))/(COS($Z$89*AN59)*COS($Z$89*$C$12)))/$Z$89)</f>
        <v>67.209512790124705</v>
      </c>
      <c r="AP59" s="33"/>
    </row>
    <row r="60" spans="1:42">
      <c r="O60" s="8" t="str">
        <f t="shared" si="6"/>
        <v/>
      </c>
      <c r="P60" s="93" t="s">
        <v>109</v>
      </c>
      <c r="Q60" s="29">
        <v>6</v>
      </c>
      <c r="R60" s="30">
        <v>0.99861111111111101</v>
      </c>
      <c r="S60" s="30">
        <v>1.4583333333333332E-2</v>
      </c>
      <c r="T60" s="30">
        <v>0.11666666666666665</v>
      </c>
      <c r="U60" s="30">
        <v>0.21875</v>
      </c>
      <c r="V60" s="30">
        <v>0.23472222222222219</v>
      </c>
      <c r="W60" s="90">
        <v>723.6</v>
      </c>
      <c r="X60" s="91">
        <v>17.201000000000001</v>
      </c>
      <c r="Y60" s="92">
        <v>-22.97</v>
      </c>
      <c r="Z60" s="91">
        <v>5.32</v>
      </c>
      <c r="AA60" s="94">
        <f t="shared" si="7"/>
        <v>188.70499999999996</v>
      </c>
      <c r="AB60" s="34">
        <f t="shared" si="10"/>
        <v>-165.54500000000002</v>
      </c>
      <c r="AC60" s="34">
        <f t="shared" si="8"/>
        <v>-128.79500000000002</v>
      </c>
      <c r="AD60" s="34">
        <f t="shared" si="11"/>
        <v>-92.045000000000002</v>
      </c>
      <c r="AE60" s="34">
        <f t="shared" si="9"/>
        <v>-86.295000000000002</v>
      </c>
      <c r="AF60" s="34">
        <f>$Z$90*ASIN(SIN($Z$89*$Y60)*SIN($Z$89*$C$12)+COS($Z$89*$Y60)*COS($Z$89*AA60)*COS($Z$89*$C$12))</f>
        <v>-65.490410048523799</v>
      </c>
      <c r="AG60" s="34">
        <f>IF(SIN($Z$89*AA60)&lt;0,ACOS((SIN($Z$89*$Y60)-SIN($Z$89*AF60)*SIN($Z$89*$C$12))/(COS($Z$89*AF60)*COS($Z$89*$C$12)))/$Z$89,360-ACOS((SIN($Z$89*$Y60)-SIN($Z$89*AF60)*SIN($Z$89*$C$12))/(COS($Z$89*AF60)*COS($Z$89*$C$12)))/$Z$89)</f>
        <v>19.627283129914584</v>
      </c>
      <c r="AH60" s="34">
        <f>$Z$90*ASIN(SIN($Z$89*$Y60)*SIN($Z$89*$C$12)+COS($Z$89*$Y60)*COS($Z$89*AB60)*COS($Z$89*$C$12))</f>
        <v>-63.781788974845007</v>
      </c>
      <c r="AI60" s="34">
        <f>IF(SIN($Z$89*AB60)&lt;0,ACOS((SIN($Z$89*$Y60)-SIN($Z$89*AH60)*SIN($Z$89*$C$12))/(COS($Z$89*AH60)*COS($Z$89*$C$12)))/$Z$89,360-ACOS((SIN($Z$89*$Y60)-SIN($Z$89*AH60)*SIN($Z$89*$C$12))/(COS($Z$89*AH60)*COS($Z$89*$C$12)))/$Z$89)</f>
        <v>31.346784687126426</v>
      </c>
      <c r="AJ60" s="34">
        <f>$Z$90*ASIN(SIN($Z$89*$Y60)*SIN($Z$89*$C$12)+COS($Z$89*$Y60)*COS($Z$89*AC60)*COS($Z$89*$C$12))</f>
        <v>-42.866274539090867</v>
      </c>
      <c r="AK60" s="34">
        <f>IF(SIN($Z$89*AC60)&lt;0,ACOS((SIN($Z$89*$Y60)-SIN($Z$89*AJ60)*SIN($Z$89*$C$12))/(COS($Z$89*AJ60)*COS($Z$89*$C$12)))/$Z$89,360-ACOS((SIN($Z$89*$Y60)-SIN($Z$89*AJ60)*SIN($Z$89*$C$12))/(COS($Z$89*AJ60)*COS($Z$89*$C$12)))/$Z$89)</f>
        <v>78.253490528575597</v>
      </c>
      <c r="AL60" s="34">
        <f>$Z$90*ASIN(SIN($Z$89*$Y60)*SIN($Z$89*$C$12)+COS($Z$89*$Y60)*COS($Z$89*AD60)*COS($Z$89*$C$12))</f>
        <v>-17.786973047799652</v>
      </c>
      <c r="AM60" s="34">
        <f>IF(SIN($Z$89*AD60)&lt;0,ACOS((SIN($Z$89*$Y60)-SIN($Z$89*AL60)*SIN($Z$89*$C$12))/(COS($Z$89*AL60)*COS($Z$89*$C$12)))/$Z$89,360-ACOS((SIN($Z$89*$Y60)-SIN($Z$89*AL60)*SIN($Z$89*$C$12))/(COS($Z$89*AL60)*COS($Z$89*$C$12)))/$Z$89)</f>
        <v>104.91386841354591</v>
      </c>
      <c r="AN60" s="34">
        <f>$Z$90*ASIN(SIN($Z$89*$Y60)*SIN($Z$89*$C$12)+COS($Z$89*$Y60)*COS($Z$89*AE60)*COS($Z$89*$C$12))</f>
        <v>-13.995778056196984</v>
      </c>
      <c r="AO60" s="34">
        <f>IF(SIN($Z$89*AE60)&lt;0,ACOS((SIN($Z$89*$Y60)-SIN($Z$89*AN60)*SIN($Z$89*$C$12))/(COS($Z$89*AN60)*COS($Z$89*$C$12)))/$Z$89,360-ACOS((SIN($Z$89*$Y60)-SIN($Z$89*AN60)*SIN($Z$89*$C$12))/(COS($Z$89*AN60)*COS($Z$89*$C$12)))/$Z$89)</f>
        <v>108.75626690078668</v>
      </c>
      <c r="AP60" s="33"/>
    </row>
    <row r="61" spans="1:42">
      <c r="O61" s="8" t="str">
        <f t="shared" si="6"/>
        <v/>
      </c>
      <c r="P61" s="93" t="s">
        <v>110</v>
      </c>
      <c r="Q61" s="29">
        <v>4</v>
      </c>
      <c r="R61" s="30">
        <v>0.55208333333333337</v>
      </c>
      <c r="S61" s="30">
        <v>0.56805555555555554</v>
      </c>
      <c r="T61" s="30">
        <v>0.66736111111111107</v>
      </c>
      <c r="U61" s="30">
        <v>0.76666666666666661</v>
      </c>
      <c r="V61" s="30">
        <v>0.78333333333333333</v>
      </c>
      <c r="W61" s="90">
        <v>736.4</v>
      </c>
      <c r="X61" s="91">
        <v>17.026</v>
      </c>
      <c r="Y61" s="92">
        <v>-22.74</v>
      </c>
      <c r="Z61" s="91">
        <v>5.1630000000000003</v>
      </c>
      <c r="AA61" s="94">
        <f t="shared" si="7"/>
        <v>28.225000000000009</v>
      </c>
      <c r="AB61" s="34">
        <f t="shared" si="10"/>
        <v>33.975000000000001</v>
      </c>
      <c r="AC61" s="34">
        <f t="shared" si="8"/>
        <v>69.724999999999994</v>
      </c>
      <c r="AD61" s="34">
        <f t="shared" si="11"/>
        <v>105.47499999999998</v>
      </c>
      <c r="AE61" s="34">
        <f t="shared" si="9"/>
        <v>111.47500000000002</v>
      </c>
      <c r="AF61" s="34">
        <f>$Z$90*ASIN(SIN($Z$89*$Y61)*SIN($Z$89*$C$12)+COS($Z$89*$Y61)*COS($Z$89*AA61)*COS($Z$89*$C$12))</f>
        <v>16.243228239163486</v>
      </c>
      <c r="AG61" s="34">
        <f>IF(SIN($Z$89*AA61)&lt;0,ACOS((SIN($Z$89*$Y61)-SIN($Z$89*AF61)*SIN($Z$89*$C$12))/(COS($Z$89*AF61)*COS($Z$89*$C$12)))/$Z$89,360-ACOS((SIN($Z$89*$Y61)-SIN($Z$89*AF61)*SIN($Z$89*$C$12))/(COS($Z$89*AF61)*COS($Z$89*$C$12)))/$Z$89)</f>
        <v>207.02041316587363</v>
      </c>
      <c r="AH61" s="34">
        <f>$Z$90*ASIN(SIN($Z$89*$Y61)*SIN($Z$89*$C$12)+COS($Z$89*$Y61)*COS($Z$89*AB61)*COS($Z$89*$C$12))</f>
        <v>14.287655685708106</v>
      </c>
      <c r="AI61" s="34">
        <f>IF(SIN($Z$89*AB61)&lt;0,ACOS((SIN($Z$89*$Y61)-SIN($Z$89*AH61)*SIN($Z$89*$C$12))/(COS($Z$89*AH61)*COS($Z$89*$C$12)))/$Z$89,360-ACOS((SIN($Z$89*$Y61)-SIN($Z$89*AH61)*SIN($Z$89*$C$12))/(COS($Z$89*AH61)*COS($Z$89*$C$12)))/$Z$89)</f>
        <v>212.13004849682812</v>
      </c>
      <c r="AJ61" s="34">
        <f>$Z$90*ASIN(SIN($Z$89*$Y61)*SIN($Z$89*$C$12)+COS($Z$89*$Y61)*COS($Z$89*AC61)*COS($Z$89*$C$12))</f>
        <v>-3.4379446054808227</v>
      </c>
      <c r="AK61" s="34">
        <f>IF(SIN($Z$89*AC61)&lt;0,ACOS((SIN($Z$89*$Y61)-SIN($Z$89*AJ61)*SIN($Z$89*$C$12))/(COS($Z$89*AJ61)*COS($Z$89*$C$12)))/$Z$89,360-ACOS((SIN($Z$89*$Y61)-SIN($Z$89*AJ61)*SIN($Z$89*$C$12))/(COS($Z$89*AJ61)*COS($Z$89*$C$12)))/$Z$89)</f>
        <v>240.07563043235854</v>
      </c>
      <c r="AL61" s="34">
        <f>$Z$90*ASIN(SIN($Z$89*$Y61)*SIN($Z$89*$C$12)+COS($Z$89*$Y61)*COS($Z$89*AD61)*COS($Z$89*$C$12))</f>
        <v>-26.724796159939761</v>
      </c>
      <c r="AM61" s="34">
        <f>IF(SIN($Z$89*AD61)&lt;0,ACOS((SIN($Z$89*$Y61)-SIN($Z$89*AL61)*SIN($Z$89*$C$12))/(COS($Z$89*AL61)*COS($Z$89*$C$12)))/$Z$89,360-ACOS((SIN($Z$89*$Y61)-SIN($Z$89*AL61)*SIN($Z$89*$C$12))/(COS($Z$89*AL61)*COS($Z$89*$C$12)))/$Z$89)</f>
        <v>264.34722887703236</v>
      </c>
      <c r="AN61" s="34">
        <f>$Z$90*ASIN(SIN($Z$89*$Y61)*SIN($Z$89*$C$12)+COS($Z$89*$Y61)*COS($Z$89*AE61)*COS($Z$89*$C$12))</f>
        <v>-30.849816680364768</v>
      </c>
      <c r="AO61" s="34">
        <f>IF(SIN($Z$89*AE61)&lt;0,ACOS((SIN($Z$89*$Y61)-SIN($Z$89*AN61)*SIN($Z$89*$C$12))/(COS($Z$89*AN61)*COS($Z$89*$C$12)))/$Z$89,360-ACOS((SIN($Z$89*$Y61)-SIN($Z$89*AN61)*SIN($Z$89*$C$12))/(COS($Z$89*AN61)*COS($Z$89*$C$12)))/$Z$89)</f>
        <v>268.55716864561168</v>
      </c>
      <c r="AP61" s="33"/>
    </row>
    <row r="62" spans="1:42">
      <c r="O62" s="8" t="str">
        <f t="shared" si="6"/>
        <v/>
      </c>
      <c r="P62" s="93" t="s">
        <v>96</v>
      </c>
      <c r="Q62" s="29">
        <v>3</v>
      </c>
      <c r="R62" s="30">
        <v>0.36249999999999999</v>
      </c>
      <c r="S62" s="30">
        <v>0.37708333333333338</v>
      </c>
      <c r="T62" s="30">
        <v>0.48125000000000001</v>
      </c>
      <c r="U62" s="30">
        <v>0.58611111111111114</v>
      </c>
      <c r="V62" s="30">
        <v>0.60069444444444442</v>
      </c>
      <c r="W62" s="90">
        <v>691.3</v>
      </c>
      <c r="X62" s="91">
        <v>5.2889999999999997</v>
      </c>
      <c r="Y62" s="92">
        <v>23.05</v>
      </c>
      <c r="Z62" s="91">
        <v>17.286999999999999</v>
      </c>
      <c r="AA62" s="94">
        <f t="shared" si="7"/>
        <v>317.89000000000004</v>
      </c>
      <c r="AB62" s="34">
        <f t="shared" si="10"/>
        <v>323.14000000000004</v>
      </c>
      <c r="AC62" s="34">
        <f t="shared" si="8"/>
        <v>360.64000000000004</v>
      </c>
      <c r="AD62" s="34">
        <f t="shared" si="11"/>
        <v>398.39000000000004</v>
      </c>
      <c r="AE62" s="34">
        <f t="shared" si="9"/>
        <v>403.64000000000004</v>
      </c>
      <c r="AF62" s="34">
        <f>$Z$90*ASIN(SIN($Z$89*$Y62)*SIN($Z$89*$C$12)+COS($Z$89*$Y62)*COS($Z$89*AA62)*COS($Z$89*$C$12))</f>
        <v>48.94661906077858</v>
      </c>
      <c r="AG62" s="34">
        <f>IF(SIN($Z$89*AA62)&lt;0,ACOS((SIN($Z$89*$Y62)-SIN($Z$89*AF62)*SIN($Z$89*$C$12))/(COS($Z$89*AF62)*COS($Z$89*$C$12)))/$Z$89,360-ACOS((SIN($Z$89*$Y62)-SIN($Z$89*AF62)*SIN($Z$89*$C$12))/(COS($Z$89*AF62)*COS($Z$89*$C$12)))/$Z$89)</f>
        <v>110.03390369839182</v>
      </c>
      <c r="AH62" s="34">
        <f>$Z$90*ASIN(SIN($Z$89*$Y62)*SIN($Z$89*$C$12)+COS($Z$89*$Y62)*COS($Z$89*AB62)*COS($Z$89*$C$12))</f>
        <v>52.281321118160818</v>
      </c>
      <c r="AI62" s="34">
        <f>IF(SIN($Z$89*AB62)&lt;0,ACOS((SIN($Z$89*$Y62)-SIN($Z$89*AH62)*SIN($Z$89*$C$12))/(COS($Z$89*AH62)*COS($Z$89*$C$12)))/$Z$89,360-ACOS((SIN($Z$89*$Y62)-SIN($Z$89*AH62)*SIN($Z$89*$C$12))/(COS($Z$89*AH62)*COS($Z$89*$C$12)))/$Z$89)</f>
        <v>115.54719863443738</v>
      </c>
      <c r="AJ62" s="34">
        <f>$Z$90*ASIN(SIN($Z$89*$Y62)*SIN($Z$89*$C$12)+COS($Z$89*$Y62)*COS($Z$89*AC62)*COS($Z$89*$C$12))</f>
        <v>66.594294721808765</v>
      </c>
      <c r="AK62" s="34">
        <f>IF(SIN($Z$89*AC62)&lt;0,ACOS((SIN($Z$89*$Y62)-SIN($Z$89*AJ62)*SIN($Z$89*$C$12))/(COS($Z$89*AJ62)*COS($Z$89*$C$12)))/$Z$89,360-ACOS((SIN($Z$89*$Y62)-SIN($Z$89*AJ62)*SIN($Z$89*$C$12))/(COS($Z$89*AJ62)*COS($Z$89*$C$12)))/$Z$89)</f>
        <v>181.48262816262124</v>
      </c>
      <c r="AL62" s="34">
        <f>$Z$90*ASIN(SIN($Z$89*$Y62)*SIN($Z$89*$C$12)+COS($Z$89*$Y62)*COS($Z$89*AD62)*COS($Z$89*$C$12))</f>
        <v>51.323712987168932</v>
      </c>
      <c r="AM62" s="34">
        <f>IF(SIN($Z$89*AD62)&lt;0,ACOS((SIN($Z$89*$Y62)-SIN($Z$89*AL62)*SIN($Z$89*$C$12))/(COS($Z$89*AL62)*COS($Z$89*$C$12)))/$Z$89,360-ACOS((SIN($Z$89*$Y62)-SIN($Z$89*AL62)*SIN($Z$89*$C$12))/(COS($Z$89*AL62)*COS($Z$89*$C$12)))/$Z$89)</f>
        <v>246.12183429875415</v>
      </c>
      <c r="AN62" s="34">
        <f>$Z$90*ASIN(SIN($Z$89*$Y62)*SIN($Z$89*$C$12)+COS($Z$89*$Y62)*COS($Z$89*AE62)*COS($Z$89*$C$12))</f>
        <v>47.951614300450196</v>
      </c>
      <c r="AO62" s="34">
        <f>IF(SIN($Z$89*AE62)&lt;0,ACOS((SIN($Z$89*$Y62)-SIN($Z$89*AN62)*SIN($Z$89*$C$12))/(COS($Z$89*AN62)*COS($Z$89*$C$12)))/$Z$89,360-ACOS((SIN($Z$89*$Y62)-SIN($Z$89*AN62)*SIN($Z$89*$C$12))/(COS($Z$89*AN62)*COS($Z$89*$C$12)))/$Z$89)</f>
        <v>251.46780849836006</v>
      </c>
      <c r="AP62" s="33"/>
    </row>
    <row r="63" spans="1:42">
      <c r="O63" s="8" t="str">
        <f t="shared" si="6"/>
        <v/>
      </c>
      <c r="P63" s="93" t="s">
        <v>97</v>
      </c>
      <c r="Q63" s="29">
        <v>5</v>
      </c>
      <c r="R63" s="30">
        <v>4.7222222222222221E-2</v>
      </c>
      <c r="S63" s="30">
        <v>5.9027777777777783E-2</v>
      </c>
      <c r="T63" s="30">
        <v>0.19305555555555554</v>
      </c>
      <c r="U63" s="30">
        <v>0.32708333333333334</v>
      </c>
      <c r="V63" s="30">
        <v>0.33888888888888885</v>
      </c>
      <c r="W63" s="90">
        <v>491.9</v>
      </c>
      <c r="X63" s="91">
        <v>5.1349999999999998</v>
      </c>
      <c r="Y63" s="92">
        <v>22.87</v>
      </c>
      <c r="Z63" s="91">
        <v>17.140999999999998</v>
      </c>
      <c r="AA63" s="94">
        <f t="shared" si="7"/>
        <v>204.50999999999996</v>
      </c>
      <c r="AB63" s="34">
        <f t="shared" si="10"/>
        <v>208.76</v>
      </c>
      <c r="AC63" s="34">
        <f t="shared" si="8"/>
        <v>257.01</v>
      </c>
      <c r="AD63" s="34">
        <f t="shared" si="11"/>
        <v>305.26000000000005</v>
      </c>
      <c r="AE63" s="34">
        <f t="shared" si="9"/>
        <v>309.51</v>
      </c>
      <c r="AF63" s="34">
        <f>$Z$90*ASIN(SIN($Z$89*$Y63)*SIN($Z$89*$C$12)+COS($Z$89*$Y63)*COS($Z$89*AA63)*COS($Z$89*$C$12))</f>
        <v>-17.214120366436088</v>
      </c>
      <c r="AG63" s="34">
        <f>IF(SIN($Z$89*AA63)&lt;0,ACOS((SIN($Z$89*$Y63)-SIN($Z$89*AF63)*SIN($Z$89*$C$12))/(COS($Z$89*AF63)*COS($Z$89*$C$12)))/$Z$89,360-ACOS((SIN($Z$89*$Y63)-SIN($Z$89*AF63)*SIN($Z$89*$C$12))/(COS($Z$89*AF63)*COS($Z$89*$C$12)))/$Z$89)</f>
        <v>23.588515956033365</v>
      </c>
      <c r="AH63" s="34">
        <f>$Z$90*ASIN(SIN($Z$89*$Y63)*SIN($Z$89*$C$12)+COS($Z$89*$Y63)*COS($Z$89*AB63)*COS($Z$89*$C$12))</f>
        <v>-15.952360758106149</v>
      </c>
      <c r="AI63" s="34">
        <f>IF(SIN($Z$89*AB63)&lt;0,ACOS((SIN($Z$89*$Y63)-SIN($Z$89*AH63)*SIN($Z$89*$C$12))/(COS($Z$89*AH63)*COS($Z$89*$C$12)))/$Z$89,360-ACOS((SIN($Z$89*$Y63)-SIN($Z$89*AH63)*SIN($Z$89*$C$12))/(COS($Z$89*AH63)*COS($Z$89*$C$12)))/$Z$89)</f>
        <v>27.456463569038412</v>
      </c>
      <c r="AJ63" s="34">
        <f>$Z$90*ASIN(SIN($Z$89*$Y63)*SIN($Z$89*$C$12)+COS($Z$89*$Y63)*COS($Z$89*AC63)*COS($Z$89*$C$12))</f>
        <v>7.9888502751745643</v>
      </c>
      <c r="AK63" s="34">
        <f>IF(SIN($Z$89*AC63)&lt;0,ACOS((SIN($Z$89*$Y63)-SIN($Z$89*AJ63)*SIN($Z$89*$C$12))/(COS($Z$89*AJ63)*COS($Z$89*$C$12)))/$Z$89,360-ACOS((SIN($Z$89*$Y63)-SIN($Z$89*AJ63)*SIN($Z$89*$C$12))/(COS($Z$89*AJ63)*COS($Z$89*$C$12)))/$Z$89)</f>
        <v>65.040807961033224</v>
      </c>
      <c r="AL63" s="34">
        <f>$Z$90*ASIN(SIN($Z$89*$Y63)*SIN($Z$89*$C$12)+COS($Z$89*$Y63)*COS($Z$89*AD63)*COS($Z$89*$C$12))</f>
        <v>40.402561267534878</v>
      </c>
      <c r="AM63" s="34">
        <f>IF(SIN($Z$89*AD63)&lt;0,ACOS((SIN($Z$89*$Y63)-SIN($Z$89*AL63)*SIN($Z$89*$C$12))/(COS($Z$89*AL63)*COS($Z$89*$C$12)))/$Z$89,360-ACOS((SIN($Z$89*$Y63)-SIN($Z$89*AL63)*SIN($Z$89*$C$12))/(COS($Z$89*AL63)*COS($Z$89*$C$12)))/$Z$89)</f>
        <v>98.89460879097436</v>
      </c>
      <c r="AN63" s="34">
        <f>$Z$90*ASIN(SIN($Z$89*$Y63)*SIN($Z$89*$C$12)+COS($Z$89*$Y63)*COS($Z$89*AE63)*COS($Z$89*$C$12))</f>
        <v>43.279753361267403</v>
      </c>
      <c r="AO63" s="34">
        <f>IF(SIN($Z$89*AE63)&lt;0,ACOS((SIN($Z$89*$Y63)-SIN($Z$89*AN63)*SIN($Z$89*$C$12))/(COS($Z$89*AN63)*COS($Z$89*$C$12)))/$Z$89,360-ACOS((SIN($Z$89*$Y63)-SIN($Z$89*AN63)*SIN($Z$89*$C$12))/(COS($Z$89*AN63)*COS($Z$89*$C$12)))/$Z$89)</f>
        <v>102.4614251100633</v>
      </c>
      <c r="AP63" s="33"/>
    </row>
    <row r="64" spans="1:42">
      <c r="O64" s="8" t="str">
        <f t="shared" si="6"/>
        <v/>
      </c>
      <c r="P64" s="93" t="s">
        <v>111</v>
      </c>
      <c r="Q64" s="29">
        <v>6</v>
      </c>
      <c r="R64" s="30">
        <v>0.93888888888888899</v>
      </c>
      <c r="S64" s="30">
        <v>0.95277777777777783</v>
      </c>
      <c r="T64" s="30">
        <v>7.2222222222222229E-2</v>
      </c>
      <c r="U64" s="30">
        <v>0.19097222222222221</v>
      </c>
      <c r="V64" s="30">
        <v>0.20555555555555557</v>
      </c>
      <c r="W64" s="90">
        <v>625.70000000000005</v>
      </c>
      <c r="X64" s="91">
        <v>17.347999999999999</v>
      </c>
      <c r="Y64" s="92">
        <v>-23.09</v>
      </c>
      <c r="Z64" s="91">
        <v>5.4580000000000002</v>
      </c>
      <c r="AA64" s="94">
        <f t="shared" si="7"/>
        <v>167.07</v>
      </c>
      <c r="AB64" s="34">
        <f t="shared" si="10"/>
        <v>172.07</v>
      </c>
      <c r="AC64" s="34">
        <f t="shared" si="8"/>
        <v>-144.93</v>
      </c>
      <c r="AD64" s="34">
        <f t="shared" si="11"/>
        <v>-102.17999999999996</v>
      </c>
      <c r="AE64" s="34">
        <f t="shared" si="9"/>
        <v>-96.929999999999978</v>
      </c>
      <c r="AF64" s="34">
        <f>$Z$90*ASIN(SIN($Z$89*$Y64)*SIN($Z$89*$C$12)+COS($Z$89*$Y64)*COS($Z$89*AA64)*COS($Z$89*$C$12))</f>
        <v>-64.417084545684375</v>
      </c>
      <c r="AG64" s="34">
        <f>IF(SIN($Z$89*AA64)&lt;0,ACOS((SIN($Z$89*$Y64)-SIN($Z$89*AF64)*SIN($Z$89*$C$12))/(COS($Z$89*AF64)*COS($Z$89*$C$12)))/$Z$89,360-ACOS((SIN($Z$89*$Y64)-SIN($Z$89*AF64)*SIN($Z$89*$C$12))/(COS($Z$89*AF64)*COS($Z$89*$C$12)))/$Z$89)</f>
        <v>331.53172700969321</v>
      </c>
      <c r="AH64" s="34">
        <f>$Z$90*ASIN(SIN($Z$89*$Y64)*SIN($Z$89*$C$12)+COS($Z$89*$Y64)*COS($Z$89*AB64)*COS($Z$89*$C$12))</f>
        <v>-65.779157064297692</v>
      </c>
      <c r="AI64" s="34">
        <f>IF(SIN($Z$89*AB64)&lt;0,ACOS((SIN($Z$89*$Y64)-SIN($Z$89*AH64)*SIN($Z$89*$C$12))/(COS($Z$89*AH64)*COS($Z$89*$C$12)))/$Z$89,360-ACOS((SIN($Z$89*$Y64)-SIN($Z$89*AH64)*SIN($Z$89*$C$12))/(COS($Z$89*AH64)*COS($Z$89*$C$12)))/$Z$89)</f>
        <v>341.98014344809576</v>
      </c>
      <c r="AJ64" s="34">
        <f>$Z$90*ASIN(SIN($Z$89*$Y64)*SIN($Z$89*$C$12)+COS($Z$89*$Y64)*COS($Z$89*AC64)*COS($Z$89*$C$12))</f>
        <v>-53.414377256912623</v>
      </c>
      <c r="AK64" s="34">
        <f>IF(SIN($Z$89*AC64)&lt;0,ACOS((SIN($Z$89*$Y64)-SIN($Z$89*AJ64)*SIN($Z$89*$C$12))/(COS($Z$89*AJ64)*COS($Z$89*$C$12)))/$Z$89,360-ACOS((SIN($Z$89*$Y64)-SIN($Z$89*AJ64)*SIN($Z$89*$C$12))/(COS($Z$89*AJ64)*COS($Z$89*$C$12)))/$Z$89)</f>
        <v>62.472574362939156</v>
      </c>
      <c r="AL64" s="34">
        <f>$Z$90*ASIN(SIN($Z$89*$Y64)*SIN($Z$89*$C$12)+COS($Z$89*$Y64)*COS($Z$89*AD64)*COS($Z$89*$C$12))</f>
        <v>-24.705795776610344</v>
      </c>
      <c r="AM64" s="34">
        <f>IF(SIN($Z$89*AD64)&lt;0,ACOS((SIN($Z$89*$Y64)-SIN($Z$89*AL64)*SIN($Z$89*$C$12))/(COS($Z$89*AL64)*COS($Z$89*$C$12)))/$Z$89,360-ACOS((SIN($Z$89*$Y64)-SIN($Z$89*AL64)*SIN($Z$89*$C$12))/(COS($Z$89*AL64)*COS($Z$89*$C$12)))/$Z$89)</f>
        <v>98.197828000097005</v>
      </c>
      <c r="AN64" s="34">
        <f>$Z$90*ASIN(SIN($Z$89*$Y64)*SIN($Z$89*$C$12)+COS($Z$89*$Y64)*COS($Z$89*AE64)*COS($Z$89*$C$12))</f>
        <v>-21.143831314366153</v>
      </c>
      <c r="AO64" s="34">
        <f>IF(SIN($Z$89*AE64)&lt;0,ACOS((SIN($Z$89*$Y64)-SIN($Z$89*AN64)*SIN($Z$89*$C$12))/(COS($Z$89*AN64)*COS($Z$89*$C$12)))/$Z$89,360-ACOS((SIN($Z$89*$Y64)-SIN($Z$89*AN64)*SIN($Z$89*$C$12))/(COS($Z$89*AN64)*COS($Z$89*$C$12)))/$Z$89)</f>
        <v>101.73929180982896</v>
      </c>
      <c r="AP64" s="33"/>
    </row>
    <row r="65" spans="15:42">
      <c r="O65" s="8" t="str">
        <f t="shared" si="6"/>
        <v/>
      </c>
      <c r="P65" s="93" t="s">
        <v>112</v>
      </c>
      <c r="Q65" s="29">
        <v>4</v>
      </c>
      <c r="R65" s="30">
        <v>0.52013888888888882</v>
      </c>
      <c r="S65" s="30">
        <v>0.54166666666666663</v>
      </c>
      <c r="T65" s="30">
        <v>0.61458333333333337</v>
      </c>
      <c r="U65" s="30">
        <v>0.68819444444444444</v>
      </c>
      <c r="V65" s="30">
        <v>0.7090277777777777</v>
      </c>
      <c r="W65" s="90">
        <v>836.4</v>
      </c>
      <c r="X65" s="91">
        <v>17.172000000000001</v>
      </c>
      <c r="Y65" s="92">
        <v>-22.9</v>
      </c>
      <c r="Z65" s="91">
        <v>5.3010000000000002</v>
      </c>
      <c r="AA65" s="94">
        <f t="shared" si="7"/>
        <v>16.605000000000032</v>
      </c>
      <c r="AB65" s="34">
        <f t="shared" si="10"/>
        <v>24.355000000000018</v>
      </c>
      <c r="AC65" s="34">
        <f t="shared" si="8"/>
        <v>50.605000000000018</v>
      </c>
      <c r="AD65" s="34">
        <f t="shared" si="11"/>
        <v>77.105000000000004</v>
      </c>
      <c r="AE65" s="34">
        <f t="shared" si="9"/>
        <v>84.605000000000004</v>
      </c>
      <c r="AF65" s="34">
        <f>$Z$90*ASIN(SIN($Z$89*$Y65)*SIN($Z$89*$C$12)+COS($Z$89*$Y65)*COS($Z$89*AA65)*COS($Z$89*$C$12))</f>
        <v>19.03771759382245</v>
      </c>
      <c r="AG65" s="34">
        <f>IF(SIN($Z$89*AA65)&lt;0,ACOS((SIN($Z$89*$Y65)-SIN($Z$89*AF65)*SIN($Z$89*$C$12))/(COS($Z$89*AF65)*COS($Z$89*$C$12)))/$Z$89,360-ACOS((SIN($Z$89*$Y65)-SIN($Z$89*AF65)*SIN($Z$89*$C$12))/(COS($Z$89*AF65)*COS($Z$89*$C$12)))/$Z$89)</f>
        <v>196.1695527162702</v>
      </c>
      <c r="AH65" s="34">
        <f>$Z$90*ASIN(SIN($Z$89*$Y65)*SIN($Z$89*$C$12)+COS($Z$89*$Y65)*COS($Z$89*AB65)*COS($Z$89*$C$12))</f>
        <v>17.228091671282861</v>
      </c>
      <c r="AI65" s="34">
        <f>IF(SIN($Z$89*AB65)&lt;0,ACOS((SIN($Z$89*$Y65)-SIN($Z$89*AH65)*SIN($Z$89*$C$12))/(COS($Z$89*AH65)*COS($Z$89*$C$12)))/$Z$89,360-ACOS((SIN($Z$89*$Y65)-SIN($Z$89*AH65)*SIN($Z$89*$C$12))/(COS($Z$89*AH65)*COS($Z$89*$C$12)))/$Z$89)</f>
        <v>203.43645249490018</v>
      </c>
      <c r="AJ65" s="34">
        <f>$Z$90*ASIN(SIN($Z$89*$Y65)*SIN($Z$89*$C$12)+COS($Z$89*$Y65)*COS($Z$89*AC65)*COS($Z$89*$C$12))</f>
        <v>6.9373799583242626</v>
      </c>
      <c r="AK65" s="34">
        <f>IF(SIN($Z$89*AC65)&lt;0,ACOS((SIN($Z$89*$Y65)-SIN($Z$89*AJ65)*SIN($Z$89*$C$12))/(COS($Z$89*AJ65)*COS($Z$89*$C$12)))/$Z$89,360-ACOS((SIN($Z$89*$Y65)-SIN($Z$89*AJ65)*SIN($Z$89*$C$12))/(COS($Z$89*AJ65)*COS($Z$89*$C$12)))/$Z$89)</f>
        <v>225.81821552504948</v>
      </c>
      <c r="AL65" s="34">
        <f>$Z$90*ASIN(SIN($Z$89*$Y65)*SIN($Z$89*$C$12)+COS($Z$89*$Y65)*COS($Z$89*AD65)*COS($Z$89*$C$12))</f>
        <v>-8.0702501481686646</v>
      </c>
      <c r="AM65" s="34">
        <f>IF(SIN($Z$89*AD65)&lt;0,ACOS((SIN($Z$89*$Y65)-SIN($Z$89*AL65)*SIN($Z$89*$C$12))/(COS($Z$89*AL65)*COS($Z$89*$C$12)))/$Z$89,360-ACOS((SIN($Z$89*$Y65)-SIN($Z$89*AL65)*SIN($Z$89*$C$12))/(COS($Z$89*AL65)*COS($Z$89*$C$12)))/$Z$89)</f>
        <v>245.08522307067608</v>
      </c>
      <c r="AN65" s="34">
        <f>$Z$90*ASIN(SIN($Z$89*$Y65)*SIN($Z$89*$C$12)+COS($Z$89*$Y65)*COS($Z$89*AE65)*COS($Z$89*$C$12))</f>
        <v>-12.847255213556174</v>
      </c>
      <c r="AO65" s="34">
        <f>IF(SIN($Z$89*AE65)&lt;0,ACOS((SIN($Z$89*$Y65)-SIN($Z$89*AN65)*SIN($Z$89*$C$12))/(COS($Z$89*AN65)*COS($Z$89*$C$12)))/$Z$89,360-ACOS((SIN($Z$89*$Y65)-SIN($Z$89*AN65)*SIN($Z$89*$C$12))/(COS($Z$89*AN65)*COS($Z$89*$C$12)))/$Z$89)</f>
        <v>250.16146498004679</v>
      </c>
      <c r="AP65" s="33"/>
    </row>
    <row r="66" spans="15:42">
      <c r="O66" s="8" t="str">
        <f t="shared" si="6"/>
        <v/>
      </c>
      <c r="P66" s="93" t="s">
        <v>98</v>
      </c>
      <c r="Q66" s="29">
        <v>3</v>
      </c>
      <c r="R66" s="30">
        <v>0.48541666666666666</v>
      </c>
      <c r="S66" s="30">
        <v>0.50138888888888888</v>
      </c>
      <c r="T66" s="30">
        <v>0.59513888888888888</v>
      </c>
      <c r="U66" s="30">
        <v>0.68888888888888899</v>
      </c>
      <c r="V66" s="30">
        <v>0.70486111111111116</v>
      </c>
      <c r="W66" s="90">
        <v>741.1</v>
      </c>
      <c r="X66" s="91">
        <v>5.4539999999999997</v>
      </c>
      <c r="Y66" s="92">
        <v>23.17</v>
      </c>
      <c r="Z66" s="91">
        <v>17.436</v>
      </c>
      <c r="AA66" s="94">
        <f t="shared" si="7"/>
        <v>361.9</v>
      </c>
      <c r="AB66" s="34">
        <f t="shared" si="10"/>
        <v>367.65000000000003</v>
      </c>
      <c r="AC66" s="34">
        <f t="shared" si="8"/>
        <v>401.40000000000003</v>
      </c>
      <c r="AD66" s="34">
        <f t="shared" si="11"/>
        <v>435.15</v>
      </c>
      <c r="AE66" s="34">
        <f t="shared" si="9"/>
        <v>440.9</v>
      </c>
      <c r="AF66" s="34">
        <f>$Z$90*ASIN(SIN($Z$89*$Y66)*SIN($Z$89*$C$12)+COS($Z$89*$Y66)*COS($Z$89*AA66)*COS($Z$89*$C$12))</f>
        <v>66.669567020680688</v>
      </c>
      <c r="AG66" s="34">
        <f>IF(SIN($Z$89*AA66)&lt;0,ACOS((SIN($Z$89*$Y66)-SIN($Z$89*AF66)*SIN($Z$89*$C$12))/(COS($Z$89*AF66)*COS($Z$89*$C$12)))/$Z$89,360-ACOS((SIN($Z$89*$Y66)-SIN($Z$89*AF66)*SIN($Z$89*$C$12))/(COS($Z$89*AF66)*COS($Z$89*$C$12)))/$Z$89)</f>
        <v>184.41416817695361</v>
      </c>
      <c r="AH66" s="34">
        <f>$Z$90*ASIN(SIN($Z$89*$Y66)*SIN($Z$89*$C$12)+COS($Z$89*$Y66)*COS($Z$89*AB66)*COS($Z$89*$C$12))</f>
        <v>65.915814331315715</v>
      </c>
      <c r="AI66" s="34">
        <f>IF(SIN($Z$89*AB66)&lt;0,ACOS((SIN($Z$89*$Y66)-SIN($Z$89*AH66)*SIN($Z$89*$C$12))/(COS($Z$89*AH66)*COS($Z$89*$C$12)))/$Z$89,360-ACOS((SIN($Z$89*$Y66)-SIN($Z$89*AH66)*SIN($Z$89*$C$12))/(COS($Z$89*AH66)*COS($Z$89*$C$12)))/$Z$89)</f>
        <v>197.45177785737485</v>
      </c>
      <c r="AJ66" s="34">
        <f>$Z$90*ASIN(SIN($Z$89*$Y66)*SIN($Z$89*$C$12)+COS($Z$89*$Y66)*COS($Z$89*AC66)*COS($Z$89*$C$12))</f>
        <v>49.490748839323345</v>
      </c>
      <c r="AK66" s="34">
        <f>IF(SIN($Z$89*AC66)&lt;0,ACOS((SIN($Z$89*$Y66)-SIN($Z$89*AJ66)*SIN($Z$89*$C$12))/(COS($Z$89*AJ66)*COS($Z$89*$C$12)))/$Z$89,360-ACOS((SIN($Z$89*$Y66)-SIN($Z$89*AJ66)*SIN($Z$89*$C$12))/(COS($Z$89*AJ66)*COS($Z$89*$C$12)))/$Z$89)</f>
        <v>249.3835785197283</v>
      </c>
      <c r="AL66" s="34">
        <f>$Z$90*ASIN(SIN($Z$89*$Y66)*SIN($Z$89*$C$12)+COS($Z$89*$Y66)*COS($Z$89*AD66)*COS($Z$89*$C$12))</f>
        <v>26.583861204125025</v>
      </c>
      <c r="AM66" s="34">
        <f>IF(SIN($Z$89*AD66)&lt;0,ACOS((SIN($Z$89*$Y66)-SIN($Z$89*AL66)*SIN($Z$89*$C$12))/(COS($Z$89*AL66)*COS($Z$89*$C$12)))/$Z$89,360-ACOS((SIN($Z$89*$Y66)-SIN($Z$89*AL66)*SIN($Z$89*$C$12))/(COS($Z$89*AL66)*COS($Z$89*$C$12)))/$Z$89)</f>
        <v>276.44098135990703</v>
      </c>
      <c r="AN66" s="34">
        <f>$Z$90*ASIN(SIN($Z$89*$Y66)*SIN($Z$89*$C$12)+COS($Z$89*$Y66)*COS($Z$89*AE66)*COS($Z$89*$C$12))</f>
        <v>22.665433448187098</v>
      </c>
      <c r="AO66" s="34">
        <f>IF(SIN($Z$89*AE66)&lt;0,ACOS((SIN($Z$89*$Y66)-SIN($Z$89*AN66)*SIN($Z$89*$C$12))/(COS($Z$89*AN66)*COS($Z$89*$C$12)))/$Z$89,360-ACOS((SIN($Z$89*$Y66)-SIN($Z$89*AN66)*SIN($Z$89*$C$12))/(COS($Z$89*AN66)*COS($Z$89*$C$12)))/$Z$89)</f>
        <v>280.34499533098506</v>
      </c>
      <c r="AP66" s="33"/>
    </row>
    <row r="67" spans="15:42">
      <c r="O67" s="8" t="str">
        <f t="shared" si="6"/>
        <v/>
      </c>
      <c r="P67" s="93" t="s">
        <v>99</v>
      </c>
      <c r="Q67" s="29">
        <v>5</v>
      </c>
      <c r="R67" s="30">
        <v>0.15833333333333333</v>
      </c>
      <c r="S67" s="30">
        <v>0.17013888888888887</v>
      </c>
      <c r="T67" s="30">
        <v>0.30902777777777779</v>
      </c>
      <c r="U67" s="30">
        <v>0.44791666666666669</v>
      </c>
      <c r="V67" s="30">
        <v>0.4597222222222222</v>
      </c>
      <c r="W67" s="90">
        <v>442.7</v>
      </c>
      <c r="X67" s="91">
        <v>5.3010000000000002</v>
      </c>
      <c r="Y67" s="92">
        <v>23.02</v>
      </c>
      <c r="Z67" s="91">
        <v>17.29</v>
      </c>
      <c r="AA67" s="94">
        <f t="shared" si="7"/>
        <v>244.255</v>
      </c>
      <c r="AB67" s="34">
        <f t="shared" si="10"/>
        <v>248.50499999999997</v>
      </c>
      <c r="AC67" s="34">
        <f t="shared" si="8"/>
        <v>298.50500000000005</v>
      </c>
      <c r="AD67" s="34">
        <f t="shared" si="11"/>
        <v>348.505</v>
      </c>
      <c r="AE67" s="34">
        <f t="shared" si="9"/>
        <v>352.75500000000005</v>
      </c>
      <c r="AF67" s="34">
        <f>$Z$90*ASIN(SIN($Z$89*$Y67)*SIN($Z$89*$C$12)+COS($Z$89*$Y67)*COS($Z$89*AA67)*COS($Z$89*$C$12))</f>
        <v>0.45738944234125323</v>
      </c>
      <c r="AG67" s="34">
        <f>IF(SIN($Z$89*AA67)&lt;0,ACOS((SIN($Z$89*$Y67)-SIN($Z$89*AF67)*SIN($Z$89*$C$12))/(COS($Z$89*AF67)*COS($Z$89*$C$12)))/$Z$89,360-ACOS((SIN($Z$89*$Y67)-SIN($Z$89*AF67)*SIN($Z$89*$C$12))/(COS($Z$89*AF67)*COS($Z$89*$C$12)))/$Z$89)</f>
        <v>55.999788627460681</v>
      </c>
      <c r="AH67" s="34">
        <f>$Z$90*ASIN(SIN($Z$89*$Y67)*SIN($Z$89*$C$12)+COS($Z$89*$Y67)*COS($Z$89*AB67)*COS($Z$89*$C$12))</f>
        <v>2.92733029822163</v>
      </c>
      <c r="AI67" s="34">
        <f>IF(SIN($Z$89*AB67)&lt;0,ACOS((SIN($Z$89*$Y67)-SIN($Z$89*AH67)*SIN($Z$89*$C$12))/(COS($Z$89*AH67)*COS($Z$89*$C$12)))/$Z$89,360-ACOS((SIN($Z$89*$Y67)-SIN($Z$89*AH67)*SIN($Z$89*$C$12))/(COS($Z$89*AH67)*COS($Z$89*$C$12)))/$Z$89)</f>
        <v>59.034278220047923</v>
      </c>
      <c r="AJ67" s="34">
        <f>$Z$90*ASIN(SIN($Z$89*$Y67)*SIN($Z$89*$C$12)+COS($Z$89*$Y67)*COS($Z$89*AC67)*COS($Z$89*$C$12))</f>
        <v>35.877199976231225</v>
      </c>
      <c r="AK67" s="34">
        <f>IF(SIN($Z$89*AC67)&lt;0,ACOS((SIN($Z$89*$Y67)-SIN($Z$89*AJ67)*SIN($Z$89*$C$12))/(COS($Z$89*AJ67)*COS($Z$89*$C$12)))/$Z$89,360-ACOS((SIN($Z$89*$Y67)-SIN($Z$89*AJ67)*SIN($Z$89*$C$12))/(COS($Z$89*AJ67)*COS($Z$89*$C$12)))/$Z$89)</f>
        <v>93.460875108891841</v>
      </c>
      <c r="AL67" s="34">
        <f>$Z$90*ASIN(SIN($Z$89*$Y67)*SIN($Z$89*$C$12)+COS($Z$89*$Y67)*COS($Z$89*AD67)*COS($Z$89*$C$12))</f>
        <v>64.800045982652037</v>
      </c>
      <c r="AM67" s="34">
        <f>IF(SIN($Z$89*AD67)&lt;0,ACOS((SIN($Z$89*$Y67)-SIN($Z$89*AL67)*SIN($Z$89*$C$12))/(COS($Z$89*AL67)*COS($Z$89*$C$12)))/$Z$89,360-ACOS((SIN($Z$89*$Y67)-SIN($Z$89*AL67)*SIN($Z$89*$C$12))/(COS($Z$89*AL67)*COS($Z$89*$C$12)))/$Z$89)</f>
        <v>154.48347285569656</v>
      </c>
      <c r="AN67" s="34">
        <f>$Z$90*ASIN(SIN($Z$89*$Y67)*SIN($Z$89*$C$12)+COS($Z$89*$Y67)*COS($Z$89*AE67)*COS($Z$89*$C$12))</f>
        <v>65.85086858689526</v>
      </c>
      <c r="AO67" s="34">
        <f>IF(SIN($Z$89*AE67)&lt;0,ACOS((SIN($Z$89*$Y67)-SIN($Z$89*AN67)*SIN($Z$89*$C$12))/(COS($Z$89*AN67)*COS($Z$89*$C$12)))/$Z$89,360-ACOS((SIN($Z$89*$Y67)-SIN($Z$89*AN67)*SIN($Z$89*$C$12))/(COS($Z$89*AN67)*COS($Z$89*$C$12)))/$Z$89)</f>
        <v>163.51818715293618</v>
      </c>
      <c r="AP67" s="33"/>
    </row>
    <row r="68" spans="15:42">
      <c r="O68" s="8" t="str">
        <f t="shared" si="6"/>
        <v/>
      </c>
      <c r="P68" s="93" t="s">
        <v>113</v>
      </c>
      <c r="Q68" s="29">
        <v>6</v>
      </c>
      <c r="R68" s="30">
        <v>0.86319444444444438</v>
      </c>
      <c r="S68" s="30">
        <v>0.87638888888888899</v>
      </c>
      <c r="T68" s="30">
        <v>9.0277777777777787E-3</v>
      </c>
      <c r="U68" s="30">
        <v>0.1423611111111111</v>
      </c>
      <c r="V68" s="30">
        <v>0.15486111111111112</v>
      </c>
      <c r="W68" s="90">
        <v>517.1</v>
      </c>
      <c r="X68" s="91">
        <v>17.494</v>
      </c>
      <c r="Y68" s="92">
        <v>-23.18</v>
      </c>
      <c r="Z68" s="91">
        <v>5.5960000000000001</v>
      </c>
      <c r="AA68" s="94">
        <f t="shared" si="7"/>
        <v>139.69999999999996</v>
      </c>
      <c r="AB68" s="34">
        <f t="shared" si="10"/>
        <v>144.45000000000002</v>
      </c>
      <c r="AC68" s="34">
        <f t="shared" si="8"/>
        <v>-167.8</v>
      </c>
      <c r="AD68" s="34">
        <f t="shared" si="11"/>
        <v>-119.8</v>
      </c>
      <c r="AE68" s="34">
        <f t="shared" si="9"/>
        <v>-115.3</v>
      </c>
      <c r="AF68" s="34">
        <f>$Z$90*ASIN(SIN($Z$89*$Y68)*SIN($Z$89*$C$12)+COS($Z$89*$Y68)*COS($Z$89*AA68)*COS($Z$89*$C$12))</f>
        <v>-50.204629598555265</v>
      </c>
      <c r="AG68" s="34">
        <f>IF(SIN($Z$89*AA68)&lt;0,ACOS((SIN($Z$89*$Y68)-SIN($Z$89*AF68)*SIN($Z$89*$C$12))/(COS($Z$89*AF68)*COS($Z$89*$C$12)))/$Z$89,360-ACOS((SIN($Z$89*$Y68)-SIN($Z$89*AF68)*SIN($Z$89*$C$12))/(COS($Z$89*AF68)*COS($Z$89*$C$12)))/$Z$89)</f>
        <v>291.72730330268888</v>
      </c>
      <c r="AH68" s="34">
        <f>$Z$90*ASIN(SIN($Z$89*$Y68)*SIN($Z$89*$C$12)+COS($Z$89*$Y68)*COS($Z$89*AB68)*COS($Z$89*$C$12))</f>
        <v>-53.187345481819349</v>
      </c>
      <c r="AI68" s="34">
        <f>IF(SIN($Z$89*AB68)&lt;0,ACOS((SIN($Z$89*$Y68)-SIN($Z$89*AH68)*SIN($Z$89*$C$12))/(COS($Z$89*AH68)*COS($Z$89*$C$12)))/$Z$89,360-ACOS((SIN($Z$89*$Y68)-SIN($Z$89*AH68)*SIN($Z$89*$C$12))/(COS($Z$89*AH68)*COS($Z$89*$C$12)))/$Z$89)</f>
        <v>296.87635033997429</v>
      </c>
      <c r="AJ68" s="34">
        <f>$Z$90*ASIN(SIN($Z$89*$Y68)*SIN($Z$89*$C$12)+COS($Z$89*$Y68)*COS($Z$89*AC68)*COS($Z$89*$C$12))</f>
        <v>-64.735790632614624</v>
      </c>
      <c r="AK68" s="34">
        <f>IF(SIN($Z$89*AC68)&lt;0,ACOS((SIN($Z$89*$Y68)-SIN($Z$89*AJ68)*SIN($Z$89*$C$12))/(COS($Z$89*AJ68)*COS($Z$89*$C$12)))/$Z$89,360-ACOS((SIN($Z$89*$Y68)-SIN($Z$89*AJ68)*SIN($Z$89*$C$12))/(COS($Z$89*AJ68)*COS($Z$89*$C$12)))/$Z$89)</f>
        <v>27.076137004499124</v>
      </c>
      <c r="AL68" s="34">
        <f>$Z$90*ASIN(SIN($Z$89*$Y68)*SIN($Z$89*$C$12)+COS($Z$89*$Y68)*COS($Z$89*AD68)*COS($Z$89*$C$12))</f>
        <v>-36.873702024872081</v>
      </c>
      <c r="AM68" s="34">
        <f>IF(SIN($Z$89*AD68)&lt;0,ACOS((SIN($Z$89*$Y68)-SIN($Z$89*AL68)*SIN($Z$89*$C$12))/(COS($Z$89*AL68)*COS($Z$89*$C$12)))/$Z$89,360-ACOS((SIN($Z$89*$Y68)-SIN($Z$89*AL68)*SIN($Z$89*$C$12))/(COS($Z$89*AL68)*COS($Z$89*$C$12)))/$Z$89)</f>
        <v>85.704583633054938</v>
      </c>
      <c r="AN68" s="34">
        <f>$Z$90*ASIN(SIN($Z$89*$Y68)*SIN($Z$89*$C$12)+COS($Z$89*$Y68)*COS($Z$89*AE68)*COS($Z$89*$C$12))</f>
        <v>-33.776901139782986</v>
      </c>
      <c r="AO68" s="34">
        <f>IF(SIN($Z$89*AE68)&lt;0,ACOS((SIN($Z$89*$Y68)-SIN($Z$89*AN68)*SIN($Z$89*$C$12))/(COS($Z$89*AN68)*COS($Z$89*$C$12)))/$Z$89,360-ACOS((SIN($Z$89*$Y68)-SIN($Z$89*AN68)*SIN($Z$89*$C$12))/(COS($Z$89*AN68)*COS($Z$89*$C$12)))/$Z$89)</f>
        <v>89.067089140519982</v>
      </c>
      <c r="AP68" s="33"/>
    </row>
    <row r="69" spans="15:42">
      <c r="O69" s="8" t="str">
        <f t="shared" si="6"/>
        <v/>
      </c>
      <c r="P69" s="93" t="s">
        <v>114</v>
      </c>
      <c r="Q69" s="29">
        <v>4</v>
      </c>
      <c r="R69" s="30">
        <v>0.50277777777777777</v>
      </c>
      <c r="S69" s="30">
        <v>0.54652777777777783</v>
      </c>
      <c r="T69" s="30">
        <v>0.56527777777777777</v>
      </c>
      <c r="U69" s="30">
        <v>0.58402777777777781</v>
      </c>
      <c r="V69" s="30">
        <v>0.62777777777777777</v>
      </c>
      <c r="W69" s="90">
        <v>934.8</v>
      </c>
      <c r="X69" s="91">
        <v>17.318999999999999</v>
      </c>
      <c r="Y69" s="92">
        <v>-23.03</v>
      </c>
      <c r="Z69" s="91">
        <v>5.44</v>
      </c>
      <c r="AA69" s="94">
        <f t="shared" si="7"/>
        <v>10.23500000000003</v>
      </c>
      <c r="AB69" s="34">
        <f t="shared" si="10"/>
        <v>25.985000000000042</v>
      </c>
      <c r="AC69" s="34">
        <f t="shared" si="8"/>
        <v>32.735000000000028</v>
      </c>
      <c r="AD69" s="34">
        <f t="shared" si="11"/>
        <v>39.485000000000021</v>
      </c>
      <c r="AE69" s="34">
        <f t="shared" si="9"/>
        <v>55.235000000000028</v>
      </c>
      <c r="AF69" s="34">
        <f>$Z$90*ASIN(SIN($Z$89*$Y69)*SIN($Z$89*$C$12)+COS($Z$89*$Y69)*COS($Z$89*AA69)*COS($Z$89*$C$12))</f>
        <v>19.903954111416127</v>
      </c>
      <c r="AG69" s="34">
        <f>IF(SIN($Z$89*AA69)&lt;0,ACOS((SIN($Z$89*$Y69)-SIN($Z$89*AF69)*SIN($Z$89*$C$12))/(COS($Z$89*AF69)*COS($Z$89*$C$12)))/$Z$89,360-ACOS((SIN($Z$89*$Y69)-SIN($Z$89*AF69)*SIN($Z$89*$C$12))/(COS($Z$89*AF69)*COS($Z$89*$C$12)))/$Z$89)</f>
        <v>190.01541581469496</v>
      </c>
      <c r="AH69" s="34">
        <f>$Z$90*ASIN(SIN($Z$89*$Y69)*SIN($Z$89*$C$12)+COS($Z$89*$Y69)*COS($Z$89*AB69)*COS($Z$89*$C$12))</f>
        <v>16.644638097142291</v>
      </c>
      <c r="AI69" s="34">
        <f>IF(SIN($Z$89*AB69)&lt;0,ACOS((SIN($Z$89*$Y69)-SIN($Z$89*AH69)*SIN($Z$89*$C$12))/(COS($Z$89*AH69)*COS($Z$89*$C$12)))/$Z$89,360-ACOS((SIN($Z$89*$Y69)-SIN($Z$89*AH69)*SIN($Z$89*$C$12))/(COS($Z$89*AH69)*COS($Z$89*$C$12)))/$Z$89)</f>
        <v>204.88827647572313</v>
      </c>
      <c r="AJ69" s="34">
        <f>$Z$90*ASIN(SIN($Z$89*$Y69)*SIN($Z$89*$C$12)+COS($Z$89*$Y69)*COS($Z$89*AC69)*COS($Z$89*$C$12))</f>
        <v>14.467505680922631</v>
      </c>
      <c r="AK69" s="34">
        <f>IF(SIN($Z$89*AC69)&lt;0,ACOS((SIN($Z$89*$Y69)-SIN($Z$89*AJ69)*SIN($Z$89*$C$12))/(COS($Z$89*AJ69)*COS($Z$89*$C$12)))/$Z$89,360-ACOS((SIN($Z$89*$Y69)-SIN($Z$89*AJ69)*SIN($Z$89*$C$12))/(COS($Z$89*AJ69)*COS($Z$89*$C$12)))/$Z$89)</f>
        <v>210.92756291185478</v>
      </c>
      <c r="AL69" s="34">
        <f>$Z$90*ASIN(SIN($Z$89*$Y69)*SIN($Z$89*$C$12)+COS($Z$89*$Y69)*COS($Z$89*AD69)*COS($Z$89*$C$12))</f>
        <v>11.878250070650672</v>
      </c>
      <c r="AM69" s="34">
        <f>IF(SIN($Z$89*AD69)&lt;0,ACOS((SIN($Z$89*$Y69)-SIN($Z$89*AL69)*SIN($Z$89*$C$12))/(COS($Z$89*AL69)*COS($Z$89*$C$12)))/$Z$89,360-ACOS((SIN($Z$89*$Y69)-SIN($Z$89*AL69)*SIN($Z$89*$C$12))/(COS($Z$89*AL69)*COS($Z$89*$C$12)))/$Z$89)</f>
        <v>216.72692391732539</v>
      </c>
      <c r="AN69" s="34">
        <f>$Z$90*ASIN(SIN($Z$89*$Y69)*SIN($Z$89*$C$12)+COS($Z$89*$Y69)*COS($Z$89*AE69)*COS($Z$89*$C$12))</f>
        <v>4.4745541447993391</v>
      </c>
      <c r="AO69" s="34">
        <f>IF(SIN($Z$89*AE69)&lt;0,ACOS((SIN($Z$89*$Y69)-SIN($Z$89*AN69)*SIN($Z$89*$C$12))/(COS($Z$89*AN69)*COS($Z$89*$C$12)))/$Z$89,360-ACOS((SIN($Z$89*$Y69)-SIN($Z$89*AN69)*SIN($Z$89*$C$12))/(COS($Z$89*AN69)*COS($Z$89*$C$12)))/$Z$89)</f>
        <v>229.31770294664582</v>
      </c>
      <c r="AP69" s="33"/>
    </row>
    <row r="70" spans="15:42">
      <c r="O70" s="8" t="str">
        <f t="shared" ref="O70:O86" si="12">IF(P70=$C$6,"*","")</f>
        <v>*</v>
      </c>
      <c r="P70" s="93" t="s">
        <v>100</v>
      </c>
      <c r="Q70" s="29">
        <v>3</v>
      </c>
      <c r="R70" s="30">
        <v>0.62638888888888888</v>
      </c>
      <c r="S70" s="30">
        <v>0.64583333333333337</v>
      </c>
      <c r="T70" s="30">
        <v>0.72083333333333333</v>
      </c>
      <c r="U70" s="30">
        <v>0.79583333333333339</v>
      </c>
      <c r="V70" s="30">
        <v>0.81527777777777777</v>
      </c>
      <c r="W70" s="90">
        <v>808.3</v>
      </c>
      <c r="X70" s="91">
        <v>5.6230000000000002</v>
      </c>
      <c r="Y70" s="92">
        <v>23.24</v>
      </c>
      <c r="Z70" s="91">
        <v>17.587</v>
      </c>
      <c r="AA70" s="94">
        <f t="shared" si="7"/>
        <v>412.38</v>
      </c>
      <c r="AB70" s="34">
        <f t="shared" si="10"/>
        <v>419.38000000000005</v>
      </c>
      <c r="AC70" s="34">
        <f t="shared" si="8"/>
        <v>446.38</v>
      </c>
      <c r="AD70" s="34">
        <f t="shared" si="11"/>
        <v>473.38000000000005</v>
      </c>
      <c r="AE70" s="34">
        <f t="shared" si="9"/>
        <v>480.38000000000011</v>
      </c>
      <c r="AF70" s="34">
        <f>$Z$90*ASIN(SIN($Z$89*$Y70)*SIN($Z$89*$C$12)+COS($Z$89*$Y70)*COS($Z$89*AA70)*COS($Z$89*$C$12))</f>
        <v>42.254982946778235</v>
      </c>
      <c r="AG70" s="34">
        <f>IF(SIN($Z$89*AA70)&lt;0,ACOS((SIN($Z$89*$Y70)-SIN($Z$89*AF70)*SIN($Z$89*$C$12))/(COS($Z$89*AF70)*COS($Z$89*$C$12)))/$Z$89,360-ACOS((SIN($Z$89*$Y70)-SIN($Z$89*AF70)*SIN($Z$89*$C$12))/(COS($Z$89*AF70)*COS($Z$89*$C$12)))/$Z$89)</f>
        <v>259.51784838325551</v>
      </c>
      <c r="AH70" s="34">
        <f>$Z$90*ASIN(SIN($Z$89*$Y70)*SIN($Z$89*$C$12)+COS($Z$89*$Y70)*COS($Z$89*AB70)*COS($Z$89*$C$12))</f>
        <v>37.476736100326775</v>
      </c>
      <c r="AI70" s="34">
        <f>IF(SIN($Z$89*AB70)&lt;0,ACOS((SIN($Z$89*$Y70)-SIN($Z$89*AH70)*SIN($Z$89*$C$12))/(COS($Z$89*AH70)*COS($Z$89*$C$12)))/$Z$89,360-ACOS((SIN($Z$89*$Y70)-SIN($Z$89*AH70)*SIN($Z$89*$C$12))/(COS($Z$89*AH70)*COS($Z$89*$C$12)))/$Z$89)</f>
        <v>265.1323112779728</v>
      </c>
      <c r="AJ70" s="34">
        <f>$Z$90*ASIN(SIN($Z$89*$Y70)*SIN($Z$89*$C$12)+COS($Z$89*$Y70)*COS($Z$89*AC70)*COS($Z$89*$C$12))</f>
        <v>19.023490200358914</v>
      </c>
      <c r="AK70" s="34">
        <f>IF(SIN($Z$89*AC70)&lt;0,ACOS((SIN($Z$89*$Y70)-SIN($Z$89*AJ70)*SIN($Z$89*$C$12))/(COS($Z$89*AJ70)*COS($Z$89*$C$12)))/$Z$89,360-ACOS((SIN($Z$89*$Y70)-SIN($Z$89*AJ70)*SIN($Z$89*$C$12))/(COS($Z$89*AJ70)*COS($Z$89*$C$12)))/$Z$89)</f>
        <v>284.0690531919555</v>
      </c>
      <c r="AL70" s="34">
        <f>$Z$90*ASIN(SIN($Z$89*$Y70)*SIN($Z$89*$C$12)+COS($Z$89*$Y70)*COS($Z$89*AD70)*COS($Z$89*$C$12))</f>
        <v>1.9919385510128966</v>
      </c>
      <c r="AM70" s="34">
        <f>IF(SIN($Z$89*AD70)&lt;0,ACOS((SIN($Z$89*$Y70)-SIN($Z$89*AL70)*SIN($Z$89*$C$12))/(COS($Z$89*AL70)*COS($Z$89*$C$12)))/$Z$89,360-ACOS((SIN($Z$89*$Y70)-SIN($Z$89*AL70)*SIN($Z$89*$C$12))/(COS($Z$89*AL70)*COS($Z$89*$C$12)))/$Z$89)</f>
        <v>302.44301737307404</v>
      </c>
      <c r="AN70" s="34">
        <f>$Z$90*ASIN(SIN($Z$89*$Y70)*SIN($Z$89*$C$12)+COS($Z$89*$Y70)*COS($Z$89*AE70)*COS($Z$89*$C$12))</f>
        <v>-1.9591589067937816</v>
      </c>
      <c r="AO70" s="34">
        <f>IF(SIN($Z$89*AE70)&lt;0,ACOS((SIN($Z$89*$Y70)-SIN($Z$89*AN70)*SIN($Z$89*$C$12))/(COS($Z$89*AN70)*COS($Z$89*$C$12)))/$Z$89,360-ACOS((SIN($Z$89*$Y70)-SIN($Z$89*AN70)*SIN($Z$89*$C$12))/(COS($Z$89*AN70)*COS($Z$89*$C$12)))/$Z$89)</f>
        <v>307.51863657415936</v>
      </c>
      <c r="AP70" s="33"/>
    </row>
    <row r="71" spans="15:42">
      <c r="O71" s="8" t="str">
        <f t="shared" si="12"/>
        <v/>
      </c>
      <c r="P71" s="93" t="s">
        <v>101</v>
      </c>
      <c r="Q71" s="29">
        <v>5</v>
      </c>
      <c r="R71" s="30">
        <v>0.27291666666666664</v>
      </c>
      <c r="S71" s="30">
        <v>0.28402777777777777</v>
      </c>
      <c r="T71" s="30">
        <v>0.4284722222222222</v>
      </c>
      <c r="U71" s="30">
        <v>0.57222222222222219</v>
      </c>
      <c r="V71" s="30">
        <v>0.58333333333333337</v>
      </c>
      <c r="W71" s="90">
        <v>385.6</v>
      </c>
      <c r="X71" s="91">
        <v>5.468</v>
      </c>
      <c r="Y71" s="92">
        <v>23.14</v>
      </c>
      <c r="Z71" s="91">
        <v>17.440000000000001</v>
      </c>
      <c r="AA71" s="94">
        <f t="shared" si="7"/>
        <v>285.25000000000006</v>
      </c>
      <c r="AB71" s="34">
        <f t="shared" si="10"/>
        <v>289.25000000000006</v>
      </c>
      <c r="AC71" s="34">
        <f t="shared" si="8"/>
        <v>341.25000000000006</v>
      </c>
      <c r="AD71" s="34">
        <f t="shared" si="11"/>
        <v>393.00000000000006</v>
      </c>
      <c r="AE71" s="34">
        <f t="shared" si="9"/>
        <v>397.00000000000006</v>
      </c>
      <c r="AF71" s="34">
        <f>$Z$90*ASIN(SIN($Z$89*$Y71)*SIN($Z$89*$C$12)+COS($Z$89*$Y71)*COS($Z$89*AA71)*COS($Z$89*$C$12))</f>
        <v>26.837778795653961</v>
      </c>
      <c r="AG71" s="34">
        <f>IF(SIN($Z$89*AA71)&lt;0,ACOS((SIN($Z$89*$Y71)-SIN($Z$89*AF71)*SIN($Z$89*$C$12))/(COS($Z$89*AF71)*COS($Z$89*$C$12)))/$Z$89,360-ACOS((SIN($Z$89*$Y71)-SIN($Z$89*AF71)*SIN($Z$89*$C$12))/(COS($Z$89*AF71)*COS($Z$89*$C$12)))/$Z$89)</f>
        <v>83.858747056911653</v>
      </c>
      <c r="AH71" s="34">
        <f>$Z$90*ASIN(SIN($Z$89*$Y71)*SIN($Z$89*$C$12)+COS($Z$89*$Y71)*COS($Z$89*AB71)*COS($Z$89*$C$12))</f>
        <v>29.583964272557701</v>
      </c>
      <c r="AI71" s="34">
        <f>IF(SIN($Z$89*AB71)&lt;0,ACOS((SIN($Z$89*$Y71)-SIN($Z$89*AH71)*SIN($Z$89*$C$12))/(COS($Z$89*AH71)*COS($Z$89*$C$12)))/$Z$89,360-ACOS((SIN($Z$89*$Y71)-SIN($Z$89*AH71)*SIN($Z$89*$C$12))/(COS($Z$89*AH71)*COS($Z$89*$C$12)))/$Z$89)</f>
        <v>86.635896517738828</v>
      </c>
      <c r="AJ71" s="34">
        <f>$Z$90*ASIN(SIN($Z$89*$Y71)*SIN($Z$89*$C$12)+COS($Z$89*$Y71)*COS($Z$89*AC71)*COS($Z$89*$C$12))</f>
        <v>62.221333878031103</v>
      </c>
      <c r="AK71" s="34">
        <f>IF(SIN($Z$89*AC71)&lt;0,ACOS((SIN($Z$89*$Y71)-SIN($Z$89*AJ71)*SIN($Z$89*$C$12))/(COS($Z$89*AJ71)*COS($Z$89*$C$12)))/$Z$89,360-ACOS((SIN($Z$89*$Y71)-SIN($Z$89*AJ71)*SIN($Z$89*$C$12))/(COS($Z$89*AJ71)*COS($Z$89*$C$12)))/$Z$89)</f>
        <v>140.63847970052544</v>
      </c>
      <c r="AL71" s="34">
        <f>$Z$90*ASIN(SIN($Z$89*$Y71)*SIN($Z$89*$C$12)+COS($Z$89*$Y71)*COS($Z$89*AD71)*COS($Z$89*$C$12))</f>
        <v>54.702819432572269</v>
      </c>
      <c r="AM71" s="34">
        <f>IF(SIN($Z$89*AD71)&lt;0,ACOS((SIN($Z$89*$Y71)-SIN($Z$89*AL71)*SIN($Z$89*$C$12))/(COS($Z$89*AL71)*COS($Z$89*$C$12)))/$Z$89,360-ACOS((SIN($Z$89*$Y71)-SIN($Z$89*AL71)*SIN($Z$89*$C$12))/(COS($Z$89*AL71)*COS($Z$89*$C$12)))/$Z$89)</f>
        <v>240.0827606345963</v>
      </c>
      <c r="AN71" s="34">
        <f>$Z$90*ASIN(SIN($Z$89*$Y71)*SIN($Z$89*$C$12)+COS($Z$89*$Y71)*COS($Z$89*AE71)*COS($Z$89*$C$12))</f>
        <v>52.260481186852509</v>
      </c>
      <c r="AO71" s="34">
        <f>IF(SIN($Z$89*AE71)&lt;0,ACOS((SIN($Z$89*$Y71)-SIN($Z$89*AN71)*SIN($Z$89*$C$12))/(COS($Z$89*AN71)*COS($Z$89*$C$12)))/$Z$89,360-ACOS((SIN($Z$89*$Y71)-SIN($Z$89*AN71)*SIN($Z$89*$C$12))/(COS($Z$89*AN71)*COS($Z$89*$C$12)))/$Z$89)</f>
        <v>244.70728190268153</v>
      </c>
      <c r="AP71" s="33"/>
    </row>
    <row r="72" spans="15:42">
      <c r="O72" s="8" t="str">
        <f t="shared" si="12"/>
        <v/>
      </c>
      <c r="P72" s="93" t="s">
        <v>115</v>
      </c>
      <c r="Q72" s="29">
        <v>6</v>
      </c>
      <c r="R72" s="30">
        <v>0.8125</v>
      </c>
      <c r="S72" s="30">
        <v>0.82430555555555562</v>
      </c>
      <c r="T72" s="30">
        <v>0.96597222222222223</v>
      </c>
      <c r="U72" s="30">
        <v>0.1076388888888889</v>
      </c>
      <c r="V72" s="30">
        <v>0.11944444444444445</v>
      </c>
      <c r="W72" s="90">
        <v>432.1</v>
      </c>
      <c r="X72" s="91">
        <v>17.643000000000001</v>
      </c>
      <c r="Y72" s="92">
        <v>-23.24</v>
      </c>
      <c r="Z72" s="91">
        <v>5.7350000000000003</v>
      </c>
      <c r="AA72" s="94">
        <f t="shared" si="7"/>
        <v>121.29999999999998</v>
      </c>
      <c r="AB72" s="34">
        <f t="shared" si="10"/>
        <v>125.55000000000001</v>
      </c>
      <c r="AC72" s="34">
        <f t="shared" si="8"/>
        <v>176.54999999999998</v>
      </c>
      <c r="AD72" s="34">
        <f t="shared" si="11"/>
        <v>-132.45000000000002</v>
      </c>
      <c r="AE72" s="34">
        <f t="shared" si="9"/>
        <v>-128.20000000000002</v>
      </c>
      <c r="AF72" s="34">
        <f>$Z$90*ASIN(SIN($Z$89*$Y72)*SIN($Z$89*$C$12)+COS($Z$89*$Y72)*COS($Z$89*AA72)*COS($Z$89*$C$12))</f>
        <v>-37.943369177526947</v>
      </c>
      <c r="AG72" s="34">
        <f>IF(SIN($Z$89*AA72)&lt;0,ACOS((SIN($Z$89*$Y72)-SIN($Z$89*AF72)*SIN($Z$89*$C$12))/(COS($Z$89*AF72)*COS($Z$89*$C$12)))/$Z$89,360-ACOS((SIN($Z$89*$Y72)-SIN($Z$89*AF72)*SIN($Z$89*$C$12))/(COS($Z$89*AF72)*COS($Z$89*$C$12)))/$Z$89)</f>
        <v>275.39292921173126</v>
      </c>
      <c r="AH72" s="34">
        <f>$Z$90*ASIN(SIN($Z$89*$Y72)*SIN($Z$89*$C$12)+COS($Z$89*$Y72)*COS($Z$89*AB72)*COS($Z$89*$C$12))</f>
        <v>-40.848896676523182</v>
      </c>
      <c r="AI72" s="34">
        <f>IF(SIN($Z$89*AB72)&lt;0,ACOS((SIN($Z$89*$Y72)-SIN($Z$89*AH72)*SIN($Z$89*$C$12))/(COS($Z$89*AH72)*COS($Z$89*$C$12)))/$Z$89,360-ACOS((SIN($Z$89*$Y72)-SIN($Z$89*AH72)*SIN($Z$89*$C$12))/(COS($Z$89*AH72)*COS($Z$89*$C$12)))/$Z$89)</f>
        <v>278.77040337483379</v>
      </c>
      <c r="AJ72" s="34">
        <f>$Z$90*ASIN(SIN($Z$89*$Y72)*SIN($Z$89*$C$12)+COS($Z$89*$Y72)*COS($Z$89*AC72)*COS($Z$89*$C$12))</f>
        <v>-66.623758382220643</v>
      </c>
      <c r="AK72" s="34">
        <f>IF(SIN($Z$89*AC72)&lt;0,ACOS((SIN($Z$89*$Y72)-SIN($Z$89*AJ72)*SIN($Z$89*$C$12))/(COS($Z$89*AJ72)*COS($Z$89*$C$12)))/$Z$89,360-ACOS((SIN($Z$89*$Y72)-SIN($Z$89*AJ72)*SIN($Z$89*$C$12))/(COS($Z$89*AJ72)*COS($Z$89*$C$12)))/$Z$89)</f>
        <v>351.98901203014225</v>
      </c>
      <c r="AL72" s="34">
        <f>$Z$90*ASIN(SIN($Z$89*$Y72)*SIN($Z$89*$C$12)+COS($Z$89*$Y72)*COS($Z$89*AD72)*COS($Z$89*$C$12))</f>
        <v>-45.502478954292719</v>
      </c>
      <c r="AM72" s="34">
        <f>IF(SIN($Z$89*AD72)&lt;0,ACOS((SIN($Z$89*$Y72)-SIN($Z$89*AL72)*SIN($Z$89*$C$12))/(COS($Z$89*AL72)*COS($Z$89*$C$12)))/$Z$89,360-ACOS((SIN($Z$89*$Y72)-SIN($Z$89*AL72)*SIN($Z$89*$C$12))/(COS($Z$89*AL72)*COS($Z$89*$C$12)))/$Z$89)</f>
        <v>75.31905478055549</v>
      </c>
      <c r="AN72" s="34">
        <f>$Z$90*ASIN(SIN($Z$89*$Y72)*SIN($Z$89*$C$12)+COS($Z$89*$Y72)*COS($Z$89*AE72)*COS($Z$89*$C$12))</f>
        <v>-42.647612521242358</v>
      </c>
      <c r="AO72" s="34">
        <f>IF(SIN($Z$89*AE72)&lt;0,ACOS((SIN($Z$89*$Y72)-SIN($Z$89*AN72)*SIN($Z$89*$C$12))/(COS($Z$89*AN72)*COS($Z$89*$C$12)))/$Z$89,360-ACOS((SIN($Z$89*$Y72)-SIN($Z$89*AN72)*SIN($Z$89*$C$12))/(COS($Z$89*AN72)*COS($Z$89*$C$12)))/$Z$89)</f>
        <v>79.029441757300162</v>
      </c>
      <c r="AP72" s="33"/>
    </row>
    <row r="73" spans="15:42">
      <c r="O73" s="8" t="str">
        <f t="shared" si="12"/>
        <v/>
      </c>
      <c r="P73" s="93" t="s">
        <v>124</v>
      </c>
      <c r="Q73" s="29">
        <v>4</v>
      </c>
      <c r="R73" s="69" t="s">
        <v>13</v>
      </c>
      <c r="S73" s="69" t="s">
        <v>13</v>
      </c>
      <c r="T73" s="30">
        <v>0.5131944444444444</v>
      </c>
      <c r="U73" s="69" t="s">
        <v>13</v>
      </c>
      <c r="V73" s="69" t="s">
        <v>13</v>
      </c>
      <c r="W73" s="90">
        <v>1026.7</v>
      </c>
      <c r="X73" s="91">
        <v>17.466000000000001</v>
      </c>
      <c r="Y73" s="92">
        <v>-23.12</v>
      </c>
      <c r="Z73" s="91">
        <v>5.5780000000000003</v>
      </c>
      <c r="AA73" s="95" t="s">
        <v>13</v>
      </c>
      <c r="AB73" s="69" t="s">
        <v>13</v>
      </c>
      <c r="AC73" s="34">
        <f t="shared" si="8"/>
        <v>13.849999999999971</v>
      </c>
      <c r="AD73" s="69" t="s">
        <v>13</v>
      </c>
      <c r="AE73" s="69" t="s">
        <v>13</v>
      </c>
      <c r="AF73" s="69" t="s">
        <v>13</v>
      </c>
      <c r="AG73" s="69" t="s">
        <v>13</v>
      </c>
      <c r="AH73" s="69" t="s">
        <v>13</v>
      </c>
      <c r="AI73" s="69" t="s">
        <v>13</v>
      </c>
      <c r="AJ73" s="34">
        <f t="shared" ref="AJ73" si="13">$Z$90*ASIN(SIN($Z$89*$Y73)*SIN($Z$89*$C$12)+COS($Z$89*$Y73)*COS($Z$89*AC73)*COS($Z$89*$C$12))</f>
        <v>19.307615356983572</v>
      </c>
      <c r="AK73" s="34">
        <f t="shared" ref="AK73" si="14">IF(SIN($Z$89*AC73)&lt;0,ACOS((SIN($Z$89*$Y73)-SIN($Z$89*AJ73)*SIN($Z$89*$C$12))/(COS($Z$89*AJ73)*COS($Z$89*$C$12)))/$Z$89,360-ACOS((SIN($Z$89*$Y73)-SIN($Z$89*AJ73)*SIN($Z$89*$C$12))/(COS($Z$89*AJ73)*COS($Z$89*$C$12)))/$Z$89)</f>
        <v>193.48995731178442</v>
      </c>
      <c r="AL73" s="69" t="s">
        <v>13</v>
      </c>
      <c r="AM73" s="69" t="s">
        <v>13</v>
      </c>
      <c r="AN73" s="69" t="s">
        <v>13</v>
      </c>
      <c r="AO73" s="69" t="s">
        <v>13</v>
      </c>
      <c r="AP73" s="33"/>
    </row>
    <row r="74" spans="15:42">
      <c r="O74" s="8" t="str">
        <f t="shared" si="12"/>
        <v/>
      </c>
      <c r="P74" s="93" t="s">
        <v>102</v>
      </c>
      <c r="Q74" s="29">
        <v>3</v>
      </c>
      <c r="R74" s="30">
        <v>0.73958333333333337</v>
      </c>
      <c r="S74" s="30">
        <v>0.7631944444444444</v>
      </c>
      <c r="T74" s="30">
        <v>0.8222222222222223</v>
      </c>
      <c r="U74" s="30">
        <v>0.88194444444444453</v>
      </c>
      <c r="V74" s="30">
        <v>0.90555555555555556</v>
      </c>
      <c r="W74" s="90">
        <v>850.5</v>
      </c>
      <c r="X74" s="91">
        <v>5.7910000000000004</v>
      </c>
      <c r="Y74" s="92">
        <v>23.28</v>
      </c>
      <c r="Z74" s="91">
        <v>17.734999999999999</v>
      </c>
      <c r="AA74" s="94">
        <f t="shared" si="7"/>
        <v>452.83</v>
      </c>
      <c r="AB74" s="34">
        <f t="shared" si="10"/>
        <v>461.33000000000004</v>
      </c>
      <c r="AC74" s="34">
        <f t="shared" si="8"/>
        <v>482.58000000000004</v>
      </c>
      <c r="AD74" s="34">
        <f t="shared" si="11"/>
        <v>504.07999999999993</v>
      </c>
      <c r="AE74" s="34">
        <f t="shared" si="9"/>
        <v>512.58000000000004</v>
      </c>
      <c r="AF74" s="34">
        <f>$Z$90*ASIN(SIN($Z$89*$Y74)*SIN($Z$89*$C$12)+COS($Z$89*$Y74)*COS($Z$89*AA74)*COS($Z$89*$C$12))</f>
        <v>14.785484849911981</v>
      </c>
      <c r="AG74" s="34">
        <f>IF(SIN($Z$89*AA74)&lt;0,ACOS((SIN($Z$89*$Y74)-SIN($Z$89*AF74)*SIN($Z$89*$C$12))/(COS($Z$89*AF74)*COS($Z$89*$C$12)))/$Z$89,360-ACOS((SIN($Z$89*$Y74)-SIN($Z$89*AF74)*SIN($Z$89*$C$12))/(COS($Z$89*AF74)*COS($Z$89*$C$12)))/$Z$89)</f>
        <v>288.3986454156294</v>
      </c>
      <c r="AH74" s="34">
        <f>$Z$90*ASIN(SIN($Z$89*$Y74)*SIN($Z$89*$C$12)+COS($Z$89*$Y74)*COS($Z$89*AB74)*COS($Z$89*$C$12))</f>
        <v>9.3294238275153241</v>
      </c>
      <c r="AI74" s="34">
        <f>IF(SIN($Z$89*AB74)&lt;0,ACOS((SIN($Z$89*$Y74)-SIN($Z$89*AH74)*SIN($Z$89*$C$12))/(COS($Z$89*AH74)*COS($Z$89*$C$12)))/$Z$89,360-ACOS((SIN($Z$89*$Y74)-SIN($Z$89*AH74)*SIN($Z$89*$C$12))/(COS($Z$89*AH74)*COS($Z$89*$C$12)))/$Z$89)</f>
        <v>294.11091758133244</v>
      </c>
      <c r="AJ74" s="34">
        <f>$Z$90*ASIN(SIN($Z$89*$Y74)*SIN($Z$89*$C$12)+COS($Z$89*$Y74)*COS($Z$89*AC74)*COS($Z$89*$C$12))</f>
        <v>-3.1155404904877688</v>
      </c>
      <c r="AK74" s="34">
        <f>IF(SIN($Z$89*AC74)&lt;0,ACOS((SIN($Z$89*$Y74)-SIN($Z$89*AJ74)*SIN($Z$89*$C$12))/(COS($Z$89*AJ74)*COS($Z$89*$C$12)))/$Z$89,360-ACOS((SIN($Z$89*$Y74)-SIN($Z$89*AJ74)*SIN($Z$89*$C$12))/(COS($Z$89*AJ74)*COS($Z$89*$C$12)))/$Z$89)</f>
        <v>309.17845646606861</v>
      </c>
      <c r="AL74" s="34">
        <f>$Z$90*ASIN(SIN($Z$89*$Y74)*SIN($Z$89*$C$12)+COS($Z$89*$Y74)*COS($Z$89*AD74)*COS($Z$89*$C$12))</f>
        <v>-13.067078606163017</v>
      </c>
      <c r="AM74" s="34">
        <f>IF(SIN($Z$89*AD74)&lt;0,ACOS((SIN($Z$89*$Y74)-SIN($Z$89*AL74)*SIN($Z$89*$C$12))/(COS($Z$89*AL74)*COS($Z$89*$C$12)))/$Z$89,360-ACOS((SIN($Z$89*$Y74)-SIN($Z$89*AL74)*SIN($Z$89*$C$12))/(COS($Z$89*AL74)*COS($Z$89*$C$12)))/$Z$89)</f>
        <v>326.41199336479724</v>
      </c>
      <c r="AN74" s="34">
        <f>$Z$90*ASIN(SIN($Z$89*$Y74)*SIN($Z$89*$C$12)+COS($Z$89*$Y74)*COS($Z$89*AE74)*COS($Z$89*$C$12))</f>
        <v>-15.982394163654533</v>
      </c>
      <c r="AO74" s="34">
        <f>IF(SIN($Z$89*AE74)&lt;0,ACOS((SIN($Z$89*$Y74)-SIN($Z$89*AN74)*SIN($Z$89*$C$12))/(COS($Z$89*AN74)*COS($Z$89*$C$12)))/$Z$89,360-ACOS((SIN($Z$89*$Y74)-SIN($Z$89*AN74)*SIN($Z$89*$C$12))/(COS($Z$89*AN74)*COS($Z$89*$C$12)))/$Z$89)</f>
        <v>333.89448632941964</v>
      </c>
      <c r="AP74" s="33"/>
    </row>
    <row r="75" spans="15:42">
      <c r="O75" s="8" t="str">
        <f t="shared" si="12"/>
        <v/>
      </c>
      <c r="P75" s="93" t="s">
        <v>103</v>
      </c>
      <c r="Q75" s="29">
        <v>5</v>
      </c>
      <c r="R75" s="30">
        <v>0.3756944444444445</v>
      </c>
      <c r="S75" s="30">
        <v>0.38611111111111113</v>
      </c>
      <c r="T75" s="30">
        <v>0.53402777777777777</v>
      </c>
      <c r="U75" s="30">
        <v>0.68194444444444446</v>
      </c>
      <c r="V75" s="30">
        <v>0.69236111111111109</v>
      </c>
      <c r="W75" s="90">
        <v>336.3</v>
      </c>
      <c r="X75" s="91">
        <v>5.6340000000000003</v>
      </c>
      <c r="Y75" s="92">
        <v>23.21</v>
      </c>
      <c r="Z75" s="91">
        <v>17.588999999999999</v>
      </c>
      <c r="AA75" s="94">
        <f t="shared" si="7"/>
        <v>321.99499999999995</v>
      </c>
      <c r="AB75" s="34">
        <f t="shared" si="10"/>
        <v>325.74499999999995</v>
      </c>
      <c r="AC75" s="34">
        <f t="shared" si="8"/>
        <v>378.995</v>
      </c>
      <c r="AD75" s="34">
        <f t="shared" si="11"/>
        <v>432.245</v>
      </c>
      <c r="AE75" s="34">
        <f t="shared" si="9"/>
        <v>435.995</v>
      </c>
      <c r="AF75" s="34">
        <f>$Z$90*ASIN(SIN($Z$89*$Y75)*SIN($Z$89*$C$12)+COS($Z$89*$Y75)*COS($Z$89*AA75)*COS($Z$89*$C$12))</f>
        <v>51.682694043223393</v>
      </c>
      <c r="AG75" s="34">
        <f>IF(SIN($Z$89*AA75)&lt;0,ACOS((SIN($Z$89*$Y75)-SIN($Z$89*AF75)*SIN($Z$89*$C$12))/(COS($Z$89*AF75)*COS($Z$89*$C$12)))/$Z$89,360-ACOS((SIN($Z$89*$Y75)-SIN($Z$89*AF75)*SIN($Z$89*$C$12))/(COS($Z$89*AF75)*COS($Z$89*$C$12)))/$Z$89)</f>
        <v>114.11691223476096</v>
      </c>
      <c r="AH75" s="34">
        <f>$Z$90*ASIN(SIN($Z$89*$Y75)*SIN($Z$89*$C$12)+COS($Z$89*$Y75)*COS($Z$89*AB75)*COS($Z$89*$C$12))</f>
        <v>54.000414482555527</v>
      </c>
      <c r="AI75" s="34">
        <f>IF(SIN($Z$89*AB75)&lt;0,ACOS((SIN($Z$89*$Y75)-SIN($Z$89*AH75)*SIN($Z$89*$C$12))/(COS($Z$89*AH75)*COS($Z$89*$C$12)))/$Z$89,360-ACOS((SIN($Z$89*$Y75)-SIN($Z$89*AH75)*SIN($Z$89*$C$12))/(COS($Z$89*AH75)*COS($Z$89*$C$12)))/$Z$89)</f>
        <v>118.34211410056429</v>
      </c>
      <c r="AJ75" s="34">
        <f>$Z$90*ASIN(SIN($Z$89*$Y75)*SIN($Z$89*$C$12)+COS($Z$89*$Y75)*COS($Z$89*AC75)*COS($Z$89*$C$12))</f>
        <v>62.17520588072145</v>
      </c>
      <c r="AK75" s="34">
        <f>IF(SIN($Z$89*AC75)&lt;0,ACOS((SIN($Z$89*$Y75)-SIN($Z$89*AJ75)*SIN($Z$89*$C$12))/(COS($Z$89*AJ75)*COS($Z$89*$C$12)))/$Z$89,360-ACOS((SIN($Z$89*$Y75)-SIN($Z$89*AJ75)*SIN($Z$89*$C$12))/(COS($Z$89*AJ75)*COS($Z$89*$C$12)))/$Z$89)</f>
        <v>219.85743909921672</v>
      </c>
      <c r="AL75" s="34">
        <f>$Z$90*ASIN(SIN($Z$89*$Y75)*SIN($Z$89*$C$12)+COS($Z$89*$Y75)*COS($Z$89*AD75)*COS($Z$89*$C$12))</f>
        <v>28.602832821155996</v>
      </c>
      <c r="AM75" s="34">
        <f>IF(SIN($Z$89*AD75)&lt;0,ACOS((SIN($Z$89*$Y75)-SIN($Z$89*AL75)*SIN($Z$89*$C$12))/(COS($Z$89*AL75)*COS($Z$89*$C$12)))/$Z$89,360-ACOS((SIN($Z$89*$Y75)-SIN($Z$89*AL75)*SIN($Z$89*$C$12))/(COS($Z$89*AL75)*COS($Z$89*$C$12)))/$Z$89)</f>
        <v>274.46841974704466</v>
      </c>
      <c r="AN75" s="34">
        <f>$Z$90*ASIN(SIN($Z$89*$Y75)*SIN($Z$89*$C$12)+COS($Z$89*$Y75)*COS($Z$89*AE75)*COS($Z$89*$C$12))</f>
        <v>26.032413153958917</v>
      </c>
      <c r="AO75" s="34">
        <f>IF(SIN($Z$89*AE75)&lt;0,ACOS((SIN($Z$89*$Y75)-SIN($Z$89*AN75)*SIN($Z$89*$C$12))/(COS($Z$89*AN75)*COS($Z$89*$C$12)))/$Z$89,360-ACOS((SIN($Z$89*$Y75)-SIN($Z$89*AN75)*SIN($Z$89*$C$12))/(COS($Z$89*AN75)*COS($Z$89*$C$12)))/$Z$89)</f>
        <v>277.05281785664556</v>
      </c>
      <c r="AP75" s="33"/>
    </row>
    <row r="76" spans="15:42">
      <c r="O76" s="8" t="str">
        <f t="shared" si="12"/>
        <v/>
      </c>
      <c r="P76" s="93" t="s">
        <v>116</v>
      </c>
      <c r="Q76" s="29">
        <v>6</v>
      </c>
      <c r="R76" s="30">
        <v>0.73541666666666661</v>
      </c>
      <c r="S76" s="30">
        <v>0.74652777777777779</v>
      </c>
      <c r="T76" s="30">
        <v>0.8965277777777777</v>
      </c>
      <c r="U76" s="30">
        <v>4.5833333333333337E-2</v>
      </c>
      <c r="V76" s="30">
        <v>5.7638888888888885E-2</v>
      </c>
      <c r="W76" s="90">
        <v>320.60000000000002</v>
      </c>
      <c r="X76" s="91">
        <v>17.79</v>
      </c>
      <c r="Y76" s="92">
        <v>-23.27</v>
      </c>
      <c r="Z76" s="91">
        <v>5.8730000000000002</v>
      </c>
      <c r="AA76" s="94">
        <f t="shared" si="7"/>
        <v>93.415000000000006</v>
      </c>
      <c r="AB76" s="34">
        <f t="shared" si="10"/>
        <v>97.415000000000049</v>
      </c>
      <c r="AC76" s="34">
        <f t="shared" si="8"/>
        <v>151.41499999999999</v>
      </c>
      <c r="AD76" s="34">
        <f t="shared" si="11"/>
        <v>-154.83500000000001</v>
      </c>
      <c r="AE76" s="34">
        <f t="shared" si="9"/>
        <v>-150.58499999999998</v>
      </c>
      <c r="AF76" s="34">
        <f>$Z$90*ASIN(SIN($Z$89*$Y76)*SIN($Z$89*$C$12)+COS($Z$89*$Y76)*COS($Z$89*AA76)*COS($Z$89*$C$12))</f>
        <v>-18.90712659302822</v>
      </c>
      <c r="AG76" s="34">
        <f>IF(SIN($Z$89*AA76)&lt;0,ACOS((SIN($Z$89*$Y76)-SIN($Z$89*AF76)*SIN($Z$89*$C$12))/(COS($Z$89*AF76)*COS($Z$89*$C$12)))/$Z$89,360-ACOS((SIN($Z$89*$Y76)-SIN($Z$89*AF76)*SIN($Z$89*$C$12))/(COS($Z$89*AF76)*COS($Z$89*$C$12)))/$Z$89)</f>
        <v>255.7711659203942</v>
      </c>
      <c r="AH76" s="34">
        <f>$Z$90*ASIN(SIN($Z$89*$Y76)*SIN($Z$89*$C$12)+COS($Z$89*$Y76)*COS($Z$89*AB76)*COS($Z$89*$C$12))</f>
        <v>-21.593344509790739</v>
      </c>
      <c r="AI76" s="34">
        <f>IF(SIN($Z$89*AB76)&lt;0,ACOS((SIN($Z$89*$Y76)-SIN($Z$89*AH76)*SIN($Z$89*$C$12))/(COS($Z$89*AH76)*COS($Z$89*$C$12)))/$Z$89,360-ACOS((SIN($Z$89*$Y76)-SIN($Z$89*AH76)*SIN($Z$89*$C$12))/(COS($Z$89*AH76)*COS($Z$89*$C$12)))/$Z$89)</f>
        <v>258.44394301703426</v>
      </c>
      <c r="AJ76" s="34">
        <f>$Z$90*ASIN(SIN($Z$89*$Y76)*SIN($Z$89*$C$12)+COS($Z$89*$Y76)*COS($Z$89*AC76)*COS($Z$89*$C$12))</f>
        <v>-57.364942018693412</v>
      </c>
      <c r="AK76" s="34">
        <f>IF(SIN($Z$89*AC76)&lt;0,ACOS((SIN($Z$89*$Y76)-SIN($Z$89*AJ76)*SIN($Z$89*$C$12))/(COS($Z$89*AJ76)*COS($Z$89*$C$12)))/$Z$89,360-ACOS((SIN($Z$89*$Y76)-SIN($Z$89*AJ76)*SIN($Z$89*$C$12))/(COS($Z$89*AJ76)*COS($Z$89*$C$12)))/$Z$89)</f>
        <v>305.40851423518404</v>
      </c>
      <c r="AL76" s="34">
        <f>$Z$90*ASIN(SIN($Z$89*$Y76)*SIN($Z$89*$C$12)+COS($Z$89*$Y76)*COS($Z$89*AD76)*COS($Z$89*$C$12))</f>
        <v>-59.226708947839725</v>
      </c>
      <c r="AM76" s="34">
        <f>IF(SIN($Z$89*AD76)&lt;0,ACOS((SIN($Z$89*$Y76)-SIN($Z$89*AL76)*SIN($Z$89*$C$12))/(COS($Z$89*AL76)*COS($Z$89*$C$12)))/$Z$89,360-ACOS((SIN($Z$89*$Y76)-SIN($Z$89*AL76)*SIN($Z$89*$C$12))/(COS($Z$89*AL76)*COS($Z$89*$C$12)))/$Z$89)</f>
        <v>49.773169224982624</v>
      </c>
      <c r="AN76" s="34">
        <f>$Z$90*ASIN(SIN($Z$89*$Y76)*SIN($Z$89*$C$12)+COS($Z$89*$Y76)*COS($Z$89*AE76)*COS($Z$89*$C$12))</f>
        <v>-56.895668993558907</v>
      </c>
      <c r="AO76" s="34">
        <f>IF(SIN($Z$89*AE76)&lt;0,ACOS((SIN($Z$89*$Y76)-SIN($Z$89*AN76)*SIN($Z$89*$C$12))/(COS($Z$89*AN76)*COS($Z$89*$C$12)))/$Z$89,360-ACOS((SIN($Z$89*$Y76)-SIN($Z$89*AN76)*SIN($Z$89*$C$12))/(COS($Z$89*AN76)*COS($Z$89*$C$12)))/$Z$89)</f>
        <v>55.698825211267746</v>
      </c>
      <c r="AP76" s="33"/>
    </row>
    <row r="77" spans="15:42">
      <c r="O77" s="8" t="str">
        <f t="shared" si="12"/>
        <v/>
      </c>
      <c r="P77" s="93" t="s">
        <v>104</v>
      </c>
      <c r="Q77" s="29">
        <v>3</v>
      </c>
      <c r="R77" s="30">
        <v>0.86805555555555547</v>
      </c>
      <c r="S77" s="30">
        <v>0.90694444444444444</v>
      </c>
      <c r="T77" s="30">
        <v>0.92986111111111114</v>
      </c>
      <c r="U77" s="30">
        <v>0.95277777777777783</v>
      </c>
      <c r="V77" s="30">
        <v>0.9916666666666667</v>
      </c>
      <c r="W77" s="90">
        <v>908.1</v>
      </c>
      <c r="X77" s="91">
        <v>5.9569999999999999</v>
      </c>
      <c r="Y77" s="92">
        <v>23.28</v>
      </c>
      <c r="Z77" s="91">
        <v>17.885000000000002</v>
      </c>
      <c r="AA77" s="94">
        <f t="shared" si="7"/>
        <v>498.84000000000009</v>
      </c>
      <c r="AB77" s="34">
        <f t="shared" si="10"/>
        <v>512.84</v>
      </c>
      <c r="AC77" s="34">
        <f t="shared" si="8"/>
        <v>521.09</v>
      </c>
      <c r="AD77" s="34">
        <f t="shared" si="11"/>
        <v>529.34</v>
      </c>
      <c r="AE77" s="34">
        <f t="shared" si="9"/>
        <v>543.34</v>
      </c>
      <c r="AF77" s="34">
        <f>$Z$90*ASIN(SIN($Z$89*$Y77)*SIN($Z$89*$C$12)+COS($Z$89*$Y77)*COS($Z$89*AA77)*COS($Z$89*$C$12))</f>
        <v>-10.95515215398007</v>
      </c>
      <c r="AG77" s="34">
        <f>IF(SIN($Z$89*AA77)&lt;0,ACOS((SIN($Z$89*$Y77)-SIN($Z$89*AF77)*SIN($Z$89*$C$12))/(COS($Z$89*AF77)*COS($Z$89*$C$12)))/$Z$89,360-ACOS((SIN($Z$89*$Y77)-SIN($Z$89*AF77)*SIN($Z$89*$C$12))/(COS($Z$89*AF77)*COS($Z$89*$C$12)))/$Z$89)</f>
        <v>321.98982446326977</v>
      </c>
      <c r="AH77" s="34">
        <f>$Z$90*ASIN(SIN($Z$89*$Y77)*SIN($Z$89*$C$12)+COS($Z$89*$Y77)*COS($Z$89*AB77)*COS($Z$89*$C$12))</f>
        <v>-16.060889314069513</v>
      </c>
      <c r="AI77" s="34">
        <f>IF(SIN($Z$89*AB77)&lt;0,ACOS((SIN($Z$89*$Y77)-SIN($Z$89*AH77)*SIN($Z$89*$C$12))/(COS($Z$89*AH77)*COS($Z$89*$C$12)))/$Z$89,360-ACOS((SIN($Z$89*$Y77)-SIN($Z$89*AH77)*SIN($Z$89*$C$12))/(COS($Z$89*AH77)*COS($Z$89*$C$12)))/$Z$89)</f>
        <v>334.12916607458357</v>
      </c>
      <c r="AJ77" s="34">
        <f>$Z$90*ASIN(SIN($Z$89*$Y77)*SIN($Z$89*$C$12)+COS($Z$89*$Y77)*COS($Z$89*AC77)*COS($Z$89*$C$12))</f>
        <v>-18.197082050440933</v>
      </c>
      <c r="AK77" s="34">
        <f>IF(SIN($Z$89*AC77)&lt;0,ACOS((SIN($Z$89*$Y77)-SIN($Z$89*AJ77)*SIN($Z$89*$C$12))/(COS($Z$89*AJ77)*COS($Z$89*$C$12)))/$Z$89,360-ACOS((SIN($Z$89*$Y77)-SIN($Z$89*AJ77)*SIN($Z$89*$C$12))/(COS($Z$89*AJ77)*COS($Z$89*$C$12)))/$Z$89)</f>
        <v>341.73759568348441</v>
      </c>
      <c r="AL77" s="34">
        <f>$Z$90*ASIN(SIN($Z$89*$Y77)*SIN($Z$89*$C$12)+COS($Z$89*$Y77)*COS($Z$89*AD77)*COS($Z$89*$C$12))</f>
        <v>-19.604294013460187</v>
      </c>
      <c r="AM77" s="34">
        <f>IF(SIN($Z$89*AD77)&lt;0,ACOS((SIN($Z$89*$Y77)-SIN($Z$89*AL77)*SIN($Z$89*$C$12))/(COS($Z$89*AL77)*COS($Z$89*$C$12)))/$Z$89,360-ACOS((SIN($Z$89*$Y77)-SIN($Z$89*AL77)*SIN($Z$89*$C$12))/(COS($Z$89*AL77)*COS($Z$89*$C$12)))/$Z$89)</f>
        <v>349.60832292358401</v>
      </c>
      <c r="AN77" s="34">
        <f>$Z$90*ASIN(SIN($Z$89*$Y77)*SIN($Z$89*$C$12)+COS($Z$89*$Y77)*COS($Z$89*AE77)*COS($Z$89*$C$12))</f>
        <v>-20.204352170742279</v>
      </c>
      <c r="AO77" s="34">
        <f>IF(SIN($Z$89*AE77)&lt;0,ACOS((SIN($Z$89*$Y77)-SIN($Z$89*AN77)*SIN($Z$89*$C$12))/(COS($Z$89*AN77)*COS($Z$89*$C$12)))/$Z$89,360-ACOS((SIN($Z$89*$Y77)-SIN($Z$89*AN77)*SIN($Z$89*$C$12))/(COS($Z$89*AN77)*COS($Z$89*$C$12)))/$Z$89)</f>
        <v>3.269160903163487</v>
      </c>
      <c r="AP77" s="33"/>
    </row>
    <row r="78" spans="15:42">
      <c r="O78" s="8" t="str">
        <f t="shared" si="12"/>
        <v/>
      </c>
      <c r="P78" s="93" t="s">
        <v>105</v>
      </c>
      <c r="Q78" s="29">
        <v>5</v>
      </c>
      <c r="R78" s="30">
        <v>0.47291666666666665</v>
      </c>
      <c r="S78" s="30">
        <v>0.48402777777777778</v>
      </c>
      <c r="T78" s="30">
        <v>0.63402777777777775</v>
      </c>
      <c r="U78" s="30">
        <v>0.78472222222222221</v>
      </c>
      <c r="V78" s="30">
        <v>0.79513888888888884</v>
      </c>
      <c r="W78" s="90">
        <v>293.39999999999998</v>
      </c>
      <c r="X78" s="91">
        <v>5.8010000000000002</v>
      </c>
      <c r="Y78" s="92">
        <v>23.25</v>
      </c>
      <c r="Z78" s="91">
        <v>17.738</v>
      </c>
      <c r="AA78" s="94">
        <f t="shared" si="7"/>
        <v>356.72500000000002</v>
      </c>
      <c r="AB78" s="34">
        <f t="shared" si="10"/>
        <v>360.72499999999997</v>
      </c>
      <c r="AC78" s="34">
        <f t="shared" si="8"/>
        <v>414.72500000000002</v>
      </c>
      <c r="AD78" s="34">
        <f t="shared" si="11"/>
        <v>468.97500000000002</v>
      </c>
      <c r="AE78" s="34">
        <f t="shared" si="9"/>
        <v>472.72500000000002</v>
      </c>
      <c r="AF78" s="34">
        <f>$Z$90*ASIN(SIN($Z$89*$Y78)*SIN($Z$89*$C$12)+COS($Z$89*$Y78)*COS($Z$89*AA78)*COS($Z$89*$C$12))</f>
        <v>66.650092089548068</v>
      </c>
      <c r="AG78" s="34">
        <f>IF(SIN($Z$89*AA78)&lt;0,ACOS((SIN($Z$89*$Y78)-SIN($Z$89*AF78)*SIN($Z$89*$C$12))/(COS($Z$89*AF78)*COS($Z$89*$C$12)))/$Z$89,360-ACOS((SIN($Z$89*$Y78)-SIN($Z$89*AF78)*SIN($Z$89*$C$12))/(COS($Z$89*AF78)*COS($Z$89*$C$12)))/$Z$89)</f>
        <v>172.38980917561963</v>
      </c>
      <c r="AH78" s="34">
        <f>$Z$90*ASIN(SIN($Z$89*$Y78)*SIN($Z$89*$C$12)+COS($Z$89*$Y78)*COS($Z$89*AB78)*COS($Z$89*$C$12))</f>
        <v>66.792630325508924</v>
      </c>
      <c r="AI78" s="34">
        <f>IF(SIN($Z$89*AB78)&lt;0,ACOS((SIN($Z$89*$Y78)-SIN($Z$89*AH78)*SIN($Z$89*$C$12))/(COS($Z$89*AH78)*COS($Z$89*$C$12)))/$Z$89,360-ACOS((SIN($Z$89*$Y78)-SIN($Z$89*AH78)*SIN($Z$89*$C$12))/(COS($Z$89*AH78)*COS($Z$89*$C$12)))/$Z$89)</f>
        <v>181.69061132421072</v>
      </c>
      <c r="AJ78" s="34">
        <f>$Z$90*ASIN(SIN($Z$89*$Y78)*SIN($Z$89*$C$12)+COS($Z$89*$Y78)*COS($Z$89*AC78)*COS($Z$89*$C$12))</f>
        <v>40.668293694043406</v>
      </c>
      <c r="AK78" s="34">
        <f>IF(SIN($Z$89*AC78)&lt;0,ACOS((SIN($Z$89*$Y78)-SIN($Z$89*AJ78)*SIN($Z$89*$C$12))/(COS($Z$89*AJ78)*COS($Z$89*$C$12)))/$Z$89,360-ACOS((SIN($Z$89*$Y78)-SIN($Z$89*AJ78)*SIN($Z$89*$C$12))/(COS($Z$89*AJ78)*COS($Z$89*$C$12)))/$Z$89)</f>
        <v>261.46326769284559</v>
      </c>
      <c r="AL78" s="34">
        <f>$Z$90*ASIN(SIN($Z$89*$Y78)*SIN($Z$89*$C$12)+COS($Z$89*$Y78)*COS($Z$89*AD78)*COS($Z$89*$C$12))</f>
        <v>4.6037883767740952</v>
      </c>
      <c r="AM78" s="34">
        <f>IF(SIN($Z$89*AD78)&lt;0,ACOS((SIN($Z$89*$Y78)-SIN($Z$89*AL78)*SIN($Z$89*$C$12))/(COS($Z$89*AL78)*COS($Z$89*$C$12)))/$Z$89,360-ACOS((SIN($Z$89*$Y78)-SIN($Z$89*AL78)*SIN($Z$89*$C$12))/(COS($Z$89*AL78)*COS($Z$89*$C$12)))/$Z$89)</f>
        <v>299.34589419417989</v>
      </c>
      <c r="AN78" s="34">
        <f>$Z$90*ASIN(SIN($Z$89*$Y78)*SIN($Z$89*$C$12)+COS($Z$89*$Y78)*COS($Z$89*AE78)*COS($Z$89*$C$12))</f>
        <v>2.3814872556775422</v>
      </c>
      <c r="AO78" s="34">
        <f>IF(SIN($Z$89*AE78)&lt;0,ACOS((SIN($Z$89*$Y78)-SIN($Z$89*AN78)*SIN($Z$89*$C$12))/(COS($Z$89*AN78)*COS($Z$89*$C$12)))/$Z$89,360-ACOS((SIN($Z$89*$Y78)-SIN($Z$89*AN78)*SIN($Z$89*$C$12))/(COS($Z$89*AN78)*COS($Z$89*$C$12)))/$Z$89)</f>
        <v>301.98382317607047</v>
      </c>
      <c r="AP78" s="33"/>
    </row>
    <row r="79" spans="15:42">
      <c r="O79" s="8" t="str">
        <f t="shared" si="12"/>
        <v/>
      </c>
      <c r="P79" s="93" t="s">
        <v>117</v>
      </c>
      <c r="Q79" s="29">
        <v>6</v>
      </c>
      <c r="R79" s="30">
        <v>0.6777777777777777</v>
      </c>
      <c r="S79" s="30">
        <v>0.68888888888888899</v>
      </c>
      <c r="T79" s="30">
        <v>0.84305555555555556</v>
      </c>
      <c r="U79" s="30">
        <v>0.99722222222222223</v>
      </c>
      <c r="V79" s="30">
        <v>8.3333333333333332E-3</v>
      </c>
      <c r="W79" s="90">
        <v>235.5</v>
      </c>
      <c r="X79" s="91">
        <v>17.939</v>
      </c>
      <c r="Y79" s="92">
        <v>-23.26</v>
      </c>
      <c r="Z79" s="91">
        <v>6.0119999999999996</v>
      </c>
      <c r="AA79" s="94">
        <f t="shared" si="7"/>
        <v>72.515000000000001</v>
      </c>
      <c r="AB79" s="34">
        <f t="shared" si="10"/>
        <v>76.515000000000029</v>
      </c>
      <c r="AC79" s="34">
        <f t="shared" si="8"/>
        <v>132.01500000000001</v>
      </c>
      <c r="AD79" s="34">
        <f t="shared" si="11"/>
        <v>187.51499999999999</v>
      </c>
      <c r="AE79" s="34">
        <f t="shared" si="9"/>
        <v>-168.48500000000001</v>
      </c>
      <c r="AF79" s="34">
        <f>$Z$90*ASIN(SIN($Z$89*$Y79)*SIN($Z$89*$C$12)+COS($Z$89*$Y79)*COS($Z$89*AA79)*COS($Z$89*$C$12))</f>
        <v>-5.5106601115224807</v>
      </c>
      <c r="AG79" s="34">
        <f>IF(SIN($Z$89*AA79)&lt;0,ACOS((SIN($Z$89*$Y79)-SIN($Z$89*AF79)*SIN($Z$89*$C$12))/(COS($Z$89*AF79)*COS($Z$89*$C$12)))/$Z$89,360-ACOS((SIN($Z$89*$Y79)-SIN($Z$89*AF79)*SIN($Z$89*$C$12))/(COS($Z$89*AF79)*COS($Z$89*$C$12)))/$Z$89)</f>
        <v>241.68364145818796</v>
      </c>
      <c r="AH79" s="34">
        <f>$Z$90*ASIN(SIN($Z$89*$Y79)*SIN($Z$89*$C$12)+COS($Z$89*$Y79)*COS($Z$89*AB79)*COS($Z$89*$C$12))</f>
        <v>-7.9673681466921424</v>
      </c>
      <c r="AI79" s="34">
        <f>IF(SIN($Z$89*AB79)&lt;0,ACOS((SIN($Z$89*$Y79)-SIN($Z$89*AH79)*SIN($Z$89*$C$12))/(COS($Z$89*AH79)*COS($Z$89*$C$12)))/$Z$89,360-ACOS((SIN($Z$89*$Y79)-SIN($Z$89*AH79)*SIN($Z$89*$C$12))/(COS($Z$89*AH79)*COS($Z$89*$C$12)))/$Z$89)</f>
        <v>244.43574062685943</v>
      </c>
      <c r="AJ79" s="34">
        <f>$Z$90*ASIN(SIN($Z$89*$Y79)*SIN($Z$89*$C$12)+COS($Z$89*$Y79)*COS($Z$89*AC79)*COS($Z$89*$C$12))</f>
        <v>-45.226035763637768</v>
      </c>
      <c r="AK79" s="34">
        <f>IF(SIN($Z$89*AC79)&lt;0,ACOS((SIN($Z$89*$Y79)-SIN($Z$89*AJ79)*SIN($Z$89*$C$12))/(COS($Z$89*AJ79)*COS($Z$89*$C$12)))/$Z$89,360-ACOS((SIN($Z$89*$Y79)-SIN($Z$89*AJ79)*SIN($Z$89*$C$12))/(COS($Z$89*AJ79)*COS($Z$89*$C$12)))/$Z$89)</f>
        <v>284.26912608009258</v>
      </c>
      <c r="AL79" s="34">
        <f>$Z$90*ASIN(SIN($Z$89*$Y79)*SIN($Z$89*$C$12)+COS($Z$89*$Y79)*COS($Z$89*AD79)*COS($Z$89*$C$12))</f>
        <v>-66.031245332417868</v>
      </c>
      <c r="AM79" s="34">
        <f>IF(SIN($Z$89*AD79)&lt;0,ACOS((SIN($Z$89*$Y79)-SIN($Z$89*AL79)*SIN($Z$89*$C$12))/(COS($Z$89*AL79)*COS($Z$89*$C$12)))/$Z$89,360-ACOS((SIN($Z$89*$Y79)-SIN($Z$89*AL79)*SIN($Z$89*$C$12))/(COS($Z$89*AL79)*COS($Z$89*$C$12)))/$Z$89)</f>
        <v>17.204107312861627</v>
      </c>
      <c r="AN79" s="34">
        <f>$Z$90*ASIN(SIN($Z$89*$Y79)*SIN($Z$89*$C$12)+COS($Z$89*$Y79)*COS($Z$89*AE79)*COS($Z$89*$C$12))</f>
        <v>-65.021132442827209</v>
      </c>
      <c r="AO79" s="34">
        <f>IF(SIN($Z$89*AE79)&lt;0,ACOS((SIN($Z$89*$Y79)-SIN($Z$89*AN79)*SIN($Z$89*$C$12))/(COS($Z$89*AN79)*COS($Z$89*$C$12)))/$Z$89,360-ACOS((SIN($Z$89*$Y79)-SIN($Z$89*AN79)*SIN($Z$89*$C$12))/(COS($Z$89*AN79)*COS($Z$89*$C$12)))/$Z$89)</f>
        <v>25.740990633043161</v>
      </c>
      <c r="AP79" s="33"/>
    </row>
    <row r="80" spans="15:42">
      <c r="O80" s="8" t="str">
        <f t="shared" si="12"/>
        <v/>
      </c>
      <c r="P80" s="93" t="s">
        <v>125</v>
      </c>
      <c r="Q80" s="29">
        <v>3</v>
      </c>
      <c r="R80" s="30">
        <v>0.9784722222222223</v>
      </c>
      <c r="S80" s="69" t="s">
        <v>13</v>
      </c>
      <c r="T80" s="30">
        <v>1.8749999999999999E-2</v>
      </c>
      <c r="U80" s="69" t="s">
        <v>13</v>
      </c>
      <c r="V80" s="30">
        <v>5.9722222222222225E-2</v>
      </c>
      <c r="W80" s="90">
        <v>948.1</v>
      </c>
      <c r="X80" s="91">
        <v>6.1230000000000002</v>
      </c>
      <c r="Y80" s="92">
        <v>23.24</v>
      </c>
      <c r="Z80" s="91">
        <v>18.033999999999999</v>
      </c>
      <c r="AA80" s="94">
        <f t="shared" si="7"/>
        <v>538.33500000000004</v>
      </c>
      <c r="AB80" s="69" t="s">
        <v>13</v>
      </c>
      <c r="AC80" s="34">
        <f t="shared" si="8"/>
        <v>192.83499999999995</v>
      </c>
      <c r="AD80" s="69" t="s">
        <v>13</v>
      </c>
      <c r="AE80" s="34">
        <f t="shared" si="9"/>
        <v>207.58499999999995</v>
      </c>
      <c r="AF80" s="34">
        <f>$Z$90*ASIN(SIN($Z$89*$Y80)*SIN($Z$89*$C$12)+COS($Z$89*$Y80)*COS($Z$89*AA80)*COS($Z$89*$C$12))</f>
        <v>-20.293670998026595</v>
      </c>
      <c r="AG80" s="34">
        <f>IF(SIN($Z$89*AA80)&lt;0,ACOS((SIN($Z$89*$Y80)-SIN($Z$89*AF80)*SIN($Z$89*$C$12))/(COS($Z$89*AF80)*COS($Z$89*$C$12)))/$Z$89,360-ACOS((SIN($Z$89*$Y80)-SIN($Z$89*AF80)*SIN($Z$89*$C$12))/(COS($Z$89*AF80)*COS($Z$89*$C$12)))/$Z$89)</f>
        <v>358.36885709291698</v>
      </c>
      <c r="AH80" s="69" t="s">
        <v>13</v>
      </c>
      <c r="AI80" s="69" t="s">
        <v>13</v>
      </c>
      <c r="AJ80" s="34">
        <f>$Z$90*ASIN(SIN($Z$89*$Y80)*SIN($Z$89*$C$12)+COS($Z$89*$Y80)*COS($Z$89*AC80)*COS($Z$89*$C$12))</f>
        <v>-19.34654690173199</v>
      </c>
      <c r="AK80" s="34">
        <f>IF(SIN($Z$89*AC80)&lt;0,ACOS((SIN($Z$89*$Y80)-SIN($Z$89*AJ80)*SIN($Z$89*$C$12))/(COS($Z$89*AJ80)*COS($Z$89*$C$12)))/$Z$89,360-ACOS((SIN($Z$89*$Y80)-SIN($Z$89*AJ80)*SIN($Z$89*$C$12))/(COS($Z$89*AJ80)*COS($Z$89*$C$12)))/$Z$89)</f>
        <v>12.493883138204016</v>
      </c>
      <c r="AL80" s="69" t="s">
        <v>13</v>
      </c>
      <c r="AM80" s="69" t="s">
        <v>13</v>
      </c>
      <c r="AN80" s="34">
        <f>$Z$90*ASIN(SIN($Z$89*$Y80)*SIN($Z$89*$C$12)+COS($Z$89*$Y80)*COS($Z$89*AE80)*COS($Z$89*$C$12))</f>
        <v>-15.96997197488704</v>
      </c>
      <c r="AO80" s="34">
        <f>IF(SIN($Z$89*AE80)&lt;0,ACOS((SIN($Z$89*$Y80)-SIN($Z$89*AN80)*SIN($Z$89*$C$12))/(COS($Z$89*AN80)*COS($Z$89*$C$12)))/$Z$89,360-ACOS((SIN($Z$89*$Y80)-SIN($Z$89*AN80)*SIN($Z$89*$C$12))/(COS($Z$89*AN80)*COS($Z$89*$C$12)))/$Z$89)</f>
        <v>26.26807738793341</v>
      </c>
      <c r="AP80" s="33"/>
    </row>
    <row r="81" spans="15:42">
      <c r="O81" s="8" t="str">
        <f t="shared" si="12"/>
        <v/>
      </c>
      <c r="P81" s="93" t="s">
        <v>106</v>
      </c>
      <c r="Q81" s="29">
        <v>5</v>
      </c>
      <c r="R81" s="30">
        <v>0.56319444444444444</v>
      </c>
      <c r="S81" s="30">
        <v>0.57361111111111118</v>
      </c>
      <c r="T81" s="30">
        <v>0.72638888888888886</v>
      </c>
      <c r="U81" s="30">
        <v>0.87986111111111109</v>
      </c>
      <c r="V81" s="30">
        <v>0.89027777777777783</v>
      </c>
      <c r="W81" s="90">
        <v>247.9</v>
      </c>
      <c r="X81" s="91">
        <v>5.9669999999999996</v>
      </c>
      <c r="Y81" s="92">
        <v>23.25</v>
      </c>
      <c r="Z81" s="91">
        <v>17.887</v>
      </c>
      <c r="AA81" s="94">
        <f t="shared" si="7"/>
        <v>388.97</v>
      </c>
      <c r="AB81" s="34">
        <f t="shared" si="10"/>
        <v>392.72</v>
      </c>
      <c r="AC81" s="34">
        <f t="shared" si="8"/>
        <v>447.71999999999997</v>
      </c>
      <c r="AD81" s="34">
        <f t="shared" si="11"/>
        <v>502.97</v>
      </c>
      <c r="AE81" s="34">
        <f t="shared" si="9"/>
        <v>506.72</v>
      </c>
      <c r="AF81" s="34">
        <f>$Z$90*ASIN(SIN($Z$89*$Y81)*SIN($Z$89*$C$12)+COS($Z$89*$Y81)*COS($Z$89*AA81)*COS($Z$89*$C$12))</f>
        <v>57.132283097644248</v>
      </c>
      <c r="AG81" s="34">
        <f>IF(SIN($Z$89*AA81)&lt;0,ACOS((SIN($Z$89*$Y81)-SIN($Z$89*AF81)*SIN($Z$89*$C$12))/(COS($Z$89*AF81)*COS($Z$89*$C$12)))/$Z$89,360-ACOS((SIN($Z$89*$Y81)-SIN($Z$89*AF81)*SIN($Z$89*$C$12))/(COS($Z$89*AF81)*COS($Z$89*$C$12)))/$Z$89)</f>
        <v>235.08533684853134</v>
      </c>
      <c r="AH81" s="34">
        <f>$Z$90*ASIN(SIN($Z$89*$Y81)*SIN($Z$89*$C$12)+COS($Z$89*$Y81)*COS($Z$89*AB81)*COS($Z$89*$C$12))</f>
        <v>54.953535536143789</v>
      </c>
      <c r="AI81" s="34">
        <f>IF(SIN($Z$89*AB81)&lt;0,ACOS((SIN($Z$89*$Y81)-SIN($Z$89*AH81)*SIN($Z$89*$C$12))/(COS($Z$89*AH81)*COS($Z$89*$C$12)))/$Z$89,360-ACOS((SIN($Z$89*$Y81)-SIN($Z$89*AH81)*SIN($Z$89*$C$12))/(COS($Z$89*AH81)*COS($Z$89*$C$12)))/$Z$89)</f>
        <v>239.86677015236842</v>
      </c>
      <c r="AJ81" s="34">
        <f>$Z$90*ASIN(SIN($Z$89*$Y81)*SIN($Z$89*$C$12)+COS($Z$89*$Y81)*COS($Z$89*AC81)*COS($Z$89*$C$12))</f>
        <v>18.13662120917046</v>
      </c>
      <c r="AK81" s="34">
        <f>IF(SIN($Z$89*AC81)&lt;0,ACOS((SIN($Z$89*$Y81)-SIN($Z$89*AJ81)*SIN($Z$89*$C$12))/(COS($Z$89*AJ81)*COS($Z$89*$C$12)))/$Z$89,360-ACOS((SIN($Z$89*$Y81)-SIN($Z$89*AJ81)*SIN($Z$89*$C$12))/(COS($Z$89*AJ81)*COS($Z$89*$C$12)))/$Z$89)</f>
        <v>284.97012043958807</v>
      </c>
      <c r="AL81" s="34">
        <f>$Z$90*ASIN(SIN($Z$89*$Y81)*SIN($Z$89*$C$12)+COS($Z$89*$Y81)*COS($Z$89*AD81)*COS($Z$89*$C$12))</f>
        <v>-12.66588050845094</v>
      </c>
      <c r="AM81" s="34">
        <f>IF(SIN($Z$89*AD81)&lt;0,ACOS((SIN($Z$89*$Y81)-SIN($Z$89*AL81)*SIN($Z$89*$C$12))/(COS($Z$89*AL81)*COS($Z$89*$C$12)))/$Z$89,360-ACOS((SIN($Z$89*$Y81)-SIN($Z$89*AL81)*SIN($Z$89*$C$12))/(COS($Z$89*AL81)*COS($Z$89*$C$12)))/$Z$89)</f>
        <v>325.44984993454727</v>
      </c>
      <c r="AN81" s="34">
        <f>$Z$90*ASIN(SIN($Z$89*$Y81)*SIN($Z$89*$C$12)+COS($Z$89*$Y81)*COS($Z$89*AE81)*COS($Z$89*$C$12))</f>
        <v>-14.070591538270149</v>
      </c>
      <c r="AO81" s="34">
        <f>IF(SIN($Z$89*AE81)&lt;0,ACOS((SIN($Z$89*$Y81)-SIN($Z$89*AN81)*SIN($Z$89*$C$12))/(COS($Z$89*AN81)*COS($Z$89*$C$12)))/$Z$89,360-ACOS((SIN($Z$89*$Y81)-SIN($Z$89*AN81)*SIN($Z$89*$C$12))/(COS($Z$89*AN81)*COS($Z$89*$C$12)))/$Z$89)</f>
        <v>328.68359377124415</v>
      </c>
      <c r="AP81" s="33"/>
    </row>
    <row r="82" spans="15:42">
      <c r="O82" s="8" t="str">
        <f t="shared" si="12"/>
        <v/>
      </c>
      <c r="P82" s="93" t="s">
        <v>118</v>
      </c>
      <c r="Q82" s="29">
        <v>6</v>
      </c>
      <c r="R82" s="30">
        <v>0.60347222222222219</v>
      </c>
      <c r="S82" s="30">
        <v>0.61388888888888882</v>
      </c>
      <c r="T82" s="30">
        <v>0.77222222222222225</v>
      </c>
      <c r="U82" s="30">
        <v>0.92986111111111114</v>
      </c>
      <c r="V82" s="30">
        <v>0.94027777777777777</v>
      </c>
      <c r="W82" s="90">
        <v>131.5</v>
      </c>
      <c r="X82" s="91">
        <v>18.087</v>
      </c>
      <c r="Y82" s="92">
        <v>-23.23</v>
      </c>
      <c r="Z82" s="91">
        <v>6.15</v>
      </c>
      <c r="AA82" s="94">
        <f t="shared" ref="AA82:AA86" si="15">15*($Z82+HOUR(R82)+(MINUTE(R82)/60)-$X82)+$C$13</f>
        <v>45.614999999999995</v>
      </c>
      <c r="AB82" s="34">
        <f t="shared" si="10"/>
        <v>49.364999999999995</v>
      </c>
      <c r="AC82" s="34">
        <f t="shared" ref="AC82:AC86" si="16">15*($Z82+HOUR(T82)+(MINUTE(T82)/60)-$X82)+$C$13</f>
        <v>106.36500000000001</v>
      </c>
      <c r="AD82" s="34">
        <f t="shared" si="11"/>
        <v>163.11499999999998</v>
      </c>
      <c r="AE82" s="34">
        <f t="shared" ref="AE82:AE86" si="17">15*($Z82+HOUR(V82)+(MINUTE(V82)/60)-$X82)+$C$13</f>
        <v>166.86499999999998</v>
      </c>
      <c r="AF82" s="34">
        <f>$Z$90*ASIN(SIN($Z$89*$Y82)*SIN($Z$89*$C$12)+COS($Z$89*$Y82)*COS($Z$89*AA82)*COS($Z$89*$C$12))</f>
        <v>9.0323618346646555</v>
      </c>
      <c r="AG82" s="34">
        <f>IF(SIN($Z$89*AA82)&lt;0,ACOS((SIN($Z$89*$Y82)-SIN($Z$89*AF82)*SIN($Z$89*$C$12))/(COS($Z$89*AF82)*COS($Z$89*$C$12)))/$Z$89,360-ACOS((SIN($Z$89*$Y82)-SIN($Z$89*AF82)*SIN($Z$89*$C$12))/(COS($Z$89*AF82)*COS($Z$89*$C$12)))/$Z$89)</f>
        <v>221.67953215977033</v>
      </c>
      <c r="AH82" s="34">
        <f>$Z$90*ASIN(SIN($Z$89*$Y82)*SIN($Z$89*$C$12)+COS($Z$89*$Y82)*COS($Z$89*AB82)*COS($Z$89*$C$12))</f>
        <v>7.2645647218804914</v>
      </c>
      <c r="AI82" s="34">
        <f>IF(SIN($Z$89*AB82)&lt;0,ACOS((SIN($Z$89*$Y82)-SIN($Z$89*AH82)*SIN($Z$89*$C$12))/(COS($Z$89*AH82)*COS($Z$89*$C$12)))/$Z$89,360-ACOS((SIN($Z$89*$Y82)-SIN($Z$89*AH82)*SIN($Z$89*$C$12))/(COS($Z$89*AH82)*COS($Z$89*$C$12)))/$Z$89)</f>
        <v>224.66770870680946</v>
      </c>
      <c r="AJ82" s="34">
        <f>$Z$90*ASIN(SIN($Z$89*$Y82)*SIN($Z$89*$C$12)+COS($Z$89*$Y82)*COS($Z$89*AC82)*COS($Z$89*$C$12))</f>
        <v>-27.662035738204906</v>
      </c>
      <c r="AK82" s="34">
        <f>IF(SIN($Z$89*AC82)&lt;0,ACOS((SIN($Z$89*$Y82)-SIN($Z$89*AJ82)*SIN($Z$89*$C$12))/(COS($Z$89*AJ82)*COS($Z$89*$C$12)))/$Z$89,360-ACOS((SIN($Z$89*$Y82)-SIN($Z$89*AJ82)*SIN($Z$89*$C$12))/(COS($Z$89*AJ82)*COS($Z$89*$C$12)))/$Z$89)</f>
        <v>264.55144196114122</v>
      </c>
      <c r="AL82" s="34">
        <f>$Z$90*ASIN(SIN($Z$89*$Y82)*SIN($Z$89*$C$12)+COS($Z$89*$Y82)*COS($Z$89*AD82)*COS($Z$89*$C$12))</f>
        <v>-63.088069720698023</v>
      </c>
      <c r="AM82" s="34">
        <f>IF(SIN($Z$89*AD82)&lt;0,ACOS((SIN($Z$89*$Y82)-SIN($Z$89*AL82)*SIN($Z$89*$C$12))/(COS($Z$89*AL82)*COS($Z$89*$C$12)))/$Z$89,360-ACOS((SIN($Z$89*$Y82)-SIN($Z$89*AL82)*SIN($Z$89*$C$12))/(COS($Z$89*AL82)*COS($Z$89*$C$12)))/$Z$89)</f>
        <v>323.86518368535616</v>
      </c>
      <c r="AN82" s="34">
        <f>$Z$90*ASIN(SIN($Z$89*$Y82)*SIN($Z$89*$C$12)+COS($Z$89*$Y82)*COS($Z$89*AE82)*COS($Z$89*$C$12))</f>
        <v>-64.479792371575144</v>
      </c>
      <c r="AO82" s="34">
        <f>IF(SIN($Z$89*AE82)&lt;0,ACOS((SIN($Z$89*$Y82)-SIN($Z$89*AN82)*SIN($Z$89*$C$12))/(COS($Z$89*AN82)*COS($Z$89*$C$12)))/$Z$89,360-ACOS((SIN($Z$89*$Y82)-SIN($Z$89*AN82)*SIN($Z$89*$C$12))/(COS($Z$89*AN82)*COS($Z$89*$C$12)))/$Z$89)</f>
        <v>331.0071611250417</v>
      </c>
      <c r="AP82" s="33"/>
    </row>
    <row r="83" spans="15:42">
      <c r="O83" s="8" t="str">
        <f t="shared" si="12"/>
        <v/>
      </c>
      <c r="P83" s="93" t="s">
        <v>126</v>
      </c>
      <c r="Q83" s="29">
        <v>3</v>
      </c>
      <c r="R83" s="69" t="s">
        <v>13</v>
      </c>
      <c r="S83" s="69" t="s">
        <v>13</v>
      </c>
      <c r="T83" s="30">
        <v>0.10555555555555556</v>
      </c>
      <c r="U83" s="69" t="s">
        <v>13</v>
      </c>
      <c r="V83" s="69" t="s">
        <v>13</v>
      </c>
      <c r="W83" s="90">
        <v>989.3</v>
      </c>
      <c r="X83" s="91">
        <v>6.2889999999999997</v>
      </c>
      <c r="Y83" s="92">
        <v>23.16</v>
      </c>
      <c r="Z83" s="91">
        <v>18.181999999999999</v>
      </c>
      <c r="AA83" s="95" t="s">
        <v>13</v>
      </c>
      <c r="AB83" s="69" t="s">
        <v>13</v>
      </c>
      <c r="AC83" s="34">
        <f t="shared" si="16"/>
        <v>223.815</v>
      </c>
      <c r="AD83" s="69" t="s">
        <v>13</v>
      </c>
      <c r="AE83" s="69" t="s">
        <v>13</v>
      </c>
      <c r="AF83" s="69" t="s">
        <v>13</v>
      </c>
      <c r="AG83" s="69" t="s">
        <v>13</v>
      </c>
      <c r="AH83" s="69" t="s">
        <v>13</v>
      </c>
      <c r="AI83" s="69" t="s">
        <v>13</v>
      </c>
      <c r="AJ83" s="34">
        <f>$Z$90*ASIN(SIN($Z$89*$Y83)*SIN($Z$89*$C$12)+COS($Z$89*$Y83)*COS($Z$89*AC83)*COS($Z$89*$C$12))</f>
        <v>-9.9064125116665132</v>
      </c>
      <c r="AK83" s="34">
        <f>IF(SIN($Z$89*AC83)&lt;0,ACOS((SIN($Z$89*$Y83)-SIN($Z$89*AJ83)*SIN($Z$89*$C$12))/(COS($Z$89*AJ83)*COS($Z$89*$C$12)))/$Z$89,360-ACOS((SIN($Z$89*$Y83)-SIN($Z$89*AJ83)*SIN($Z$89*$C$12))/(COS($Z$89*AJ83)*COS($Z$89*$C$12)))/$Z$89)</f>
        <v>40.253569333742035</v>
      </c>
      <c r="AL83" s="69" t="s">
        <v>13</v>
      </c>
      <c r="AM83" s="69" t="s">
        <v>13</v>
      </c>
      <c r="AN83" s="69" t="s">
        <v>13</v>
      </c>
      <c r="AO83" s="69" t="s">
        <v>13</v>
      </c>
      <c r="AP83" s="33"/>
    </row>
    <row r="84" spans="15:42">
      <c r="O84" s="8" t="str">
        <f t="shared" si="12"/>
        <v/>
      </c>
      <c r="P84" s="93" t="s">
        <v>107</v>
      </c>
      <c r="Q84" s="29">
        <v>5</v>
      </c>
      <c r="R84" s="30">
        <v>0.64236111111111105</v>
      </c>
      <c r="S84" s="30">
        <v>0.65277777777777779</v>
      </c>
      <c r="T84" s="30">
        <v>0.80694444444444446</v>
      </c>
      <c r="U84" s="30">
        <v>0.96180555555555547</v>
      </c>
      <c r="V84" s="30">
        <v>0.97222222222222221</v>
      </c>
      <c r="W84" s="90">
        <v>215.2</v>
      </c>
      <c r="X84" s="91">
        <v>6.133</v>
      </c>
      <c r="Y84" s="92">
        <v>23.21</v>
      </c>
      <c r="Z84" s="91">
        <v>18.036000000000001</v>
      </c>
      <c r="AA84" s="94">
        <f t="shared" si="15"/>
        <v>417.21500000000003</v>
      </c>
      <c r="AB84" s="34">
        <f t="shared" ref="AB84:AB86" si="18">15*($Z84+HOUR(S84)+(MINUTE(S84)/60)-$X84)+$C$13</f>
        <v>420.96500000000003</v>
      </c>
      <c r="AC84" s="34">
        <f t="shared" si="16"/>
        <v>476.46500000000003</v>
      </c>
      <c r="AD84" s="34">
        <f t="shared" ref="AD84:AD86" si="19">15*($Z84+HOUR(U84)+(MINUTE(U84)/60)-$X84)+$C$13</f>
        <v>532.21500000000003</v>
      </c>
      <c r="AE84" s="34">
        <f t="shared" si="17"/>
        <v>535.96500000000003</v>
      </c>
      <c r="AF84" s="34">
        <f>$Z$90*ASIN(SIN($Z$89*$Y84)*SIN($Z$89*$C$12)+COS($Z$89*$Y84)*COS($Z$89*AA84)*COS($Z$89*$C$12))</f>
        <v>38.940927808855605</v>
      </c>
      <c r="AG84" s="34">
        <f>IF(SIN($Z$89*AA84)&lt;0,ACOS((SIN($Z$89*$Y84)-SIN($Z$89*AF84)*SIN($Z$89*$C$12))/(COS($Z$89*AF84)*COS($Z$89*$C$12)))/$Z$89,360-ACOS((SIN($Z$89*$Y84)-SIN($Z$89*AF84)*SIN($Z$89*$C$12))/(COS($Z$89*AF84)*COS($Z$89*$C$12)))/$Z$89)</f>
        <v>263.41747152088783</v>
      </c>
      <c r="AH84" s="34">
        <f>$Z$90*ASIN(SIN($Z$89*$Y84)*SIN($Z$89*$C$12)+COS($Z$89*$Y84)*COS($Z$89*AB84)*COS($Z$89*$C$12))</f>
        <v>36.367826071190166</v>
      </c>
      <c r="AI84" s="34">
        <f>IF(SIN($Z$89*AB84)&lt;0,ACOS((SIN($Z$89*$Y84)-SIN($Z$89*AH84)*SIN($Z$89*$C$12))/(COS($Z$89*AH84)*COS($Z$89*$C$12)))/$Z$89,360-ACOS((SIN($Z$89*$Y84)-SIN($Z$89*AH84)*SIN($Z$89*$C$12))/(COS($Z$89*AH84)*COS($Z$89*$C$12)))/$Z$89)</f>
        <v>266.31425120571765</v>
      </c>
      <c r="AJ84" s="34">
        <f>$Z$90*ASIN(SIN($Z$89*$Y84)*SIN($Z$89*$C$12)+COS($Z$89*$Y84)*COS($Z$89*AC84)*COS($Z$89*$C$12))</f>
        <v>0.19694881815381723</v>
      </c>
      <c r="AK84" s="34">
        <f>IF(SIN($Z$89*AC84)&lt;0,ACOS((SIN($Z$89*$Y84)-SIN($Z$89*AJ84)*SIN($Z$89*$C$12))/(COS($Z$89*AJ84)*COS($Z$89*$C$12)))/$Z$89,360-ACOS((SIN($Z$89*$Y84)-SIN($Z$89*AJ84)*SIN($Z$89*$C$12))/(COS($Z$89*AJ84)*COS($Z$89*$C$12)))/$Z$89)</f>
        <v>304.63801123597409</v>
      </c>
      <c r="AL84" s="34">
        <f>$Z$90*ASIN(SIN($Z$89*$Y84)*SIN($Z$89*$C$12)+COS($Z$89*$Y84)*COS($Z$89*AD84)*COS($Z$89*$C$12))</f>
        <v>-19.983780222012651</v>
      </c>
      <c r="AM84" s="34">
        <f>IF(SIN($Z$89*AD84)&lt;0,ACOS((SIN($Z$89*$Y84)-SIN($Z$89*AL84)*SIN($Z$89*$C$12))/(COS($Z$89*AL84)*COS($Z$89*$C$12)))/$Z$89,360-ACOS((SIN($Z$89*$Y84)-SIN($Z$89*AL84)*SIN($Z$89*$C$12))/(COS($Z$89*AL84)*COS($Z$89*$C$12)))/$Z$89)</f>
        <v>352.38769216027663</v>
      </c>
      <c r="AN84" s="34">
        <f>$Z$90*ASIN(SIN($Z$89*$Y84)*SIN($Z$89*$C$12)+COS($Z$89*$Y84)*COS($Z$89*AE84)*COS($Z$89*$C$12))</f>
        <v>-20.244117460611776</v>
      </c>
      <c r="AO84" s="34">
        <f>IF(SIN($Z$89*AE84)&lt;0,ACOS((SIN($Z$89*$Y84)-SIN($Z$89*AN84)*SIN($Z$89*$C$12))/(COS($Z$89*AN84)*COS($Z$89*$C$12)))/$Z$89,360-ACOS((SIN($Z$89*$Y84)-SIN($Z$89*AN84)*SIN($Z$89*$C$12))/(COS($Z$89*AN84)*COS($Z$89*$C$12)))/$Z$89)</f>
        <v>356.04753436274092</v>
      </c>
      <c r="AP84" s="33"/>
    </row>
    <row r="85" spans="15:42">
      <c r="O85" s="8" t="str">
        <f t="shared" si="12"/>
        <v/>
      </c>
      <c r="P85" s="93" t="s">
        <v>119</v>
      </c>
      <c r="Q85" s="29">
        <v>6</v>
      </c>
      <c r="R85" s="30">
        <v>0.5395833333333333</v>
      </c>
      <c r="S85" s="30">
        <v>0.55000000000000004</v>
      </c>
      <c r="T85" s="30">
        <v>0.7090277777777777</v>
      </c>
      <c r="U85" s="30">
        <v>0.86805555555555547</v>
      </c>
      <c r="V85" s="30">
        <v>0.87847222222222221</v>
      </c>
      <c r="W85" s="90">
        <v>41.1</v>
      </c>
      <c r="X85" s="91">
        <v>18.236999999999998</v>
      </c>
      <c r="Y85" s="92">
        <v>-23.16</v>
      </c>
      <c r="Z85" s="91">
        <v>6.29</v>
      </c>
      <c r="AA85" s="94">
        <f t="shared" si="15"/>
        <v>22.465000000000003</v>
      </c>
      <c r="AB85" s="34">
        <f t="shared" si="18"/>
        <v>26.215000000000003</v>
      </c>
      <c r="AC85" s="34">
        <f t="shared" si="16"/>
        <v>83.465000000000003</v>
      </c>
      <c r="AD85" s="34">
        <f t="shared" si="19"/>
        <v>140.71499999999997</v>
      </c>
      <c r="AE85" s="34">
        <f t="shared" si="17"/>
        <v>144.46499999999997</v>
      </c>
      <c r="AF85" s="34">
        <f>$Z$90*ASIN(SIN($Z$89*$Y85)*SIN($Z$89*$C$12)+COS($Z$89*$Y85)*COS($Z$89*AA85)*COS($Z$89*$C$12))</f>
        <v>17.477845914521058</v>
      </c>
      <c r="AG85" s="34">
        <f>IF(SIN($Z$89*AA85)&lt;0,ACOS((SIN($Z$89*$Y85)-SIN($Z$89*AF85)*SIN($Z$89*$C$12))/(COS($Z$89*AF85)*COS($Z$89*$C$12)))/$Z$89,360-ACOS((SIN($Z$89*$Y85)-SIN($Z$89*AF85)*SIN($Z$89*$C$12))/(COS($Z$89*AF85)*COS($Z$89*$C$12)))/$Z$89)</f>
        <v>201.61257776566995</v>
      </c>
      <c r="AH85" s="34">
        <f>$Z$90*ASIN(SIN($Z$89*$Y85)*SIN($Z$89*$C$12)+COS($Z$89*$Y85)*COS($Z$89*AB85)*COS($Z$89*$C$12))</f>
        <v>16.454408749978725</v>
      </c>
      <c r="AI85" s="34">
        <f>IF(SIN($Z$89*AB85)&lt;0,ACOS((SIN($Z$89*$Y85)-SIN($Z$89*AH85)*SIN($Z$89*$C$12))/(COS($Z$89*AH85)*COS($Z$89*$C$12)))/$Z$89,360-ACOS((SIN($Z$89*$Y85)-SIN($Z$89*AH85)*SIN($Z$89*$C$12))/(COS($Z$89*AH85)*COS($Z$89*$C$12)))/$Z$89)</f>
        <v>205.0547775589086</v>
      </c>
      <c r="AJ85" s="34">
        <f>$Z$90*ASIN(SIN($Z$89*$Y85)*SIN($Z$89*$C$12)+COS($Z$89*$Y85)*COS($Z$89*AC85)*COS($Z$89*$C$12))</f>
        <v>-12.295819003347326</v>
      </c>
      <c r="AK85" s="34">
        <f>IF(SIN($Z$89*AC85)&lt;0,ACOS((SIN($Z$89*$Y85)-SIN($Z$89*AJ85)*SIN($Z$89*$C$12))/(COS($Z$89*AJ85)*COS($Z$89*$C$12)))/$Z$89,360-ACOS((SIN($Z$89*$Y85)-SIN($Z$89*AJ85)*SIN($Z$89*$C$12))/(COS($Z$89*AJ85)*COS($Z$89*$C$12)))/$Z$89)</f>
        <v>249.20899655613545</v>
      </c>
      <c r="AL85" s="34">
        <f>$Z$90*ASIN(SIN($Z$89*$Y85)*SIN($Z$89*$C$12)+COS($Z$89*$Y85)*COS($Z$89*AD85)*COS($Z$89*$C$12))</f>
        <v>-50.837393318885269</v>
      </c>
      <c r="AM85" s="34">
        <f>IF(SIN($Z$89*AD85)&lt;0,ACOS((SIN($Z$89*$Y85)-SIN($Z$89*AL85)*SIN($Z$89*$C$12))/(COS($Z$89*AL85)*COS($Z$89*$C$12)))/$Z$89,360-ACOS((SIN($Z$89*$Y85)-SIN($Z$89*AL85)*SIN($Z$89*$C$12))/(COS($Z$89*AL85)*COS($Z$89*$C$12)))/$Z$89)</f>
        <v>292.8064726719299</v>
      </c>
      <c r="AN85" s="34">
        <f>$Z$90*ASIN(SIN($Z$89*$Y85)*SIN($Z$89*$C$12)+COS($Z$89*$Y85)*COS($Z$89*AE85)*COS($Z$89*$C$12))</f>
        <v>-53.181685749003364</v>
      </c>
      <c r="AO85" s="34">
        <f>IF(SIN($Z$89*AE85)&lt;0,ACOS((SIN($Z$89*$Y85)-SIN($Z$89*AN85)*SIN($Z$89*$C$12))/(COS($Z$89*AN85)*COS($Z$89*$C$12)))/$Z$89,360-ACOS((SIN($Z$89*$Y85)-SIN($Z$89*AN85)*SIN($Z$89*$C$12))/(COS($Z$89*AN85)*COS($Z$89*$C$12)))/$Z$89)</f>
        <v>296.91577507785416</v>
      </c>
      <c r="AP85" s="33"/>
    </row>
    <row r="86" spans="15:42">
      <c r="O86" s="8" t="str">
        <f t="shared" si="12"/>
        <v/>
      </c>
      <c r="P86" s="93" t="s">
        <v>108</v>
      </c>
      <c r="Q86" s="29">
        <v>5</v>
      </c>
      <c r="R86" s="30">
        <v>0.72361111111111109</v>
      </c>
      <c r="S86" s="30">
        <v>0.73402777777777783</v>
      </c>
      <c r="T86" s="30">
        <v>0.88958333333333339</v>
      </c>
      <c r="U86" s="30">
        <v>4.5833333333333337E-2</v>
      </c>
      <c r="V86" s="30">
        <v>5.6250000000000001E-2</v>
      </c>
      <c r="W86" s="90">
        <v>175.2</v>
      </c>
      <c r="X86" s="91">
        <v>6.3</v>
      </c>
      <c r="Y86" s="92">
        <v>23.13</v>
      </c>
      <c r="Z86" s="91">
        <v>18.184000000000001</v>
      </c>
      <c r="AA86" s="94">
        <f t="shared" si="15"/>
        <v>446.17999999999995</v>
      </c>
      <c r="AB86" s="34">
        <f t="shared" si="18"/>
        <v>449.92999999999995</v>
      </c>
      <c r="AC86" s="34">
        <f t="shared" si="16"/>
        <v>505.93000000000006</v>
      </c>
      <c r="AD86" s="34">
        <f t="shared" si="19"/>
        <v>202.18</v>
      </c>
      <c r="AE86" s="34">
        <f t="shared" si="17"/>
        <v>205.93</v>
      </c>
      <c r="AF86" s="34">
        <f>$Z$90*ASIN(SIN($Z$89*$Y86)*SIN($Z$89*$C$12)+COS($Z$89*$Y86)*COS($Z$89*AA86)*COS($Z$89*$C$12))</f>
        <v>19.081732020773508</v>
      </c>
      <c r="AG86" s="34">
        <f>IF(SIN($Z$89*AA86)&lt;0,ACOS((SIN($Z$89*$Y86)-SIN($Z$89*AF86)*SIN($Z$89*$C$12))/(COS($Z$89*AF86)*COS($Z$89*$C$12)))/$Z$89,360-ACOS((SIN($Z$89*$Y86)-SIN($Z$89*AF86)*SIN($Z$89*$C$12))/(COS($Z$89*AF86)*COS($Z$89*$C$12)))/$Z$89)</f>
        <v>283.85092990602584</v>
      </c>
      <c r="AH86" s="34">
        <f>$Z$90*ASIN(SIN($Z$89*$Y86)*SIN($Z$89*$C$12)+COS($Z$89*$Y86)*COS($Z$89*AB86)*COS($Z$89*$C$12))</f>
        <v>16.587460130873698</v>
      </c>
      <c r="AI86" s="34">
        <f>IF(SIN($Z$89*AB86)&lt;0,ACOS((SIN($Z$89*$Y86)-SIN($Z$89*AH86)*SIN($Z$89*$C$12))/(COS($Z$89*AH86)*COS($Z$89*$C$12)))/$Z$89,360-ACOS((SIN($Z$89*$Y86)-SIN($Z$89*AH86)*SIN($Z$89*$C$12))/(COS($Z$89*AH86)*COS($Z$89*$C$12)))/$Z$89)</f>
        <v>286.35270249375765</v>
      </c>
      <c r="AJ86" s="34">
        <f>$Z$90*ASIN(SIN($Z$89*$Y86)*SIN($Z$89*$C$12)+COS($Z$89*$Y86)*COS($Z$89*AC86)*COS($Z$89*$C$12))</f>
        <v>-13.895010523191997</v>
      </c>
      <c r="AK86" s="34">
        <f>IF(SIN($Z$89*AC86)&lt;0,ACOS((SIN($Z$89*$Y86)-SIN($Z$89*AJ86)*SIN($Z$89*$C$12))/(COS($Z$89*AJ86)*COS($Z$89*$C$12)))/$Z$89,360-ACOS((SIN($Z$89*$Y86)-SIN($Z$89*AJ86)*SIN($Z$89*$C$12))/(COS($Z$89*AJ86)*COS($Z$89*$C$12)))/$Z$89)</f>
        <v>327.94699781812602</v>
      </c>
      <c r="AL86" s="34">
        <f>$Z$90*ASIN(SIN($Z$89*$Y86)*SIN($Z$89*$C$12)+COS($Z$89*$Y86)*COS($Z$89*AD86)*COS($Z$89*$C$12))</f>
        <v>-17.578612265190433</v>
      </c>
      <c r="AM86" s="34">
        <f>IF(SIN($Z$89*AD86)&lt;0,ACOS((SIN($Z$89*$Y86)-SIN($Z$89*AL86)*SIN($Z$89*$C$12))/(COS($Z$89*AL86)*COS($Z$89*$C$12)))/$Z$89,360-ACOS((SIN($Z$89*$Y86)-SIN($Z$89*AL86)*SIN($Z$89*$C$12))/(COS($Z$89*AL86)*COS($Z$89*$C$12)))/$Z$89)</f>
        <v>21.356941475573034</v>
      </c>
      <c r="AN86" s="34">
        <f>$Z$90*ASIN(SIN($Z$89*$Y86)*SIN($Z$89*$C$12)+COS($Z$89*$Y86)*COS($Z$89*AE86)*COS($Z$89*$C$12))</f>
        <v>-16.565641795968617</v>
      </c>
      <c r="AO86" s="34">
        <f>IF(SIN($Z$89*AE86)&lt;0,ACOS((SIN($Z$89*$Y86)-SIN($Z$89*AN86)*SIN($Z$89*$C$12))/(COS($Z$89*AN86)*COS($Z$89*$C$12)))/$Z$89,360-ACOS((SIN($Z$89*$Y86)-SIN($Z$89*AN86)*SIN($Z$89*$C$12))/(COS($Z$89*AN86)*COS($Z$89*$C$12)))/$Z$89)</f>
        <v>24.805320327151982</v>
      </c>
      <c r="AP86" s="33"/>
    </row>
    <row r="87" spans="15:42">
      <c r="AP87" s="33"/>
    </row>
    <row r="88" spans="15:42">
      <c r="AO88" s="33"/>
      <c r="AP88" s="33"/>
    </row>
    <row r="89" spans="15:42">
      <c r="Y89" s="42" t="s">
        <v>20</v>
      </c>
      <c r="Z89" s="42">
        <f>PI()/180</f>
        <v>1.7453292519943295E-2</v>
      </c>
    </row>
    <row r="90" spans="15:42">
      <c r="Y90" s="42" t="s">
        <v>21</v>
      </c>
      <c r="Z90" s="42">
        <f>180/PI()</f>
        <v>57.295779513082323</v>
      </c>
    </row>
    <row r="96" spans="15:42">
      <c r="R96" s="27"/>
    </row>
    <row r="97" spans="18:18">
      <c r="R97" s="27"/>
    </row>
    <row r="98" spans="18:18">
      <c r="R98" s="27"/>
    </row>
    <row r="99" spans="18:18">
      <c r="R99" s="27"/>
    </row>
    <row r="100" spans="18:18">
      <c r="R100" s="27"/>
    </row>
    <row r="101" spans="18:18">
      <c r="R101" s="27"/>
    </row>
    <row r="102" spans="18:18">
      <c r="R102" s="27"/>
    </row>
    <row r="103" spans="18:18">
      <c r="R103" s="27"/>
    </row>
    <row r="104" spans="18:18">
      <c r="R104" s="27"/>
    </row>
    <row r="105" spans="18:18">
      <c r="R105" s="27"/>
    </row>
    <row r="106" spans="18:18">
      <c r="R106" s="27"/>
    </row>
    <row r="107" spans="18:18">
      <c r="R107" s="27"/>
    </row>
  </sheetData>
  <sheetProtection sheet="1" objects="1" scenarios="1"/>
  <mergeCells count="10">
    <mergeCell ref="B25:D25"/>
    <mergeCell ref="AN4:AO4"/>
    <mergeCell ref="AA5:AE5"/>
    <mergeCell ref="B4:C4"/>
    <mergeCell ref="P4:Z4"/>
    <mergeCell ref="B16:D16"/>
    <mergeCell ref="AF4:AG4"/>
    <mergeCell ref="AH4:AI4"/>
    <mergeCell ref="AJ4:AK4"/>
    <mergeCell ref="AL4:AM4"/>
  </mergeCells>
  <conditionalFormatting sqref="C27:D31">
    <cfRule type="expression" dxfId="3" priority="11">
      <formula>$E27="(partial)"</formula>
    </cfRule>
    <cfRule type="expression" dxfId="2" priority="12" stopIfTrue="1">
      <formula>$C27&gt;=0</formula>
    </cfRule>
    <cfRule type="expression" dxfId="1" priority="13" stopIfTrue="1">
      <formula>$C27&lt;0</formula>
    </cfRule>
  </conditionalFormatting>
  <conditionalFormatting sqref="P6:P86">
    <cfRule type="expression" dxfId="0" priority="7" stopIfTrue="1">
      <formula>$O6="*"</formula>
    </cfRule>
  </conditionalFormatting>
  <dataValidations count="2">
    <dataValidation type="list" allowBlank="1" showInputMessage="1" showErrorMessage="1" sqref="C11" xr:uid="{5F29E175-521D-D340-BD1E-008479FCA515}">
      <formula1>$B$18:$B$22</formula1>
    </dataValidation>
    <dataValidation type="list" allowBlank="1" showInputMessage="1" showErrorMessage="1" sqref="C6" xr:uid="{978AF965-24A0-C448-B88B-E9589DB20CA1}">
      <formula1>$P$6:$P$86</formula1>
    </dataValidation>
  </dataValidations>
  <hyperlinks>
    <hyperlink ref="D40" r:id="rId1" display="http://sunearth.gsfc.nasa.gov/eclipse/transit/catalog/Tcatkey.html" xr:uid="{4B2CD178-30B2-E846-B84E-3ADF8FC29514}"/>
    <hyperlink ref="P2" r:id="rId2" display="Source" xr:uid="{25A5B423-E4A7-364E-936C-1F896A20BCB6}"/>
  </hyperlinks>
  <pageMargins left="0.75" right="0.75" top="1" bottom="1" header="0.5" footer="0.5"/>
  <pageSetup paperSize="0" scale="20" orientation="portrait" horizontalDpi="4294967292" verticalDpi="429496729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4013-D019-E841-9729-36264B4CE63B}">
  <dimension ref="A1:A61"/>
  <sheetViews>
    <sheetView showGridLines="0" workbookViewId="0">
      <selection activeCell="B44" sqref="B44"/>
    </sheetView>
  </sheetViews>
  <sheetFormatPr baseColWidth="10" defaultRowHeight="13"/>
  <sheetData>
    <row r="1" ht="16" customHeight="1"/>
    <row r="2" ht="16" customHeight="1"/>
    <row r="3" ht="16" customHeight="1"/>
    <row r="4" ht="16" customHeight="1"/>
    <row r="5" ht="16" customHeight="1"/>
    <row r="6" ht="16" customHeight="1"/>
    <row r="7" ht="16" customHeight="1"/>
    <row r="8" ht="16" customHeight="1"/>
    <row r="9" ht="16" customHeight="1"/>
    <row r="10" ht="16" customHeight="1"/>
    <row r="11" ht="16" customHeight="1"/>
    <row r="12" ht="16" customHeight="1"/>
    <row r="13" ht="16" customHeight="1"/>
    <row r="14" ht="16" customHeight="1"/>
    <row r="15" ht="16" customHeight="1"/>
    <row r="16"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Venus</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Venus Transits</dc:title>
  <dc:subject/>
  <dc:creator>Anton Viola</dc:creator>
  <cp:keywords/>
  <dc:description/>
  <cp:lastModifiedBy>Anton Viola</cp:lastModifiedBy>
  <cp:lastPrinted>2003-03-13T22:13:00Z</cp:lastPrinted>
  <dcterms:created xsi:type="dcterms:W3CDTF">2003-02-24T20:51:14Z</dcterms:created>
  <dcterms:modified xsi:type="dcterms:W3CDTF">2024-05-29T07:04:01Z</dcterms:modified>
  <cp:category/>
</cp:coreProperties>
</file>