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DD2BE3D4-BEE5-B540-B50F-7F9AF166031B}" xr6:coauthVersionLast="47" xr6:coauthVersionMax="47" xr10:uidLastSave="{00000000-0000-0000-0000-000000000000}"/>
  <bookViews>
    <workbookView xWindow="14220" yWindow="5940" windowWidth="35160" windowHeight="20460" xr2:uid="{00000000-000D-0000-FFFF-FFFF00000000}"/>
  </bookViews>
  <sheets>
    <sheet name="Introduction" sheetId="3" r:id="rId1"/>
    <sheet name="Illumination" sheetId="10" r:id="rId2"/>
    <sheet name="Lunar Features" sheetId="11" r:id="rId3"/>
    <sheet name="Background" sheetId="5" r:id="rId4"/>
  </sheets>
  <definedNames>
    <definedName name="degrees">{0;90;180;270}</definedName>
    <definedName name="_xlnm.Print_Area" localSheetId="2">'Lunar Features'!$B$35:$L$67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0" i="10" l="1"/>
  <c r="C48" i="11"/>
  <c r="C47" i="11"/>
  <c r="C46" i="11"/>
  <c r="C45" i="11"/>
  <c r="C44" i="11"/>
  <c r="C41" i="11"/>
  <c r="C16" i="11"/>
  <c r="C39" i="11" s="1"/>
  <c r="C15" i="11"/>
  <c r="C40" i="11" s="1"/>
  <c r="C72" i="11" l="1"/>
  <c r="D109" i="11" l="1"/>
  <c r="C73" i="11"/>
  <c r="D73" i="11" s="1"/>
  <c r="D70" i="11"/>
  <c r="D69" i="11"/>
  <c r="I24" i="10"/>
  <c r="J24" i="10" s="1"/>
  <c r="J2" i="10"/>
  <c r="N4" i="10"/>
  <c r="M10" i="10" s="1"/>
  <c r="M11" i="10" s="1"/>
  <c r="M12" i="10" s="1"/>
  <c r="M13" i="10" s="1"/>
  <c r="C74" i="11" l="1"/>
  <c r="D72" i="11"/>
  <c r="I25" i="10"/>
  <c r="M14" i="10"/>
  <c r="C86" i="11" l="1"/>
  <c r="D86" i="11" s="1"/>
  <c r="C77" i="11"/>
  <c r="D74" i="11"/>
  <c r="C81" i="11" s="1"/>
  <c r="C92" i="11"/>
  <c r="C84" i="11"/>
  <c r="D84" i="11" s="1"/>
  <c r="I26" i="10"/>
  <c r="J25" i="10"/>
  <c r="M15" i="10"/>
  <c r="E74" i="11" l="1"/>
  <c r="C91" i="11"/>
  <c r="D91" i="11" s="1"/>
  <c r="C95" i="11"/>
  <c r="D95" i="11" s="1"/>
  <c r="D92" i="11"/>
  <c r="D77" i="11"/>
  <c r="I27" i="10"/>
  <c r="J26" i="10"/>
  <c r="M16" i="10"/>
  <c r="C94" i="11" l="1"/>
  <c r="D94" i="11" s="1"/>
  <c r="C78" i="11"/>
  <c r="D78" i="11" s="1"/>
  <c r="C79" i="11" s="1"/>
  <c r="D79" i="11" s="1"/>
  <c r="C96" i="11"/>
  <c r="D96" i="11" s="1"/>
  <c r="C99" i="11" s="1"/>
  <c r="D99" i="11" s="1"/>
  <c r="C93" i="11"/>
  <c r="D93" i="11" s="1"/>
  <c r="J27" i="10"/>
  <c r="I28" i="10"/>
  <c r="M17" i="10"/>
  <c r="C80" i="11" l="1"/>
  <c r="D80" i="11" s="1"/>
  <c r="C82" i="11" s="1"/>
  <c r="C83" i="11"/>
  <c r="C97" i="11"/>
  <c r="C100" i="11"/>
  <c r="C147" i="11"/>
  <c r="C146" i="11"/>
  <c r="C98" i="11"/>
  <c r="C103" i="11" s="1"/>
  <c r="D103" i="11" s="1"/>
  <c r="J28" i="10"/>
  <c r="I29" i="10"/>
  <c r="M18" i="10"/>
  <c r="C85" i="11" l="1"/>
  <c r="D85" i="11" s="1"/>
  <c r="D83" i="11"/>
  <c r="D100" i="11"/>
  <c r="C101" i="11"/>
  <c r="D148" i="11"/>
  <c r="C148" i="11" s="1"/>
  <c r="D155" i="11"/>
  <c r="C155" i="11" s="1"/>
  <c r="D97" i="11"/>
  <c r="J29" i="10"/>
  <c r="I30" i="10"/>
  <c r="M19" i="10"/>
  <c r="D87" i="11" l="1"/>
  <c r="D88" i="11"/>
  <c r="D101" i="11"/>
  <c r="C110" i="11"/>
  <c r="D110" i="11" s="1"/>
  <c r="I31" i="10"/>
  <c r="J31" i="10" s="1"/>
  <c r="J30" i="10"/>
  <c r="M20" i="10"/>
  <c r="C88" i="11" l="1"/>
  <c r="E87" i="11"/>
  <c r="C87" i="11" s="1"/>
  <c r="C111" i="11"/>
  <c r="C115" i="11"/>
  <c r="D116" i="11" s="1"/>
  <c r="C116" i="11" s="1"/>
  <c r="C53" i="11" s="1"/>
  <c r="C112" i="11"/>
  <c r="D104" i="11"/>
  <c r="D105" i="11"/>
  <c r="C130" i="11"/>
  <c r="C102" i="11"/>
  <c r="M21" i="10"/>
  <c r="D113" i="11" l="1"/>
  <c r="C113" i="11" s="1"/>
  <c r="C114" i="11" s="1"/>
  <c r="C54" i="11" s="1"/>
  <c r="D131" i="11"/>
  <c r="C133" i="11"/>
  <c r="E104" i="11"/>
  <c r="D149" i="11"/>
  <c r="C149" i="11" s="1"/>
  <c r="C62" i="11" s="1"/>
  <c r="D102" i="11"/>
  <c r="C120" i="11"/>
  <c r="D120" i="11" s="1"/>
  <c r="C105" i="11"/>
  <c r="C64" i="11" s="1"/>
  <c r="M22" i="10"/>
  <c r="E139" i="11" l="1"/>
  <c r="D139" i="11" s="1"/>
  <c r="C139" i="11" s="1"/>
  <c r="C60" i="11" s="1"/>
  <c r="C122" i="11"/>
  <c r="C125" i="11"/>
  <c r="D126" i="11" s="1"/>
  <c r="C121" i="11"/>
  <c r="D140" i="11"/>
  <c r="C104" i="11"/>
  <c r="C131" i="11"/>
  <c r="C132" i="11"/>
  <c r="D134" i="11" s="1"/>
  <c r="M23" i="10"/>
  <c r="C134" i="11" l="1"/>
  <c r="C135" i="11"/>
  <c r="C59" i="11" s="1"/>
  <c r="C126" i="11"/>
  <c r="C56" i="11" s="1"/>
  <c r="C63" i="11"/>
  <c r="E153" i="11"/>
  <c r="D153" i="11" s="1"/>
  <c r="C153" i="11" s="1"/>
  <c r="C140" i="11"/>
  <c r="D141" i="11"/>
  <c r="C141" i="11" s="1"/>
  <c r="C61" i="11" s="1"/>
  <c r="D154" i="11"/>
  <c r="D123" i="11"/>
  <c r="C123" i="11" s="1"/>
  <c r="C124" i="11" s="1"/>
  <c r="M24" i="10"/>
  <c r="C154" i="11" l="1"/>
  <c r="C156" i="11"/>
  <c r="C55" i="11"/>
  <c r="C52" i="11"/>
  <c r="D124" i="11"/>
  <c r="M25" i="10"/>
  <c r="I30" i="11" l="1"/>
  <c r="I10" i="11"/>
  <c r="I9" i="11"/>
  <c r="J9" i="11" s="1"/>
  <c r="I11" i="11"/>
  <c r="J11" i="11" s="1"/>
  <c r="C58" i="11"/>
  <c r="C57" i="11"/>
  <c r="I22" i="11"/>
  <c r="J22" i="11" s="1"/>
  <c r="I15" i="11"/>
  <c r="J15" i="11" s="1"/>
  <c r="J30" i="11"/>
  <c r="I17" i="11"/>
  <c r="J17" i="11" s="1"/>
  <c r="I14" i="11"/>
  <c r="J14" i="11" s="1"/>
  <c r="I28" i="11"/>
  <c r="J28" i="11" s="1"/>
  <c r="I26" i="11"/>
  <c r="J26" i="11" s="1"/>
  <c r="I23" i="11"/>
  <c r="J23" i="11" s="1"/>
  <c r="I25" i="11"/>
  <c r="J25" i="11" s="1"/>
  <c r="J10" i="11"/>
  <c r="I20" i="11"/>
  <c r="J20" i="11" s="1"/>
  <c r="I18" i="11"/>
  <c r="J18" i="11" s="1"/>
  <c r="I21" i="11"/>
  <c r="J21" i="11" s="1"/>
  <c r="I16" i="11"/>
  <c r="J16" i="11" s="1"/>
  <c r="I24" i="11"/>
  <c r="J24" i="11" s="1"/>
  <c r="I19" i="11"/>
  <c r="J19" i="11" s="1"/>
  <c r="I12" i="11"/>
  <c r="J12" i="11" s="1"/>
  <c r="I29" i="11"/>
  <c r="J29" i="11" s="1"/>
  <c r="I13" i="11"/>
  <c r="J13" i="11" s="1"/>
  <c r="I27" i="11"/>
  <c r="J27" i="11" s="1"/>
  <c r="I8" i="11"/>
  <c r="J8" i="11" s="1"/>
  <c r="C158" i="11"/>
  <c r="C157" i="11"/>
  <c r="M26" i="10"/>
  <c r="D157" i="11" l="1"/>
  <c r="D54" i="11"/>
  <c r="D158" i="11"/>
  <c r="C159" i="11" s="1"/>
  <c r="D159" i="11" s="1"/>
  <c r="D53" i="11"/>
  <c r="M27" i="10"/>
  <c r="M28" i="10" l="1"/>
  <c r="M29" i="10" l="1"/>
  <c r="M30" i="10" l="1"/>
  <c r="M31" i="10" l="1"/>
  <c r="M32" i="10" l="1"/>
  <c r="M33" i="10" l="1"/>
  <c r="M34" i="10" l="1"/>
  <c r="M35" i="10" l="1"/>
  <c r="M36" i="10" l="1"/>
  <c r="M37" i="10" l="1"/>
  <c r="M38" i="10" l="1"/>
  <c r="M39" i="10" l="1"/>
  <c r="M40" i="10" l="1"/>
  <c r="M41" i="10" l="1"/>
  <c r="M42" i="10" l="1"/>
  <c r="M43" i="10" l="1"/>
  <c r="M44" i="10" l="1"/>
  <c r="M45" i="10" l="1"/>
  <c r="M46" i="10" l="1"/>
  <c r="M47" i="10" l="1"/>
  <c r="M48" i="10" l="1"/>
  <c r="M49" i="10" l="1"/>
  <c r="M50" i="10" l="1"/>
  <c r="M51" i="10" l="1"/>
  <c r="M52" i="10" l="1"/>
  <c r="M53" i="10" l="1"/>
  <c r="M54" i="10" l="1"/>
  <c r="M55" i="10" l="1"/>
  <c r="M56" i="10" l="1"/>
  <c r="M57" i="10" l="1"/>
  <c r="M58" i="10" l="1"/>
  <c r="M59" i="10" l="1"/>
  <c r="M60" i="10" l="1"/>
  <c r="M61" i="10" l="1"/>
  <c r="M62" i="10" l="1"/>
  <c r="M63" i="10" l="1"/>
  <c r="M64" i="10" l="1"/>
  <c r="M65" i="10" l="1"/>
  <c r="M66" i="10" l="1"/>
  <c r="M67" i="10" l="1"/>
  <c r="M68" i="10" l="1"/>
  <c r="M69" i="10" l="1"/>
  <c r="M70" i="10" l="1"/>
  <c r="M71" i="10" l="1"/>
  <c r="M72" i="10" l="1"/>
  <c r="M73" i="10" l="1"/>
  <c r="M74" i="10" l="1"/>
  <c r="M75" i="10" l="1"/>
  <c r="M76" i="10" l="1"/>
  <c r="M77" i="10" l="1"/>
  <c r="M78" i="10" l="1"/>
  <c r="M79" i="10" l="1"/>
  <c r="M80" i="10" l="1"/>
  <c r="M81" i="10" l="1"/>
  <c r="M82" i="10" l="1"/>
  <c r="M83" i="10" l="1"/>
  <c r="M84" i="10" l="1"/>
  <c r="M85" i="10" l="1"/>
  <c r="M86" i="10" l="1"/>
  <c r="M87" i="10" l="1"/>
  <c r="M88" i="10" l="1"/>
  <c r="M89" i="10" l="1"/>
  <c r="M90" i="10" l="1"/>
  <c r="M91" i="10" l="1"/>
  <c r="M92" i="10" l="1"/>
  <c r="M93" i="10" l="1"/>
  <c r="M94" i="10" l="1"/>
  <c r="M95" i="10" l="1"/>
  <c r="M96" i="10" l="1"/>
  <c r="M97" i="10" l="1"/>
  <c r="M98" i="10" l="1"/>
  <c r="M99" i="10" l="1"/>
  <c r="M100" i="10" l="1"/>
  <c r="M101" i="10" l="1"/>
  <c r="M102" i="10" l="1"/>
  <c r="M103" i="10" l="1"/>
  <c r="M104" i="10" l="1"/>
  <c r="M105" i="10" l="1"/>
  <c r="M106" i="10" l="1"/>
  <c r="M107" i="10" l="1"/>
  <c r="M108" i="10" l="1"/>
  <c r="M109" i="10" l="1"/>
  <c r="M110" i="10" l="1"/>
  <c r="M111" i="10" l="1"/>
  <c r="M112" i="10" l="1"/>
  <c r="M113" i="10" l="1"/>
  <c r="M114" i="10" l="1"/>
  <c r="M115" i="10" l="1"/>
  <c r="M116" i="10" l="1"/>
  <c r="M117" i="10" l="1"/>
  <c r="M118" i="10" l="1"/>
  <c r="M119" i="10" l="1"/>
  <c r="M120" i="10" l="1"/>
  <c r="M121" i="10" l="1"/>
  <c r="M122" i="10" l="1"/>
  <c r="M123" i="10" l="1"/>
  <c r="M124" i="10" l="1"/>
  <c r="M125" i="10" l="1"/>
  <c r="M126" i="10" l="1"/>
  <c r="M127" i="10" l="1"/>
  <c r="M128" i="10" l="1"/>
  <c r="M129" i="10" l="1"/>
  <c r="M130" i="10" l="1"/>
  <c r="M131" i="10" l="1"/>
  <c r="M132" i="10" l="1"/>
  <c r="M133" i="10" l="1"/>
  <c r="M134" i="10" l="1"/>
  <c r="M135" i="10" l="1"/>
  <c r="M136" i="10" l="1"/>
  <c r="M137" i="10" l="1"/>
  <c r="M138" i="10" l="1"/>
  <c r="M139" i="10" l="1"/>
  <c r="M140" i="10" l="1"/>
  <c r="M141" i="10" l="1"/>
  <c r="M142" i="10" l="1"/>
  <c r="M143" i="10" l="1"/>
  <c r="M144" i="10" l="1"/>
  <c r="M145" i="10" l="1"/>
  <c r="M146" i="10" l="1"/>
  <c r="M147" i="10" l="1"/>
  <c r="M148" i="10" l="1"/>
  <c r="M149" i="10" l="1"/>
  <c r="M150" i="10" l="1"/>
  <c r="M151" i="10" l="1"/>
  <c r="M152" i="10" l="1"/>
  <c r="M153" i="10" l="1"/>
  <c r="M154" i="10" l="1"/>
  <c r="M155" i="10" l="1"/>
  <c r="M156" i="10" l="1"/>
  <c r="M157" i="10" l="1"/>
  <c r="M158" i="10" l="1"/>
  <c r="M159" i="10" l="1"/>
  <c r="M160" i="10" l="1"/>
  <c r="M161" i="10" l="1"/>
  <c r="M162" i="10" l="1"/>
  <c r="M163" i="10" l="1"/>
  <c r="M164" i="10" l="1"/>
  <c r="M165" i="10" l="1"/>
  <c r="M166" i="10" l="1"/>
  <c r="M167" i="10" l="1"/>
  <c r="M168" i="10" l="1"/>
  <c r="M169" i="10" l="1"/>
  <c r="M170" i="10" l="1"/>
  <c r="M171" i="10" l="1"/>
  <c r="M172" i="10" l="1"/>
  <c r="M173" i="10" l="1"/>
  <c r="M174" i="10" l="1"/>
  <c r="M175" i="10" l="1"/>
  <c r="M176" i="10" l="1"/>
  <c r="M177" i="10" l="1"/>
  <c r="M178" i="10" l="1"/>
  <c r="M179" i="10" l="1"/>
  <c r="M180" i="10" l="1"/>
  <c r="M181" i="10" l="1"/>
  <c r="M182" i="10" l="1"/>
  <c r="M183" i="10" l="1"/>
  <c r="M184" i="10" l="1"/>
  <c r="M185" i="10" l="1"/>
  <c r="M186" i="10" l="1"/>
  <c r="M187" i="10" l="1"/>
  <c r="M188" i="10" l="1"/>
  <c r="M189" i="10" l="1"/>
  <c r="M190" i="10" l="1"/>
  <c r="M191" i="10" l="1"/>
  <c r="M192" i="10" l="1"/>
  <c r="M193" i="10" l="1"/>
  <c r="M194" i="10" l="1"/>
  <c r="M195" i="10" l="1"/>
  <c r="M196" i="10" l="1"/>
  <c r="M197" i="10" l="1"/>
  <c r="M198" i="10" l="1"/>
  <c r="M199" i="10" l="1"/>
  <c r="M200" i="10" l="1"/>
  <c r="M201" i="10" l="1"/>
  <c r="M202" i="10" l="1"/>
  <c r="M203" i="10" l="1"/>
  <c r="M204" i="10" l="1"/>
  <c r="M205" i="10" l="1"/>
  <c r="M206" i="10" l="1"/>
  <c r="M207" i="10" l="1"/>
  <c r="M208" i="10" l="1"/>
  <c r="M209" i="10" l="1"/>
  <c r="C5" i="10" l="1"/>
  <c r="C6" i="10" s="1"/>
  <c r="C8" i="10" s="1"/>
  <c r="C9" i="10" l="1"/>
  <c r="J3" i="10" s="1"/>
  <c r="J5" i="10"/>
  <c r="J6" i="10"/>
  <c r="J4" i="10"/>
  <c r="C7" i="10"/>
  <c r="K20" i="10" l="1"/>
  <c r="J7" i="10"/>
  <c r="J8" i="10" s="1"/>
  <c r="E17" i="10" s="1"/>
  <c r="J21" i="10" l="1"/>
  <c r="N2" i="10"/>
  <c r="Q3" i="10" s="1"/>
  <c r="B17" i="10"/>
  <c r="Q4" i="10" l="1"/>
  <c r="Q5" i="10" s="1"/>
  <c r="N22" i="10" l="1"/>
  <c r="N38" i="10"/>
  <c r="N54" i="10"/>
  <c r="N70" i="10"/>
  <c r="N86" i="10"/>
  <c r="N102" i="10"/>
  <c r="N118" i="10"/>
  <c r="O118" i="10" s="1"/>
  <c r="N134" i="10"/>
  <c r="O134" i="10" s="1"/>
  <c r="N150" i="10"/>
  <c r="O150" i="10" s="1"/>
  <c r="N166" i="10"/>
  <c r="O166" i="10" s="1"/>
  <c r="N182" i="10"/>
  <c r="O182" i="10" s="1"/>
  <c r="N198" i="10"/>
  <c r="O198" i="10" s="1"/>
  <c r="N71" i="10"/>
  <c r="N119" i="10"/>
  <c r="O119" i="10" s="1"/>
  <c r="N151" i="10"/>
  <c r="O151" i="10" s="1"/>
  <c r="N167" i="10"/>
  <c r="O167" i="10" s="1"/>
  <c r="N199" i="10"/>
  <c r="O199" i="10" s="1"/>
  <c r="N184" i="10"/>
  <c r="O184" i="10" s="1"/>
  <c r="N204" i="10"/>
  <c r="O204" i="10" s="1"/>
  <c r="N93" i="10"/>
  <c r="N158" i="10"/>
  <c r="O158" i="10" s="1"/>
  <c r="N206" i="10"/>
  <c r="O206" i="10" s="1"/>
  <c r="N175" i="10"/>
  <c r="O175" i="10" s="1"/>
  <c r="N32" i="10"/>
  <c r="N65" i="10"/>
  <c r="N146" i="10"/>
  <c r="O146" i="10" s="1"/>
  <c r="N35" i="10"/>
  <c r="N116" i="10"/>
  <c r="O116" i="10" s="1"/>
  <c r="N101" i="10"/>
  <c r="N23" i="10"/>
  <c r="N39" i="10"/>
  <c r="N55" i="10"/>
  <c r="N87" i="10"/>
  <c r="N103" i="10"/>
  <c r="N135" i="10"/>
  <c r="O135" i="10" s="1"/>
  <c r="N183" i="10"/>
  <c r="O183" i="10" s="1"/>
  <c r="N200" i="10"/>
  <c r="O200" i="10" s="1"/>
  <c r="N77" i="10"/>
  <c r="N190" i="10"/>
  <c r="O190" i="10" s="1"/>
  <c r="N63" i="10"/>
  <c r="N207" i="10"/>
  <c r="O207" i="10" s="1"/>
  <c r="N192" i="10"/>
  <c r="O192" i="10" s="1"/>
  <c r="N97" i="10"/>
  <c r="N130" i="10"/>
  <c r="O130" i="10" s="1"/>
  <c r="N147" i="10"/>
  <c r="O147" i="10" s="1"/>
  <c r="N68" i="10"/>
  <c r="N149" i="10"/>
  <c r="O149" i="10" s="1"/>
  <c r="N24" i="10"/>
  <c r="N40" i="10"/>
  <c r="N56" i="10"/>
  <c r="N72" i="10"/>
  <c r="N88" i="10"/>
  <c r="N104" i="10"/>
  <c r="N120" i="10"/>
  <c r="O120" i="10" s="1"/>
  <c r="N136" i="10"/>
  <c r="O136" i="10" s="1"/>
  <c r="N152" i="10"/>
  <c r="O152" i="10" s="1"/>
  <c r="N168" i="10"/>
  <c r="O168" i="10" s="1"/>
  <c r="N109" i="10"/>
  <c r="O109" i="10" s="1"/>
  <c r="N126" i="10"/>
  <c r="O126" i="10" s="1"/>
  <c r="N95" i="10"/>
  <c r="N144" i="10"/>
  <c r="O144" i="10" s="1"/>
  <c r="N161" i="10"/>
  <c r="O161" i="10" s="1"/>
  <c r="N162" i="10"/>
  <c r="O162" i="10" s="1"/>
  <c r="N19" i="10"/>
  <c r="N196" i="10"/>
  <c r="O196" i="10" s="1"/>
  <c r="N69" i="10"/>
  <c r="N10" i="10"/>
  <c r="N25" i="10"/>
  <c r="N41" i="10"/>
  <c r="N57" i="10"/>
  <c r="N73" i="10"/>
  <c r="N89" i="10"/>
  <c r="N105" i="10"/>
  <c r="N121" i="10"/>
  <c r="O121" i="10" s="1"/>
  <c r="N137" i="10"/>
  <c r="O137" i="10" s="1"/>
  <c r="N153" i="10"/>
  <c r="O153" i="10" s="1"/>
  <c r="N169" i="10"/>
  <c r="O169" i="10" s="1"/>
  <c r="N185" i="10"/>
  <c r="O185" i="10" s="1"/>
  <c r="N201" i="10"/>
  <c r="O201" i="10" s="1"/>
  <c r="N170" i="10"/>
  <c r="O170" i="10" s="1"/>
  <c r="N202" i="10"/>
  <c r="O202" i="10" s="1"/>
  <c r="N187" i="10"/>
  <c r="O187" i="10" s="1"/>
  <c r="N140" i="10"/>
  <c r="O140" i="10" s="1"/>
  <c r="N173" i="10"/>
  <c r="O173" i="10" s="1"/>
  <c r="N62" i="10"/>
  <c r="N191" i="10"/>
  <c r="O191" i="10" s="1"/>
  <c r="N128" i="10"/>
  <c r="O128" i="10" s="1"/>
  <c r="N113" i="10"/>
  <c r="O113" i="10" s="1"/>
  <c r="N98" i="10"/>
  <c r="N115" i="10"/>
  <c r="O115" i="10" s="1"/>
  <c r="N84" i="10"/>
  <c r="N117" i="10"/>
  <c r="O117" i="10" s="1"/>
  <c r="N9" i="10"/>
  <c r="N26" i="10"/>
  <c r="N42" i="10"/>
  <c r="N58" i="10"/>
  <c r="N74" i="10"/>
  <c r="N90" i="10"/>
  <c r="N106" i="10"/>
  <c r="N122" i="10"/>
  <c r="O122" i="10" s="1"/>
  <c r="N138" i="10"/>
  <c r="O138" i="10" s="1"/>
  <c r="N154" i="10"/>
  <c r="O154" i="10" s="1"/>
  <c r="N186" i="10"/>
  <c r="O186" i="10" s="1"/>
  <c r="N203" i="10"/>
  <c r="O203" i="10" s="1"/>
  <c r="N156" i="10"/>
  <c r="O156" i="10" s="1"/>
  <c r="N125" i="10"/>
  <c r="O125" i="10" s="1"/>
  <c r="N78" i="10"/>
  <c r="N143" i="10"/>
  <c r="O143" i="10" s="1"/>
  <c r="N96" i="10"/>
  <c r="N81" i="10"/>
  <c r="N178" i="10"/>
  <c r="O178" i="10" s="1"/>
  <c r="N51" i="10"/>
  <c r="N148" i="10"/>
  <c r="O148" i="10" s="1"/>
  <c r="N21" i="10"/>
  <c r="N12" i="10"/>
  <c r="N27" i="10"/>
  <c r="N43" i="10"/>
  <c r="N59" i="10"/>
  <c r="N75" i="10"/>
  <c r="N91" i="10"/>
  <c r="N107" i="10"/>
  <c r="N123" i="10"/>
  <c r="O123" i="10" s="1"/>
  <c r="N139" i="10"/>
  <c r="O139" i="10" s="1"/>
  <c r="N155" i="10"/>
  <c r="O155" i="10" s="1"/>
  <c r="N171" i="10"/>
  <c r="O171" i="10" s="1"/>
  <c r="N188" i="10"/>
  <c r="O188" i="10" s="1"/>
  <c r="N157" i="10"/>
  <c r="O157" i="10" s="1"/>
  <c r="N189" i="10"/>
  <c r="O189" i="10" s="1"/>
  <c r="N110" i="10"/>
  <c r="O110" i="10" s="1"/>
  <c r="N127" i="10"/>
  <c r="O127" i="10" s="1"/>
  <c r="N80" i="10"/>
  <c r="N145" i="10"/>
  <c r="O145" i="10" s="1"/>
  <c r="N66" i="10"/>
  <c r="N195" i="10"/>
  <c r="O195" i="10" s="1"/>
  <c r="N36" i="10"/>
  <c r="N133" i="10"/>
  <c r="O133" i="10" s="1"/>
  <c r="N13" i="10"/>
  <c r="N28" i="10"/>
  <c r="N44" i="10"/>
  <c r="N60" i="10"/>
  <c r="N76" i="10"/>
  <c r="N92" i="10"/>
  <c r="N108" i="10"/>
  <c r="N124" i="10"/>
  <c r="O124" i="10" s="1"/>
  <c r="N172" i="10"/>
  <c r="O172" i="10" s="1"/>
  <c r="N205" i="10"/>
  <c r="O205" i="10" s="1"/>
  <c r="N142" i="10"/>
  <c r="O142" i="10" s="1"/>
  <c r="N79" i="10"/>
  <c r="N160" i="10"/>
  <c r="O160" i="10" s="1"/>
  <c r="N33" i="10"/>
  <c r="N194" i="10"/>
  <c r="O194" i="10" s="1"/>
  <c r="N99" i="10"/>
  <c r="N180" i="10"/>
  <c r="O180" i="10" s="1"/>
  <c r="N37" i="10"/>
  <c r="N11" i="10"/>
  <c r="N29" i="10"/>
  <c r="N45" i="10"/>
  <c r="N61" i="10"/>
  <c r="N141" i="10"/>
  <c r="O141" i="10" s="1"/>
  <c r="N174" i="10"/>
  <c r="O174" i="10" s="1"/>
  <c r="N47" i="10"/>
  <c r="N112" i="10"/>
  <c r="O112" i="10" s="1"/>
  <c r="N49" i="10"/>
  <c r="N114" i="10"/>
  <c r="O114" i="10" s="1"/>
  <c r="N83" i="10"/>
  <c r="N100" i="10"/>
  <c r="N53" i="10"/>
  <c r="N14" i="10"/>
  <c r="N30" i="10"/>
  <c r="N46" i="10"/>
  <c r="N94" i="10"/>
  <c r="N159" i="10"/>
  <c r="O159" i="10" s="1"/>
  <c r="N64" i="10"/>
  <c r="N208" i="10"/>
  <c r="O208" i="10" s="1"/>
  <c r="N193" i="10"/>
  <c r="O193" i="10" s="1"/>
  <c r="N34" i="10"/>
  <c r="N15" i="10"/>
  <c r="N31" i="10"/>
  <c r="N111" i="10"/>
  <c r="O111" i="10" s="1"/>
  <c r="N176" i="10"/>
  <c r="O176" i="10" s="1"/>
  <c r="N129" i="10"/>
  <c r="O129" i="10" s="1"/>
  <c r="N82" i="10"/>
  <c r="N163" i="10"/>
  <c r="O163" i="10" s="1"/>
  <c r="N52" i="10"/>
  <c r="N165" i="10"/>
  <c r="O165" i="10" s="1"/>
  <c r="N16" i="10"/>
  <c r="N48" i="10"/>
  <c r="N177" i="10"/>
  <c r="O177" i="10" s="1"/>
  <c r="N50" i="10"/>
  <c r="N179" i="10"/>
  <c r="O179" i="10" s="1"/>
  <c r="N20" i="10"/>
  <c r="N197" i="10"/>
  <c r="O197" i="10" s="1"/>
  <c r="N17" i="10"/>
  <c r="N209" i="10"/>
  <c r="O209" i="10" s="1"/>
  <c r="N67" i="10"/>
  <c r="N164" i="10"/>
  <c r="O164" i="10" s="1"/>
  <c r="N85" i="10"/>
  <c r="N18" i="10"/>
  <c r="N132" i="10"/>
  <c r="O132" i="10" s="1"/>
  <c r="N181" i="10"/>
  <c r="O181" i="10" s="1"/>
  <c r="N131" i="10"/>
  <c r="O131" i="10" s="1"/>
  <c r="Q167" i="10" l="1"/>
  <c r="P167" i="10"/>
  <c r="P201" i="10"/>
  <c r="Q201" i="10"/>
  <c r="Q151" i="10"/>
  <c r="P151" i="10"/>
  <c r="P119" i="10"/>
  <c r="Q119" i="10"/>
  <c r="Q143" i="10"/>
  <c r="P143" i="10"/>
  <c r="P153" i="10"/>
  <c r="Q153" i="10"/>
  <c r="P130" i="10"/>
  <c r="Q130" i="10"/>
  <c r="Q116" i="10"/>
  <c r="P116" i="10"/>
  <c r="Q198" i="10"/>
  <c r="P198" i="10"/>
  <c r="P124" i="10"/>
  <c r="Q124" i="10"/>
  <c r="P178" i="10"/>
  <c r="Q178" i="10"/>
  <c r="P188" i="10"/>
  <c r="Q188" i="10"/>
  <c r="P169" i="10"/>
  <c r="Q169" i="10"/>
  <c r="P137" i="10"/>
  <c r="Q137" i="10"/>
  <c r="P126" i="10"/>
  <c r="Q126" i="10"/>
  <c r="Q182" i="10"/>
  <c r="P182" i="10"/>
  <c r="Q189" i="10"/>
  <c r="P189" i="10"/>
  <c r="Q144" i="10"/>
  <c r="P144" i="10"/>
  <c r="P109" i="10"/>
  <c r="Q109" i="10"/>
  <c r="P192" i="10"/>
  <c r="Q192" i="10"/>
  <c r="Q146" i="10"/>
  <c r="P146" i="10"/>
  <c r="P166" i="10"/>
  <c r="Q166" i="10"/>
  <c r="Q197" i="10"/>
  <c r="P197" i="10"/>
  <c r="P193" i="10"/>
  <c r="Q193" i="10"/>
  <c r="P179" i="10"/>
  <c r="Q179" i="10"/>
  <c r="P155" i="10"/>
  <c r="Q155" i="10"/>
  <c r="P123" i="10"/>
  <c r="Q123" i="10"/>
  <c r="P156" i="10"/>
  <c r="Q156" i="10"/>
  <c r="Q168" i="10"/>
  <c r="P168" i="10"/>
  <c r="Q207" i="10"/>
  <c r="P207" i="10"/>
  <c r="Q150" i="10"/>
  <c r="P150" i="10"/>
  <c r="Q203" i="10"/>
  <c r="P203" i="10"/>
  <c r="P113" i="10"/>
  <c r="Q113" i="10"/>
  <c r="Q152" i="10"/>
  <c r="P152" i="10"/>
  <c r="Q134" i="10"/>
  <c r="P134" i="10"/>
  <c r="Q161" i="10"/>
  <c r="P161" i="10"/>
  <c r="P186" i="10"/>
  <c r="Q186" i="10"/>
  <c r="Q128" i="10"/>
  <c r="P128" i="10"/>
  <c r="P136" i="10"/>
  <c r="Q136" i="10"/>
  <c r="P190" i="10"/>
  <c r="Q190" i="10"/>
  <c r="Q175" i="10"/>
  <c r="P175" i="10"/>
  <c r="Q118" i="10"/>
  <c r="P118" i="10"/>
  <c r="P162" i="10"/>
  <c r="Q162" i="10"/>
  <c r="P208" i="10"/>
  <c r="Q208" i="10"/>
  <c r="P177" i="10"/>
  <c r="Q177" i="10"/>
  <c r="P206" i="10"/>
  <c r="Q206" i="10"/>
  <c r="P147" i="10"/>
  <c r="Q147" i="10"/>
  <c r="Q115" i="10"/>
  <c r="P115" i="10"/>
  <c r="P180" i="10"/>
  <c r="Q180" i="10"/>
  <c r="P181" i="10"/>
  <c r="Q181" i="10"/>
  <c r="P195" i="10"/>
  <c r="Q195" i="10"/>
  <c r="P191" i="10"/>
  <c r="Q191" i="10"/>
  <c r="Q129" i="10"/>
  <c r="P129" i="10"/>
  <c r="Q160" i="10"/>
  <c r="P160" i="10"/>
  <c r="Q138" i="10"/>
  <c r="P138" i="10"/>
  <c r="Q200" i="10"/>
  <c r="P200" i="10"/>
  <c r="P158" i="10"/>
  <c r="Q158" i="10"/>
  <c r="P174" i="10"/>
  <c r="Q174" i="10"/>
  <c r="P141" i="10"/>
  <c r="Q141" i="10"/>
  <c r="P131" i="10"/>
  <c r="Q131" i="10"/>
  <c r="Q163" i="10"/>
  <c r="P163" i="10"/>
  <c r="P164" i="10"/>
  <c r="Q164" i="10"/>
  <c r="Q114" i="10"/>
  <c r="P114" i="10"/>
  <c r="Q145" i="10"/>
  <c r="P145" i="10"/>
  <c r="P122" i="10"/>
  <c r="Q122" i="10"/>
  <c r="P173" i="10"/>
  <c r="Q173" i="10"/>
  <c r="Q183" i="10"/>
  <c r="P183" i="10"/>
  <c r="P157" i="10"/>
  <c r="Q157" i="10"/>
  <c r="Q185" i="10"/>
  <c r="P185" i="10"/>
  <c r="Q171" i="10"/>
  <c r="P171" i="10"/>
  <c r="Q121" i="10"/>
  <c r="P121" i="10"/>
  <c r="P165" i="10"/>
  <c r="Q165" i="10"/>
  <c r="Q194" i="10"/>
  <c r="P194" i="10"/>
  <c r="P154" i="10"/>
  <c r="Q154" i="10"/>
  <c r="P142" i="10"/>
  <c r="Q142" i="10"/>
  <c r="P140" i="10"/>
  <c r="Q140" i="10"/>
  <c r="Q135" i="10"/>
  <c r="P135" i="10"/>
  <c r="P204" i="10"/>
  <c r="Q204" i="10"/>
  <c r="Q170" i="10"/>
  <c r="P170" i="10"/>
  <c r="Q117" i="10"/>
  <c r="P117" i="10"/>
  <c r="Q125" i="10"/>
  <c r="P125" i="10"/>
  <c r="P132" i="10"/>
  <c r="Q132" i="10"/>
  <c r="P209" i="10"/>
  <c r="Q209" i="10"/>
  <c r="P112" i="10"/>
  <c r="Q112" i="10"/>
  <c r="Q205" i="10"/>
  <c r="P205" i="10"/>
  <c r="P127" i="10"/>
  <c r="Q127" i="10"/>
  <c r="Q187" i="10"/>
  <c r="P187" i="10"/>
  <c r="P184" i="10"/>
  <c r="Q184" i="10"/>
  <c r="P149" i="10"/>
  <c r="Q149" i="10"/>
  <c r="P159" i="10"/>
  <c r="Q159" i="10"/>
  <c r="P139" i="10"/>
  <c r="Q139" i="10"/>
  <c r="Q133" i="10"/>
  <c r="P133" i="10"/>
  <c r="Q120" i="10"/>
  <c r="P120" i="10"/>
  <c r="P176" i="10"/>
  <c r="Q176" i="10"/>
  <c r="P111" i="10"/>
  <c r="Q111" i="10"/>
  <c r="P172" i="10"/>
  <c r="Q172" i="10"/>
  <c r="Q110" i="10"/>
  <c r="P110" i="10"/>
  <c r="Q148" i="10"/>
  <c r="P148" i="10"/>
  <c r="P202" i="10"/>
  <c r="Q202" i="10"/>
  <c r="Q196" i="10"/>
  <c r="P196" i="10"/>
  <c r="P199" i="10"/>
  <c r="Q199" i="10"/>
  <c r="P51" i="10"/>
  <c r="O51" i="10"/>
  <c r="Q51" i="10"/>
  <c r="Q19" i="10"/>
  <c r="O19" i="10"/>
  <c r="P19" i="10"/>
  <c r="O26" i="10"/>
  <c r="P26" i="10"/>
  <c r="Q26" i="10"/>
  <c r="Q23" i="10"/>
  <c r="O23" i="10"/>
  <c r="P23" i="10"/>
  <c r="O20" i="10"/>
  <c r="P20" i="10"/>
  <c r="Q20" i="10"/>
  <c r="Q101" i="10"/>
  <c r="P101" i="10"/>
  <c r="O101" i="10"/>
  <c r="P71" i="10"/>
  <c r="Q71" i="10"/>
  <c r="O71" i="10"/>
  <c r="O34" i="10"/>
  <c r="P34" i="10"/>
  <c r="Q34" i="10"/>
  <c r="P95" i="10"/>
  <c r="Q95" i="10"/>
  <c r="O95" i="10"/>
  <c r="P50" i="10"/>
  <c r="Q50" i="10"/>
  <c r="O50" i="10"/>
  <c r="Q84" i="10"/>
  <c r="P84" i="10"/>
  <c r="O84" i="10"/>
  <c r="P97" i="10"/>
  <c r="Q97" i="10"/>
  <c r="O97" i="10"/>
  <c r="P35" i="10"/>
  <c r="O35" i="10"/>
  <c r="Q35" i="10"/>
  <c r="Q108" i="10"/>
  <c r="P108" i="10"/>
  <c r="O108" i="10"/>
  <c r="Q45" i="10"/>
  <c r="P45" i="10"/>
  <c r="O45" i="10"/>
  <c r="Q60" i="10"/>
  <c r="P60" i="10"/>
  <c r="O60" i="10"/>
  <c r="Q37" i="10"/>
  <c r="O37" i="10"/>
  <c r="P37" i="10"/>
  <c r="Q92" i="10"/>
  <c r="P92" i="10"/>
  <c r="O92" i="10"/>
  <c r="Q76" i="10"/>
  <c r="O76" i="10"/>
  <c r="P76" i="10"/>
  <c r="Q78" i="10"/>
  <c r="O78" i="10"/>
  <c r="P78" i="10"/>
  <c r="P30" i="10"/>
  <c r="Q30" i="10"/>
  <c r="O30" i="10"/>
  <c r="Q98" i="10"/>
  <c r="O98" i="10"/>
  <c r="P98" i="10"/>
  <c r="P105" i="10"/>
  <c r="O105" i="10"/>
  <c r="Q105" i="10"/>
  <c r="P65" i="10"/>
  <c r="Q65" i="10"/>
  <c r="O65" i="10"/>
  <c r="O91" i="10"/>
  <c r="P91" i="10"/>
  <c r="Q91" i="10"/>
  <c r="P89" i="10"/>
  <c r="O89" i="10"/>
  <c r="Q89" i="10"/>
  <c r="P63" i="10"/>
  <c r="Q63" i="10"/>
  <c r="O63" i="10"/>
  <c r="O32" i="10"/>
  <c r="Q32" i="10"/>
  <c r="P32" i="10"/>
  <c r="P9" i="10"/>
  <c r="Q9" i="10"/>
  <c r="O9" i="10"/>
  <c r="O48" i="10"/>
  <c r="Q48" i="10"/>
  <c r="P48" i="10"/>
  <c r="P16" i="10"/>
  <c r="O16" i="10"/>
  <c r="Q16" i="10"/>
  <c r="O75" i="10"/>
  <c r="P75" i="10"/>
  <c r="Q75" i="10"/>
  <c r="Q73" i="10"/>
  <c r="P73" i="10"/>
  <c r="O73" i="10"/>
  <c r="P55" i="10"/>
  <c r="O55" i="10"/>
  <c r="Q55" i="10"/>
  <c r="O68" i="10"/>
  <c r="Q68" i="10"/>
  <c r="P68" i="10"/>
  <c r="Q28" i="10"/>
  <c r="P28" i="10"/>
  <c r="O28" i="10"/>
  <c r="Q14" i="10"/>
  <c r="P14" i="10"/>
  <c r="O14" i="10"/>
  <c r="O59" i="10"/>
  <c r="Q59" i="10"/>
  <c r="P59" i="10"/>
  <c r="O57" i="10"/>
  <c r="Q57" i="10"/>
  <c r="P57" i="10"/>
  <c r="Q77" i="10"/>
  <c r="O77" i="10"/>
  <c r="P77" i="10"/>
  <c r="Q102" i="10"/>
  <c r="O102" i="10"/>
  <c r="P102" i="10"/>
  <c r="O58" i="10"/>
  <c r="Q58" i="10"/>
  <c r="P58" i="10"/>
  <c r="Q44" i="10"/>
  <c r="P44" i="10"/>
  <c r="O44" i="10"/>
  <c r="O18" i="10"/>
  <c r="P18" i="10"/>
  <c r="Q18" i="10"/>
  <c r="Q66" i="10"/>
  <c r="P66" i="10"/>
  <c r="O66" i="10"/>
  <c r="Q43" i="10"/>
  <c r="O43" i="10"/>
  <c r="P43" i="10"/>
  <c r="P62" i="10"/>
  <c r="O62" i="10"/>
  <c r="Q62" i="10"/>
  <c r="Q41" i="10"/>
  <c r="P41" i="10"/>
  <c r="O41" i="10"/>
  <c r="Q104" i="10"/>
  <c r="P104" i="10"/>
  <c r="O104" i="10"/>
  <c r="Q86" i="10"/>
  <c r="O86" i="10"/>
  <c r="P86" i="10"/>
  <c r="Q42" i="10"/>
  <c r="P42" i="10"/>
  <c r="O42" i="10"/>
  <c r="O53" i="10"/>
  <c r="P53" i="10"/>
  <c r="Q53" i="10"/>
  <c r="P33" i="10"/>
  <c r="Q33" i="10"/>
  <c r="O33" i="10"/>
  <c r="Q79" i="10"/>
  <c r="O79" i="10"/>
  <c r="P79" i="10"/>
  <c r="P27" i="10"/>
  <c r="O27" i="10"/>
  <c r="Q27" i="10"/>
  <c r="P25" i="10"/>
  <c r="Q25" i="10"/>
  <c r="O25" i="10"/>
  <c r="Q88" i="10"/>
  <c r="P88" i="10"/>
  <c r="O88" i="10"/>
  <c r="O93" i="10"/>
  <c r="P93" i="10"/>
  <c r="Q93" i="10"/>
  <c r="Q70" i="10"/>
  <c r="O70" i="10"/>
  <c r="P70" i="10"/>
  <c r="Q24" i="10"/>
  <c r="P24" i="10"/>
  <c r="O24" i="10"/>
  <c r="O81" i="10"/>
  <c r="Q81" i="10"/>
  <c r="P81" i="10"/>
  <c r="O94" i="10"/>
  <c r="Q94" i="10"/>
  <c r="P94" i="10"/>
  <c r="Q46" i="10"/>
  <c r="O46" i="10"/>
  <c r="P46" i="10"/>
  <c r="O107" i="10"/>
  <c r="P107" i="10"/>
  <c r="Q107" i="10"/>
  <c r="P36" i="10"/>
  <c r="O36" i="10"/>
  <c r="Q36" i="10"/>
  <c r="Q100" i="10"/>
  <c r="P100" i="10"/>
  <c r="O100" i="10"/>
  <c r="O83" i="10"/>
  <c r="Q83" i="10"/>
  <c r="P83" i="10"/>
  <c r="O49" i="10"/>
  <c r="P49" i="10"/>
  <c r="Q49" i="10"/>
  <c r="P80" i="10"/>
  <c r="Q80" i="10"/>
  <c r="O80" i="10"/>
  <c r="O12" i="10"/>
  <c r="P12" i="10"/>
  <c r="Q12" i="10"/>
  <c r="P106" i="10"/>
  <c r="O106" i="10"/>
  <c r="Q106" i="10"/>
  <c r="Q10" i="10"/>
  <c r="O10" i="10"/>
  <c r="P10" i="10"/>
  <c r="O72" i="10"/>
  <c r="P72" i="10"/>
  <c r="Q72" i="10"/>
  <c r="O54" i="10"/>
  <c r="P54" i="10"/>
  <c r="Q54" i="10"/>
  <c r="O61" i="10"/>
  <c r="P61" i="10"/>
  <c r="Q61" i="10"/>
  <c r="Q64" i="10"/>
  <c r="P64" i="10"/>
  <c r="O64" i="10"/>
  <c r="Q29" i="10"/>
  <c r="P29" i="10"/>
  <c r="O29" i="10"/>
  <c r="Q13" i="10"/>
  <c r="P13" i="10"/>
  <c r="O13" i="10"/>
  <c r="Q99" i="10"/>
  <c r="P99" i="10"/>
  <c r="O99" i="10"/>
  <c r="Q82" i="10"/>
  <c r="O82" i="10"/>
  <c r="P82" i="10"/>
  <c r="O67" i="10"/>
  <c r="Q67" i="10"/>
  <c r="P67" i="10"/>
  <c r="O31" i="10"/>
  <c r="P31" i="10"/>
  <c r="Q31" i="10"/>
  <c r="O21" i="10"/>
  <c r="Q21" i="10"/>
  <c r="P21" i="10"/>
  <c r="Q90" i="10"/>
  <c r="O90" i="10"/>
  <c r="P90" i="10"/>
  <c r="P69" i="10"/>
  <c r="O69" i="10"/>
  <c r="Q69" i="10"/>
  <c r="P56" i="10"/>
  <c r="O56" i="10"/>
  <c r="Q56" i="10"/>
  <c r="O103" i="10"/>
  <c r="Q103" i="10"/>
  <c r="P103" i="10"/>
  <c r="Q38" i="10"/>
  <c r="P38" i="10"/>
  <c r="O38" i="10"/>
  <c r="O39" i="10"/>
  <c r="Q39" i="10"/>
  <c r="P39" i="10"/>
  <c r="Q96" i="10"/>
  <c r="O96" i="10"/>
  <c r="P96" i="10"/>
  <c r="Q11" i="10"/>
  <c r="P11" i="10"/>
  <c r="O11" i="10"/>
  <c r="P52" i="10"/>
  <c r="Q52" i="10"/>
  <c r="O52" i="10"/>
  <c r="O85" i="10"/>
  <c r="P85" i="10"/>
  <c r="Q85" i="10"/>
  <c r="O17" i="10"/>
  <c r="P17" i="10"/>
  <c r="Q17" i="10"/>
  <c r="O15" i="10"/>
  <c r="P15" i="10"/>
  <c r="Q15" i="10"/>
  <c r="Q47" i="10"/>
  <c r="P47" i="10"/>
  <c r="O47" i="10"/>
  <c r="P74" i="10"/>
  <c r="O74" i="10"/>
  <c r="Q74" i="10"/>
  <c r="P40" i="10"/>
  <c r="O40" i="10"/>
  <c r="Q40" i="10"/>
  <c r="Q87" i="10"/>
  <c r="P87" i="10"/>
  <c r="O87" i="10"/>
  <c r="Q22" i="10"/>
  <c r="O22" i="10"/>
  <c r="P22" i="10"/>
</calcChain>
</file>

<file path=xl/sharedStrings.xml><?xml version="1.0" encoding="utf-8"?>
<sst xmlns="http://schemas.openxmlformats.org/spreadsheetml/2006/main" count="210" uniqueCount="181">
  <si>
    <t>Date</t>
  </si>
  <si>
    <t>Email</t>
  </si>
  <si>
    <t>All Rights Reserved:  © Astronomy Morsels.</t>
  </si>
  <si>
    <t>I'm solely responsible for the input and express no warranty.  Use at your own risk.</t>
  </si>
  <si>
    <t>Nonetheless, this spreadsheet has been carefully reviewed, and calculation results have been compared with other applications.</t>
  </si>
  <si>
    <t>Leap year?</t>
  </si>
  <si>
    <t>Day nr.</t>
  </si>
  <si>
    <r>
      <rPr>
        <b/>
        <sz val="14"/>
        <color theme="0"/>
        <rFont val="Calibri (Body)"/>
      </rPr>
      <t>Compiled by</t>
    </r>
    <r>
      <rPr>
        <sz val="14"/>
        <color theme="0"/>
        <rFont val="Calibri (Body)"/>
      </rPr>
      <t>: Anton Viola (Astronomy Morsels).</t>
    </r>
  </si>
  <si>
    <t>Inputs</t>
  </si>
  <si>
    <t>Weekday</t>
  </si>
  <si>
    <t>Days since Epoch</t>
  </si>
  <si>
    <t>Time</t>
  </si>
  <si>
    <t>D</t>
  </si>
  <si>
    <t>M</t>
  </si>
  <si>
    <t>M'</t>
  </si>
  <si>
    <r>
      <rPr>
        <b/>
        <sz val="14"/>
        <color theme="0"/>
        <rFont val="Calibri (Body)"/>
      </rPr>
      <t>Latest update</t>
    </r>
    <r>
      <rPr>
        <sz val="14"/>
        <color theme="0"/>
        <rFont val="Calibri (Body)"/>
      </rPr>
      <t>: 23rd May, 2024.</t>
    </r>
  </si>
  <si>
    <t>DtoR</t>
  </si>
  <si>
    <t>i</t>
  </si>
  <si>
    <t>T</t>
  </si>
  <si>
    <t>From any location on the Earth, the Moon appears to be a circular disk which, at any specific time, is illuminated to some degree by direct sunlight. Like the Earth, the Moon is a sphere which is always half illuminated by the Sun, but as the Moon orbits the Earth we get to see more or less of the illuminated half. During each lunar orbit (a lunar month), we see the Moon's appearance change from not visibly illuminated through partially illuminated to fully illuminated, then back through partially illuminated to not illuminated again. This spreadsheet calculates the illuminated fraction of the Moon for a specific date.</t>
  </si>
  <si>
    <t>k</t>
  </si>
  <si>
    <t>JDE</t>
  </si>
  <si>
    <t>Angle</t>
  </si>
  <si>
    <t>dgr</t>
  </si>
  <si>
    <t>cos</t>
  </si>
  <si>
    <t>minor semi axis</t>
  </si>
  <si>
    <t>major semi axis</t>
  </si>
  <si>
    <t>x</t>
  </si>
  <si>
    <t>ellipse</t>
  </si>
  <si>
    <t>black bottom</t>
  </si>
  <si>
    <t>transparent</t>
  </si>
  <si>
    <t>black top</t>
  </si>
  <si>
    <t>angle</t>
  </si>
  <si>
    <t>Full moon</t>
  </si>
  <si>
    <t>New moon</t>
  </si>
  <si>
    <t>Waxing crescent</t>
  </si>
  <si>
    <t>First quarter</t>
  </si>
  <si>
    <t>Waxing gibbous</t>
  </si>
  <si>
    <t>Waning gibbous</t>
  </si>
  <si>
    <t>Last quarter</t>
  </si>
  <si>
    <t>Waning crescent</t>
  </si>
  <si>
    <r>
      <t>JDE</t>
    </r>
    <r>
      <rPr>
        <vertAlign val="subscript"/>
        <sz val="12"/>
        <rFont val="Calibri"/>
        <family val="2"/>
      </rPr>
      <t>new moon</t>
    </r>
  </si>
  <si>
    <t>delta</t>
  </si>
  <si>
    <t>reference date (08.05.2024)</t>
  </si>
  <si>
    <t>stepsize</t>
  </si>
  <si>
    <t># points</t>
  </si>
  <si>
    <t>Moon ephemeris</t>
  </si>
  <si>
    <t>Re-worked from a BASIC program by George Rosenberg (ALPO), with libration and topocentric corrections from Meeus and other formulas from Duffett-Smith</t>
  </si>
  <si>
    <t>Station</t>
  </si>
  <si>
    <t>Altitude of Sun over selected features</t>
  </si>
  <si>
    <t>Longitude</t>
  </si>
  <si>
    <t>Lunar feature</t>
  </si>
  <si>
    <t>Lat</t>
  </si>
  <si>
    <t>Long</t>
  </si>
  <si>
    <t>Alt</t>
  </si>
  <si>
    <t>Dummy</t>
  </si>
  <si>
    <t>Latitude</t>
  </si>
  <si>
    <t>Plato (centre)</t>
  </si>
  <si>
    <t>Time zone</t>
  </si>
  <si>
    <t>Albategnius</t>
  </si>
  <si>
    <t>Alphonsus</t>
  </si>
  <si>
    <t>Archimedes</t>
  </si>
  <si>
    <t>Local date and time</t>
  </si>
  <si>
    <t>Arzachel</t>
  </si>
  <si>
    <t>Year</t>
  </si>
  <si>
    <t>Cleomedes (north of Mare Crisium)</t>
  </si>
  <si>
    <t>Month</t>
  </si>
  <si>
    <t>Copernicus</t>
  </si>
  <si>
    <t>Day</t>
  </si>
  <si>
    <t>Cyrillus</t>
  </si>
  <si>
    <t>Hour</t>
  </si>
  <si>
    <t>Deslandres</t>
  </si>
  <si>
    <t>Minute</t>
  </si>
  <si>
    <t>Endymion</t>
  </si>
  <si>
    <t>Eratosthenes</t>
  </si>
  <si>
    <t>Numerical Results</t>
  </si>
  <si>
    <t>Eudoxus</t>
  </si>
  <si>
    <t>Geocentric</t>
  </si>
  <si>
    <t>Topocentric</t>
  </si>
  <si>
    <t>Fabricus</t>
  </si>
  <si>
    <t>Co-longitude of Sun</t>
  </si>
  <si>
    <t>Maurolycus</t>
  </si>
  <si>
    <t>Libration in latitude (Bo)</t>
  </si>
  <si>
    <t>Messier</t>
  </si>
  <si>
    <t>Libration in longitude (Lo)</t>
  </si>
  <si>
    <t>Montes Apenninus</t>
  </si>
  <si>
    <t>Sub solar point (Ls)</t>
  </si>
  <si>
    <t>Montes Caucasus</t>
  </si>
  <si>
    <t>Sub solar point (Bs)</t>
  </si>
  <si>
    <t>Pitatus (within Mare Nubium)</t>
  </si>
  <si>
    <t>Longitude of terminator (+ Crisium)</t>
  </si>
  <si>
    <t>Ptolemaeus</t>
  </si>
  <si>
    <t>Nature of terminator</t>
  </si>
  <si>
    <t>Rupes Recta</t>
  </si>
  <si>
    <t>Illuminated Fraction</t>
  </si>
  <si>
    <t>Theophilus</t>
  </si>
  <si>
    <t>PA of bright limb</t>
  </si>
  <si>
    <t>Tycho</t>
  </si>
  <si>
    <t>Parallactic angle</t>
  </si>
  <si>
    <t>Werner</t>
  </si>
  <si>
    <t>PA of axis</t>
  </si>
  <si>
    <t>RA</t>
  </si>
  <si>
    <t>Dec</t>
  </si>
  <si>
    <t>Azimuth</t>
  </si>
  <si>
    <t>Days before J2000.0</t>
  </si>
  <si>
    <t>LST (degs and rads)</t>
  </si>
  <si>
    <t>Centuries</t>
  </si>
  <si>
    <t>Sun position</t>
  </si>
  <si>
    <t>degs</t>
  </si>
  <si>
    <t>rads</t>
  </si>
  <si>
    <t>Mean longitude (L)</t>
  </si>
  <si>
    <t>Mean anomaly (M)</t>
  </si>
  <si>
    <t>Equation of centre (C)</t>
  </si>
  <si>
    <t>True anomaly (V)</t>
  </si>
  <si>
    <t>Eccentricity (Ec)</t>
  </si>
  <si>
    <t>Sun distance</t>
  </si>
  <si>
    <t>Theta (true longitude)</t>
  </si>
  <si>
    <t>Long Asc Node (Omega)</t>
  </si>
  <si>
    <t>Lambda (apparent longitude)</t>
  </si>
  <si>
    <t>Obliquity of ecliptic</t>
  </si>
  <si>
    <t>Alpha (Right Ascension)</t>
  </si>
  <si>
    <t>Delta (Declination)</t>
  </si>
  <si>
    <t>Moon position</t>
  </si>
  <si>
    <t>Argument of latitude (F)</t>
  </si>
  <si>
    <t>Mean longitude (L')</t>
  </si>
  <si>
    <t>Long. Asc. Node (Om')</t>
  </si>
  <si>
    <t>Mean anomaly (M')</t>
  </si>
  <si>
    <t>Mean elongation (D)</t>
  </si>
  <si>
    <t xml:space="preserve"> twice mean elongation (2*D)</t>
  </si>
  <si>
    <t>Lunar distance (same units)</t>
  </si>
  <si>
    <t>Distance ratio (Sun / Moon)</t>
  </si>
  <si>
    <t>Geocentric Latitude of Moon</t>
  </si>
  <si>
    <t>Longitude corrections</t>
  </si>
  <si>
    <t>Longitude of Moon</t>
  </si>
  <si>
    <t>Heliocentric longitude</t>
  </si>
  <si>
    <t>Heliocentric latitude</t>
  </si>
  <si>
    <t>Right Ascension</t>
  </si>
  <si>
    <t>Declination</t>
  </si>
  <si>
    <t xml:space="preserve">Selenographic coords of sub-earth point </t>
  </si>
  <si>
    <t>I</t>
  </si>
  <si>
    <t>W</t>
  </si>
  <si>
    <t>X</t>
  </si>
  <si>
    <t>Y</t>
  </si>
  <si>
    <t>A</t>
  </si>
  <si>
    <t>Lo</t>
  </si>
  <si>
    <t>Bo</t>
  </si>
  <si>
    <t xml:space="preserve">Selenographic coords of sub-solar point </t>
  </si>
  <si>
    <t>Ls</t>
  </si>
  <si>
    <t>Bs</t>
  </si>
  <si>
    <t>Illuminated fraction of Moon</t>
  </si>
  <si>
    <t>Psi</t>
  </si>
  <si>
    <t>K</t>
  </si>
  <si>
    <t>Moon's illuminated disc</t>
  </si>
  <si>
    <t>xi (position angle of bright limb)</t>
  </si>
  <si>
    <t>hour angle of Moon</t>
  </si>
  <si>
    <t>q (parallactic angle)</t>
  </si>
  <si>
    <t>PA of rotation axis</t>
  </si>
  <si>
    <t>(Neglects physical libration, so Meeus' angle V is same as Omega for Moon)</t>
  </si>
  <si>
    <t>w</t>
  </si>
  <si>
    <t>P</t>
  </si>
  <si>
    <t>Topocentric corrections</t>
  </si>
  <si>
    <t>q</t>
  </si>
  <si>
    <t>z</t>
  </si>
  <si>
    <t>pi (parallax of Moon)</t>
  </si>
  <si>
    <t>pi' (topocentric parallax)</t>
  </si>
  <si>
    <t>dl (libration in longitude)</t>
  </si>
  <si>
    <t>db ( libration in latitude)</t>
  </si>
  <si>
    <t>dP (PA of rot axis)</t>
  </si>
  <si>
    <t>Monday</t>
  </si>
  <si>
    <t>φ    (latitude)</t>
  </si>
  <si>
    <t>L     (longitude)</t>
  </si>
  <si>
    <t>Locations</t>
  </si>
  <si>
    <t>Name</t>
  </si>
  <si>
    <t>φ (latitude)</t>
  </si>
  <si>
    <t>L (longitude)</t>
  </si>
  <si>
    <t>Timezone</t>
  </si>
  <si>
    <t>Sub-solar point</t>
  </si>
  <si>
    <t>test1</t>
  </si>
  <si>
    <t>test2</t>
  </si>
  <si>
    <t>WORK IN PROGRESS!</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</si>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</sst>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hh:mm;@"/>
    <numFmt numFmtId="166" formatCode="#,##0.000"/>
    <numFmt numFmtId="167" formatCode="0.0000"/>
    <numFmt numFmtId="168" formatCode="0.0"/>
    <numFmt numFmtId="169" formatCode="0.0_ ;[Red]\-0.0\ "/>
    <numFmt numFmtId="170" formatCode="00"/>
    <numFmt numFmtId="171" formatCode="0.0000000000000"/>
    <numFmt numFmtId="172" formatCode="0.000"/>
    <numFmt numFmtId="173" formatCode="0.000000"/>
    <numFmt numFmtId="174" formatCode="0.000000000000"/>
    <numFmt numFmtId="175" formatCode="0.00000"/>
    <numFmt numFmtId="176" formatCode="#,##0.0000"/>
  </numFmts>
  <fonts count="3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i/>
      <sz val="14"/>
      <color theme="0"/>
      <name val="Calibri"/>
      <family val="2"/>
    </font>
    <font>
      <u/>
      <sz val="12"/>
      <color theme="10"/>
      <name val="Calibri"/>
      <family val="2"/>
      <scheme val="minor"/>
    </font>
    <font>
      <sz val="11"/>
      <color theme="1"/>
      <name val="Calibri"/>
      <family val="2"/>
      <scheme val="minor"/>
    </font>
    <font>
      <sz val="9"/>
      <color theme="1"/>
      <name val="Calibri"/>
      <family val="2"/>
      <scheme val="minor"/>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0"/>
      <name val="Arial"/>
      <family val="2"/>
    </font>
    <font>
      <sz val="12"/>
      <name val="Calibri"/>
      <family val="2"/>
    </font>
    <font>
      <sz val="11"/>
      <name val="ＭＳ Ｐゴシック"/>
      <family val="2"/>
      <charset val="128"/>
    </font>
    <font>
      <sz val="12"/>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sz val="12"/>
      <color theme="1"/>
      <name val="Calibri"/>
      <family val="2"/>
    </font>
    <font>
      <b/>
      <sz val="12"/>
      <color theme="1"/>
      <name val="Calibri"/>
      <family val="2"/>
    </font>
    <font>
      <sz val="11"/>
      <color theme="1"/>
      <name val="Calibri"/>
      <family val="2"/>
      <charset val="238"/>
      <scheme val="minor"/>
    </font>
    <font>
      <sz val="10"/>
      <color theme="1"/>
      <name val="Calibri"/>
      <family val="2"/>
      <scheme val="minor"/>
    </font>
    <font>
      <vertAlign val="subscript"/>
      <sz val="12"/>
      <name val="Calibri"/>
      <family val="2"/>
    </font>
    <font>
      <sz val="14"/>
      <name val="Calibri"/>
      <family val="2"/>
      <scheme val="minor"/>
    </font>
    <font>
      <sz val="13"/>
      <name val="Calibri"/>
      <family val="2"/>
      <scheme val="minor"/>
    </font>
    <font>
      <sz val="13"/>
      <color theme="1"/>
      <name val="Calibri"/>
      <family val="2"/>
      <scheme val="minor"/>
    </font>
    <font>
      <b/>
      <sz val="12"/>
      <name val="Calibri"/>
      <family val="2"/>
    </font>
    <font>
      <i/>
      <sz val="12"/>
      <name val="Calibri"/>
      <family val="2"/>
    </font>
    <font>
      <sz val="12"/>
      <color rgb="FF202122"/>
      <name val="Calibri"/>
      <family val="2"/>
    </font>
    <font>
      <b/>
      <sz val="12"/>
      <color rgb="FFFF0000"/>
      <name val="Calibri"/>
      <family val="2"/>
    </font>
  </fonts>
  <fills count="8">
    <fill>
      <patternFill patternType="none"/>
    </fill>
    <fill>
      <patternFill patternType="gray125"/>
    </fill>
    <fill>
      <patternFill patternType="solid">
        <fgColor theme="1"/>
        <bgColor indexed="64"/>
      </patternFill>
    </fill>
    <fill>
      <patternFill patternType="solid">
        <fgColor rgb="FFFFC000"/>
        <bgColor rgb="FF000000"/>
      </patternFill>
    </fill>
    <fill>
      <patternFill patternType="solid">
        <fgColor theme="8"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3" fillId="0" borderId="0"/>
    <xf numFmtId="0" fontId="5" fillId="0" borderId="0" applyNumberFormat="0" applyFill="0" applyBorder="0" applyAlignment="0" applyProtection="0"/>
    <xf numFmtId="0" fontId="7" fillId="0" borderId="0"/>
    <xf numFmtId="0" fontId="6" fillId="0" borderId="0"/>
    <xf numFmtId="0" fontId="14" fillId="0" borderId="0"/>
    <xf numFmtId="0" fontId="16" fillId="0" borderId="0"/>
    <xf numFmtId="0" fontId="2" fillId="0" borderId="0"/>
    <xf numFmtId="0" fontId="14" fillId="0" borderId="0"/>
    <xf numFmtId="0" fontId="1" fillId="0" borderId="0"/>
    <xf numFmtId="0" fontId="23" fillId="0" borderId="0"/>
  </cellStyleXfs>
  <cellXfs count="153">
    <xf numFmtId="0" fontId="0" fillId="0" borderId="0" xfId="0"/>
    <xf numFmtId="0" fontId="8" fillId="2" borderId="2" xfId="1" applyFont="1" applyFill="1" applyBorder="1" applyAlignment="1">
      <alignment horizontal="left"/>
    </xf>
    <xf numFmtId="0" fontId="8" fillId="2" borderId="3" xfId="1" applyFont="1" applyFill="1" applyBorder="1" applyAlignment="1">
      <alignment horizontal="center"/>
    </xf>
    <xf numFmtId="0" fontId="8" fillId="2" borderId="3" xfId="1" applyFont="1" applyFill="1" applyBorder="1"/>
    <xf numFmtId="0" fontId="10" fillId="2" borderId="4" xfId="2" applyFont="1" applyFill="1" applyBorder="1" applyAlignment="1">
      <alignment horizontal="center"/>
    </xf>
    <xf numFmtId="0" fontId="11" fillId="2" borderId="5" xfId="2" applyFont="1" applyFill="1" applyBorder="1" applyAlignment="1">
      <alignment horizontal="left"/>
    </xf>
    <xf numFmtId="0" fontId="8" fillId="2" borderId="0" xfId="1" applyFont="1" applyFill="1" applyAlignment="1">
      <alignment horizontal="center"/>
    </xf>
    <xf numFmtId="0" fontId="8" fillId="2" borderId="0" xfId="1" applyFont="1" applyFill="1"/>
    <xf numFmtId="0" fontId="8" fillId="2" borderId="6" xfId="1" applyFont="1" applyFill="1" applyBorder="1" applyAlignment="1">
      <alignment horizontal="center"/>
    </xf>
    <xf numFmtId="0" fontId="8" fillId="2" borderId="7" xfId="2" applyFont="1" applyFill="1" applyBorder="1" applyAlignment="1">
      <alignment horizontal="left"/>
    </xf>
    <xf numFmtId="0" fontId="8" fillId="2" borderId="8" xfId="2" applyFont="1" applyFill="1" applyBorder="1" applyAlignment="1">
      <alignment horizontal="left"/>
    </xf>
    <xf numFmtId="0" fontId="8" fillId="2" borderId="8" xfId="1" applyFont="1" applyFill="1" applyBorder="1"/>
    <xf numFmtId="0" fontId="9" fillId="2" borderId="9" xfId="1" applyFont="1" applyFill="1" applyBorder="1" applyAlignment="1">
      <alignment horizontal="center"/>
    </xf>
    <xf numFmtId="0" fontId="3" fillId="2" borderId="0" xfId="1" applyFill="1"/>
    <xf numFmtId="0" fontId="0" fillId="2" borderId="0" xfId="0" applyFill="1"/>
    <xf numFmtId="0" fontId="15" fillId="0" borderId="0" xfId="8" applyFont="1"/>
    <xf numFmtId="0" fontId="15" fillId="2" borderId="0" xfId="8" applyFont="1" applyFill="1"/>
    <xf numFmtId="0" fontId="15" fillId="0" borderId="0" xfId="8" applyFont="1" applyAlignment="1">
      <alignment horizontal="right"/>
    </xf>
    <xf numFmtId="0" fontId="14" fillId="0" borderId="0" xfId="8"/>
    <xf numFmtId="0" fontId="18" fillId="0" borderId="8" xfId="0" applyFont="1" applyBorder="1"/>
    <xf numFmtId="0" fontId="19" fillId="3" borderId="9" xfId="0" applyFont="1" applyFill="1" applyBorder="1" applyAlignment="1">
      <alignment horizontal="right"/>
    </xf>
    <xf numFmtId="0" fontId="18" fillId="0" borderId="13" xfId="0" applyFont="1" applyBorder="1" applyAlignment="1">
      <alignment vertical="center"/>
    </xf>
    <xf numFmtId="14" fontId="19" fillId="3" borderId="1" xfId="0" applyNumberFormat="1" applyFont="1" applyFill="1" applyBorder="1" applyAlignment="1" applyProtection="1">
      <alignment horizontal="right" vertical="center"/>
      <protection locked="0"/>
    </xf>
    <xf numFmtId="0" fontId="17" fillId="0" borderId="1" xfId="0" applyFont="1" applyBorder="1" applyAlignment="1">
      <alignment vertical="center"/>
    </xf>
    <xf numFmtId="165" fontId="20" fillId="3" borderId="9" xfId="0" applyNumberFormat="1" applyFont="1" applyFill="1" applyBorder="1" applyAlignment="1" applyProtection="1">
      <alignment horizontal="right" vertical="center"/>
      <protection locked="0"/>
    </xf>
    <xf numFmtId="0" fontId="18" fillId="0" borderId="9" xfId="0" applyFont="1" applyBorder="1" applyAlignment="1">
      <alignment horizontal="right" vertical="center"/>
    </xf>
    <xf numFmtId="1" fontId="18" fillId="0" borderId="9" xfId="0" applyNumberFormat="1" applyFont="1" applyBorder="1" applyAlignment="1">
      <alignment horizontal="right" vertical="center"/>
    </xf>
    <xf numFmtId="4" fontId="18" fillId="0" borderId="9" xfId="0" applyNumberFormat="1" applyFont="1" applyBorder="1" applyAlignment="1">
      <alignment horizontal="right" vertical="center"/>
    </xf>
    <xf numFmtId="0" fontId="1" fillId="4" borderId="2" xfId="3" applyFont="1" applyFill="1" applyBorder="1"/>
    <xf numFmtId="0" fontId="1" fillId="4" borderId="4" xfId="3" applyFont="1" applyFill="1" applyBorder="1"/>
    <xf numFmtId="0" fontId="1" fillId="4" borderId="5" xfId="3" applyFont="1" applyFill="1" applyBorder="1"/>
    <xf numFmtId="0" fontId="1" fillId="4" borderId="7" xfId="3" applyFont="1" applyFill="1" applyBorder="1"/>
    <xf numFmtId="0" fontId="1" fillId="4" borderId="6" xfId="3" applyFont="1" applyFill="1" applyBorder="1"/>
    <xf numFmtId="0" fontId="1" fillId="4" borderId="9" xfId="3" applyFont="1" applyFill="1" applyBorder="1"/>
    <xf numFmtId="0" fontId="21" fillId="4" borderId="3" xfId="10" applyFont="1" applyFill="1" applyBorder="1"/>
    <xf numFmtId="0" fontId="21" fillId="4" borderId="3" xfId="9" applyFont="1" applyFill="1" applyBorder="1"/>
    <xf numFmtId="0" fontId="21" fillId="4" borderId="4" xfId="10" applyFont="1" applyFill="1" applyBorder="1"/>
    <xf numFmtId="0" fontId="21" fillId="4" borderId="7" xfId="10" applyFont="1" applyFill="1" applyBorder="1"/>
    <xf numFmtId="0" fontId="21" fillId="4" borderId="8" xfId="10" applyFont="1" applyFill="1" applyBorder="1"/>
    <xf numFmtId="2" fontId="21" fillId="4" borderId="9" xfId="10" applyNumberFormat="1" applyFont="1" applyFill="1" applyBorder="1"/>
    <xf numFmtId="0" fontId="21" fillId="4" borderId="5" xfId="10" applyFont="1" applyFill="1" applyBorder="1"/>
    <xf numFmtId="0" fontId="21" fillId="4" borderId="0" xfId="10" applyFont="1" applyFill="1"/>
    <xf numFmtId="0" fontId="21" fillId="4" borderId="6" xfId="10" applyFont="1" applyFill="1" applyBorder="1"/>
    <xf numFmtId="0" fontId="21" fillId="4" borderId="9" xfId="10" applyFont="1" applyFill="1" applyBorder="1"/>
    <xf numFmtId="0" fontId="22" fillId="4" borderId="0" xfId="10" applyFont="1" applyFill="1" applyAlignment="1">
      <alignment horizontal="right"/>
    </xf>
    <xf numFmtId="0" fontId="22" fillId="4" borderId="6" xfId="10" applyFont="1" applyFill="1" applyBorder="1" applyAlignment="1">
      <alignment horizontal="right"/>
    </xf>
    <xf numFmtId="0" fontId="22" fillId="4" borderId="5" xfId="10" applyFont="1" applyFill="1" applyBorder="1" applyAlignment="1">
      <alignment horizontal="right"/>
    </xf>
    <xf numFmtId="0" fontId="14" fillId="2" borderId="0" xfId="8" applyFill="1"/>
    <xf numFmtId="0" fontId="1" fillId="4" borderId="9" xfId="3" applyFont="1" applyFill="1" applyBorder="1" applyAlignment="1">
      <alignment horizontal="right"/>
    </xf>
    <xf numFmtId="0" fontId="19" fillId="0" borderId="0" xfId="0" applyFont="1" applyAlignment="1">
      <alignment horizontal="right"/>
    </xf>
    <xf numFmtId="14" fontId="19" fillId="0" borderId="0" xfId="0" applyNumberFormat="1" applyFont="1" applyAlignment="1" applyProtection="1">
      <alignment horizontal="right" vertical="center"/>
      <protection locked="0"/>
    </xf>
    <xf numFmtId="165" fontId="20" fillId="0" borderId="0" xfId="0" applyNumberFormat="1" applyFont="1" applyAlignment="1" applyProtection="1">
      <alignment horizontal="right" vertical="center"/>
      <protection locked="0"/>
    </xf>
    <xf numFmtId="0" fontId="18" fillId="0" borderId="0" xfId="0" applyFont="1" applyAlignment="1">
      <alignment horizontal="right" vertical="center"/>
    </xf>
    <xf numFmtId="1" fontId="18" fillId="0" borderId="0" xfId="0" applyNumberFormat="1" applyFont="1" applyAlignment="1">
      <alignment horizontal="right" vertical="center"/>
    </xf>
    <xf numFmtId="4" fontId="18" fillId="0" borderId="0" xfId="0" applyNumberFormat="1" applyFont="1" applyAlignment="1">
      <alignment horizontal="right" vertical="center"/>
    </xf>
    <xf numFmtId="164" fontId="15" fillId="0" borderId="0" xfId="8" applyNumberFormat="1" applyFont="1"/>
    <xf numFmtId="0" fontId="24" fillId="0" borderId="0" xfId="0" applyFont="1"/>
    <xf numFmtId="0" fontId="1" fillId="4" borderId="2" xfId="0" applyFont="1" applyFill="1" applyBorder="1"/>
    <xf numFmtId="0" fontId="1" fillId="4" borderId="3" xfId="0" applyFont="1" applyFill="1" applyBorder="1"/>
    <xf numFmtId="0" fontId="1" fillId="4" borderId="4" xfId="0" applyFont="1" applyFill="1" applyBorder="1"/>
    <xf numFmtId="0" fontId="1" fillId="4" borderId="5" xfId="0" applyFont="1" applyFill="1" applyBorder="1"/>
    <xf numFmtId="0" fontId="1" fillId="4" borderId="0" xfId="0" applyFont="1" applyFill="1"/>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2" fontId="21" fillId="4" borderId="5" xfId="10" applyNumberFormat="1" applyFont="1" applyFill="1" applyBorder="1"/>
    <xf numFmtId="2" fontId="21" fillId="4" borderId="7" xfId="10" applyNumberFormat="1" applyFont="1" applyFill="1" applyBorder="1"/>
    <xf numFmtId="2" fontId="21" fillId="4" borderId="0" xfId="10" applyNumberFormat="1" applyFont="1" applyFill="1"/>
    <xf numFmtId="2" fontId="21" fillId="4" borderId="6" xfId="10" applyNumberFormat="1" applyFont="1" applyFill="1" applyBorder="1"/>
    <xf numFmtId="2" fontId="21" fillId="4" borderId="8" xfId="10" applyNumberFormat="1" applyFont="1" applyFill="1" applyBorder="1"/>
    <xf numFmtId="0" fontId="15" fillId="4" borderId="2" xfId="8" applyFont="1" applyFill="1" applyBorder="1"/>
    <xf numFmtId="4" fontId="15" fillId="4" borderId="4" xfId="8" applyNumberFormat="1" applyFont="1" applyFill="1" applyBorder="1"/>
    <xf numFmtId="0" fontId="15" fillId="4" borderId="5" xfId="8" applyFont="1" applyFill="1" applyBorder="1"/>
    <xf numFmtId="0" fontId="15" fillId="4" borderId="6" xfId="8" applyFont="1" applyFill="1" applyBorder="1"/>
    <xf numFmtId="0" fontId="26" fillId="5" borderId="0" xfId="8" applyFont="1" applyFill="1"/>
    <xf numFmtId="0" fontId="28" fillId="5" borderId="0" xfId="3" applyFont="1" applyFill="1" applyAlignment="1">
      <alignment horizontal="right"/>
    </xf>
    <xf numFmtId="166" fontId="21" fillId="4" borderId="6" xfId="10" applyNumberFormat="1" applyFont="1" applyFill="1" applyBorder="1"/>
    <xf numFmtId="0" fontId="22" fillId="4" borderId="2" xfId="9" applyFont="1" applyFill="1" applyBorder="1" applyAlignment="1">
      <alignment horizontal="left"/>
    </xf>
    <xf numFmtId="166" fontId="21" fillId="4" borderId="3" xfId="9" applyNumberFormat="1" applyFont="1" applyFill="1" applyBorder="1"/>
    <xf numFmtId="0" fontId="15" fillId="0" borderId="0" xfId="5" applyFont="1"/>
    <xf numFmtId="0" fontId="29" fillId="0" borderId="0" xfId="5" applyFont="1"/>
    <xf numFmtId="0" fontId="30" fillId="0" borderId="0" xfId="5" applyFont="1"/>
    <xf numFmtId="0" fontId="15" fillId="0" borderId="0" xfId="5" applyFont="1" applyAlignment="1">
      <alignment horizontal="right"/>
    </xf>
    <xf numFmtId="167" fontId="15" fillId="0" borderId="0" xfId="5" applyNumberFormat="1" applyFont="1"/>
    <xf numFmtId="171" fontId="15" fillId="0" borderId="0" xfId="5" applyNumberFormat="1" applyFont="1"/>
    <xf numFmtId="0" fontId="29" fillId="0" borderId="0" xfId="5" applyFont="1" applyAlignment="1">
      <alignment horizontal="left"/>
    </xf>
    <xf numFmtId="0" fontId="15" fillId="0" borderId="0" xfId="5" applyFont="1" applyAlignment="1">
      <alignment horizontal="center"/>
    </xf>
    <xf numFmtId="2" fontId="15" fillId="0" borderId="0" xfId="5" applyNumberFormat="1" applyFont="1"/>
    <xf numFmtId="172" fontId="15" fillId="0" borderId="0" xfId="5" applyNumberFormat="1" applyFont="1"/>
    <xf numFmtId="168" fontId="15" fillId="0" borderId="0" xfId="5" applyNumberFormat="1" applyFont="1"/>
    <xf numFmtId="172" fontId="15" fillId="0" borderId="0" xfId="5" applyNumberFormat="1" applyFont="1" applyAlignment="1">
      <alignment horizontal="right"/>
    </xf>
    <xf numFmtId="1" fontId="15" fillId="0" borderId="0" xfId="5" applyNumberFormat="1" applyFont="1"/>
    <xf numFmtId="173" fontId="15" fillId="0" borderId="0" xfId="5" applyNumberFormat="1" applyFont="1"/>
    <xf numFmtId="174" fontId="15" fillId="0" borderId="0" xfId="5" applyNumberFormat="1" applyFont="1"/>
    <xf numFmtId="0" fontId="30" fillId="0" borderId="0" xfId="5" applyFont="1" applyAlignment="1">
      <alignment horizontal="left"/>
    </xf>
    <xf numFmtId="0" fontId="15" fillId="0" borderId="15" xfId="5" applyFont="1" applyBorder="1" applyAlignment="1">
      <alignment horizontal="right"/>
    </xf>
    <xf numFmtId="0" fontId="21" fillId="0" borderId="16" xfId="0" applyFont="1" applyBorder="1"/>
    <xf numFmtId="0" fontId="22" fillId="6" borderId="4" xfId="0" applyFont="1" applyFill="1" applyBorder="1" applyAlignment="1" applyProtection="1">
      <alignment horizontal="right"/>
      <protection locked="0"/>
    </xf>
    <xf numFmtId="1" fontId="21" fillId="0" borderId="0" xfId="5" applyNumberFormat="1" applyFont="1" applyAlignment="1">
      <alignment horizontal="left"/>
    </xf>
    <xf numFmtId="0" fontId="31" fillId="0" borderId="1" xfId="5" applyFont="1" applyBorder="1" applyAlignment="1">
      <alignment vertical="center"/>
    </xf>
    <xf numFmtId="4" fontId="21" fillId="0" borderId="0" xfId="5" applyNumberFormat="1" applyFont="1" applyAlignment="1">
      <alignment horizontal="right"/>
    </xf>
    <xf numFmtId="0" fontId="21" fillId="0" borderId="1" xfId="5" applyFont="1" applyBorder="1"/>
    <xf numFmtId="0" fontId="21" fillId="0" borderId="0" xfId="5" applyFont="1"/>
    <xf numFmtId="0" fontId="21" fillId="0" borderId="0" xfId="0" applyFont="1" applyAlignment="1">
      <alignment horizontal="center"/>
    </xf>
    <xf numFmtId="0" fontId="22" fillId="0" borderId="0" xfId="0" applyFont="1" applyAlignment="1" applyProtection="1">
      <alignment horizontal="right"/>
      <protection locked="0"/>
    </xf>
    <xf numFmtId="0" fontId="21" fillId="0" borderId="0" xfId="5" applyFont="1" applyAlignment="1">
      <alignment horizontal="center" vertical="center" wrapText="1"/>
    </xf>
    <xf numFmtId="0" fontId="22" fillId="0" borderId="0" xfId="0" applyFont="1" applyAlignment="1" applyProtection="1">
      <alignment horizontal="center"/>
      <protection locked="0"/>
    </xf>
    <xf numFmtId="2" fontId="22" fillId="0" borderId="0" xfId="5" applyNumberFormat="1" applyFont="1" applyAlignment="1" applyProtection="1">
      <alignment horizontal="right"/>
      <protection locked="0"/>
    </xf>
    <xf numFmtId="0" fontId="21" fillId="7" borderId="1" xfId="5" applyFont="1" applyFill="1" applyBorder="1" applyAlignment="1">
      <alignment vertical="center"/>
    </xf>
    <xf numFmtId="0" fontId="31" fillId="7" borderId="1" xfId="5" applyFont="1" applyFill="1" applyBorder="1" applyAlignment="1">
      <alignment horizontal="right" vertical="center"/>
    </xf>
    <xf numFmtId="0" fontId="21" fillId="7" borderId="1" xfId="5" applyFont="1" applyFill="1" applyBorder="1" applyAlignment="1">
      <alignment horizontal="right" vertical="center"/>
    </xf>
    <xf numFmtId="0" fontId="22" fillId="6" borderId="1" xfId="5" applyFont="1" applyFill="1" applyBorder="1" applyAlignment="1" applyProtection="1">
      <alignment vertical="center"/>
      <protection locked="0"/>
    </xf>
    <xf numFmtId="0" fontId="17" fillId="0" borderId="13" xfId="0" applyFont="1" applyBorder="1" applyAlignment="1">
      <alignment vertical="center"/>
    </xf>
    <xf numFmtId="1" fontId="20" fillId="3" borderId="9" xfId="0" applyNumberFormat="1" applyFont="1" applyFill="1" applyBorder="1" applyAlignment="1" applyProtection="1">
      <alignment horizontal="right" vertical="center"/>
      <protection locked="0"/>
    </xf>
    <xf numFmtId="0" fontId="15" fillId="0" borderId="1" xfId="5" applyFont="1" applyBorder="1" applyAlignment="1">
      <alignment horizontal="right"/>
    </xf>
    <xf numFmtId="169" fontId="15" fillId="0" borderId="14" xfId="5" applyNumberFormat="1" applyFont="1" applyBorder="1"/>
    <xf numFmtId="169" fontId="15" fillId="0" borderId="13" xfId="5" applyNumberFormat="1" applyFont="1" applyBorder="1"/>
    <xf numFmtId="0" fontId="15" fillId="2" borderId="0" xfId="5" applyFont="1" applyFill="1"/>
    <xf numFmtId="2" fontId="15" fillId="0" borderId="13" xfId="5" applyNumberFormat="1" applyFont="1" applyBorder="1"/>
    <xf numFmtId="0" fontId="29" fillId="4" borderId="2" xfId="5" applyFont="1" applyFill="1" applyBorder="1"/>
    <xf numFmtId="0" fontId="15" fillId="4" borderId="4" xfId="5" applyFont="1" applyFill="1" applyBorder="1"/>
    <xf numFmtId="0" fontId="15" fillId="4" borderId="5" xfId="5" applyFont="1" applyFill="1" applyBorder="1" applyAlignment="1">
      <alignment horizontal="right"/>
    </xf>
    <xf numFmtId="167" fontId="15" fillId="4" borderId="6" xfId="5" applyNumberFormat="1" applyFont="1" applyFill="1" applyBorder="1"/>
    <xf numFmtId="0" fontId="15" fillId="4" borderId="7" xfId="5" applyFont="1" applyFill="1" applyBorder="1" applyAlignment="1">
      <alignment horizontal="right"/>
    </xf>
    <xf numFmtId="170" fontId="15" fillId="4" borderId="9" xfId="5" applyNumberFormat="1" applyFont="1" applyFill="1" applyBorder="1"/>
    <xf numFmtId="0" fontId="15" fillId="4" borderId="6" xfId="5" applyFont="1" applyFill="1" applyBorder="1"/>
    <xf numFmtId="170" fontId="15" fillId="4" borderId="6" xfId="5" applyNumberFormat="1" applyFont="1" applyFill="1" applyBorder="1"/>
    <xf numFmtId="167" fontId="22" fillId="6" borderId="1" xfId="5" applyNumberFormat="1" applyFont="1" applyFill="1" applyBorder="1" applyAlignment="1" applyProtection="1">
      <alignment vertical="center"/>
      <protection locked="0"/>
    </xf>
    <xf numFmtId="167" fontId="15" fillId="0" borderId="1" xfId="0" applyNumberFormat="1" applyFont="1" applyBorder="1" applyProtection="1">
      <protection locked="0"/>
    </xf>
    <xf numFmtId="175" fontId="15" fillId="0" borderId="0" xfId="5" applyNumberFormat="1" applyFont="1"/>
    <xf numFmtId="176" fontId="15" fillId="0" borderId="0" xfId="5" applyNumberFormat="1" applyFont="1"/>
    <xf numFmtId="176" fontId="15" fillId="0" borderId="0" xfId="5" applyNumberFormat="1" applyFont="1" applyAlignment="1">
      <alignment horizontal="center"/>
    </xf>
    <xf numFmtId="0" fontId="29" fillId="6" borderId="5" xfId="5" applyFont="1" applyFill="1" applyBorder="1" applyAlignment="1" applyProtection="1">
      <alignment horizontal="right"/>
      <protection locked="0"/>
    </xf>
    <xf numFmtId="168" fontId="29" fillId="6" borderId="14" xfId="5" applyNumberFormat="1" applyFont="1" applyFill="1" applyBorder="1" applyProtection="1">
      <protection locked="0"/>
    </xf>
    <xf numFmtId="0" fontId="29" fillId="6" borderId="7" xfId="5" applyFont="1" applyFill="1" applyBorder="1" applyAlignment="1" applyProtection="1">
      <alignment horizontal="right"/>
      <protection locked="0"/>
    </xf>
    <xf numFmtId="168" fontId="29" fillId="6" borderId="13" xfId="5" applyNumberFormat="1" applyFont="1" applyFill="1" applyBorder="1" applyProtection="1">
      <protection locked="0"/>
    </xf>
    <xf numFmtId="0" fontId="4" fillId="2" borderId="0" xfId="1" applyFont="1" applyFill="1" applyAlignment="1">
      <alignment horizontal="center" vertical="center" wrapText="1"/>
    </xf>
    <xf numFmtId="0" fontId="12" fillId="2" borderId="2" xfId="2" applyFont="1" applyFill="1" applyBorder="1" applyAlignment="1">
      <alignment horizontal="center"/>
    </xf>
    <xf numFmtId="0" fontId="12" fillId="2" borderId="3" xfId="2" applyFont="1" applyFill="1" applyBorder="1" applyAlignment="1">
      <alignment horizontal="center"/>
    </xf>
    <xf numFmtId="0" fontId="12" fillId="2" borderId="10" xfId="2" applyFont="1" applyFill="1" applyBorder="1" applyAlignment="1">
      <alignment horizontal="center"/>
    </xf>
    <xf numFmtId="0" fontId="13" fillId="2" borderId="5" xfId="0" applyFont="1" applyFill="1" applyBorder="1" applyAlignment="1">
      <alignment horizontal="center"/>
    </xf>
    <xf numFmtId="0" fontId="13" fillId="2" borderId="0" xfId="0" applyFont="1" applyFill="1" applyAlignment="1">
      <alignment horizontal="center"/>
    </xf>
    <xf numFmtId="0" fontId="13" fillId="2" borderId="11" xfId="0" applyFont="1" applyFill="1" applyBorder="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12" xfId="0" applyFont="1" applyFill="1" applyBorder="1" applyAlignment="1">
      <alignment horizontal="center"/>
    </xf>
    <xf numFmtId="0" fontId="27" fillId="5" borderId="0" xfId="8" applyFont="1" applyFill="1" applyAlignment="1">
      <alignment horizontal="left"/>
    </xf>
    <xf numFmtId="0" fontId="21" fillId="0" borderId="8" xfId="5" applyFont="1" applyBorder="1" applyAlignment="1">
      <alignment horizontal="center" vertical="center"/>
    </xf>
    <xf numFmtId="0" fontId="29" fillId="0" borderId="15" xfId="5" applyFont="1" applyBorder="1" applyAlignment="1">
      <alignment horizontal="center"/>
    </xf>
    <xf numFmtId="0" fontId="29" fillId="0" borderId="17" xfId="5" applyFont="1" applyBorder="1" applyAlignment="1">
      <alignment horizontal="center"/>
    </xf>
    <xf numFmtId="0" fontId="29" fillId="0" borderId="18" xfId="5" applyFont="1" applyBorder="1" applyAlignment="1">
      <alignment horizontal="center"/>
    </xf>
    <xf numFmtId="0" fontId="32" fillId="0" borderId="0" xfId="5" applyFont="1"/>
  </cellXfs>
  <cellStyles count="11">
    <cellStyle name="Hyperlink 2" xfId="2" xr:uid="{D5ACFE3F-D052-4049-ABCD-B1647BD7C9CE}"/>
    <cellStyle name="Normal" xfId="0" builtinId="0"/>
    <cellStyle name="Normal 2" xfId="1" xr:uid="{6E869B1E-3825-7143-881F-3B7FF934F199}"/>
    <cellStyle name="Normal 3" xfId="5" xr:uid="{8BBE0718-9F9F-AA4A-BE0A-CD51B0DA0FF1}"/>
    <cellStyle name="Normal 3 2" xfId="6" xr:uid="{9B0E1E95-E38F-204C-8602-EA1FF6C1F735}"/>
    <cellStyle name="Normal 3 3" xfId="10" xr:uid="{719C5B85-F00C-DF4E-A801-758906C643B2}"/>
    <cellStyle name="Normal 4" xfId="4" xr:uid="{2305CDD2-12F4-2747-A307-6B841DB066B1}"/>
    <cellStyle name="Normal 5" xfId="3" xr:uid="{B81E1D70-E3B1-9343-80A4-9E9406FFCEFC}"/>
    <cellStyle name="Normal 6" xfId="7" xr:uid="{827059BB-0D8F-9742-B833-2BA6047BEFA0}"/>
    <cellStyle name="Normal 6 2" xfId="8" xr:uid="{144F1C3F-E1D1-8342-AE82-F84ED64A9AE0}"/>
    <cellStyle name="Normal 7" xfId="9" xr:uid="{FAA662C2-2FAF-EA49-9F76-3DB484F01C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7.jp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011282171818074E-2"/>
          <c:y val="5.8632036667058407E-3"/>
          <c:w val="0.97273465049997587"/>
          <c:h val="0.98626932728264161"/>
        </c:manualLayout>
      </c:layout>
      <c:areaChart>
        <c:grouping val="stacked"/>
        <c:varyColors val="0"/>
        <c:ser>
          <c:idx val="2"/>
          <c:order val="0"/>
          <c:tx>
            <c:strRef>
              <c:f>Illumination!$O$8</c:f>
              <c:strCache>
                <c:ptCount val="1"/>
                <c:pt idx="0">
                  <c:v>black bottom</c:v>
                </c:pt>
              </c:strCache>
            </c:strRef>
          </c:tx>
          <c:spPr>
            <a:solidFill>
              <a:schemeClr val="tx1"/>
            </a:solidFill>
            <a:ln w="9525">
              <a:solidFill>
                <a:schemeClr val="tx1"/>
              </a:solidFill>
            </a:ln>
            <a:effectLst/>
          </c:spPr>
          <c:val>
            <c:numRef>
              <c:f>Illumination!$O$9:$O$209</c:f>
              <c:numCache>
                <c:formatCode>0.00</c:formatCode>
                <c:ptCount val="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7.8420427145453608E-5</c:v>
                </c:pt>
                <c:pt idx="102">
                  <c:v>3.1371861874096574E-4</c:v>
                </c:pt>
                <c:pt idx="103">
                  <c:v>7.0600539218079739E-4</c:v>
                </c:pt>
                <c:pt idx="104">
                  <c:v>1.2554657333241348E-3</c:v>
                </c:pt>
                <c:pt idx="105">
                  <c:v>1.9623592334748752E-3</c:v>
                </c:pt>
                <c:pt idx="106">
                  <c:v>2.8270207045276718E-3</c:v>
                </c:pt>
                <c:pt idx="107">
                  <c:v>3.8498609756908442E-3</c:v>
                </c:pt>
                <c:pt idx="108">
                  <c:v>5.0313678762342606E-3</c:v>
                </c:pt>
                <c:pt idx="109">
                  <c:v>6.3721074097862207E-3</c:v>
                </c:pt>
                <c:pt idx="110">
                  <c:v>7.8727251268383425E-3</c:v>
                </c:pt>
                <c:pt idx="111">
                  <c:v>9.5339477033209441E-3</c:v>
                </c:pt>
                <c:pt idx="112">
                  <c:v>1.1356584734397601E-2</c:v>
                </c:pt>
                <c:pt idx="113">
                  <c:v>1.3341530754007125E-2</c:v>
                </c:pt>
                <c:pt idx="114">
                  <c:v>1.5489767492179674E-2</c:v>
                </c:pt>
                <c:pt idx="115">
                  <c:v>1.7802366383779189E-2</c:v>
                </c:pt>
                <c:pt idx="116">
                  <c:v>2.0280491344104035E-2</c:v>
                </c:pt>
                <c:pt idx="117">
                  <c:v>2.2925401828733705E-2</c:v>
                </c:pt>
                <c:pt idx="118">
                  <c:v>2.5738456197167969E-2</c:v>
                </c:pt>
                <c:pt idx="119">
                  <c:v>2.8721115402193687E-2</c:v>
                </c:pt>
                <c:pt idx="120">
                  <c:v>3.1874947029576828E-2</c:v>
                </c:pt>
                <c:pt idx="121">
                  <c:v>3.520162971564067E-2</c:v>
                </c:pt>
                <c:pt idx="122">
                  <c:v>3.8702957973618002E-2</c:v>
                </c:pt>
                <c:pt idx="123">
                  <c:v>4.2380847463391436E-2</c:v>
                </c:pt>
                <c:pt idx="124">
                  <c:v>4.6237340743443545E-2</c:v>
                </c:pt>
                <c:pt idx="125">
                  <c:v>5.0274613548585423E-2</c:v>
                </c:pt>
                <c:pt idx="126">
                  <c:v>5.4494981642411178E-2</c:v>
                </c:pt>
                <c:pt idx="127">
                  <c:v>5.8900908299543198E-2</c:v>
                </c:pt>
                <c:pt idx="128">
                  <c:v>6.3495012479693025E-2</c:v>
                </c:pt>
                <c:pt idx="129">
                  <c:v>6.8280077763526181E-2</c:v>
                </c:pt>
                <c:pt idx="130">
                  <c:v>7.3259062129434116E-2</c:v>
                </c:pt>
                <c:pt idx="131">
                  <c:v>7.8435108660797503E-2</c:v>
                </c:pt>
                <c:pt idx="132">
                  <c:v>8.381155728540135E-2</c:v>
                </c:pt>
                <c:pt idx="133">
                  <c:v>8.9391957662622312E-2</c:v>
                </c:pt>
                <c:pt idx="134">
                  <c:v>9.5180083350191569E-2</c:v>
                </c:pt>
                <c:pt idx="135">
                  <c:v>0.10117994740116842</c:v>
                </c:pt>
                <c:pt idx="136">
                  <c:v>0.10739581956372668</c:v>
                </c:pt>
                <c:pt idx="137">
                  <c:v>0.11383224528207925</c:v>
                </c:pt>
                <c:pt idx="138">
                  <c:v>0.12049406672709961</c:v>
                </c:pt>
                <c:pt idx="139">
                  <c:v>0.12738644612084138</c:v>
                </c:pt>
                <c:pt idx="140">
                  <c:v>0.13451489166136443</c:v>
                </c:pt>
                <c:pt idx="141">
                  <c:v>0.14188528640442877</c:v>
                </c:pt>
                <c:pt idx="142">
                  <c:v>0.14950392051848727</c:v>
                </c:pt>
                <c:pt idx="143">
                  <c:v>0.15737752740115984</c:v>
                </c:pt>
                <c:pt idx="144">
                  <c:v>0.16551332423178422</c:v>
                </c:pt>
                <c:pt idx="145">
                  <c:v>0.17391905763918247</c:v>
                </c:pt>
                <c:pt idx="146">
                  <c:v>0.18260305529092513</c:v>
                </c:pt>
                <c:pt idx="147">
                  <c:v>0.19157428436579937</c:v>
                </c:pt>
                <c:pt idx="148">
                  <c:v>0.20084241806227388</c:v>
                </c:pt>
                <c:pt idx="149">
                  <c:v>0.21041791153206735</c:v>
                </c:pt>
                <c:pt idx="150">
                  <c:v>0.22031208892201215</c:v>
                </c:pt>
                <c:pt idx="151">
                  <c:v>0.23053724357583427</c:v>
                </c:pt>
                <c:pt idx="152">
                  <c:v>0.24110675391229197</c:v>
                </c:pt>
                <c:pt idx="153">
                  <c:v>0.25203521808700968</c:v>
                </c:pt>
                <c:pt idx="154">
                  <c:v>0.26333861130251934</c:v>
                </c:pt>
                <c:pt idx="155">
                  <c:v>0.27503447060967157</c:v>
                </c:pt>
                <c:pt idx="156">
                  <c:v>0.28714211332016359</c:v>
                </c:pt>
                <c:pt idx="157">
                  <c:v>0.29968289683170612</c:v>
                </c:pt>
                <c:pt idx="158">
                  <c:v>0.31268052990667872</c:v>
                </c:pt>
                <c:pt idx="159">
                  <c:v>0.32616144846139739</c:v>
                </c:pt>
                <c:pt idx="160">
                  <c:v>0.34015527303700821</c:v>
                </c:pt>
                <c:pt idx="161">
                  <c:v>0.35469537081078273</c:v>
                </c:pt>
                <c:pt idx="162">
                  <c:v>0.36981955298807778</c:v>
                </c:pt>
                <c:pt idx="163">
                  <c:v>0.38557094979956885</c:v>
                </c:pt>
                <c:pt idx="164">
                  <c:v>0.40199912186083986</c:v>
                </c:pt>
                <c:pt idx="165">
                  <c:v>0.41916149114305934</c:v>
                </c:pt>
                <c:pt idx="166">
                  <c:v>0.4371252119005089</c:v>
                </c:pt>
                <c:pt idx="167">
                  <c:v>0.45596965950796031</c:v>
                </c:pt>
                <c:pt idx="168">
                  <c:v>0.47578980717209729</c:v>
                </c:pt>
                <c:pt idx="169">
                  <c:v>0.49670091223568225</c:v>
                </c:pt>
                <c:pt idx="170">
                  <c:v>0.51884519350310265</c:v>
                </c:pt>
                <c:pt idx="171">
                  <c:v>0.54240164502406263</c:v>
                </c:pt>
                <c:pt idx="172">
                  <c:v>0.56760100401452585</c:v>
                </c:pt>
                <c:pt idx="173">
                  <c:v>0.59474963346993337</c:v>
                </c:pt>
                <c:pt idx="174">
                  <c:v>0.62426983351452159</c:v>
                </c:pt>
                <c:pt idx="175">
                  <c:v>0.65677298032846809</c:v>
                </c:pt>
                <c:pt idx="176">
                  <c:v>0.69320569325858727</c:v>
                </c:pt>
                <c:pt idx="177">
                  <c:v>0.73518490062643538</c:v>
                </c:pt>
                <c:pt idx="178">
                  <c:v>0.78594940398479951</c:v>
                </c:pt>
                <c:pt idx="179">
                  <c:v>0.85441631601158308</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numCache>
            </c:numRef>
          </c:val>
          <c:extLst>
            <c:ext xmlns:c16="http://schemas.microsoft.com/office/drawing/2014/chart" uri="{C3380CC4-5D6E-409C-BE32-E72D297353CC}">
              <c16:uniqueId val="{00000000-3E96-FB4C-BF18-C83AF20B93BE}"/>
            </c:ext>
          </c:extLst>
        </c:ser>
        <c:ser>
          <c:idx val="0"/>
          <c:order val="1"/>
          <c:tx>
            <c:strRef>
              <c:f>Illumination!$P$8</c:f>
              <c:strCache>
                <c:ptCount val="1"/>
                <c:pt idx="0">
                  <c:v>transparent</c:v>
                </c:pt>
              </c:strCache>
            </c:strRef>
          </c:tx>
          <c:spPr>
            <a:noFill/>
            <a:ln w="25400">
              <a:noFill/>
            </a:ln>
            <a:effectLst/>
          </c:spPr>
          <c:val>
            <c:numRef>
              <c:f>Illumination!$P$9:$P$209</c:f>
              <c:numCache>
                <c:formatCode>0.00</c:formatCode>
                <c:ptCount val="20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1.9998431591457091</c:v>
                </c:pt>
                <c:pt idx="102">
                  <c:v>1.9993725627625181</c:v>
                </c:pt>
                <c:pt idx="103">
                  <c:v>1.9985879892156384</c:v>
                </c:pt>
                <c:pt idx="104">
                  <c:v>1.9974890685333517</c:v>
                </c:pt>
                <c:pt idx="105">
                  <c:v>1.9960752815330502</c:v>
                </c:pt>
                <c:pt idx="106">
                  <c:v>1.9943459585909447</c:v>
                </c:pt>
                <c:pt idx="107">
                  <c:v>1.9923002780486183</c:v>
                </c:pt>
                <c:pt idx="108">
                  <c:v>1.9899372642475315</c:v>
                </c:pt>
                <c:pt idx="109">
                  <c:v>1.9872557851804276</c:v>
                </c:pt>
                <c:pt idx="110">
                  <c:v>1.9842545497463233</c:v>
                </c:pt>
                <c:pt idx="111">
                  <c:v>1.9809321045933581</c:v>
                </c:pt>
                <c:pt idx="112">
                  <c:v>1.9772868305312048</c:v>
                </c:pt>
                <c:pt idx="113">
                  <c:v>1.9733169384919858</c:v>
                </c:pt>
                <c:pt idx="114">
                  <c:v>1.9690204650156407</c:v>
                </c:pt>
                <c:pt idx="115">
                  <c:v>1.9643952672324416</c:v>
                </c:pt>
                <c:pt idx="116">
                  <c:v>1.9594390173117919</c:v>
                </c:pt>
                <c:pt idx="117">
                  <c:v>1.9541491963425326</c:v>
                </c:pt>
                <c:pt idx="118">
                  <c:v>1.9485230876056641</c:v>
                </c:pt>
                <c:pt idx="119">
                  <c:v>1.9425577691956126</c:v>
                </c:pt>
                <c:pt idx="120">
                  <c:v>1.9362501059408463</c:v>
                </c:pt>
                <c:pt idx="121">
                  <c:v>1.9295967405687187</c:v>
                </c:pt>
                <c:pt idx="122">
                  <c:v>1.922594084052764</c:v>
                </c:pt>
                <c:pt idx="123">
                  <c:v>1.9152383050732171</c:v>
                </c:pt>
                <c:pt idx="124">
                  <c:v>1.9075253185131129</c:v>
                </c:pt>
                <c:pt idx="125">
                  <c:v>1.8994507729028292</c:v>
                </c:pt>
                <c:pt idx="126">
                  <c:v>1.8910100367151776</c:v>
                </c:pt>
                <c:pt idx="127">
                  <c:v>1.8821981834009136</c:v>
                </c:pt>
                <c:pt idx="128">
                  <c:v>1.873009975040614</c:v>
                </c:pt>
                <c:pt idx="129">
                  <c:v>1.8634398444729476</c:v>
                </c:pt>
                <c:pt idx="130">
                  <c:v>1.8534818757411318</c:v>
                </c:pt>
                <c:pt idx="131">
                  <c:v>1.843129782678405</c:v>
                </c:pt>
                <c:pt idx="132">
                  <c:v>1.8323768854291973</c:v>
                </c:pt>
                <c:pt idx="133">
                  <c:v>1.8212160846747554</c:v>
                </c:pt>
                <c:pt idx="134">
                  <c:v>1.8096398332996169</c:v>
                </c:pt>
                <c:pt idx="135">
                  <c:v>1.7976401051976632</c:v>
                </c:pt>
                <c:pt idx="136">
                  <c:v>1.7852083608725466</c:v>
                </c:pt>
                <c:pt idx="137">
                  <c:v>1.7723355094358415</c:v>
                </c:pt>
                <c:pt idx="138">
                  <c:v>1.7590118665458008</c:v>
                </c:pt>
                <c:pt idx="139">
                  <c:v>1.7452271077583172</c:v>
                </c:pt>
                <c:pt idx="140">
                  <c:v>1.7309702166772711</c:v>
                </c:pt>
                <c:pt idx="141">
                  <c:v>1.7162294271911425</c:v>
                </c:pt>
                <c:pt idx="142">
                  <c:v>1.7009921589630255</c:v>
                </c:pt>
                <c:pt idx="143">
                  <c:v>1.6852449451976803</c:v>
                </c:pt>
                <c:pt idx="144">
                  <c:v>1.6689733515364316</c:v>
                </c:pt>
                <c:pt idx="145">
                  <c:v>1.6521618847216351</c:v>
                </c:pt>
                <c:pt idx="146">
                  <c:v>1.6347938894181497</c:v>
                </c:pt>
                <c:pt idx="147">
                  <c:v>1.6168514312684013</c:v>
                </c:pt>
                <c:pt idx="148">
                  <c:v>1.5983151638754522</c:v>
                </c:pt>
                <c:pt idx="149">
                  <c:v>1.5791641769358653</c:v>
                </c:pt>
                <c:pt idx="150">
                  <c:v>1.5593758221559757</c:v>
                </c:pt>
                <c:pt idx="151">
                  <c:v>1.5389255128483315</c:v>
                </c:pt>
                <c:pt idx="152">
                  <c:v>1.5177864921754161</c:v>
                </c:pt>
                <c:pt idx="153">
                  <c:v>1.4959295638259806</c:v>
                </c:pt>
                <c:pt idx="154">
                  <c:v>1.4733227773949613</c:v>
                </c:pt>
                <c:pt idx="155">
                  <c:v>1.4499310587806569</c:v>
                </c:pt>
                <c:pt idx="156">
                  <c:v>1.4257157733596728</c:v>
                </c:pt>
                <c:pt idx="157">
                  <c:v>1.4006342063365878</c:v>
                </c:pt>
                <c:pt idx="158">
                  <c:v>1.3746389401866426</c:v>
                </c:pt>
                <c:pt idx="159">
                  <c:v>1.3476771030772052</c:v>
                </c:pt>
                <c:pt idx="160">
                  <c:v>1.3196894539259836</c:v>
                </c:pt>
                <c:pt idx="161">
                  <c:v>1.2906092583784345</c:v>
                </c:pt>
                <c:pt idx="162">
                  <c:v>1.2603608940238444</c:v>
                </c:pt>
                <c:pt idx="163">
                  <c:v>1.2288581004008623</c:v>
                </c:pt>
                <c:pt idx="164">
                  <c:v>1.1960017562783203</c:v>
                </c:pt>
                <c:pt idx="165">
                  <c:v>1.1616770177138813</c:v>
                </c:pt>
                <c:pt idx="166">
                  <c:v>1.1257495761989822</c:v>
                </c:pt>
                <c:pt idx="167">
                  <c:v>1.0880606809840794</c:v>
                </c:pt>
                <c:pt idx="168">
                  <c:v>1.0484203856558054</c:v>
                </c:pt>
                <c:pt idx="169">
                  <c:v>1.0065981755286355</c:v>
                </c:pt>
                <c:pt idx="170">
                  <c:v>0.96230961299379469</c:v>
                </c:pt>
                <c:pt idx="171">
                  <c:v>0.91519670995187474</c:v>
                </c:pt>
                <c:pt idx="172">
                  <c:v>0.8647979919709482</c:v>
                </c:pt>
                <c:pt idx="173">
                  <c:v>0.81050073306013315</c:v>
                </c:pt>
                <c:pt idx="174">
                  <c:v>0.75146033297095682</c:v>
                </c:pt>
                <c:pt idx="175">
                  <c:v>0.6864540393430637</c:v>
                </c:pt>
                <c:pt idx="176">
                  <c:v>0.61358861348282545</c:v>
                </c:pt>
                <c:pt idx="177">
                  <c:v>0.52963019874712924</c:v>
                </c:pt>
                <c:pt idx="178">
                  <c:v>0.42810119203040092</c:v>
                </c:pt>
                <c:pt idx="179">
                  <c:v>0.29116736797683379</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1-3E96-FB4C-BF18-C83AF20B93BE}"/>
            </c:ext>
          </c:extLst>
        </c:ser>
        <c:ser>
          <c:idx val="3"/>
          <c:order val="2"/>
          <c:tx>
            <c:strRef>
              <c:f>Illumination!$Q$8</c:f>
              <c:strCache>
                <c:ptCount val="1"/>
                <c:pt idx="0">
                  <c:v>black top</c:v>
                </c:pt>
              </c:strCache>
            </c:strRef>
          </c:tx>
          <c:spPr>
            <a:solidFill>
              <a:schemeClr val="tx1"/>
            </a:solidFill>
            <a:ln w="9525">
              <a:noFill/>
            </a:ln>
            <a:effectLst/>
          </c:spPr>
          <c:val>
            <c:numRef>
              <c:f>Illumination!$Q$9:$Q$209</c:f>
              <c:numCache>
                <c:formatCode>0.00</c:formatCode>
                <c:ptCount val="20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1.9999215795728547</c:v>
                </c:pt>
                <c:pt idx="102">
                  <c:v>1.999686281381259</c:v>
                </c:pt>
                <c:pt idx="103">
                  <c:v>1.9992939946078192</c:v>
                </c:pt>
                <c:pt idx="104">
                  <c:v>1.9987445342666759</c:v>
                </c:pt>
                <c:pt idx="105">
                  <c:v>1.9980376407665252</c:v>
                </c:pt>
                <c:pt idx="106">
                  <c:v>1.9971729792954722</c:v>
                </c:pt>
                <c:pt idx="107">
                  <c:v>1.996150139024309</c:v>
                </c:pt>
                <c:pt idx="108">
                  <c:v>1.9949686321237659</c:v>
                </c:pt>
                <c:pt idx="109">
                  <c:v>1.9936278925902138</c:v>
                </c:pt>
                <c:pt idx="110">
                  <c:v>1.9921272748731615</c:v>
                </c:pt>
                <c:pt idx="111">
                  <c:v>1.9904660522966791</c:v>
                </c:pt>
                <c:pt idx="112">
                  <c:v>1.9886434152656025</c:v>
                </c:pt>
                <c:pt idx="113">
                  <c:v>1.986658469245993</c:v>
                </c:pt>
                <c:pt idx="114">
                  <c:v>1.9845102325078203</c:v>
                </c:pt>
                <c:pt idx="115">
                  <c:v>1.9821976336162208</c:v>
                </c:pt>
                <c:pt idx="116">
                  <c:v>1.9797195086558959</c:v>
                </c:pt>
                <c:pt idx="117">
                  <c:v>1.9770745981712663</c:v>
                </c:pt>
                <c:pt idx="118">
                  <c:v>1.9742615438028319</c:v>
                </c:pt>
                <c:pt idx="119">
                  <c:v>1.9712788845978064</c:v>
                </c:pt>
                <c:pt idx="120">
                  <c:v>1.9681250529704233</c:v>
                </c:pt>
                <c:pt idx="121">
                  <c:v>1.9647983702843592</c:v>
                </c:pt>
                <c:pt idx="122">
                  <c:v>1.961297042026382</c:v>
                </c:pt>
                <c:pt idx="123">
                  <c:v>1.9576191525366085</c:v>
                </c:pt>
                <c:pt idx="124">
                  <c:v>1.9537626592565565</c:v>
                </c:pt>
                <c:pt idx="125">
                  <c:v>1.9497253864514146</c:v>
                </c:pt>
                <c:pt idx="126">
                  <c:v>1.9455050183575888</c:v>
                </c:pt>
                <c:pt idx="127">
                  <c:v>1.9410990917004569</c:v>
                </c:pt>
                <c:pt idx="128">
                  <c:v>1.9365049875203071</c:v>
                </c:pt>
                <c:pt idx="129">
                  <c:v>1.9317199222364738</c:v>
                </c:pt>
                <c:pt idx="130">
                  <c:v>1.9267409378705658</c:v>
                </c:pt>
                <c:pt idx="131">
                  <c:v>1.9215648913392025</c:v>
                </c:pt>
                <c:pt idx="132">
                  <c:v>1.9161884427145988</c:v>
                </c:pt>
                <c:pt idx="133">
                  <c:v>1.9106080423373777</c:v>
                </c:pt>
                <c:pt idx="134">
                  <c:v>1.9048199166498083</c:v>
                </c:pt>
                <c:pt idx="135">
                  <c:v>1.8988200525988317</c:v>
                </c:pt>
                <c:pt idx="136">
                  <c:v>1.8926041804362734</c:v>
                </c:pt>
                <c:pt idx="137">
                  <c:v>1.8861677547179208</c:v>
                </c:pt>
                <c:pt idx="138">
                  <c:v>1.8795059332729003</c:v>
                </c:pt>
                <c:pt idx="139">
                  <c:v>1.8726135538791586</c:v>
                </c:pt>
                <c:pt idx="140">
                  <c:v>1.8654851083386355</c:v>
                </c:pt>
                <c:pt idx="141">
                  <c:v>1.8581147135955711</c:v>
                </c:pt>
                <c:pt idx="142">
                  <c:v>1.8504960794815126</c:v>
                </c:pt>
                <c:pt idx="143">
                  <c:v>1.84262247259884</c:v>
                </c:pt>
                <c:pt idx="144">
                  <c:v>1.8344866757682157</c:v>
                </c:pt>
                <c:pt idx="145">
                  <c:v>1.8260809423608175</c:v>
                </c:pt>
                <c:pt idx="146">
                  <c:v>1.817396944709075</c:v>
                </c:pt>
                <c:pt idx="147">
                  <c:v>1.8084257156342005</c:v>
                </c:pt>
                <c:pt idx="148">
                  <c:v>1.7991575819377261</c:v>
                </c:pt>
                <c:pt idx="149">
                  <c:v>1.7895820884679328</c:v>
                </c:pt>
                <c:pt idx="150">
                  <c:v>1.7796879110779877</c:v>
                </c:pt>
                <c:pt idx="151">
                  <c:v>1.7694627564241658</c:v>
                </c:pt>
                <c:pt idx="152">
                  <c:v>1.758893246087708</c:v>
                </c:pt>
                <c:pt idx="153">
                  <c:v>1.7479647819129904</c:v>
                </c:pt>
                <c:pt idx="154">
                  <c:v>1.7366613886974807</c:v>
                </c:pt>
                <c:pt idx="155">
                  <c:v>1.7249655293903285</c:v>
                </c:pt>
                <c:pt idx="156">
                  <c:v>1.7128578866798363</c:v>
                </c:pt>
                <c:pt idx="157">
                  <c:v>1.700317103168294</c:v>
                </c:pt>
                <c:pt idx="158">
                  <c:v>1.6873194700933212</c:v>
                </c:pt>
                <c:pt idx="159">
                  <c:v>1.6738385515386027</c:v>
                </c:pt>
                <c:pt idx="160">
                  <c:v>1.6598447269629917</c:v>
                </c:pt>
                <c:pt idx="161">
                  <c:v>1.6453046291892173</c:v>
                </c:pt>
                <c:pt idx="162">
                  <c:v>1.6301804470119223</c:v>
                </c:pt>
                <c:pt idx="163">
                  <c:v>1.6144290502004313</c:v>
                </c:pt>
                <c:pt idx="164">
                  <c:v>1.5980008781391601</c:v>
                </c:pt>
                <c:pt idx="165">
                  <c:v>1.5808385088569405</c:v>
                </c:pt>
                <c:pt idx="166">
                  <c:v>1.5628747880994911</c:v>
                </c:pt>
                <c:pt idx="167">
                  <c:v>1.5440303404920397</c:v>
                </c:pt>
                <c:pt idx="168">
                  <c:v>1.5242101928279026</c:v>
                </c:pt>
                <c:pt idx="169">
                  <c:v>1.5032990877643178</c:v>
                </c:pt>
                <c:pt idx="170">
                  <c:v>1.4811548064968973</c:v>
                </c:pt>
                <c:pt idx="171">
                  <c:v>1.4575983549759375</c:v>
                </c:pt>
                <c:pt idx="172">
                  <c:v>1.4323989959854742</c:v>
                </c:pt>
                <c:pt idx="173">
                  <c:v>1.4052503665300666</c:v>
                </c:pt>
                <c:pt idx="174">
                  <c:v>1.3757301664854784</c:v>
                </c:pt>
                <c:pt idx="175">
                  <c:v>1.3432270196715319</c:v>
                </c:pt>
                <c:pt idx="176">
                  <c:v>1.3067943067414127</c:v>
                </c:pt>
                <c:pt idx="177">
                  <c:v>1.2648150993735645</c:v>
                </c:pt>
                <c:pt idx="178">
                  <c:v>1.2140505960152004</c:v>
                </c:pt>
                <c:pt idx="179">
                  <c:v>1.1455836839884168</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numCache>
            </c:numRef>
          </c:val>
          <c:extLst>
            <c:ext xmlns:c16="http://schemas.microsoft.com/office/drawing/2014/chart" uri="{C3380CC4-5D6E-409C-BE32-E72D297353CC}">
              <c16:uniqueId val="{00000002-3E96-FB4C-BF18-C83AF20B93BE}"/>
            </c:ext>
          </c:extLst>
        </c:ser>
        <c:dLbls>
          <c:showLegendKey val="0"/>
          <c:showVal val="0"/>
          <c:showCatName val="0"/>
          <c:showSerName val="0"/>
          <c:showPercent val="0"/>
          <c:showBubbleSize val="0"/>
        </c:dLbls>
        <c:axId val="239354064"/>
        <c:axId val="239352496"/>
      </c:areaChart>
      <c:catAx>
        <c:axId val="239354064"/>
        <c:scaling>
          <c:orientation val="minMax"/>
        </c:scaling>
        <c:delete val="1"/>
        <c:axPos val="b"/>
        <c:majorTickMark val="none"/>
        <c:minorTickMark val="none"/>
        <c:tickLblPos val="nextTo"/>
        <c:crossAx val="239352496"/>
        <c:crosses val="autoZero"/>
        <c:auto val="1"/>
        <c:lblAlgn val="ctr"/>
        <c:lblOffset val="100"/>
        <c:noMultiLvlLbl val="0"/>
      </c:catAx>
      <c:valAx>
        <c:axId val="239352496"/>
        <c:scaling>
          <c:orientation val="minMax"/>
          <c:max val="2"/>
          <c:min val="0"/>
        </c:scaling>
        <c:delete val="1"/>
        <c:axPos val="l"/>
        <c:numFmt formatCode="0.00" sourceLinked="1"/>
        <c:majorTickMark val="out"/>
        <c:minorTickMark val="none"/>
        <c:tickLblPos val="nextTo"/>
        <c:crossAx val="239354064"/>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tx1"/>
    </a:solidFill>
    <a:ln w="9525" cap="flat" cmpd="sng" algn="ctr">
      <a:no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Moon features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manualLayout>
          <c:layoutTarget val="inner"/>
          <c:xMode val="edge"/>
          <c:yMode val="edge"/>
          <c:x val="4.8286258572517143E-2"/>
          <c:y val="9.6875000000000003E-2"/>
          <c:w val="0.9266169672339345"/>
          <c:h val="0.78060925196850395"/>
        </c:manualLayout>
      </c:layout>
      <c:scatterChart>
        <c:scatterStyle val="lineMarker"/>
        <c:varyColors val="0"/>
        <c:ser>
          <c:idx val="0"/>
          <c:order val="0"/>
          <c:tx>
            <c:strRef>
              <c:f>'Lunar Features'!$F$8:$F$30</c:f>
              <c:strCache>
                <c:ptCount val="23"/>
                <c:pt idx="0">
                  <c:v>Plato (centre)</c:v>
                </c:pt>
                <c:pt idx="1">
                  <c:v>Albategnius</c:v>
                </c:pt>
                <c:pt idx="2">
                  <c:v>Alphonsus</c:v>
                </c:pt>
                <c:pt idx="3">
                  <c:v>Archimedes</c:v>
                </c:pt>
                <c:pt idx="4">
                  <c:v>Arzachel</c:v>
                </c:pt>
                <c:pt idx="5">
                  <c:v>Cleomedes (north of Mare Crisium)</c:v>
                </c:pt>
                <c:pt idx="6">
                  <c:v>Copernicus</c:v>
                </c:pt>
                <c:pt idx="7">
                  <c:v>Cyrillus</c:v>
                </c:pt>
                <c:pt idx="8">
                  <c:v>Deslandres</c:v>
                </c:pt>
                <c:pt idx="9">
                  <c:v>Endymion</c:v>
                </c:pt>
                <c:pt idx="10">
                  <c:v>Eratosthenes</c:v>
                </c:pt>
                <c:pt idx="11">
                  <c:v>Eudoxus</c:v>
                </c:pt>
                <c:pt idx="12">
                  <c:v>Fabricus</c:v>
                </c:pt>
                <c:pt idx="13">
                  <c:v>Maurolycus</c:v>
                </c:pt>
                <c:pt idx="14">
                  <c:v>Messier</c:v>
                </c:pt>
                <c:pt idx="15">
                  <c:v>Montes Apenninus</c:v>
                </c:pt>
                <c:pt idx="16">
                  <c:v>Montes Caucasus</c:v>
                </c:pt>
                <c:pt idx="17">
                  <c:v>Pitatus (within Mare Nubium)</c:v>
                </c:pt>
                <c:pt idx="18">
                  <c:v>Ptolemaeus</c:v>
                </c:pt>
                <c:pt idx="19">
                  <c:v>Rupes Recta</c:v>
                </c:pt>
                <c:pt idx="20">
                  <c:v>Theophilus</c:v>
                </c:pt>
                <c:pt idx="21">
                  <c:v>Tycho</c:v>
                </c:pt>
                <c:pt idx="22">
                  <c:v>Werner</c:v>
                </c:pt>
              </c:strCache>
            </c:strRef>
          </c:tx>
          <c:spPr>
            <a:ln w="28575" cap="rnd">
              <a:noFill/>
              <a:round/>
            </a:ln>
            <a:effectLst/>
          </c:spPr>
          <c:marker>
            <c:symbol val="circle"/>
            <c:size val="5"/>
            <c:spPr>
              <a:solidFill>
                <a:schemeClr val="accent1"/>
              </a:solidFill>
              <a:ln w="9525">
                <a:solidFill>
                  <a:schemeClr val="accent1"/>
                </a:solidFill>
              </a:ln>
              <a:effectLst/>
            </c:spPr>
          </c:marker>
          <c:xVal>
            <c:numRef>
              <c:f>'Lunar Features'!$G$8:$G$30</c:f>
              <c:numCache>
                <c:formatCode>0.0</c:formatCode>
                <c:ptCount val="23"/>
                <c:pt idx="0">
                  <c:v>51.6</c:v>
                </c:pt>
                <c:pt idx="1">
                  <c:v>-11.2</c:v>
                </c:pt>
                <c:pt idx="2">
                  <c:v>-13.7</c:v>
                </c:pt>
                <c:pt idx="3">
                  <c:v>29.7</c:v>
                </c:pt>
                <c:pt idx="4">
                  <c:v>-18.2</c:v>
                </c:pt>
                <c:pt idx="5">
                  <c:v>27.7</c:v>
                </c:pt>
                <c:pt idx="6">
                  <c:v>9.6999999999999993</c:v>
                </c:pt>
                <c:pt idx="7">
                  <c:v>-13.2</c:v>
                </c:pt>
                <c:pt idx="8">
                  <c:v>-32.5</c:v>
                </c:pt>
                <c:pt idx="9">
                  <c:v>53.6</c:v>
                </c:pt>
                <c:pt idx="10">
                  <c:v>14.5</c:v>
                </c:pt>
                <c:pt idx="11">
                  <c:v>44.3</c:v>
                </c:pt>
                <c:pt idx="12">
                  <c:v>-42.9</c:v>
                </c:pt>
                <c:pt idx="13">
                  <c:v>-41.8</c:v>
                </c:pt>
                <c:pt idx="14">
                  <c:v>-1.9</c:v>
                </c:pt>
                <c:pt idx="15">
                  <c:v>20</c:v>
                </c:pt>
                <c:pt idx="16">
                  <c:v>39</c:v>
                </c:pt>
                <c:pt idx="17">
                  <c:v>-29.8</c:v>
                </c:pt>
                <c:pt idx="18">
                  <c:v>-9.1999999999999993</c:v>
                </c:pt>
                <c:pt idx="19">
                  <c:v>-22</c:v>
                </c:pt>
                <c:pt idx="20">
                  <c:v>-11.4</c:v>
                </c:pt>
                <c:pt idx="21">
                  <c:v>-43.4</c:v>
                </c:pt>
                <c:pt idx="22">
                  <c:v>-28</c:v>
                </c:pt>
              </c:numCache>
            </c:numRef>
          </c:xVal>
          <c:yVal>
            <c:numRef>
              <c:f>'Lunar Features'!$H$8:$H$30</c:f>
              <c:numCache>
                <c:formatCode>0.0</c:formatCode>
                <c:ptCount val="23"/>
                <c:pt idx="0">
                  <c:v>-9.4</c:v>
                </c:pt>
                <c:pt idx="1">
                  <c:v>4.0999999999999996</c:v>
                </c:pt>
                <c:pt idx="2">
                  <c:v>-3.2</c:v>
                </c:pt>
                <c:pt idx="3">
                  <c:v>-4</c:v>
                </c:pt>
                <c:pt idx="4">
                  <c:v>-1.9</c:v>
                </c:pt>
                <c:pt idx="5">
                  <c:v>55.5</c:v>
                </c:pt>
                <c:pt idx="6">
                  <c:v>-21.1</c:v>
                </c:pt>
                <c:pt idx="7">
                  <c:v>24</c:v>
                </c:pt>
                <c:pt idx="8">
                  <c:v>-5.2</c:v>
                </c:pt>
                <c:pt idx="9">
                  <c:v>56.5</c:v>
                </c:pt>
                <c:pt idx="10">
                  <c:v>-11.3</c:v>
                </c:pt>
                <c:pt idx="11">
                  <c:v>16.3</c:v>
                </c:pt>
                <c:pt idx="12">
                  <c:v>42</c:v>
                </c:pt>
                <c:pt idx="13">
                  <c:v>14</c:v>
                </c:pt>
                <c:pt idx="14">
                  <c:v>47.6</c:v>
                </c:pt>
                <c:pt idx="15">
                  <c:v>-3</c:v>
                </c:pt>
                <c:pt idx="16">
                  <c:v>8</c:v>
                </c:pt>
                <c:pt idx="17">
                  <c:v>-13.5</c:v>
                </c:pt>
                <c:pt idx="18">
                  <c:v>-1.8</c:v>
                </c:pt>
                <c:pt idx="19">
                  <c:v>-7</c:v>
                </c:pt>
                <c:pt idx="20">
                  <c:v>26.4</c:v>
                </c:pt>
                <c:pt idx="21">
                  <c:v>-11.1</c:v>
                </c:pt>
                <c:pt idx="22">
                  <c:v>3.3</c:v>
                </c:pt>
              </c:numCache>
            </c:numRef>
          </c:yVal>
          <c:smooth val="0"/>
          <c:extLst>
            <c:ext xmlns:c16="http://schemas.microsoft.com/office/drawing/2014/chart" uri="{C3380CC4-5D6E-409C-BE32-E72D297353CC}">
              <c16:uniqueId val="{00000000-76F0-C54A-8E54-71A51087E1BF}"/>
            </c:ext>
          </c:extLst>
        </c:ser>
        <c:dLbls>
          <c:showLegendKey val="0"/>
          <c:showVal val="0"/>
          <c:showCatName val="0"/>
          <c:showSerName val="0"/>
          <c:showPercent val="0"/>
          <c:showBubbleSize val="0"/>
        </c:dLbls>
        <c:axId val="1268365071"/>
        <c:axId val="1268187311"/>
      </c:scatterChart>
      <c:valAx>
        <c:axId val="1268365071"/>
        <c:scaling>
          <c:orientation val="minMax"/>
          <c:max val="90"/>
          <c:min val="-9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longitude</a:t>
                </a:r>
              </a:p>
            </c:rich>
          </c:tx>
          <c:layout>
            <c:manualLayout>
              <c:xMode val="edge"/>
              <c:yMode val="edge"/>
              <c:x val="0.46670764541529081"/>
              <c:y val="0.914984251968503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268187311"/>
        <c:crosses val="autoZero"/>
        <c:crossBetween val="midCat"/>
        <c:majorUnit val="30"/>
      </c:valAx>
      <c:valAx>
        <c:axId val="1268187311"/>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latitude</a:t>
                </a:r>
              </a:p>
            </c:rich>
          </c:tx>
          <c:layout>
            <c:manualLayout>
              <c:xMode val="edge"/>
              <c:yMode val="edge"/>
              <c:x val="1.2471678943357887E-2"/>
              <c:y val="0.39597637795275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268365071"/>
        <c:crosses val="autoZero"/>
        <c:crossBetween val="midCat"/>
      </c:valAx>
      <c:spPr>
        <a:solidFill>
          <a:schemeClr val="accent3">
            <a:lumMod val="40000"/>
            <a:lumOff val="6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g"/><Relationship Id="rId5" Type="http://schemas.openxmlformats.org/officeDocument/2006/relationships/chart" Target="../charts/chart1.xml"/><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42</xdr:row>
      <xdr:rowOff>114300</xdr:rowOff>
    </xdr:from>
    <xdr:to>
      <xdr:col>9</xdr:col>
      <xdr:colOff>190500</xdr:colOff>
      <xdr:row>52</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222500" y="8750300"/>
          <a:ext cx="5397500" cy="1943100"/>
        </a:xfrm>
        <a:prstGeom prst="rect">
          <a:avLst/>
        </a:prstGeom>
      </xdr:spPr>
    </xdr:pic>
    <xdr:clientData/>
  </xdr:twoCellAnchor>
  <xdr:twoCellAnchor editAs="oneCell">
    <xdr:from>
      <xdr:col>2</xdr:col>
      <xdr:colOff>185862</xdr:colOff>
      <xdr:row>16</xdr:row>
      <xdr:rowOff>165100</xdr:rowOff>
    </xdr:from>
    <xdr:to>
      <xdr:col>9</xdr:col>
      <xdr:colOff>669672</xdr:colOff>
      <xdr:row>37</xdr:row>
      <xdr:rowOff>50800</xdr:rowOff>
    </xdr:to>
    <xdr:pic>
      <xdr:nvPicPr>
        <xdr:cNvPr id="3" name="Picture 2" descr="What are the phases of the moo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6862" y="3517900"/>
          <a:ext cx="6262310" cy="415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8</xdr:row>
      <xdr:rowOff>101600</xdr:rowOff>
    </xdr:from>
    <xdr:to>
      <xdr:col>1</xdr:col>
      <xdr:colOff>622300</xdr:colOff>
      <xdr:row>10</xdr:row>
      <xdr:rowOff>184896</xdr:rowOff>
    </xdr:to>
    <xdr:pic>
      <xdr:nvPicPr>
        <xdr:cNvPr id="5" name="Picture 4" hidden="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5500" y="1651000"/>
          <a:ext cx="635000" cy="438896"/>
        </a:xfrm>
        <a:prstGeom prst="rect">
          <a:avLst/>
        </a:prstGeom>
        <a:noFill/>
      </xdr:spPr>
    </xdr:pic>
    <xdr:clientData/>
  </xdr:twoCellAnchor>
  <xdr:twoCellAnchor editAs="oneCell">
    <xdr:from>
      <xdr:col>0</xdr:col>
      <xdr:colOff>812800</xdr:colOff>
      <xdr:row>6</xdr:row>
      <xdr:rowOff>38100</xdr:rowOff>
    </xdr:from>
    <xdr:to>
      <xdr:col>1</xdr:col>
      <xdr:colOff>609726</xdr:colOff>
      <xdr:row>9</xdr:row>
      <xdr:rowOff>69850</xdr:rowOff>
    </xdr:to>
    <xdr:pic>
      <xdr:nvPicPr>
        <xdr:cNvPr id="6" name="Picture 5" hidden="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5500" y="1244600"/>
          <a:ext cx="622426" cy="565150"/>
        </a:xfrm>
        <a:prstGeom prst="rect">
          <a:avLst/>
        </a:prstGeom>
        <a:noFill/>
      </xdr:spPr>
    </xdr:pic>
    <xdr:clientData/>
  </xdr:twoCellAnchor>
  <xdr:twoCellAnchor editAs="oneCell">
    <xdr:from>
      <xdr:col>0</xdr:col>
      <xdr:colOff>812800</xdr:colOff>
      <xdr:row>6</xdr:row>
      <xdr:rowOff>38100</xdr:rowOff>
    </xdr:from>
    <xdr:to>
      <xdr:col>1</xdr:col>
      <xdr:colOff>611717</xdr:colOff>
      <xdr:row>9</xdr:row>
      <xdr:rowOff>3175</xdr:rowOff>
    </xdr:to>
    <xdr:pic>
      <xdr:nvPicPr>
        <xdr:cNvPr id="7" name="Picture 6" hidden="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25500" y="1244600"/>
          <a:ext cx="624417" cy="498475"/>
        </a:xfrm>
        <a:prstGeom prst="rect">
          <a:avLst/>
        </a:prstGeom>
        <a:noFill/>
      </xdr:spPr>
    </xdr:pic>
    <xdr:clientData/>
  </xdr:twoCellAnchor>
  <xdr:twoCellAnchor editAs="oneCell">
    <xdr:from>
      <xdr:col>0</xdr:col>
      <xdr:colOff>812800</xdr:colOff>
      <xdr:row>5</xdr:row>
      <xdr:rowOff>0</xdr:rowOff>
    </xdr:from>
    <xdr:to>
      <xdr:col>2</xdr:col>
      <xdr:colOff>538629</xdr:colOff>
      <xdr:row>11</xdr:row>
      <xdr:rowOff>23906</xdr:rowOff>
    </xdr:to>
    <xdr:pic>
      <xdr:nvPicPr>
        <xdr:cNvPr id="8" name="Picture 7" hidden="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cstate="print"/>
        <a:stretch>
          <a:fillRect/>
        </a:stretch>
      </xdr:blipFill>
      <xdr:spPr>
        <a:xfrm>
          <a:off x="825500" y="1016000"/>
          <a:ext cx="1757829" cy="1116106"/>
        </a:xfrm>
        <a:prstGeom prst="rect">
          <a:avLst/>
        </a:prstGeom>
      </xdr:spPr>
    </xdr:pic>
    <xdr:clientData/>
  </xdr:twoCellAnchor>
  <xdr:twoCellAnchor>
    <xdr:from>
      <xdr:col>1</xdr:col>
      <xdr:colOff>0</xdr:colOff>
      <xdr:row>18</xdr:row>
      <xdr:rowOff>12700</xdr:rowOff>
    </xdr:from>
    <xdr:to>
      <xdr:col>5</xdr:col>
      <xdr:colOff>0</xdr:colOff>
      <xdr:row>39</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0</xdr:colOff>
      <xdr:row>9</xdr:row>
      <xdr:rowOff>50800</xdr:rowOff>
    </xdr:from>
    <xdr:to>
      <xdr:col>11</xdr:col>
      <xdr:colOff>317500</xdr:colOff>
      <xdr:row>17</xdr:row>
      <xdr:rowOff>8829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a:stretch>
          <a:fillRect/>
        </a:stretch>
      </xdr:blipFill>
      <xdr:spPr>
        <a:xfrm>
          <a:off x="6985000" y="1651000"/>
          <a:ext cx="3746500" cy="1558229"/>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647700</xdr:colOff>
      <xdr:row>10</xdr:row>
      <xdr:rowOff>25400</xdr:rowOff>
    </xdr:from>
    <xdr:to>
      <xdr:col>1</xdr:col>
      <xdr:colOff>597026</xdr:colOff>
      <xdr:row>12</xdr:row>
      <xdr:rowOff>184150</xdr:rowOff>
    </xdr:to>
    <xdr:pic>
      <xdr:nvPicPr>
        <xdr:cNvPr id="2" name="Picture 1" hidden="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2800" y="1104900"/>
          <a:ext cx="622426" cy="565150"/>
        </a:xfrm>
        <a:prstGeom prst="rect">
          <a:avLst/>
        </a:prstGeom>
        <a:noFill/>
      </xdr:spPr>
    </xdr:pic>
    <xdr:clientData/>
  </xdr:twoCellAnchor>
  <xdr:twoCellAnchor editAs="oneCell">
    <xdr:from>
      <xdr:col>0</xdr:col>
      <xdr:colOff>647700</xdr:colOff>
      <xdr:row>10</xdr:row>
      <xdr:rowOff>25400</xdr:rowOff>
    </xdr:from>
    <xdr:to>
      <xdr:col>1</xdr:col>
      <xdr:colOff>599017</xdr:colOff>
      <xdr:row>12</xdr:row>
      <xdr:rowOff>117475</xdr:rowOff>
    </xdr:to>
    <xdr:pic>
      <xdr:nvPicPr>
        <xdr:cNvPr id="3" name="Picture 2" hidden="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2800" y="1104900"/>
          <a:ext cx="624417" cy="498475"/>
        </a:xfrm>
        <a:prstGeom prst="rect">
          <a:avLst/>
        </a:prstGeom>
        <a:noFill/>
      </xdr:spPr>
    </xdr:pic>
    <xdr:clientData/>
  </xdr:twoCellAnchor>
  <xdr:twoCellAnchor>
    <xdr:from>
      <xdr:col>14</xdr:col>
      <xdr:colOff>139700</xdr:colOff>
      <xdr:row>5</xdr:row>
      <xdr:rowOff>25400</xdr:rowOff>
    </xdr:from>
    <xdr:to>
      <xdr:col>25</xdr:col>
      <xdr:colOff>609600</xdr:colOff>
      <xdr:row>25</xdr:row>
      <xdr:rowOff>25400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812800</xdr:colOff>
      <xdr:row>27</xdr:row>
      <xdr:rowOff>38100</xdr:rowOff>
    </xdr:from>
    <xdr:to>
      <xdr:col>10</xdr:col>
      <xdr:colOff>50800</xdr:colOff>
      <xdr:row>66</xdr:row>
      <xdr:rowOff>101600</xdr:rowOff>
    </xdr:to>
    <xdr:pic>
      <xdr:nvPicPr>
        <xdr:cNvPr id="6" name="Picture 5" descr="What Are the 8 Phases of the Moon, in Order? | HowStuffWorks">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5181600"/>
          <a:ext cx="7493000" cy="749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76200</xdr:rowOff>
    </xdr:from>
    <xdr:to>
      <xdr:col>10</xdr:col>
      <xdr:colOff>38100</xdr:colOff>
      <xdr:row>25</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25500" y="266700"/>
          <a:ext cx="7467600" cy="46482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7E1F-5E53-6648-98DF-00A22DF75238}">
  <dimension ref="B2:N41"/>
  <sheetViews>
    <sheetView showGridLines="0" tabSelected="1" workbookViewId="0">
      <selection activeCell="I16" sqref="I16"/>
    </sheetView>
  </sheetViews>
  <sheetFormatPr baseColWidth="10" defaultRowHeight="16"/>
  <cols>
    <col min="1" max="16384" width="10.83203125" style="13"/>
  </cols>
  <sheetData>
    <row r="2" spans="2:14" ht="15" customHeight="1"/>
    <row r="3" spans="2:14" ht="16" customHeight="1">
      <c r="B3" s="137" t="s">
        <v>19</v>
      </c>
      <c r="C3" s="137"/>
      <c r="D3" s="137"/>
      <c r="E3" s="137"/>
      <c r="F3" s="137"/>
      <c r="G3" s="137"/>
      <c r="H3" s="137"/>
      <c r="I3" s="137"/>
      <c r="J3" s="137"/>
      <c r="K3" s="137"/>
    </row>
    <row r="4" spans="2:14" ht="16" customHeight="1">
      <c r="B4" s="137"/>
      <c r="C4" s="137"/>
      <c r="D4" s="137"/>
      <c r="E4" s="137"/>
      <c r="F4" s="137"/>
      <c r="G4" s="137"/>
      <c r="H4" s="137"/>
      <c r="I4" s="137"/>
      <c r="J4" s="137"/>
      <c r="K4" s="137"/>
    </row>
    <row r="5" spans="2:14" ht="16" customHeight="1">
      <c r="B5" s="137"/>
      <c r="C5" s="137"/>
      <c r="D5" s="137"/>
      <c r="E5" s="137"/>
      <c r="F5" s="137"/>
      <c r="G5" s="137"/>
      <c r="H5" s="137"/>
      <c r="I5" s="137"/>
      <c r="J5" s="137"/>
      <c r="K5" s="137"/>
    </row>
    <row r="6" spans="2:14" ht="16" customHeight="1">
      <c r="B6" s="137"/>
      <c r="C6" s="137"/>
      <c r="D6" s="137"/>
      <c r="E6" s="137"/>
      <c r="F6" s="137"/>
      <c r="G6" s="137"/>
      <c r="H6" s="137"/>
      <c r="I6" s="137"/>
      <c r="J6" s="137"/>
      <c r="K6" s="137"/>
    </row>
    <row r="7" spans="2:14" ht="16" customHeight="1">
      <c r="B7" s="137"/>
      <c r="C7" s="137"/>
      <c r="D7" s="137"/>
      <c r="E7" s="137"/>
      <c r="F7" s="137"/>
      <c r="G7" s="137"/>
      <c r="H7" s="137"/>
      <c r="I7" s="137"/>
      <c r="J7" s="137"/>
      <c r="K7" s="137"/>
    </row>
    <row r="8" spans="2:14" ht="16" customHeight="1">
      <c r="B8" s="137"/>
      <c r="C8" s="137"/>
      <c r="D8" s="137"/>
      <c r="E8" s="137"/>
      <c r="F8" s="137"/>
      <c r="G8" s="137"/>
      <c r="H8" s="137"/>
      <c r="I8" s="137"/>
      <c r="J8" s="137"/>
      <c r="K8" s="137"/>
    </row>
    <row r="9" spans="2:14" ht="16" customHeight="1">
      <c r="B9" s="137"/>
      <c r="C9" s="137"/>
      <c r="D9" s="137"/>
      <c r="E9" s="137"/>
      <c r="F9" s="137"/>
      <c r="G9" s="137"/>
      <c r="H9" s="137"/>
      <c r="I9" s="137"/>
      <c r="J9" s="137"/>
      <c r="K9" s="137"/>
    </row>
    <row r="13" spans="2:14" ht="19">
      <c r="D13" s="1" t="s">
        <v>7</v>
      </c>
      <c r="E13" s="2"/>
      <c r="F13" s="3"/>
      <c r="G13" s="3"/>
      <c r="H13" s="3"/>
      <c r="I13" s="4" t="s">
        <v>1</v>
      </c>
    </row>
    <row r="14" spans="2:14" ht="19">
      <c r="D14" s="5"/>
      <c r="E14" s="6"/>
      <c r="F14" s="7"/>
      <c r="G14" s="7"/>
      <c r="H14" s="7"/>
      <c r="I14" s="8"/>
      <c r="N14" s="14"/>
    </row>
    <row r="15" spans="2:14" ht="19">
      <c r="D15" s="9" t="s">
        <v>15</v>
      </c>
      <c r="E15" s="10"/>
      <c r="F15" s="11"/>
      <c r="G15" s="11"/>
      <c r="H15" s="11"/>
      <c r="I15" s="12" t="s">
        <v>180</v>
      </c>
    </row>
    <row r="36" spans="2:11">
      <c r="J36" s="14"/>
    </row>
    <row r="39" spans="2:11">
      <c r="B39" s="138" t="s">
        <v>2</v>
      </c>
      <c r="C39" s="139"/>
      <c r="D39" s="139"/>
      <c r="E39" s="139"/>
      <c r="F39" s="139"/>
      <c r="G39" s="139"/>
      <c r="H39" s="139"/>
      <c r="I39" s="139"/>
      <c r="J39" s="139"/>
      <c r="K39" s="140"/>
    </row>
    <row r="40" spans="2:11">
      <c r="B40" s="141" t="s">
        <v>3</v>
      </c>
      <c r="C40" s="142"/>
      <c r="D40" s="142"/>
      <c r="E40" s="142"/>
      <c r="F40" s="142"/>
      <c r="G40" s="142"/>
      <c r="H40" s="142"/>
      <c r="I40" s="142"/>
      <c r="J40" s="142"/>
      <c r="K40" s="143"/>
    </row>
    <row r="41" spans="2:11">
      <c r="B41" s="144" t="s">
        <v>4</v>
      </c>
      <c r="C41" s="145"/>
      <c r="D41" s="145"/>
      <c r="E41" s="145"/>
      <c r="F41" s="145"/>
      <c r="G41" s="145"/>
      <c r="H41" s="145"/>
      <c r="I41" s="145"/>
      <c r="J41" s="145"/>
      <c r="K41" s="146"/>
    </row>
  </sheetData>
  <sheetProtection sheet="1" objects="1" scenarios="1"/>
  <mergeCells count="4">
    <mergeCell ref="B3:K9"/>
    <mergeCell ref="B39:K39"/>
    <mergeCell ref="B40:K40"/>
    <mergeCell ref="B41:K41"/>
  </mergeCells>
  <hyperlinks>
    <hyperlink ref="I13" r:id="rId1" xr:uid="{247AC557-83BE-0C41-AA3D-42381441D9FE}"/>
    <hyperlink ref="B39" r:id="rId2" display="http://www.astronomy-morsels.ch/" xr:uid="{627D1712-63C6-F14A-9CD5-2AE69EC2604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7EB1-24D8-2E42-BF64-A9887BDEE6AB}">
  <dimension ref="B1:Q209"/>
  <sheetViews>
    <sheetView showGridLines="0" workbookViewId="0">
      <selection activeCell="J21" sqref="J21"/>
    </sheetView>
  </sheetViews>
  <sheetFormatPr baseColWidth="10" defaultRowHeight="13"/>
  <cols>
    <col min="1" max="1" width="10.83203125" style="18" customWidth="1"/>
    <col min="2" max="2" width="15.83203125" style="18" customWidth="1"/>
    <col min="3" max="5" width="13.33203125" style="18" customWidth="1"/>
    <col min="6" max="6" width="10.83203125" style="18" customWidth="1"/>
    <col min="7" max="7" width="3.33203125" style="47" customWidth="1"/>
    <col min="8" max="8" width="10.83203125" style="18" customWidth="1"/>
    <col min="9" max="9" width="15.83203125" style="18" customWidth="1"/>
    <col min="10" max="10" width="13.33203125" style="18" customWidth="1"/>
    <col min="11" max="11" width="15.83203125" style="18" customWidth="1"/>
    <col min="12" max="14" width="10.83203125" style="18" customWidth="1"/>
    <col min="15" max="17" width="12.1640625" style="18" customWidth="1"/>
    <col min="18" max="29" width="10.83203125" style="18" customWidth="1"/>
    <col min="30" max="30" width="10.1640625" style="18" bestFit="1" customWidth="1"/>
    <col min="31" max="254" width="8.83203125" style="18" customWidth="1"/>
    <col min="255" max="255" width="7.83203125" style="18" customWidth="1"/>
    <col min="256" max="256" width="7.5" style="18" customWidth="1"/>
    <col min="257" max="257" width="9" style="18" customWidth="1"/>
    <col min="258" max="258" width="8.33203125" style="18" customWidth="1"/>
    <col min="259" max="261" width="8.5" style="18" bestFit="1" customWidth="1"/>
    <col min="262" max="262" width="10" style="18" bestFit="1" customWidth="1"/>
    <col min="263" max="263" width="8.1640625" style="18" bestFit="1" customWidth="1"/>
    <col min="264" max="265" width="8.5" style="18" bestFit="1" customWidth="1"/>
    <col min="266" max="266" width="6" style="18" bestFit="1" customWidth="1"/>
    <col min="267" max="267" width="8.83203125" style="18" customWidth="1"/>
    <col min="268" max="268" width="8.5" style="18" bestFit="1" customWidth="1"/>
    <col min="269" max="269" width="7.1640625" style="18" bestFit="1" customWidth="1"/>
    <col min="270" max="270" width="4.5" style="18" bestFit="1" customWidth="1"/>
    <col min="271" max="271" width="5.5" style="18" bestFit="1" customWidth="1"/>
    <col min="272" max="274" width="6.1640625" style="18" bestFit="1" customWidth="1"/>
    <col min="275" max="275" width="7.1640625" style="18" bestFit="1" customWidth="1"/>
    <col min="276" max="285" width="8.83203125" style="18" customWidth="1"/>
    <col min="286" max="286" width="10" style="18" bestFit="1" customWidth="1"/>
    <col min="287" max="510" width="8.83203125" style="18" customWidth="1"/>
    <col min="511" max="511" width="7.83203125" style="18" customWidth="1"/>
    <col min="512" max="512" width="7.5" style="18" customWidth="1"/>
    <col min="513" max="513" width="9" style="18" customWidth="1"/>
    <col min="514" max="514" width="8.33203125" style="18" customWidth="1"/>
    <col min="515" max="517" width="8.5" style="18" bestFit="1" customWidth="1"/>
    <col min="518" max="518" width="10" style="18" bestFit="1" customWidth="1"/>
    <col min="519" max="519" width="8.1640625" style="18" bestFit="1" customWidth="1"/>
    <col min="520" max="521" width="8.5" style="18" bestFit="1" customWidth="1"/>
    <col min="522" max="522" width="6" style="18" bestFit="1" customWidth="1"/>
    <col min="523" max="523" width="8.83203125" style="18" customWidth="1"/>
    <col min="524" max="524" width="8.5" style="18" bestFit="1" customWidth="1"/>
    <col min="525" max="525" width="7.1640625" style="18" bestFit="1" customWidth="1"/>
    <col min="526" max="526" width="4.5" style="18" bestFit="1" customWidth="1"/>
    <col min="527" max="527" width="5.5" style="18" bestFit="1" customWidth="1"/>
    <col min="528" max="530" width="6.1640625" style="18" bestFit="1" customWidth="1"/>
    <col min="531" max="531" width="7.1640625" style="18" bestFit="1" customWidth="1"/>
    <col min="532" max="541" width="8.83203125" style="18" customWidth="1"/>
    <col min="542" max="542" width="10" style="18" bestFit="1" customWidth="1"/>
    <col min="543" max="766" width="8.83203125" style="18" customWidth="1"/>
    <col min="767" max="767" width="7.83203125" style="18" customWidth="1"/>
    <col min="768" max="768" width="7.5" style="18" customWidth="1"/>
    <col min="769" max="769" width="9" style="18" customWidth="1"/>
    <col min="770" max="770" width="8.33203125" style="18" customWidth="1"/>
    <col min="771" max="773" width="8.5" style="18" bestFit="1" customWidth="1"/>
    <col min="774" max="774" width="10" style="18" bestFit="1" customWidth="1"/>
    <col min="775" max="775" width="8.1640625" style="18" bestFit="1" customWidth="1"/>
    <col min="776" max="777" width="8.5" style="18" bestFit="1" customWidth="1"/>
    <col min="778" max="778" width="6" style="18" bestFit="1" customWidth="1"/>
    <col min="779" max="779" width="8.83203125" style="18" customWidth="1"/>
    <col min="780" max="780" width="8.5" style="18" bestFit="1" customWidth="1"/>
    <col min="781" max="781" width="7.1640625" style="18" bestFit="1" customWidth="1"/>
    <col min="782" max="782" width="4.5" style="18" bestFit="1" customWidth="1"/>
    <col min="783" max="783" width="5.5" style="18" bestFit="1" customWidth="1"/>
    <col min="784" max="786" width="6.1640625" style="18" bestFit="1" customWidth="1"/>
    <col min="787" max="787" width="7.1640625" style="18" bestFit="1" customWidth="1"/>
    <col min="788" max="797" width="8.83203125" style="18" customWidth="1"/>
    <col min="798" max="798" width="10" style="18" bestFit="1" customWidth="1"/>
    <col min="799" max="1022" width="8.83203125" style="18" customWidth="1"/>
    <col min="1023" max="1023" width="7.83203125" style="18" customWidth="1"/>
    <col min="1024" max="1024" width="7.5" style="18" customWidth="1"/>
    <col min="1025" max="1025" width="9" style="18" customWidth="1"/>
    <col min="1026" max="1026" width="8.33203125" style="18" customWidth="1"/>
    <col min="1027" max="1029" width="8.5" style="18" bestFit="1" customWidth="1"/>
    <col min="1030" max="1030" width="10" style="18" bestFit="1" customWidth="1"/>
    <col min="1031" max="1031" width="8.1640625" style="18" bestFit="1" customWidth="1"/>
    <col min="1032" max="1033" width="8.5" style="18" bestFit="1" customWidth="1"/>
    <col min="1034" max="1034" width="6" style="18" bestFit="1" customWidth="1"/>
    <col min="1035" max="1035" width="8.83203125" style="18" customWidth="1"/>
    <col min="1036" max="1036" width="8.5" style="18" bestFit="1" customWidth="1"/>
    <col min="1037" max="1037" width="7.1640625" style="18" bestFit="1" customWidth="1"/>
    <col min="1038" max="1038" width="4.5" style="18" bestFit="1" customWidth="1"/>
    <col min="1039" max="1039" width="5.5" style="18" bestFit="1" customWidth="1"/>
    <col min="1040" max="1042" width="6.1640625" style="18" bestFit="1" customWidth="1"/>
    <col min="1043" max="1043" width="7.1640625" style="18" bestFit="1" customWidth="1"/>
    <col min="1044" max="1053" width="8.83203125" style="18" customWidth="1"/>
    <col min="1054" max="1054" width="10" style="18" bestFit="1" customWidth="1"/>
    <col min="1055" max="1278" width="8.83203125" style="18" customWidth="1"/>
    <col min="1279" max="1279" width="7.83203125" style="18" customWidth="1"/>
    <col min="1280" max="1280" width="7.5" style="18" customWidth="1"/>
    <col min="1281" max="1281" width="9" style="18" customWidth="1"/>
    <col min="1282" max="1282" width="8.33203125" style="18" customWidth="1"/>
    <col min="1283" max="1285" width="8.5" style="18" bestFit="1" customWidth="1"/>
    <col min="1286" max="1286" width="10" style="18" bestFit="1" customWidth="1"/>
    <col min="1287" max="1287" width="8.1640625" style="18" bestFit="1" customWidth="1"/>
    <col min="1288" max="1289" width="8.5" style="18" bestFit="1" customWidth="1"/>
    <col min="1290" max="1290" width="6" style="18" bestFit="1" customWidth="1"/>
    <col min="1291" max="1291" width="8.83203125" style="18" customWidth="1"/>
    <col min="1292" max="1292" width="8.5" style="18" bestFit="1" customWidth="1"/>
    <col min="1293" max="1293" width="7.1640625" style="18" bestFit="1" customWidth="1"/>
    <col min="1294" max="1294" width="4.5" style="18" bestFit="1" customWidth="1"/>
    <col min="1295" max="1295" width="5.5" style="18" bestFit="1" customWidth="1"/>
    <col min="1296" max="1298" width="6.1640625" style="18" bestFit="1" customWidth="1"/>
    <col min="1299" max="1299" width="7.1640625" style="18" bestFit="1" customWidth="1"/>
    <col min="1300" max="1309" width="8.83203125" style="18" customWidth="1"/>
    <col min="1310" max="1310" width="10" style="18" bestFit="1" customWidth="1"/>
    <col min="1311" max="1534" width="8.83203125" style="18" customWidth="1"/>
    <col min="1535" max="1535" width="7.83203125" style="18" customWidth="1"/>
    <col min="1536" max="1536" width="7.5" style="18" customWidth="1"/>
    <col min="1537" max="1537" width="9" style="18" customWidth="1"/>
    <col min="1538" max="1538" width="8.33203125" style="18" customWidth="1"/>
    <col min="1539" max="1541" width="8.5" style="18" bestFit="1" customWidth="1"/>
    <col min="1542" max="1542" width="10" style="18" bestFit="1" customWidth="1"/>
    <col min="1543" max="1543" width="8.1640625" style="18" bestFit="1" customWidth="1"/>
    <col min="1544" max="1545" width="8.5" style="18" bestFit="1" customWidth="1"/>
    <col min="1546" max="1546" width="6" style="18" bestFit="1" customWidth="1"/>
    <col min="1547" max="1547" width="8.83203125" style="18" customWidth="1"/>
    <col min="1548" max="1548" width="8.5" style="18" bestFit="1" customWidth="1"/>
    <col min="1549" max="1549" width="7.1640625" style="18" bestFit="1" customWidth="1"/>
    <col min="1550" max="1550" width="4.5" style="18" bestFit="1" customWidth="1"/>
    <col min="1551" max="1551" width="5.5" style="18" bestFit="1" customWidth="1"/>
    <col min="1552" max="1554" width="6.1640625" style="18" bestFit="1" customWidth="1"/>
    <col min="1555" max="1555" width="7.1640625" style="18" bestFit="1" customWidth="1"/>
    <col min="1556" max="1565" width="8.83203125" style="18" customWidth="1"/>
    <col min="1566" max="1566" width="10" style="18" bestFit="1" customWidth="1"/>
    <col min="1567" max="1790" width="8.83203125" style="18" customWidth="1"/>
    <col min="1791" max="1791" width="7.83203125" style="18" customWidth="1"/>
    <col min="1792" max="1792" width="7.5" style="18" customWidth="1"/>
    <col min="1793" max="1793" width="9" style="18" customWidth="1"/>
    <col min="1794" max="1794" width="8.33203125" style="18" customWidth="1"/>
    <col min="1795" max="1797" width="8.5" style="18" bestFit="1" customWidth="1"/>
    <col min="1798" max="1798" width="10" style="18" bestFit="1" customWidth="1"/>
    <col min="1799" max="1799" width="8.1640625" style="18" bestFit="1" customWidth="1"/>
    <col min="1800" max="1801" width="8.5" style="18" bestFit="1" customWidth="1"/>
    <col min="1802" max="1802" width="6" style="18" bestFit="1" customWidth="1"/>
    <col min="1803" max="1803" width="8.83203125" style="18" customWidth="1"/>
    <col min="1804" max="1804" width="8.5" style="18" bestFit="1" customWidth="1"/>
    <col min="1805" max="1805" width="7.1640625" style="18" bestFit="1" customWidth="1"/>
    <col min="1806" max="1806" width="4.5" style="18" bestFit="1" customWidth="1"/>
    <col min="1807" max="1807" width="5.5" style="18" bestFit="1" customWidth="1"/>
    <col min="1808" max="1810" width="6.1640625" style="18" bestFit="1" customWidth="1"/>
    <col min="1811" max="1811" width="7.1640625" style="18" bestFit="1" customWidth="1"/>
    <col min="1812" max="1821" width="8.83203125" style="18" customWidth="1"/>
    <col min="1822" max="1822" width="10" style="18" bestFit="1" customWidth="1"/>
    <col min="1823" max="2046" width="8.83203125" style="18" customWidth="1"/>
    <col min="2047" max="2047" width="7.83203125" style="18" customWidth="1"/>
    <col min="2048" max="2048" width="7.5" style="18" customWidth="1"/>
    <col min="2049" max="2049" width="9" style="18" customWidth="1"/>
    <col min="2050" max="2050" width="8.33203125" style="18" customWidth="1"/>
    <col min="2051" max="2053" width="8.5" style="18" bestFit="1" customWidth="1"/>
    <col min="2054" max="2054" width="10" style="18" bestFit="1" customWidth="1"/>
    <col min="2055" max="2055" width="8.1640625" style="18" bestFit="1" customWidth="1"/>
    <col min="2056" max="2057" width="8.5" style="18" bestFit="1" customWidth="1"/>
    <col min="2058" max="2058" width="6" style="18" bestFit="1" customWidth="1"/>
    <col min="2059" max="2059" width="8.83203125" style="18" customWidth="1"/>
    <col min="2060" max="2060" width="8.5" style="18" bestFit="1" customWidth="1"/>
    <col min="2061" max="2061" width="7.1640625" style="18" bestFit="1" customWidth="1"/>
    <col min="2062" max="2062" width="4.5" style="18" bestFit="1" customWidth="1"/>
    <col min="2063" max="2063" width="5.5" style="18" bestFit="1" customWidth="1"/>
    <col min="2064" max="2066" width="6.1640625" style="18" bestFit="1" customWidth="1"/>
    <col min="2067" max="2067" width="7.1640625" style="18" bestFit="1" customWidth="1"/>
    <col min="2068" max="2077" width="8.83203125" style="18" customWidth="1"/>
    <col min="2078" max="2078" width="10" style="18" bestFit="1" customWidth="1"/>
    <col min="2079" max="2302" width="8.83203125" style="18" customWidth="1"/>
    <col min="2303" max="2303" width="7.83203125" style="18" customWidth="1"/>
    <col min="2304" max="2304" width="7.5" style="18" customWidth="1"/>
    <col min="2305" max="2305" width="9" style="18" customWidth="1"/>
    <col min="2306" max="2306" width="8.33203125" style="18" customWidth="1"/>
    <col min="2307" max="2309" width="8.5" style="18" bestFit="1" customWidth="1"/>
    <col min="2310" max="2310" width="10" style="18" bestFit="1" customWidth="1"/>
    <col min="2311" max="2311" width="8.1640625" style="18" bestFit="1" customWidth="1"/>
    <col min="2312" max="2313" width="8.5" style="18" bestFit="1" customWidth="1"/>
    <col min="2314" max="2314" width="6" style="18" bestFit="1" customWidth="1"/>
    <col min="2315" max="2315" width="8.83203125" style="18" customWidth="1"/>
    <col min="2316" max="2316" width="8.5" style="18" bestFit="1" customWidth="1"/>
    <col min="2317" max="2317" width="7.1640625" style="18" bestFit="1" customWidth="1"/>
    <col min="2318" max="2318" width="4.5" style="18" bestFit="1" customWidth="1"/>
    <col min="2319" max="2319" width="5.5" style="18" bestFit="1" customWidth="1"/>
    <col min="2320" max="2322" width="6.1640625" style="18" bestFit="1" customWidth="1"/>
    <col min="2323" max="2323" width="7.1640625" style="18" bestFit="1" customWidth="1"/>
    <col min="2324" max="2333" width="8.83203125" style="18" customWidth="1"/>
    <col min="2334" max="2334" width="10" style="18" bestFit="1" customWidth="1"/>
    <col min="2335" max="2558" width="8.83203125" style="18" customWidth="1"/>
    <col min="2559" max="2559" width="7.83203125" style="18" customWidth="1"/>
    <col min="2560" max="2560" width="7.5" style="18" customWidth="1"/>
    <col min="2561" max="2561" width="9" style="18" customWidth="1"/>
    <col min="2562" max="2562" width="8.33203125" style="18" customWidth="1"/>
    <col min="2563" max="2565" width="8.5" style="18" bestFit="1" customWidth="1"/>
    <col min="2566" max="2566" width="10" style="18" bestFit="1" customWidth="1"/>
    <col min="2567" max="2567" width="8.1640625" style="18" bestFit="1" customWidth="1"/>
    <col min="2568" max="2569" width="8.5" style="18" bestFit="1" customWidth="1"/>
    <col min="2570" max="2570" width="6" style="18" bestFit="1" customWidth="1"/>
    <col min="2571" max="2571" width="8.83203125" style="18" customWidth="1"/>
    <col min="2572" max="2572" width="8.5" style="18" bestFit="1" customWidth="1"/>
    <col min="2573" max="2573" width="7.1640625" style="18" bestFit="1" customWidth="1"/>
    <col min="2574" max="2574" width="4.5" style="18" bestFit="1" customWidth="1"/>
    <col min="2575" max="2575" width="5.5" style="18" bestFit="1" customWidth="1"/>
    <col min="2576" max="2578" width="6.1640625" style="18" bestFit="1" customWidth="1"/>
    <col min="2579" max="2579" width="7.1640625" style="18" bestFit="1" customWidth="1"/>
    <col min="2580" max="2589" width="8.83203125" style="18" customWidth="1"/>
    <col min="2590" max="2590" width="10" style="18" bestFit="1" customWidth="1"/>
    <col min="2591" max="2814" width="8.83203125" style="18" customWidth="1"/>
    <col min="2815" max="2815" width="7.83203125" style="18" customWidth="1"/>
    <col min="2816" max="2816" width="7.5" style="18" customWidth="1"/>
    <col min="2817" max="2817" width="9" style="18" customWidth="1"/>
    <col min="2818" max="2818" width="8.33203125" style="18" customWidth="1"/>
    <col min="2819" max="2821" width="8.5" style="18" bestFit="1" customWidth="1"/>
    <col min="2822" max="2822" width="10" style="18" bestFit="1" customWidth="1"/>
    <col min="2823" max="2823" width="8.1640625" style="18" bestFit="1" customWidth="1"/>
    <col min="2824" max="2825" width="8.5" style="18" bestFit="1" customWidth="1"/>
    <col min="2826" max="2826" width="6" style="18" bestFit="1" customWidth="1"/>
    <col min="2827" max="2827" width="8.83203125" style="18" customWidth="1"/>
    <col min="2828" max="2828" width="8.5" style="18" bestFit="1" customWidth="1"/>
    <col min="2829" max="2829" width="7.1640625" style="18" bestFit="1" customWidth="1"/>
    <col min="2830" max="2830" width="4.5" style="18" bestFit="1" customWidth="1"/>
    <col min="2831" max="2831" width="5.5" style="18" bestFit="1" customWidth="1"/>
    <col min="2832" max="2834" width="6.1640625" style="18" bestFit="1" customWidth="1"/>
    <col min="2835" max="2835" width="7.1640625" style="18" bestFit="1" customWidth="1"/>
    <col min="2836" max="2845" width="8.83203125" style="18" customWidth="1"/>
    <col min="2846" max="2846" width="10" style="18" bestFit="1" customWidth="1"/>
    <col min="2847" max="3070" width="8.83203125" style="18" customWidth="1"/>
    <col min="3071" max="3071" width="7.83203125" style="18" customWidth="1"/>
    <col min="3072" max="3072" width="7.5" style="18" customWidth="1"/>
    <col min="3073" max="3073" width="9" style="18" customWidth="1"/>
    <col min="3074" max="3074" width="8.33203125" style="18" customWidth="1"/>
    <col min="3075" max="3077" width="8.5" style="18" bestFit="1" customWidth="1"/>
    <col min="3078" max="3078" width="10" style="18" bestFit="1" customWidth="1"/>
    <col min="3079" max="3079" width="8.1640625" style="18" bestFit="1" customWidth="1"/>
    <col min="3080" max="3081" width="8.5" style="18" bestFit="1" customWidth="1"/>
    <col min="3082" max="3082" width="6" style="18" bestFit="1" customWidth="1"/>
    <col min="3083" max="3083" width="8.83203125" style="18" customWidth="1"/>
    <col min="3084" max="3084" width="8.5" style="18" bestFit="1" customWidth="1"/>
    <col min="3085" max="3085" width="7.1640625" style="18" bestFit="1" customWidth="1"/>
    <col min="3086" max="3086" width="4.5" style="18" bestFit="1" customWidth="1"/>
    <col min="3087" max="3087" width="5.5" style="18" bestFit="1" customWidth="1"/>
    <col min="3088" max="3090" width="6.1640625" style="18" bestFit="1" customWidth="1"/>
    <col min="3091" max="3091" width="7.1640625" style="18" bestFit="1" customWidth="1"/>
    <col min="3092" max="3101" width="8.83203125" style="18" customWidth="1"/>
    <col min="3102" max="3102" width="10" style="18" bestFit="1" customWidth="1"/>
    <col min="3103" max="3326" width="8.83203125" style="18" customWidth="1"/>
    <col min="3327" max="3327" width="7.83203125" style="18" customWidth="1"/>
    <col min="3328" max="3328" width="7.5" style="18" customWidth="1"/>
    <col min="3329" max="3329" width="9" style="18" customWidth="1"/>
    <col min="3330" max="3330" width="8.33203125" style="18" customWidth="1"/>
    <col min="3331" max="3333" width="8.5" style="18" bestFit="1" customWidth="1"/>
    <col min="3334" max="3334" width="10" style="18" bestFit="1" customWidth="1"/>
    <col min="3335" max="3335" width="8.1640625" style="18" bestFit="1" customWidth="1"/>
    <col min="3336" max="3337" width="8.5" style="18" bestFit="1" customWidth="1"/>
    <col min="3338" max="3338" width="6" style="18" bestFit="1" customWidth="1"/>
    <col min="3339" max="3339" width="8.83203125" style="18" customWidth="1"/>
    <col min="3340" max="3340" width="8.5" style="18" bestFit="1" customWidth="1"/>
    <col min="3341" max="3341" width="7.1640625" style="18" bestFit="1" customWidth="1"/>
    <col min="3342" max="3342" width="4.5" style="18" bestFit="1" customWidth="1"/>
    <col min="3343" max="3343" width="5.5" style="18" bestFit="1" customWidth="1"/>
    <col min="3344" max="3346" width="6.1640625" style="18" bestFit="1" customWidth="1"/>
    <col min="3347" max="3347" width="7.1640625" style="18" bestFit="1" customWidth="1"/>
    <col min="3348" max="3357" width="8.83203125" style="18" customWidth="1"/>
    <col min="3358" max="3358" width="10" style="18" bestFit="1" customWidth="1"/>
    <col min="3359" max="3582" width="8.83203125" style="18" customWidth="1"/>
    <col min="3583" max="3583" width="7.83203125" style="18" customWidth="1"/>
    <col min="3584" max="3584" width="7.5" style="18" customWidth="1"/>
    <col min="3585" max="3585" width="9" style="18" customWidth="1"/>
    <col min="3586" max="3586" width="8.33203125" style="18" customWidth="1"/>
    <col min="3587" max="3589" width="8.5" style="18" bestFit="1" customWidth="1"/>
    <col min="3590" max="3590" width="10" style="18" bestFit="1" customWidth="1"/>
    <col min="3591" max="3591" width="8.1640625" style="18" bestFit="1" customWidth="1"/>
    <col min="3592" max="3593" width="8.5" style="18" bestFit="1" customWidth="1"/>
    <col min="3594" max="3594" width="6" style="18" bestFit="1" customWidth="1"/>
    <col min="3595" max="3595" width="8.83203125" style="18" customWidth="1"/>
    <col min="3596" max="3596" width="8.5" style="18" bestFit="1" customWidth="1"/>
    <col min="3597" max="3597" width="7.1640625" style="18" bestFit="1" customWidth="1"/>
    <col min="3598" max="3598" width="4.5" style="18" bestFit="1" customWidth="1"/>
    <col min="3599" max="3599" width="5.5" style="18" bestFit="1" customWidth="1"/>
    <col min="3600" max="3602" width="6.1640625" style="18" bestFit="1" customWidth="1"/>
    <col min="3603" max="3603" width="7.1640625" style="18" bestFit="1" customWidth="1"/>
    <col min="3604" max="3613" width="8.83203125" style="18" customWidth="1"/>
    <col min="3614" max="3614" width="10" style="18" bestFit="1" customWidth="1"/>
    <col min="3615" max="3838" width="8.83203125" style="18" customWidth="1"/>
    <col min="3839" max="3839" width="7.83203125" style="18" customWidth="1"/>
    <col min="3840" max="3840" width="7.5" style="18" customWidth="1"/>
    <col min="3841" max="3841" width="9" style="18" customWidth="1"/>
    <col min="3842" max="3842" width="8.33203125" style="18" customWidth="1"/>
    <col min="3843" max="3845" width="8.5" style="18" bestFit="1" customWidth="1"/>
    <col min="3846" max="3846" width="10" style="18" bestFit="1" customWidth="1"/>
    <col min="3847" max="3847" width="8.1640625" style="18" bestFit="1" customWidth="1"/>
    <col min="3848" max="3849" width="8.5" style="18" bestFit="1" customWidth="1"/>
    <col min="3850" max="3850" width="6" style="18" bestFit="1" customWidth="1"/>
    <col min="3851" max="3851" width="8.83203125" style="18" customWidth="1"/>
    <col min="3852" max="3852" width="8.5" style="18" bestFit="1" customWidth="1"/>
    <col min="3853" max="3853" width="7.1640625" style="18" bestFit="1" customWidth="1"/>
    <col min="3854" max="3854" width="4.5" style="18" bestFit="1" customWidth="1"/>
    <col min="3855" max="3855" width="5.5" style="18" bestFit="1" customWidth="1"/>
    <col min="3856" max="3858" width="6.1640625" style="18" bestFit="1" customWidth="1"/>
    <col min="3859" max="3859" width="7.1640625" style="18" bestFit="1" customWidth="1"/>
    <col min="3860" max="3869" width="8.83203125" style="18" customWidth="1"/>
    <col min="3870" max="3870" width="10" style="18" bestFit="1" customWidth="1"/>
    <col min="3871" max="4094" width="8.83203125" style="18" customWidth="1"/>
    <col min="4095" max="4095" width="7.83203125" style="18" customWidth="1"/>
    <col min="4096" max="4096" width="7.5" style="18" customWidth="1"/>
    <col min="4097" max="4097" width="9" style="18" customWidth="1"/>
    <col min="4098" max="4098" width="8.33203125" style="18" customWidth="1"/>
    <col min="4099" max="4101" width="8.5" style="18" bestFit="1" customWidth="1"/>
    <col min="4102" max="4102" width="10" style="18" bestFit="1" customWidth="1"/>
    <col min="4103" max="4103" width="8.1640625" style="18" bestFit="1" customWidth="1"/>
    <col min="4104" max="4105" width="8.5" style="18" bestFit="1" customWidth="1"/>
    <col min="4106" max="4106" width="6" style="18" bestFit="1" customWidth="1"/>
    <col min="4107" max="4107" width="8.83203125" style="18" customWidth="1"/>
    <col min="4108" max="4108" width="8.5" style="18" bestFit="1" customWidth="1"/>
    <col min="4109" max="4109" width="7.1640625" style="18" bestFit="1" customWidth="1"/>
    <col min="4110" max="4110" width="4.5" style="18" bestFit="1" customWidth="1"/>
    <col min="4111" max="4111" width="5.5" style="18" bestFit="1" customWidth="1"/>
    <col min="4112" max="4114" width="6.1640625" style="18" bestFit="1" customWidth="1"/>
    <col min="4115" max="4115" width="7.1640625" style="18" bestFit="1" customWidth="1"/>
    <col min="4116" max="4125" width="8.83203125" style="18" customWidth="1"/>
    <col min="4126" max="4126" width="10" style="18" bestFit="1" customWidth="1"/>
    <col min="4127" max="4350" width="8.83203125" style="18" customWidth="1"/>
    <col min="4351" max="4351" width="7.83203125" style="18" customWidth="1"/>
    <col min="4352" max="4352" width="7.5" style="18" customWidth="1"/>
    <col min="4353" max="4353" width="9" style="18" customWidth="1"/>
    <col min="4354" max="4354" width="8.33203125" style="18" customWidth="1"/>
    <col min="4355" max="4357" width="8.5" style="18" bestFit="1" customWidth="1"/>
    <col min="4358" max="4358" width="10" style="18" bestFit="1" customWidth="1"/>
    <col min="4359" max="4359" width="8.1640625" style="18" bestFit="1" customWidth="1"/>
    <col min="4360" max="4361" width="8.5" style="18" bestFit="1" customWidth="1"/>
    <col min="4362" max="4362" width="6" style="18" bestFit="1" customWidth="1"/>
    <col min="4363" max="4363" width="8.83203125" style="18" customWidth="1"/>
    <col min="4364" max="4364" width="8.5" style="18" bestFit="1" customWidth="1"/>
    <col min="4365" max="4365" width="7.1640625" style="18" bestFit="1" customWidth="1"/>
    <col min="4366" max="4366" width="4.5" style="18" bestFit="1" customWidth="1"/>
    <col min="4367" max="4367" width="5.5" style="18" bestFit="1" customWidth="1"/>
    <col min="4368" max="4370" width="6.1640625" style="18" bestFit="1" customWidth="1"/>
    <col min="4371" max="4371" width="7.1640625" style="18" bestFit="1" customWidth="1"/>
    <col min="4372" max="4381" width="8.83203125" style="18" customWidth="1"/>
    <col min="4382" max="4382" width="10" style="18" bestFit="1" customWidth="1"/>
    <col min="4383" max="4606" width="8.83203125" style="18" customWidth="1"/>
    <col min="4607" max="4607" width="7.83203125" style="18" customWidth="1"/>
    <col min="4608" max="4608" width="7.5" style="18" customWidth="1"/>
    <col min="4609" max="4609" width="9" style="18" customWidth="1"/>
    <col min="4610" max="4610" width="8.33203125" style="18" customWidth="1"/>
    <col min="4611" max="4613" width="8.5" style="18" bestFit="1" customWidth="1"/>
    <col min="4614" max="4614" width="10" style="18" bestFit="1" customWidth="1"/>
    <col min="4615" max="4615" width="8.1640625" style="18" bestFit="1" customWidth="1"/>
    <col min="4616" max="4617" width="8.5" style="18" bestFit="1" customWidth="1"/>
    <col min="4618" max="4618" width="6" style="18" bestFit="1" customWidth="1"/>
    <col min="4619" max="4619" width="8.83203125" style="18" customWidth="1"/>
    <col min="4620" max="4620" width="8.5" style="18" bestFit="1" customWidth="1"/>
    <col min="4621" max="4621" width="7.1640625" style="18" bestFit="1" customWidth="1"/>
    <col min="4622" max="4622" width="4.5" style="18" bestFit="1" customWidth="1"/>
    <col min="4623" max="4623" width="5.5" style="18" bestFit="1" customWidth="1"/>
    <col min="4624" max="4626" width="6.1640625" style="18" bestFit="1" customWidth="1"/>
    <col min="4627" max="4627" width="7.1640625" style="18" bestFit="1" customWidth="1"/>
    <col min="4628" max="4637" width="8.83203125" style="18" customWidth="1"/>
    <col min="4638" max="4638" width="10" style="18" bestFit="1" customWidth="1"/>
    <col min="4639" max="4862" width="8.83203125" style="18" customWidth="1"/>
    <col min="4863" max="4863" width="7.83203125" style="18" customWidth="1"/>
    <col min="4864" max="4864" width="7.5" style="18" customWidth="1"/>
    <col min="4865" max="4865" width="9" style="18" customWidth="1"/>
    <col min="4866" max="4866" width="8.33203125" style="18" customWidth="1"/>
    <col min="4867" max="4869" width="8.5" style="18" bestFit="1" customWidth="1"/>
    <col min="4870" max="4870" width="10" style="18" bestFit="1" customWidth="1"/>
    <col min="4871" max="4871" width="8.1640625" style="18" bestFit="1" customWidth="1"/>
    <col min="4872" max="4873" width="8.5" style="18" bestFit="1" customWidth="1"/>
    <col min="4874" max="4874" width="6" style="18" bestFit="1" customWidth="1"/>
    <col min="4875" max="4875" width="8.83203125" style="18" customWidth="1"/>
    <col min="4876" max="4876" width="8.5" style="18" bestFit="1" customWidth="1"/>
    <col min="4877" max="4877" width="7.1640625" style="18" bestFit="1" customWidth="1"/>
    <col min="4878" max="4878" width="4.5" style="18" bestFit="1" customWidth="1"/>
    <col min="4879" max="4879" width="5.5" style="18" bestFit="1" customWidth="1"/>
    <col min="4880" max="4882" width="6.1640625" style="18" bestFit="1" customWidth="1"/>
    <col min="4883" max="4883" width="7.1640625" style="18" bestFit="1" customWidth="1"/>
    <col min="4884" max="4893" width="8.83203125" style="18" customWidth="1"/>
    <col min="4894" max="4894" width="10" style="18" bestFit="1" customWidth="1"/>
    <col min="4895" max="5118" width="8.83203125" style="18" customWidth="1"/>
    <col min="5119" max="5119" width="7.83203125" style="18" customWidth="1"/>
    <col min="5120" max="5120" width="7.5" style="18" customWidth="1"/>
    <col min="5121" max="5121" width="9" style="18" customWidth="1"/>
    <col min="5122" max="5122" width="8.33203125" style="18" customWidth="1"/>
    <col min="5123" max="5125" width="8.5" style="18" bestFit="1" customWidth="1"/>
    <col min="5126" max="5126" width="10" style="18" bestFit="1" customWidth="1"/>
    <col min="5127" max="5127" width="8.1640625" style="18" bestFit="1" customWidth="1"/>
    <col min="5128" max="5129" width="8.5" style="18" bestFit="1" customWidth="1"/>
    <col min="5130" max="5130" width="6" style="18" bestFit="1" customWidth="1"/>
    <col min="5131" max="5131" width="8.83203125" style="18" customWidth="1"/>
    <col min="5132" max="5132" width="8.5" style="18" bestFit="1" customWidth="1"/>
    <col min="5133" max="5133" width="7.1640625" style="18" bestFit="1" customWidth="1"/>
    <col min="5134" max="5134" width="4.5" style="18" bestFit="1" customWidth="1"/>
    <col min="5135" max="5135" width="5.5" style="18" bestFit="1" customWidth="1"/>
    <col min="5136" max="5138" width="6.1640625" style="18" bestFit="1" customWidth="1"/>
    <col min="5139" max="5139" width="7.1640625" style="18" bestFit="1" customWidth="1"/>
    <col min="5140" max="5149" width="8.83203125" style="18" customWidth="1"/>
    <col min="5150" max="5150" width="10" style="18" bestFit="1" customWidth="1"/>
    <col min="5151" max="5374" width="8.83203125" style="18" customWidth="1"/>
    <col min="5375" max="5375" width="7.83203125" style="18" customWidth="1"/>
    <col min="5376" max="5376" width="7.5" style="18" customWidth="1"/>
    <col min="5377" max="5377" width="9" style="18" customWidth="1"/>
    <col min="5378" max="5378" width="8.33203125" style="18" customWidth="1"/>
    <col min="5379" max="5381" width="8.5" style="18" bestFit="1" customWidth="1"/>
    <col min="5382" max="5382" width="10" style="18" bestFit="1" customWidth="1"/>
    <col min="5383" max="5383" width="8.1640625" style="18" bestFit="1" customWidth="1"/>
    <col min="5384" max="5385" width="8.5" style="18" bestFit="1" customWidth="1"/>
    <col min="5386" max="5386" width="6" style="18" bestFit="1" customWidth="1"/>
    <col min="5387" max="5387" width="8.83203125" style="18" customWidth="1"/>
    <col min="5388" max="5388" width="8.5" style="18" bestFit="1" customWidth="1"/>
    <col min="5389" max="5389" width="7.1640625" style="18" bestFit="1" customWidth="1"/>
    <col min="5390" max="5390" width="4.5" style="18" bestFit="1" customWidth="1"/>
    <col min="5391" max="5391" width="5.5" style="18" bestFit="1" customWidth="1"/>
    <col min="5392" max="5394" width="6.1640625" style="18" bestFit="1" customWidth="1"/>
    <col min="5395" max="5395" width="7.1640625" style="18" bestFit="1" customWidth="1"/>
    <col min="5396" max="5405" width="8.83203125" style="18" customWidth="1"/>
    <col min="5406" max="5406" width="10" style="18" bestFit="1" customWidth="1"/>
    <col min="5407" max="5630" width="8.83203125" style="18" customWidth="1"/>
    <col min="5631" max="5631" width="7.83203125" style="18" customWidth="1"/>
    <col min="5632" max="5632" width="7.5" style="18" customWidth="1"/>
    <col min="5633" max="5633" width="9" style="18" customWidth="1"/>
    <col min="5634" max="5634" width="8.33203125" style="18" customWidth="1"/>
    <col min="5635" max="5637" width="8.5" style="18" bestFit="1" customWidth="1"/>
    <col min="5638" max="5638" width="10" style="18" bestFit="1" customWidth="1"/>
    <col min="5639" max="5639" width="8.1640625" style="18" bestFit="1" customWidth="1"/>
    <col min="5640" max="5641" width="8.5" style="18" bestFit="1" customWidth="1"/>
    <col min="5642" max="5642" width="6" style="18" bestFit="1" customWidth="1"/>
    <col min="5643" max="5643" width="8.83203125" style="18" customWidth="1"/>
    <col min="5644" max="5644" width="8.5" style="18" bestFit="1" customWidth="1"/>
    <col min="5645" max="5645" width="7.1640625" style="18" bestFit="1" customWidth="1"/>
    <col min="5646" max="5646" width="4.5" style="18" bestFit="1" customWidth="1"/>
    <col min="5647" max="5647" width="5.5" style="18" bestFit="1" customWidth="1"/>
    <col min="5648" max="5650" width="6.1640625" style="18" bestFit="1" customWidth="1"/>
    <col min="5651" max="5651" width="7.1640625" style="18" bestFit="1" customWidth="1"/>
    <col min="5652" max="5661" width="8.83203125" style="18" customWidth="1"/>
    <col min="5662" max="5662" width="10" style="18" bestFit="1" customWidth="1"/>
    <col min="5663" max="5886" width="8.83203125" style="18" customWidth="1"/>
    <col min="5887" max="5887" width="7.83203125" style="18" customWidth="1"/>
    <col min="5888" max="5888" width="7.5" style="18" customWidth="1"/>
    <col min="5889" max="5889" width="9" style="18" customWidth="1"/>
    <col min="5890" max="5890" width="8.33203125" style="18" customWidth="1"/>
    <col min="5891" max="5893" width="8.5" style="18" bestFit="1" customWidth="1"/>
    <col min="5894" max="5894" width="10" style="18" bestFit="1" customWidth="1"/>
    <col min="5895" max="5895" width="8.1640625" style="18" bestFit="1" customWidth="1"/>
    <col min="5896" max="5897" width="8.5" style="18" bestFit="1" customWidth="1"/>
    <col min="5898" max="5898" width="6" style="18" bestFit="1" customWidth="1"/>
    <col min="5899" max="5899" width="8.83203125" style="18" customWidth="1"/>
    <col min="5900" max="5900" width="8.5" style="18" bestFit="1" customWidth="1"/>
    <col min="5901" max="5901" width="7.1640625" style="18" bestFit="1" customWidth="1"/>
    <col min="5902" max="5902" width="4.5" style="18" bestFit="1" customWidth="1"/>
    <col min="5903" max="5903" width="5.5" style="18" bestFit="1" customWidth="1"/>
    <col min="5904" max="5906" width="6.1640625" style="18" bestFit="1" customWidth="1"/>
    <col min="5907" max="5907" width="7.1640625" style="18" bestFit="1" customWidth="1"/>
    <col min="5908" max="5917" width="8.83203125" style="18" customWidth="1"/>
    <col min="5918" max="5918" width="10" style="18" bestFit="1" customWidth="1"/>
    <col min="5919" max="6142" width="8.83203125" style="18" customWidth="1"/>
    <col min="6143" max="6143" width="7.83203125" style="18" customWidth="1"/>
    <col min="6144" max="6144" width="7.5" style="18" customWidth="1"/>
    <col min="6145" max="6145" width="9" style="18" customWidth="1"/>
    <col min="6146" max="6146" width="8.33203125" style="18" customWidth="1"/>
    <col min="6147" max="6149" width="8.5" style="18" bestFit="1" customWidth="1"/>
    <col min="6150" max="6150" width="10" style="18" bestFit="1" customWidth="1"/>
    <col min="6151" max="6151" width="8.1640625" style="18" bestFit="1" customWidth="1"/>
    <col min="6152" max="6153" width="8.5" style="18" bestFit="1" customWidth="1"/>
    <col min="6154" max="6154" width="6" style="18" bestFit="1" customWidth="1"/>
    <col min="6155" max="6155" width="8.83203125" style="18" customWidth="1"/>
    <col min="6156" max="6156" width="8.5" style="18" bestFit="1" customWidth="1"/>
    <col min="6157" max="6157" width="7.1640625" style="18" bestFit="1" customWidth="1"/>
    <col min="6158" max="6158" width="4.5" style="18" bestFit="1" customWidth="1"/>
    <col min="6159" max="6159" width="5.5" style="18" bestFit="1" customWidth="1"/>
    <col min="6160" max="6162" width="6.1640625" style="18" bestFit="1" customWidth="1"/>
    <col min="6163" max="6163" width="7.1640625" style="18" bestFit="1" customWidth="1"/>
    <col min="6164" max="6173" width="8.83203125" style="18" customWidth="1"/>
    <col min="6174" max="6174" width="10" style="18" bestFit="1" customWidth="1"/>
    <col min="6175" max="6398" width="8.83203125" style="18" customWidth="1"/>
    <col min="6399" max="6399" width="7.83203125" style="18" customWidth="1"/>
    <col min="6400" max="6400" width="7.5" style="18" customWidth="1"/>
    <col min="6401" max="6401" width="9" style="18" customWidth="1"/>
    <col min="6402" max="6402" width="8.33203125" style="18" customWidth="1"/>
    <col min="6403" max="6405" width="8.5" style="18" bestFit="1" customWidth="1"/>
    <col min="6406" max="6406" width="10" style="18" bestFit="1" customWidth="1"/>
    <col min="6407" max="6407" width="8.1640625" style="18" bestFit="1" customWidth="1"/>
    <col min="6408" max="6409" width="8.5" style="18" bestFit="1" customWidth="1"/>
    <col min="6410" max="6410" width="6" style="18" bestFit="1" customWidth="1"/>
    <col min="6411" max="6411" width="8.83203125" style="18" customWidth="1"/>
    <col min="6412" max="6412" width="8.5" style="18" bestFit="1" customWidth="1"/>
    <col min="6413" max="6413" width="7.1640625" style="18" bestFit="1" customWidth="1"/>
    <col min="6414" max="6414" width="4.5" style="18" bestFit="1" customWidth="1"/>
    <col min="6415" max="6415" width="5.5" style="18" bestFit="1" customWidth="1"/>
    <col min="6416" max="6418" width="6.1640625" style="18" bestFit="1" customWidth="1"/>
    <col min="6419" max="6419" width="7.1640625" style="18" bestFit="1" customWidth="1"/>
    <col min="6420" max="6429" width="8.83203125" style="18" customWidth="1"/>
    <col min="6430" max="6430" width="10" style="18" bestFit="1" customWidth="1"/>
    <col min="6431" max="6654" width="8.83203125" style="18" customWidth="1"/>
    <col min="6655" max="6655" width="7.83203125" style="18" customWidth="1"/>
    <col min="6656" max="6656" width="7.5" style="18" customWidth="1"/>
    <col min="6657" max="6657" width="9" style="18" customWidth="1"/>
    <col min="6658" max="6658" width="8.33203125" style="18" customWidth="1"/>
    <col min="6659" max="6661" width="8.5" style="18" bestFit="1" customWidth="1"/>
    <col min="6662" max="6662" width="10" style="18" bestFit="1" customWidth="1"/>
    <col min="6663" max="6663" width="8.1640625" style="18" bestFit="1" customWidth="1"/>
    <col min="6664" max="6665" width="8.5" style="18" bestFit="1" customWidth="1"/>
    <col min="6666" max="6666" width="6" style="18" bestFit="1" customWidth="1"/>
    <col min="6667" max="6667" width="8.83203125" style="18" customWidth="1"/>
    <col min="6668" max="6668" width="8.5" style="18" bestFit="1" customWidth="1"/>
    <col min="6669" max="6669" width="7.1640625" style="18" bestFit="1" customWidth="1"/>
    <col min="6670" max="6670" width="4.5" style="18" bestFit="1" customWidth="1"/>
    <col min="6671" max="6671" width="5.5" style="18" bestFit="1" customWidth="1"/>
    <col min="6672" max="6674" width="6.1640625" style="18" bestFit="1" customWidth="1"/>
    <col min="6675" max="6675" width="7.1640625" style="18" bestFit="1" customWidth="1"/>
    <col min="6676" max="6685" width="8.83203125" style="18" customWidth="1"/>
    <col min="6686" max="6686" width="10" style="18" bestFit="1" customWidth="1"/>
    <col min="6687" max="6910" width="8.83203125" style="18" customWidth="1"/>
    <col min="6911" max="6911" width="7.83203125" style="18" customWidth="1"/>
    <col min="6912" max="6912" width="7.5" style="18" customWidth="1"/>
    <col min="6913" max="6913" width="9" style="18" customWidth="1"/>
    <col min="6914" max="6914" width="8.33203125" style="18" customWidth="1"/>
    <col min="6915" max="6917" width="8.5" style="18" bestFit="1" customWidth="1"/>
    <col min="6918" max="6918" width="10" style="18" bestFit="1" customWidth="1"/>
    <col min="6919" max="6919" width="8.1640625" style="18" bestFit="1" customWidth="1"/>
    <col min="6920" max="6921" width="8.5" style="18" bestFit="1" customWidth="1"/>
    <col min="6922" max="6922" width="6" style="18" bestFit="1" customWidth="1"/>
    <col min="6923" max="6923" width="8.83203125" style="18" customWidth="1"/>
    <col min="6924" max="6924" width="8.5" style="18" bestFit="1" customWidth="1"/>
    <col min="6925" max="6925" width="7.1640625" style="18" bestFit="1" customWidth="1"/>
    <col min="6926" max="6926" width="4.5" style="18" bestFit="1" customWidth="1"/>
    <col min="6927" max="6927" width="5.5" style="18" bestFit="1" customWidth="1"/>
    <col min="6928" max="6930" width="6.1640625" style="18" bestFit="1" customWidth="1"/>
    <col min="6931" max="6931" width="7.1640625" style="18" bestFit="1" customWidth="1"/>
    <col min="6932" max="6941" width="8.83203125" style="18" customWidth="1"/>
    <col min="6942" max="6942" width="10" style="18" bestFit="1" customWidth="1"/>
    <col min="6943" max="7166" width="8.83203125" style="18" customWidth="1"/>
    <col min="7167" max="7167" width="7.83203125" style="18" customWidth="1"/>
    <col min="7168" max="7168" width="7.5" style="18" customWidth="1"/>
    <col min="7169" max="7169" width="9" style="18" customWidth="1"/>
    <col min="7170" max="7170" width="8.33203125" style="18" customWidth="1"/>
    <col min="7171" max="7173" width="8.5" style="18" bestFit="1" customWidth="1"/>
    <col min="7174" max="7174" width="10" style="18" bestFit="1" customWidth="1"/>
    <col min="7175" max="7175" width="8.1640625" style="18" bestFit="1" customWidth="1"/>
    <col min="7176" max="7177" width="8.5" style="18" bestFit="1" customWidth="1"/>
    <col min="7178" max="7178" width="6" style="18" bestFit="1" customWidth="1"/>
    <col min="7179" max="7179" width="8.83203125" style="18" customWidth="1"/>
    <col min="7180" max="7180" width="8.5" style="18" bestFit="1" customWidth="1"/>
    <col min="7181" max="7181" width="7.1640625" style="18" bestFit="1" customWidth="1"/>
    <col min="7182" max="7182" width="4.5" style="18" bestFit="1" customWidth="1"/>
    <col min="7183" max="7183" width="5.5" style="18" bestFit="1" customWidth="1"/>
    <col min="7184" max="7186" width="6.1640625" style="18" bestFit="1" customWidth="1"/>
    <col min="7187" max="7187" width="7.1640625" style="18" bestFit="1" customWidth="1"/>
    <col min="7188" max="7197" width="8.83203125" style="18" customWidth="1"/>
    <col min="7198" max="7198" width="10" style="18" bestFit="1" customWidth="1"/>
    <col min="7199" max="7422" width="8.83203125" style="18" customWidth="1"/>
    <col min="7423" max="7423" width="7.83203125" style="18" customWidth="1"/>
    <col min="7424" max="7424" width="7.5" style="18" customWidth="1"/>
    <col min="7425" max="7425" width="9" style="18" customWidth="1"/>
    <col min="7426" max="7426" width="8.33203125" style="18" customWidth="1"/>
    <col min="7427" max="7429" width="8.5" style="18" bestFit="1" customWidth="1"/>
    <col min="7430" max="7430" width="10" style="18" bestFit="1" customWidth="1"/>
    <col min="7431" max="7431" width="8.1640625" style="18" bestFit="1" customWidth="1"/>
    <col min="7432" max="7433" width="8.5" style="18" bestFit="1" customWidth="1"/>
    <col min="7434" max="7434" width="6" style="18" bestFit="1" customWidth="1"/>
    <col min="7435" max="7435" width="8.83203125" style="18" customWidth="1"/>
    <col min="7436" max="7436" width="8.5" style="18" bestFit="1" customWidth="1"/>
    <col min="7437" max="7437" width="7.1640625" style="18" bestFit="1" customWidth="1"/>
    <col min="7438" max="7438" width="4.5" style="18" bestFit="1" customWidth="1"/>
    <col min="7439" max="7439" width="5.5" style="18" bestFit="1" customWidth="1"/>
    <col min="7440" max="7442" width="6.1640625" style="18" bestFit="1" customWidth="1"/>
    <col min="7443" max="7443" width="7.1640625" style="18" bestFit="1" customWidth="1"/>
    <col min="7444" max="7453" width="8.83203125" style="18" customWidth="1"/>
    <col min="7454" max="7454" width="10" style="18" bestFit="1" customWidth="1"/>
    <col min="7455" max="7678" width="8.83203125" style="18" customWidth="1"/>
    <col min="7679" max="7679" width="7.83203125" style="18" customWidth="1"/>
    <col min="7680" max="7680" width="7.5" style="18" customWidth="1"/>
    <col min="7681" max="7681" width="9" style="18" customWidth="1"/>
    <col min="7682" max="7682" width="8.33203125" style="18" customWidth="1"/>
    <col min="7683" max="7685" width="8.5" style="18" bestFit="1" customWidth="1"/>
    <col min="7686" max="7686" width="10" style="18" bestFit="1" customWidth="1"/>
    <col min="7687" max="7687" width="8.1640625" style="18" bestFit="1" customWidth="1"/>
    <col min="7688" max="7689" width="8.5" style="18" bestFit="1" customWidth="1"/>
    <col min="7690" max="7690" width="6" style="18" bestFit="1" customWidth="1"/>
    <col min="7691" max="7691" width="8.83203125" style="18" customWidth="1"/>
    <col min="7692" max="7692" width="8.5" style="18" bestFit="1" customWidth="1"/>
    <col min="7693" max="7693" width="7.1640625" style="18" bestFit="1" customWidth="1"/>
    <col min="7694" max="7694" width="4.5" style="18" bestFit="1" customWidth="1"/>
    <col min="7695" max="7695" width="5.5" style="18" bestFit="1" customWidth="1"/>
    <col min="7696" max="7698" width="6.1640625" style="18" bestFit="1" customWidth="1"/>
    <col min="7699" max="7699" width="7.1640625" style="18" bestFit="1" customWidth="1"/>
    <col min="7700" max="7709" width="8.83203125" style="18" customWidth="1"/>
    <col min="7710" max="7710" width="10" style="18" bestFit="1" customWidth="1"/>
    <col min="7711" max="7934" width="8.83203125" style="18" customWidth="1"/>
    <col min="7935" max="7935" width="7.83203125" style="18" customWidth="1"/>
    <col min="7936" max="7936" width="7.5" style="18" customWidth="1"/>
    <col min="7937" max="7937" width="9" style="18" customWidth="1"/>
    <col min="7938" max="7938" width="8.33203125" style="18" customWidth="1"/>
    <col min="7939" max="7941" width="8.5" style="18" bestFit="1" customWidth="1"/>
    <col min="7942" max="7942" width="10" style="18" bestFit="1" customWidth="1"/>
    <col min="7943" max="7943" width="8.1640625" style="18" bestFit="1" customWidth="1"/>
    <col min="7944" max="7945" width="8.5" style="18" bestFit="1" customWidth="1"/>
    <col min="7946" max="7946" width="6" style="18" bestFit="1" customWidth="1"/>
    <col min="7947" max="7947" width="8.83203125" style="18" customWidth="1"/>
    <col min="7948" max="7948" width="8.5" style="18" bestFit="1" customWidth="1"/>
    <col min="7949" max="7949" width="7.1640625" style="18" bestFit="1" customWidth="1"/>
    <col min="7950" max="7950" width="4.5" style="18" bestFit="1" customWidth="1"/>
    <col min="7951" max="7951" width="5.5" style="18" bestFit="1" customWidth="1"/>
    <col min="7952" max="7954" width="6.1640625" style="18" bestFit="1" customWidth="1"/>
    <col min="7955" max="7955" width="7.1640625" style="18" bestFit="1" customWidth="1"/>
    <col min="7956" max="7965" width="8.83203125" style="18" customWidth="1"/>
    <col min="7966" max="7966" width="10" style="18" bestFit="1" customWidth="1"/>
    <col min="7967" max="8190" width="8.83203125" style="18" customWidth="1"/>
    <col min="8191" max="8191" width="7.83203125" style="18" customWidth="1"/>
    <col min="8192" max="8192" width="7.5" style="18" customWidth="1"/>
    <col min="8193" max="8193" width="9" style="18" customWidth="1"/>
    <col min="8194" max="8194" width="8.33203125" style="18" customWidth="1"/>
    <col min="8195" max="8197" width="8.5" style="18" bestFit="1" customWidth="1"/>
    <col min="8198" max="8198" width="10" style="18" bestFit="1" customWidth="1"/>
    <col min="8199" max="8199" width="8.1640625" style="18" bestFit="1" customWidth="1"/>
    <col min="8200" max="8201" width="8.5" style="18" bestFit="1" customWidth="1"/>
    <col min="8202" max="8202" width="6" style="18" bestFit="1" customWidth="1"/>
    <col min="8203" max="8203" width="8.83203125" style="18" customWidth="1"/>
    <col min="8204" max="8204" width="8.5" style="18" bestFit="1" customWidth="1"/>
    <col min="8205" max="8205" width="7.1640625" style="18" bestFit="1" customWidth="1"/>
    <col min="8206" max="8206" width="4.5" style="18" bestFit="1" customWidth="1"/>
    <col min="8207" max="8207" width="5.5" style="18" bestFit="1" customWidth="1"/>
    <col min="8208" max="8210" width="6.1640625" style="18" bestFit="1" customWidth="1"/>
    <col min="8211" max="8211" width="7.1640625" style="18" bestFit="1" customWidth="1"/>
    <col min="8212" max="8221" width="8.83203125" style="18" customWidth="1"/>
    <col min="8222" max="8222" width="10" style="18" bestFit="1" customWidth="1"/>
    <col min="8223" max="8446" width="8.83203125" style="18" customWidth="1"/>
    <col min="8447" max="8447" width="7.83203125" style="18" customWidth="1"/>
    <col min="8448" max="8448" width="7.5" style="18" customWidth="1"/>
    <col min="8449" max="8449" width="9" style="18" customWidth="1"/>
    <col min="8450" max="8450" width="8.33203125" style="18" customWidth="1"/>
    <col min="8451" max="8453" width="8.5" style="18" bestFit="1" customWidth="1"/>
    <col min="8454" max="8454" width="10" style="18" bestFit="1" customWidth="1"/>
    <col min="8455" max="8455" width="8.1640625" style="18" bestFit="1" customWidth="1"/>
    <col min="8456" max="8457" width="8.5" style="18" bestFit="1" customWidth="1"/>
    <col min="8458" max="8458" width="6" style="18" bestFit="1" customWidth="1"/>
    <col min="8459" max="8459" width="8.83203125" style="18" customWidth="1"/>
    <col min="8460" max="8460" width="8.5" style="18" bestFit="1" customWidth="1"/>
    <col min="8461" max="8461" width="7.1640625" style="18" bestFit="1" customWidth="1"/>
    <col min="8462" max="8462" width="4.5" style="18" bestFit="1" customWidth="1"/>
    <col min="8463" max="8463" width="5.5" style="18" bestFit="1" customWidth="1"/>
    <col min="8464" max="8466" width="6.1640625" style="18" bestFit="1" customWidth="1"/>
    <col min="8467" max="8467" width="7.1640625" style="18" bestFit="1" customWidth="1"/>
    <col min="8468" max="8477" width="8.83203125" style="18" customWidth="1"/>
    <col min="8478" max="8478" width="10" style="18" bestFit="1" customWidth="1"/>
    <col min="8479" max="8702" width="8.83203125" style="18" customWidth="1"/>
    <col min="8703" max="8703" width="7.83203125" style="18" customWidth="1"/>
    <col min="8704" max="8704" width="7.5" style="18" customWidth="1"/>
    <col min="8705" max="8705" width="9" style="18" customWidth="1"/>
    <col min="8706" max="8706" width="8.33203125" style="18" customWidth="1"/>
    <col min="8707" max="8709" width="8.5" style="18" bestFit="1" customWidth="1"/>
    <col min="8710" max="8710" width="10" style="18" bestFit="1" customWidth="1"/>
    <col min="8711" max="8711" width="8.1640625" style="18" bestFit="1" customWidth="1"/>
    <col min="8712" max="8713" width="8.5" style="18" bestFit="1" customWidth="1"/>
    <col min="8714" max="8714" width="6" style="18" bestFit="1" customWidth="1"/>
    <col min="8715" max="8715" width="8.83203125" style="18" customWidth="1"/>
    <col min="8716" max="8716" width="8.5" style="18" bestFit="1" customWidth="1"/>
    <col min="8717" max="8717" width="7.1640625" style="18" bestFit="1" customWidth="1"/>
    <col min="8718" max="8718" width="4.5" style="18" bestFit="1" customWidth="1"/>
    <col min="8719" max="8719" width="5.5" style="18" bestFit="1" customWidth="1"/>
    <col min="8720" max="8722" width="6.1640625" style="18" bestFit="1" customWidth="1"/>
    <col min="8723" max="8723" width="7.1640625" style="18" bestFit="1" customWidth="1"/>
    <col min="8724" max="8733" width="8.83203125" style="18" customWidth="1"/>
    <col min="8734" max="8734" width="10" style="18" bestFit="1" customWidth="1"/>
    <col min="8735" max="8958" width="8.83203125" style="18" customWidth="1"/>
    <col min="8959" max="8959" width="7.83203125" style="18" customWidth="1"/>
    <col min="8960" max="8960" width="7.5" style="18" customWidth="1"/>
    <col min="8961" max="8961" width="9" style="18" customWidth="1"/>
    <col min="8962" max="8962" width="8.33203125" style="18" customWidth="1"/>
    <col min="8963" max="8965" width="8.5" style="18" bestFit="1" customWidth="1"/>
    <col min="8966" max="8966" width="10" style="18" bestFit="1" customWidth="1"/>
    <col min="8967" max="8967" width="8.1640625" style="18" bestFit="1" customWidth="1"/>
    <col min="8968" max="8969" width="8.5" style="18" bestFit="1" customWidth="1"/>
    <col min="8970" max="8970" width="6" style="18" bestFit="1" customWidth="1"/>
    <col min="8971" max="8971" width="8.83203125" style="18" customWidth="1"/>
    <col min="8972" max="8972" width="8.5" style="18" bestFit="1" customWidth="1"/>
    <col min="8973" max="8973" width="7.1640625" style="18" bestFit="1" customWidth="1"/>
    <col min="8974" max="8974" width="4.5" style="18" bestFit="1" customWidth="1"/>
    <col min="8975" max="8975" width="5.5" style="18" bestFit="1" customWidth="1"/>
    <col min="8976" max="8978" width="6.1640625" style="18" bestFit="1" customWidth="1"/>
    <col min="8979" max="8979" width="7.1640625" style="18" bestFit="1" customWidth="1"/>
    <col min="8980" max="8989" width="8.83203125" style="18" customWidth="1"/>
    <col min="8990" max="8990" width="10" style="18" bestFit="1" customWidth="1"/>
    <col min="8991" max="9214" width="8.83203125" style="18" customWidth="1"/>
    <col min="9215" max="9215" width="7.83203125" style="18" customWidth="1"/>
    <col min="9216" max="9216" width="7.5" style="18" customWidth="1"/>
    <col min="9217" max="9217" width="9" style="18" customWidth="1"/>
    <col min="9218" max="9218" width="8.33203125" style="18" customWidth="1"/>
    <col min="9219" max="9221" width="8.5" style="18" bestFit="1" customWidth="1"/>
    <col min="9222" max="9222" width="10" style="18" bestFit="1" customWidth="1"/>
    <col min="9223" max="9223" width="8.1640625" style="18" bestFit="1" customWidth="1"/>
    <col min="9224" max="9225" width="8.5" style="18" bestFit="1" customWidth="1"/>
    <col min="9226" max="9226" width="6" style="18" bestFit="1" customWidth="1"/>
    <col min="9227" max="9227" width="8.83203125" style="18" customWidth="1"/>
    <col min="9228" max="9228" width="8.5" style="18" bestFit="1" customWidth="1"/>
    <col min="9229" max="9229" width="7.1640625" style="18" bestFit="1" customWidth="1"/>
    <col min="9230" max="9230" width="4.5" style="18" bestFit="1" customWidth="1"/>
    <col min="9231" max="9231" width="5.5" style="18" bestFit="1" customWidth="1"/>
    <col min="9232" max="9234" width="6.1640625" style="18" bestFit="1" customWidth="1"/>
    <col min="9235" max="9235" width="7.1640625" style="18" bestFit="1" customWidth="1"/>
    <col min="9236" max="9245" width="8.83203125" style="18" customWidth="1"/>
    <col min="9246" max="9246" width="10" style="18" bestFit="1" customWidth="1"/>
    <col min="9247" max="9470" width="8.83203125" style="18" customWidth="1"/>
    <col min="9471" max="9471" width="7.83203125" style="18" customWidth="1"/>
    <col min="9472" max="9472" width="7.5" style="18" customWidth="1"/>
    <col min="9473" max="9473" width="9" style="18" customWidth="1"/>
    <col min="9474" max="9474" width="8.33203125" style="18" customWidth="1"/>
    <col min="9475" max="9477" width="8.5" style="18" bestFit="1" customWidth="1"/>
    <col min="9478" max="9478" width="10" style="18" bestFit="1" customWidth="1"/>
    <col min="9479" max="9479" width="8.1640625" style="18" bestFit="1" customWidth="1"/>
    <col min="9480" max="9481" width="8.5" style="18" bestFit="1" customWidth="1"/>
    <col min="9482" max="9482" width="6" style="18" bestFit="1" customWidth="1"/>
    <col min="9483" max="9483" width="8.83203125" style="18" customWidth="1"/>
    <col min="9484" max="9484" width="8.5" style="18" bestFit="1" customWidth="1"/>
    <col min="9485" max="9485" width="7.1640625" style="18" bestFit="1" customWidth="1"/>
    <col min="9486" max="9486" width="4.5" style="18" bestFit="1" customWidth="1"/>
    <col min="9487" max="9487" width="5.5" style="18" bestFit="1" customWidth="1"/>
    <col min="9488" max="9490" width="6.1640625" style="18" bestFit="1" customWidth="1"/>
    <col min="9491" max="9491" width="7.1640625" style="18" bestFit="1" customWidth="1"/>
    <col min="9492" max="9501" width="8.83203125" style="18" customWidth="1"/>
    <col min="9502" max="9502" width="10" style="18" bestFit="1" customWidth="1"/>
    <col min="9503" max="9726" width="8.83203125" style="18" customWidth="1"/>
    <col min="9727" max="9727" width="7.83203125" style="18" customWidth="1"/>
    <col min="9728" max="9728" width="7.5" style="18" customWidth="1"/>
    <col min="9729" max="9729" width="9" style="18" customWidth="1"/>
    <col min="9730" max="9730" width="8.33203125" style="18" customWidth="1"/>
    <col min="9731" max="9733" width="8.5" style="18" bestFit="1" customWidth="1"/>
    <col min="9734" max="9734" width="10" style="18" bestFit="1" customWidth="1"/>
    <col min="9735" max="9735" width="8.1640625" style="18" bestFit="1" customWidth="1"/>
    <col min="9736" max="9737" width="8.5" style="18" bestFit="1" customWidth="1"/>
    <col min="9738" max="9738" width="6" style="18" bestFit="1" customWidth="1"/>
    <col min="9739" max="9739" width="8.83203125" style="18" customWidth="1"/>
    <col min="9740" max="9740" width="8.5" style="18" bestFit="1" customWidth="1"/>
    <col min="9741" max="9741" width="7.1640625" style="18" bestFit="1" customWidth="1"/>
    <col min="9742" max="9742" width="4.5" style="18" bestFit="1" customWidth="1"/>
    <col min="9743" max="9743" width="5.5" style="18" bestFit="1" customWidth="1"/>
    <col min="9744" max="9746" width="6.1640625" style="18" bestFit="1" customWidth="1"/>
    <col min="9747" max="9747" width="7.1640625" style="18" bestFit="1" customWidth="1"/>
    <col min="9748" max="9757" width="8.83203125" style="18" customWidth="1"/>
    <col min="9758" max="9758" width="10" style="18" bestFit="1" customWidth="1"/>
    <col min="9759" max="9982" width="8.83203125" style="18" customWidth="1"/>
    <col min="9983" max="9983" width="7.83203125" style="18" customWidth="1"/>
    <col min="9984" max="9984" width="7.5" style="18" customWidth="1"/>
    <col min="9985" max="9985" width="9" style="18" customWidth="1"/>
    <col min="9986" max="9986" width="8.33203125" style="18" customWidth="1"/>
    <col min="9987" max="9989" width="8.5" style="18" bestFit="1" customWidth="1"/>
    <col min="9990" max="9990" width="10" style="18" bestFit="1" customWidth="1"/>
    <col min="9991" max="9991" width="8.1640625" style="18" bestFit="1" customWidth="1"/>
    <col min="9992" max="9993" width="8.5" style="18" bestFit="1" customWidth="1"/>
    <col min="9994" max="9994" width="6" style="18" bestFit="1" customWidth="1"/>
    <col min="9995" max="9995" width="8.83203125" style="18" customWidth="1"/>
    <col min="9996" max="9996" width="8.5" style="18" bestFit="1" customWidth="1"/>
    <col min="9997" max="9997" width="7.1640625" style="18" bestFit="1" customWidth="1"/>
    <col min="9998" max="9998" width="4.5" style="18" bestFit="1" customWidth="1"/>
    <col min="9999" max="9999" width="5.5" style="18" bestFit="1" customWidth="1"/>
    <col min="10000" max="10002" width="6.1640625" style="18" bestFit="1" customWidth="1"/>
    <col min="10003" max="10003" width="7.1640625" style="18" bestFit="1" customWidth="1"/>
    <col min="10004" max="10013" width="8.83203125" style="18" customWidth="1"/>
    <col min="10014" max="10014" width="10" style="18" bestFit="1" customWidth="1"/>
    <col min="10015" max="10238" width="8.83203125" style="18" customWidth="1"/>
    <col min="10239" max="10239" width="7.83203125" style="18" customWidth="1"/>
    <col min="10240" max="10240" width="7.5" style="18" customWidth="1"/>
    <col min="10241" max="10241" width="9" style="18" customWidth="1"/>
    <col min="10242" max="10242" width="8.33203125" style="18" customWidth="1"/>
    <col min="10243" max="10245" width="8.5" style="18" bestFit="1" customWidth="1"/>
    <col min="10246" max="10246" width="10" style="18" bestFit="1" customWidth="1"/>
    <col min="10247" max="10247" width="8.1640625" style="18" bestFit="1" customWidth="1"/>
    <col min="10248" max="10249" width="8.5" style="18" bestFit="1" customWidth="1"/>
    <col min="10250" max="10250" width="6" style="18" bestFit="1" customWidth="1"/>
    <col min="10251" max="10251" width="8.83203125" style="18" customWidth="1"/>
    <col min="10252" max="10252" width="8.5" style="18" bestFit="1" customWidth="1"/>
    <col min="10253" max="10253" width="7.1640625" style="18" bestFit="1" customWidth="1"/>
    <col min="10254" max="10254" width="4.5" style="18" bestFit="1" customWidth="1"/>
    <col min="10255" max="10255" width="5.5" style="18" bestFit="1" customWidth="1"/>
    <col min="10256" max="10258" width="6.1640625" style="18" bestFit="1" customWidth="1"/>
    <col min="10259" max="10259" width="7.1640625" style="18" bestFit="1" customWidth="1"/>
    <col min="10260" max="10269" width="8.83203125" style="18" customWidth="1"/>
    <col min="10270" max="10270" width="10" style="18" bestFit="1" customWidth="1"/>
    <col min="10271" max="10494" width="8.83203125" style="18" customWidth="1"/>
    <col min="10495" max="10495" width="7.83203125" style="18" customWidth="1"/>
    <col min="10496" max="10496" width="7.5" style="18" customWidth="1"/>
    <col min="10497" max="10497" width="9" style="18" customWidth="1"/>
    <col min="10498" max="10498" width="8.33203125" style="18" customWidth="1"/>
    <col min="10499" max="10501" width="8.5" style="18" bestFit="1" customWidth="1"/>
    <col min="10502" max="10502" width="10" style="18" bestFit="1" customWidth="1"/>
    <col min="10503" max="10503" width="8.1640625" style="18" bestFit="1" customWidth="1"/>
    <col min="10504" max="10505" width="8.5" style="18" bestFit="1" customWidth="1"/>
    <col min="10506" max="10506" width="6" style="18" bestFit="1" customWidth="1"/>
    <col min="10507" max="10507" width="8.83203125" style="18" customWidth="1"/>
    <col min="10508" max="10508" width="8.5" style="18" bestFit="1" customWidth="1"/>
    <col min="10509" max="10509" width="7.1640625" style="18" bestFit="1" customWidth="1"/>
    <col min="10510" max="10510" width="4.5" style="18" bestFit="1" customWidth="1"/>
    <col min="10511" max="10511" width="5.5" style="18" bestFit="1" customWidth="1"/>
    <col min="10512" max="10514" width="6.1640625" style="18" bestFit="1" customWidth="1"/>
    <col min="10515" max="10515" width="7.1640625" style="18" bestFit="1" customWidth="1"/>
    <col min="10516" max="10525" width="8.83203125" style="18" customWidth="1"/>
    <col min="10526" max="10526" width="10" style="18" bestFit="1" customWidth="1"/>
    <col min="10527" max="10750" width="8.83203125" style="18" customWidth="1"/>
    <col min="10751" max="10751" width="7.83203125" style="18" customWidth="1"/>
    <col min="10752" max="10752" width="7.5" style="18" customWidth="1"/>
    <col min="10753" max="10753" width="9" style="18" customWidth="1"/>
    <col min="10754" max="10754" width="8.33203125" style="18" customWidth="1"/>
    <col min="10755" max="10757" width="8.5" style="18" bestFit="1" customWidth="1"/>
    <col min="10758" max="10758" width="10" style="18" bestFit="1" customWidth="1"/>
    <col min="10759" max="10759" width="8.1640625" style="18" bestFit="1" customWidth="1"/>
    <col min="10760" max="10761" width="8.5" style="18" bestFit="1" customWidth="1"/>
    <col min="10762" max="10762" width="6" style="18" bestFit="1" customWidth="1"/>
    <col min="10763" max="10763" width="8.83203125" style="18" customWidth="1"/>
    <col min="10764" max="10764" width="8.5" style="18" bestFit="1" customWidth="1"/>
    <col min="10765" max="10765" width="7.1640625" style="18" bestFit="1" customWidth="1"/>
    <col min="10766" max="10766" width="4.5" style="18" bestFit="1" customWidth="1"/>
    <col min="10767" max="10767" width="5.5" style="18" bestFit="1" customWidth="1"/>
    <col min="10768" max="10770" width="6.1640625" style="18" bestFit="1" customWidth="1"/>
    <col min="10771" max="10771" width="7.1640625" style="18" bestFit="1" customWidth="1"/>
    <col min="10772" max="10781" width="8.83203125" style="18" customWidth="1"/>
    <col min="10782" max="10782" width="10" style="18" bestFit="1" customWidth="1"/>
    <col min="10783" max="11006" width="8.83203125" style="18" customWidth="1"/>
    <col min="11007" max="11007" width="7.83203125" style="18" customWidth="1"/>
    <col min="11008" max="11008" width="7.5" style="18" customWidth="1"/>
    <col min="11009" max="11009" width="9" style="18" customWidth="1"/>
    <col min="11010" max="11010" width="8.33203125" style="18" customWidth="1"/>
    <col min="11011" max="11013" width="8.5" style="18" bestFit="1" customWidth="1"/>
    <col min="11014" max="11014" width="10" style="18" bestFit="1" customWidth="1"/>
    <col min="11015" max="11015" width="8.1640625" style="18" bestFit="1" customWidth="1"/>
    <col min="11016" max="11017" width="8.5" style="18" bestFit="1" customWidth="1"/>
    <col min="11018" max="11018" width="6" style="18" bestFit="1" customWidth="1"/>
    <col min="11019" max="11019" width="8.83203125" style="18" customWidth="1"/>
    <col min="11020" max="11020" width="8.5" style="18" bestFit="1" customWidth="1"/>
    <col min="11021" max="11021" width="7.1640625" style="18" bestFit="1" customWidth="1"/>
    <col min="11022" max="11022" width="4.5" style="18" bestFit="1" customWidth="1"/>
    <col min="11023" max="11023" width="5.5" style="18" bestFit="1" customWidth="1"/>
    <col min="11024" max="11026" width="6.1640625" style="18" bestFit="1" customWidth="1"/>
    <col min="11027" max="11027" width="7.1640625" style="18" bestFit="1" customWidth="1"/>
    <col min="11028" max="11037" width="8.83203125" style="18" customWidth="1"/>
    <col min="11038" max="11038" width="10" style="18" bestFit="1" customWidth="1"/>
    <col min="11039" max="11262" width="8.83203125" style="18" customWidth="1"/>
    <col min="11263" max="11263" width="7.83203125" style="18" customWidth="1"/>
    <col min="11264" max="11264" width="7.5" style="18" customWidth="1"/>
    <col min="11265" max="11265" width="9" style="18" customWidth="1"/>
    <col min="11266" max="11266" width="8.33203125" style="18" customWidth="1"/>
    <col min="11267" max="11269" width="8.5" style="18" bestFit="1" customWidth="1"/>
    <col min="11270" max="11270" width="10" style="18" bestFit="1" customWidth="1"/>
    <col min="11271" max="11271" width="8.1640625" style="18" bestFit="1" customWidth="1"/>
    <col min="11272" max="11273" width="8.5" style="18" bestFit="1" customWidth="1"/>
    <col min="11274" max="11274" width="6" style="18" bestFit="1" customWidth="1"/>
    <col min="11275" max="11275" width="8.83203125" style="18" customWidth="1"/>
    <col min="11276" max="11276" width="8.5" style="18" bestFit="1" customWidth="1"/>
    <col min="11277" max="11277" width="7.1640625" style="18" bestFit="1" customWidth="1"/>
    <col min="11278" max="11278" width="4.5" style="18" bestFit="1" customWidth="1"/>
    <col min="11279" max="11279" width="5.5" style="18" bestFit="1" customWidth="1"/>
    <col min="11280" max="11282" width="6.1640625" style="18" bestFit="1" customWidth="1"/>
    <col min="11283" max="11283" width="7.1640625" style="18" bestFit="1" customWidth="1"/>
    <col min="11284" max="11293" width="8.83203125" style="18" customWidth="1"/>
    <col min="11294" max="11294" width="10" style="18" bestFit="1" customWidth="1"/>
    <col min="11295" max="11518" width="8.83203125" style="18" customWidth="1"/>
    <col min="11519" max="11519" width="7.83203125" style="18" customWidth="1"/>
    <col min="11520" max="11520" width="7.5" style="18" customWidth="1"/>
    <col min="11521" max="11521" width="9" style="18" customWidth="1"/>
    <col min="11522" max="11522" width="8.33203125" style="18" customWidth="1"/>
    <col min="11523" max="11525" width="8.5" style="18" bestFit="1" customWidth="1"/>
    <col min="11526" max="11526" width="10" style="18" bestFit="1" customWidth="1"/>
    <col min="11527" max="11527" width="8.1640625" style="18" bestFit="1" customWidth="1"/>
    <col min="11528" max="11529" width="8.5" style="18" bestFit="1" customWidth="1"/>
    <col min="11530" max="11530" width="6" style="18" bestFit="1" customWidth="1"/>
    <col min="11531" max="11531" width="8.83203125" style="18" customWidth="1"/>
    <col min="11532" max="11532" width="8.5" style="18" bestFit="1" customWidth="1"/>
    <col min="11533" max="11533" width="7.1640625" style="18" bestFit="1" customWidth="1"/>
    <col min="11534" max="11534" width="4.5" style="18" bestFit="1" customWidth="1"/>
    <col min="11535" max="11535" width="5.5" style="18" bestFit="1" customWidth="1"/>
    <col min="11536" max="11538" width="6.1640625" style="18" bestFit="1" customWidth="1"/>
    <col min="11539" max="11539" width="7.1640625" style="18" bestFit="1" customWidth="1"/>
    <col min="11540" max="11549" width="8.83203125" style="18" customWidth="1"/>
    <col min="11550" max="11550" width="10" style="18" bestFit="1" customWidth="1"/>
    <col min="11551" max="11774" width="8.83203125" style="18" customWidth="1"/>
    <col min="11775" max="11775" width="7.83203125" style="18" customWidth="1"/>
    <col min="11776" max="11776" width="7.5" style="18" customWidth="1"/>
    <col min="11777" max="11777" width="9" style="18" customWidth="1"/>
    <col min="11778" max="11778" width="8.33203125" style="18" customWidth="1"/>
    <col min="11779" max="11781" width="8.5" style="18" bestFit="1" customWidth="1"/>
    <col min="11782" max="11782" width="10" style="18" bestFit="1" customWidth="1"/>
    <col min="11783" max="11783" width="8.1640625" style="18" bestFit="1" customWidth="1"/>
    <col min="11784" max="11785" width="8.5" style="18" bestFit="1" customWidth="1"/>
    <col min="11786" max="11786" width="6" style="18" bestFit="1" customWidth="1"/>
    <col min="11787" max="11787" width="8.83203125" style="18" customWidth="1"/>
    <col min="11788" max="11788" width="8.5" style="18" bestFit="1" customWidth="1"/>
    <col min="11789" max="11789" width="7.1640625" style="18" bestFit="1" customWidth="1"/>
    <col min="11790" max="11790" width="4.5" style="18" bestFit="1" customWidth="1"/>
    <col min="11791" max="11791" width="5.5" style="18" bestFit="1" customWidth="1"/>
    <col min="11792" max="11794" width="6.1640625" style="18" bestFit="1" customWidth="1"/>
    <col min="11795" max="11795" width="7.1640625" style="18" bestFit="1" customWidth="1"/>
    <col min="11796" max="11805" width="8.83203125" style="18" customWidth="1"/>
    <col min="11806" max="11806" width="10" style="18" bestFit="1" customWidth="1"/>
    <col min="11807" max="12030" width="8.83203125" style="18" customWidth="1"/>
    <col min="12031" max="12031" width="7.83203125" style="18" customWidth="1"/>
    <col min="12032" max="12032" width="7.5" style="18" customWidth="1"/>
    <col min="12033" max="12033" width="9" style="18" customWidth="1"/>
    <col min="12034" max="12034" width="8.33203125" style="18" customWidth="1"/>
    <col min="12035" max="12037" width="8.5" style="18" bestFit="1" customWidth="1"/>
    <col min="12038" max="12038" width="10" style="18" bestFit="1" customWidth="1"/>
    <col min="12039" max="12039" width="8.1640625" style="18" bestFit="1" customWidth="1"/>
    <col min="12040" max="12041" width="8.5" style="18" bestFit="1" customWidth="1"/>
    <col min="12042" max="12042" width="6" style="18" bestFit="1" customWidth="1"/>
    <col min="12043" max="12043" width="8.83203125" style="18" customWidth="1"/>
    <col min="12044" max="12044" width="8.5" style="18" bestFit="1" customWidth="1"/>
    <col min="12045" max="12045" width="7.1640625" style="18" bestFit="1" customWidth="1"/>
    <col min="12046" max="12046" width="4.5" style="18" bestFit="1" customWidth="1"/>
    <col min="12047" max="12047" width="5.5" style="18" bestFit="1" customWidth="1"/>
    <col min="12048" max="12050" width="6.1640625" style="18" bestFit="1" customWidth="1"/>
    <col min="12051" max="12051" width="7.1640625" style="18" bestFit="1" customWidth="1"/>
    <col min="12052" max="12061" width="8.83203125" style="18" customWidth="1"/>
    <col min="12062" max="12062" width="10" style="18" bestFit="1" customWidth="1"/>
    <col min="12063" max="12286" width="8.83203125" style="18" customWidth="1"/>
    <col min="12287" max="12287" width="7.83203125" style="18" customWidth="1"/>
    <col min="12288" max="12288" width="7.5" style="18" customWidth="1"/>
    <col min="12289" max="12289" width="9" style="18" customWidth="1"/>
    <col min="12290" max="12290" width="8.33203125" style="18" customWidth="1"/>
    <col min="12291" max="12293" width="8.5" style="18" bestFit="1" customWidth="1"/>
    <col min="12294" max="12294" width="10" style="18" bestFit="1" customWidth="1"/>
    <col min="12295" max="12295" width="8.1640625" style="18" bestFit="1" customWidth="1"/>
    <col min="12296" max="12297" width="8.5" style="18" bestFit="1" customWidth="1"/>
    <col min="12298" max="12298" width="6" style="18" bestFit="1" customWidth="1"/>
    <col min="12299" max="12299" width="8.83203125" style="18" customWidth="1"/>
    <col min="12300" max="12300" width="8.5" style="18" bestFit="1" customWidth="1"/>
    <col min="12301" max="12301" width="7.1640625" style="18" bestFit="1" customWidth="1"/>
    <col min="12302" max="12302" width="4.5" style="18" bestFit="1" customWidth="1"/>
    <col min="12303" max="12303" width="5.5" style="18" bestFit="1" customWidth="1"/>
    <col min="12304" max="12306" width="6.1640625" style="18" bestFit="1" customWidth="1"/>
    <col min="12307" max="12307" width="7.1640625" style="18" bestFit="1" customWidth="1"/>
    <col min="12308" max="12317" width="8.83203125" style="18" customWidth="1"/>
    <col min="12318" max="12318" width="10" style="18" bestFit="1" customWidth="1"/>
    <col min="12319" max="12542" width="8.83203125" style="18" customWidth="1"/>
    <col min="12543" max="12543" width="7.83203125" style="18" customWidth="1"/>
    <col min="12544" max="12544" width="7.5" style="18" customWidth="1"/>
    <col min="12545" max="12545" width="9" style="18" customWidth="1"/>
    <col min="12546" max="12546" width="8.33203125" style="18" customWidth="1"/>
    <col min="12547" max="12549" width="8.5" style="18" bestFit="1" customWidth="1"/>
    <col min="12550" max="12550" width="10" style="18" bestFit="1" customWidth="1"/>
    <col min="12551" max="12551" width="8.1640625" style="18" bestFit="1" customWidth="1"/>
    <col min="12552" max="12553" width="8.5" style="18" bestFit="1" customWidth="1"/>
    <col min="12554" max="12554" width="6" style="18" bestFit="1" customWidth="1"/>
    <col min="12555" max="12555" width="8.83203125" style="18" customWidth="1"/>
    <col min="12556" max="12556" width="8.5" style="18" bestFit="1" customWidth="1"/>
    <col min="12557" max="12557" width="7.1640625" style="18" bestFit="1" customWidth="1"/>
    <col min="12558" max="12558" width="4.5" style="18" bestFit="1" customWidth="1"/>
    <col min="12559" max="12559" width="5.5" style="18" bestFit="1" customWidth="1"/>
    <col min="12560" max="12562" width="6.1640625" style="18" bestFit="1" customWidth="1"/>
    <col min="12563" max="12563" width="7.1640625" style="18" bestFit="1" customWidth="1"/>
    <col min="12564" max="12573" width="8.83203125" style="18" customWidth="1"/>
    <col min="12574" max="12574" width="10" style="18" bestFit="1" customWidth="1"/>
    <col min="12575" max="12798" width="8.83203125" style="18" customWidth="1"/>
    <col min="12799" max="12799" width="7.83203125" style="18" customWidth="1"/>
    <col min="12800" max="12800" width="7.5" style="18" customWidth="1"/>
    <col min="12801" max="12801" width="9" style="18" customWidth="1"/>
    <col min="12802" max="12802" width="8.33203125" style="18" customWidth="1"/>
    <col min="12803" max="12805" width="8.5" style="18" bestFit="1" customWidth="1"/>
    <col min="12806" max="12806" width="10" style="18" bestFit="1" customWidth="1"/>
    <col min="12807" max="12807" width="8.1640625" style="18" bestFit="1" customWidth="1"/>
    <col min="12808" max="12809" width="8.5" style="18" bestFit="1" customWidth="1"/>
    <col min="12810" max="12810" width="6" style="18" bestFit="1" customWidth="1"/>
    <col min="12811" max="12811" width="8.83203125" style="18" customWidth="1"/>
    <col min="12812" max="12812" width="8.5" style="18" bestFit="1" customWidth="1"/>
    <col min="12813" max="12813" width="7.1640625" style="18" bestFit="1" customWidth="1"/>
    <col min="12814" max="12814" width="4.5" style="18" bestFit="1" customWidth="1"/>
    <col min="12815" max="12815" width="5.5" style="18" bestFit="1" customWidth="1"/>
    <col min="12816" max="12818" width="6.1640625" style="18" bestFit="1" customWidth="1"/>
    <col min="12819" max="12819" width="7.1640625" style="18" bestFit="1" customWidth="1"/>
    <col min="12820" max="12829" width="8.83203125" style="18" customWidth="1"/>
    <col min="12830" max="12830" width="10" style="18" bestFit="1" customWidth="1"/>
    <col min="12831" max="13054" width="8.83203125" style="18" customWidth="1"/>
    <col min="13055" max="13055" width="7.83203125" style="18" customWidth="1"/>
    <col min="13056" max="13056" width="7.5" style="18" customWidth="1"/>
    <col min="13057" max="13057" width="9" style="18" customWidth="1"/>
    <col min="13058" max="13058" width="8.33203125" style="18" customWidth="1"/>
    <col min="13059" max="13061" width="8.5" style="18" bestFit="1" customWidth="1"/>
    <col min="13062" max="13062" width="10" style="18" bestFit="1" customWidth="1"/>
    <col min="13063" max="13063" width="8.1640625" style="18" bestFit="1" customWidth="1"/>
    <col min="13064" max="13065" width="8.5" style="18" bestFit="1" customWidth="1"/>
    <col min="13066" max="13066" width="6" style="18" bestFit="1" customWidth="1"/>
    <col min="13067" max="13067" width="8.83203125" style="18" customWidth="1"/>
    <col min="13068" max="13068" width="8.5" style="18" bestFit="1" customWidth="1"/>
    <col min="13069" max="13069" width="7.1640625" style="18" bestFit="1" customWidth="1"/>
    <col min="13070" max="13070" width="4.5" style="18" bestFit="1" customWidth="1"/>
    <col min="13071" max="13071" width="5.5" style="18" bestFit="1" customWidth="1"/>
    <col min="13072" max="13074" width="6.1640625" style="18" bestFit="1" customWidth="1"/>
    <col min="13075" max="13075" width="7.1640625" style="18" bestFit="1" customWidth="1"/>
    <col min="13076" max="13085" width="8.83203125" style="18" customWidth="1"/>
    <col min="13086" max="13086" width="10" style="18" bestFit="1" customWidth="1"/>
    <col min="13087" max="13310" width="8.83203125" style="18" customWidth="1"/>
    <col min="13311" max="13311" width="7.83203125" style="18" customWidth="1"/>
    <col min="13312" max="13312" width="7.5" style="18" customWidth="1"/>
    <col min="13313" max="13313" width="9" style="18" customWidth="1"/>
    <col min="13314" max="13314" width="8.33203125" style="18" customWidth="1"/>
    <col min="13315" max="13317" width="8.5" style="18" bestFit="1" customWidth="1"/>
    <col min="13318" max="13318" width="10" style="18" bestFit="1" customWidth="1"/>
    <col min="13319" max="13319" width="8.1640625" style="18" bestFit="1" customWidth="1"/>
    <col min="13320" max="13321" width="8.5" style="18" bestFit="1" customWidth="1"/>
    <col min="13322" max="13322" width="6" style="18" bestFit="1" customWidth="1"/>
    <col min="13323" max="13323" width="8.83203125" style="18" customWidth="1"/>
    <col min="13324" max="13324" width="8.5" style="18" bestFit="1" customWidth="1"/>
    <col min="13325" max="13325" width="7.1640625" style="18" bestFit="1" customWidth="1"/>
    <col min="13326" max="13326" width="4.5" style="18" bestFit="1" customWidth="1"/>
    <col min="13327" max="13327" width="5.5" style="18" bestFit="1" customWidth="1"/>
    <col min="13328" max="13330" width="6.1640625" style="18" bestFit="1" customWidth="1"/>
    <col min="13331" max="13331" width="7.1640625" style="18" bestFit="1" customWidth="1"/>
    <col min="13332" max="13341" width="8.83203125" style="18" customWidth="1"/>
    <col min="13342" max="13342" width="10" style="18" bestFit="1" customWidth="1"/>
    <col min="13343" max="13566" width="8.83203125" style="18" customWidth="1"/>
    <col min="13567" max="13567" width="7.83203125" style="18" customWidth="1"/>
    <col min="13568" max="13568" width="7.5" style="18" customWidth="1"/>
    <col min="13569" max="13569" width="9" style="18" customWidth="1"/>
    <col min="13570" max="13570" width="8.33203125" style="18" customWidth="1"/>
    <col min="13571" max="13573" width="8.5" style="18" bestFit="1" customWidth="1"/>
    <col min="13574" max="13574" width="10" style="18" bestFit="1" customWidth="1"/>
    <col min="13575" max="13575" width="8.1640625" style="18" bestFit="1" customWidth="1"/>
    <col min="13576" max="13577" width="8.5" style="18" bestFit="1" customWidth="1"/>
    <col min="13578" max="13578" width="6" style="18" bestFit="1" customWidth="1"/>
    <col min="13579" max="13579" width="8.83203125" style="18" customWidth="1"/>
    <col min="13580" max="13580" width="8.5" style="18" bestFit="1" customWidth="1"/>
    <col min="13581" max="13581" width="7.1640625" style="18" bestFit="1" customWidth="1"/>
    <col min="13582" max="13582" width="4.5" style="18" bestFit="1" customWidth="1"/>
    <col min="13583" max="13583" width="5.5" style="18" bestFit="1" customWidth="1"/>
    <col min="13584" max="13586" width="6.1640625" style="18" bestFit="1" customWidth="1"/>
    <col min="13587" max="13587" width="7.1640625" style="18" bestFit="1" customWidth="1"/>
    <col min="13588" max="13597" width="8.83203125" style="18" customWidth="1"/>
    <col min="13598" max="13598" width="10" style="18" bestFit="1" customWidth="1"/>
    <col min="13599" max="13822" width="8.83203125" style="18" customWidth="1"/>
    <col min="13823" max="13823" width="7.83203125" style="18" customWidth="1"/>
    <col min="13824" max="13824" width="7.5" style="18" customWidth="1"/>
    <col min="13825" max="13825" width="9" style="18" customWidth="1"/>
    <col min="13826" max="13826" width="8.33203125" style="18" customWidth="1"/>
    <col min="13827" max="13829" width="8.5" style="18" bestFit="1" customWidth="1"/>
    <col min="13830" max="13830" width="10" style="18" bestFit="1" customWidth="1"/>
    <col min="13831" max="13831" width="8.1640625" style="18" bestFit="1" customWidth="1"/>
    <col min="13832" max="13833" width="8.5" style="18" bestFit="1" customWidth="1"/>
    <col min="13834" max="13834" width="6" style="18" bestFit="1" customWidth="1"/>
    <col min="13835" max="13835" width="8.83203125" style="18" customWidth="1"/>
    <col min="13836" max="13836" width="8.5" style="18" bestFit="1" customWidth="1"/>
    <col min="13837" max="13837" width="7.1640625" style="18" bestFit="1" customWidth="1"/>
    <col min="13838" max="13838" width="4.5" style="18" bestFit="1" customWidth="1"/>
    <col min="13839" max="13839" width="5.5" style="18" bestFit="1" customWidth="1"/>
    <col min="13840" max="13842" width="6.1640625" style="18" bestFit="1" customWidth="1"/>
    <col min="13843" max="13843" width="7.1640625" style="18" bestFit="1" customWidth="1"/>
    <col min="13844" max="13853" width="8.83203125" style="18" customWidth="1"/>
    <col min="13854" max="13854" width="10" style="18" bestFit="1" customWidth="1"/>
    <col min="13855" max="14078" width="8.83203125" style="18" customWidth="1"/>
    <col min="14079" max="14079" width="7.83203125" style="18" customWidth="1"/>
    <col min="14080" max="14080" width="7.5" style="18" customWidth="1"/>
    <col min="14081" max="14081" width="9" style="18" customWidth="1"/>
    <col min="14082" max="14082" width="8.33203125" style="18" customWidth="1"/>
    <col min="14083" max="14085" width="8.5" style="18" bestFit="1" customWidth="1"/>
    <col min="14086" max="14086" width="10" style="18" bestFit="1" customWidth="1"/>
    <col min="14087" max="14087" width="8.1640625" style="18" bestFit="1" customWidth="1"/>
    <col min="14088" max="14089" width="8.5" style="18" bestFit="1" customWidth="1"/>
    <col min="14090" max="14090" width="6" style="18" bestFit="1" customWidth="1"/>
    <col min="14091" max="14091" width="8.83203125" style="18" customWidth="1"/>
    <col min="14092" max="14092" width="8.5" style="18" bestFit="1" customWidth="1"/>
    <col min="14093" max="14093" width="7.1640625" style="18" bestFit="1" customWidth="1"/>
    <col min="14094" max="14094" width="4.5" style="18" bestFit="1" customWidth="1"/>
    <col min="14095" max="14095" width="5.5" style="18" bestFit="1" customWidth="1"/>
    <col min="14096" max="14098" width="6.1640625" style="18" bestFit="1" customWidth="1"/>
    <col min="14099" max="14099" width="7.1640625" style="18" bestFit="1" customWidth="1"/>
    <col min="14100" max="14109" width="8.83203125" style="18" customWidth="1"/>
    <col min="14110" max="14110" width="10" style="18" bestFit="1" customWidth="1"/>
    <col min="14111" max="14334" width="8.83203125" style="18" customWidth="1"/>
    <col min="14335" max="14335" width="7.83203125" style="18" customWidth="1"/>
    <col min="14336" max="14336" width="7.5" style="18" customWidth="1"/>
    <col min="14337" max="14337" width="9" style="18" customWidth="1"/>
    <col min="14338" max="14338" width="8.33203125" style="18" customWidth="1"/>
    <col min="14339" max="14341" width="8.5" style="18" bestFit="1" customWidth="1"/>
    <col min="14342" max="14342" width="10" style="18" bestFit="1" customWidth="1"/>
    <col min="14343" max="14343" width="8.1640625" style="18" bestFit="1" customWidth="1"/>
    <col min="14344" max="14345" width="8.5" style="18" bestFit="1" customWidth="1"/>
    <col min="14346" max="14346" width="6" style="18" bestFit="1" customWidth="1"/>
    <col min="14347" max="14347" width="8.83203125" style="18" customWidth="1"/>
    <col min="14348" max="14348" width="8.5" style="18" bestFit="1" customWidth="1"/>
    <col min="14349" max="14349" width="7.1640625" style="18" bestFit="1" customWidth="1"/>
    <col min="14350" max="14350" width="4.5" style="18" bestFit="1" customWidth="1"/>
    <col min="14351" max="14351" width="5.5" style="18" bestFit="1" customWidth="1"/>
    <col min="14352" max="14354" width="6.1640625" style="18" bestFit="1" customWidth="1"/>
    <col min="14355" max="14355" width="7.1640625" style="18" bestFit="1" customWidth="1"/>
    <col min="14356" max="14365" width="8.83203125" style="18" customWidth="1"/>
    <col min="14366" max="14366" width="10" style="18" bestFit="1" customWidth="1"/>
    <col min="14367" max="14590" width="8.83203125" style="18" customWidth="1"/>
    <col min="14591" max="14591" width="7.83203125" style="18" customWidth="1"/>
    <col min="14592" max="14592" width="7.5" style="18" customWidth="1"/>
    <col min="14593" max="14593" width="9" style="18" customWidth="1"/>
    <col min="14594" max="14594" width="8.33203125" style="18" customWidth="1"/>
    <col min="14595" max="14597" width="8.5" style="18" bestFit="1" customWidth="1"/>
    <col min="14598" max="14598" width="10" style="18" bestFit="1" customWidth="1"/>
    <col min="14599" max="14599" width="8.1640625" style="18" bestFit="1" customWidth="1"/>
    <col min="14600" max="14601" width="8.5" style="18" bestFit="1" customWidth="1"/>
    <col min="14602" max="14602" width="6" style="18" bestFit="1" customWidth="1"/>
    <col min="14603" max="14603" width="8.83203125" style="18" customWidth="1"/>
    <col min="14604" max="14604" width="8.5" style="18" bestFit="1" customWidth="1"/>
    <col min="14605" max="14605" width="7.1640625" style="18" bestFit="1" customWidth="1"/>
    <col min="14606" max="14606" width="4.5" style="18" bestFit="1" customWidth="1"/>
    <col min="14607" max="14607" width="5.5" style="18" bestFit="1" customWidth="1"/>
    <col min="14608" max="14610" width="6.1640625" style="18" bestFit="1" customWidth="1"/>
    <col min="14611" max="14611" width="7.1640625" style="18" bestFit="1" customWidth="1"/>
    <col min="14612" max="14621" width="8.83203125" style="18" customWidth="1"/>
    <col min="14622" max="14622" width="10" style="18" bestFit="1" customWidth="1"/>
    <col min="14623" max="14846" width="8.83203125" style="18" customWidth="1"/>
    <col min="14847" max="14847" width="7.83203125" style="18" customWidth="1"/>
    <col min="14848" max="14848" width="7.5" style="18" customWidth="1"/>
    <col min="14849" max="14849" width="9" style="18" customWidth="1"/>
    <col min="14850" max="14850" width="8.33203125" style="18" customWidth="1"/>
    <col min="14851" max="14853" width="8.5" style="18" bestFit="1" customWidth="1"/>
    <col min="14854" max="14854" width="10" style="18" bestFit="1" customWidth="1"/>
    <col min="14855" max="14855" width="8.1640625" style="18" bestFit="1" customWidth="1"/>
    <col min="14856" max="14857" width="8.5" style="18" bestFit="1" customWidth="1"/>
    <col min="14858" max="14858" width="6" style="18" bestFit="1" customWidth="1"/>
    <col min="14859" max="14859" width="8.83203125" style="18" customWidth="1"/>
    <col min="14860" max="14860" width="8.5" style="18" bestFit="1" customWidth="1"/>
    <col min="14861" max="14861" width="7.1640625" style="18" bestFit="1" customWidth="1"/>
    <col min="14862" max="14862" width="4.5" style="18" bestFit="1" customWidth="1"/>
    <col min="14863" max="14863" width="5.5" style="18" bestFit="1" customWidth="1"/>
    <col min="14864" max="14866" width="6.1640625" style="18" bestFit="1" customWidth="1"/>
    <col min="14867" max="14867" width="7.1640625" style="18" bestFit="1" customWidth="1"/>
    <col min="14868" max="14877" width="8.83203125" style="18" customWidth="1"/>
    <col min="14878" max="14878" width="10" style="18" bestFit="1" customWidth="1"/>
    <col min="14879" max="15102" width="8.83203125" style="18" customWidth="1"/>
    <col min="15103" max="15103" width="7.83203125" style="18" customWidth="1"/>
    <col min="15104" max="15104" width="7.5" style="18" customWidth="1"/>
    <col min="15105" max="15105" width="9" style="18" customWidth="1"/>
    <col min="15106" max="15106" width="8.33203125" style="18" customWidth="1"/>
    <col min="15107" max="15109" width="8.5" style="18" bestFit="1" customWidth="1"/>
    <col min="15110" max="15110" width="10" style="18" bestFit="1" customWidth="1"/>
    <col min="15111" max="15111" width="8.1640625" style="18" bestFit="1" customWidth="1"/>
    <col min="15112" max="15113" width="8.5" style="18" bestFit="1" customWidth="1"/>
    <col min="15114" max="15114" width="6" style="18" bestFit="1" customWidth="1"/>
    <col min="15115" max="15115" width="8.83203125" style="18" customWidth="1"/>
    <col min="15116" max="15116" width="8.5" style="18" bestFit="1" customWidth="1"/>
    <col min="15117" max="15117" width="7.1640625" style="18" bestFit="1" customWidth="1"/>
    <col min="15118" max="15118" width="4.5" style="18" bestFit="1" customWidth="1"/>
    <col min="15119" max="15119" width="5.5" style="18" bestFit="1" customWidth="1"/>
    <col min="15120" max="15122" width="6.1640625" style="18" bestFit="1" customWidth="1"/>
    <col min="15123" max="15123" width="7.1640625" style="18" bestFit="1" customWidth="1"/>
    <col min="15124" max="15133" width="8.83203125" style="18" customWidth="1"/>
    <col min="15134" max="15134" width="10" style="18" bestFit="1" customWidth="1"/>
    <col min="15135" max="15358" width="8.83203125" style="18" customWidth="1"/>
    <col min="15359" max="15359" width="7.83203125" style="18" customWidth="1"/>
    <col min="15360" max="15360" width="7.5" style="18" customWidth="1"/>
    <col min="15361" max="15361" width="9" style="18" customWidth="1"/>
    <col min="15362" max="15362" width="8.33203125" style="18" customWidth="1"/>
    <col min="15363" max="15365" width="8.5" style="18" bestFit="1" customWidth="1"/>
    <col min="15366" max="15366" width="10" style="18" bestFit="1" customWidth="1"/>
    <col min="15367" max="15367" width="8.1640625" style="18" bestFit="1" customWidth="1"/>
    <col min="15368" max="15369" width="8.5" style="18" bestFit="1" customWidth="1"/>
    <col min="15370" max="15370" width="6" style="18" bestFit="1" customWidth="1"/>
    <col min="15371" max="15371" width="8.83203125" style="18" customWidth="1"/>
    <col min="15372" max="15372" width="8.5" style="18" bestFit="1" customWidth="1"/>
    <col min="15373" max="15373" width="7.1640625" style="18" bestFit="1" customWidth="1"/>
    <col min="15374" max="15374" width="4.5" style="18" bestFit="1" customWidth="1"/>
    <col min="15375" max="15375" width="5.5" style="18" bestFit="1" customWidth="1"/>
    <col min="15376" max="15378" width="6.1640625" style="18" bestFit="1" customWidth="1"/>
    <col min="15379" max="15379" width="7.1640625" style="18" bestFit="1" customWidth="1"/>
    <col min="15380" max="15389" width="8.83203125" style="18" customWidth="1"/>
    <col min="15390" max="15390" width="10" style="18" bestFit="1" customWidth="1"/>
    <col min="15391" max="15614" width="8.83203125" style="18" customWidth="1"/>
    <col min="15615" max="15615" width="7.83203125" style="18" customWidth="1"/>
    <col min="15616" max="15616" width="7.5" style="18" customWidth="1"/>
    <col min="15617" max="15617" width="9" style="18" customWidth="1"/>
    <col min="15618" max="15618" width="8.33203125" style="18" customWidth="1"/>
    <col min="15619" max="15621" width="8.5" style="18" bestFit="1" customWidth="1"/>
    <col min="15622" max="15622" width="10" style="18" bestFit="1" customWidth="1"/>
    <col min="15623" max="15623" width="8.1640625" style="18" bestFit="1" customWidth="1"/>
    <col min="15624" max="15625" width="8.5" style="18" bestFit="1" customWidth="1"/>
    <col min="15626" max="15626" width="6" style="18" bestFit="1" customWidth="1"/>
    <col min="15627" max="15627" width="8.83203125" style="18" customWidth="1"/>
    <col min="15628" max="15628" width="8.5" style="18" bestFit="1" customWidth="1"/>
    <col min="15629" max="15629" width="7.1640625" style="18" bestFit="1" customWidth="1"/>
    <col min="15630" max="15630" width="4.5" style="18" bestFit="1" customWidth="1"/>
    <col min="15631" max="15631" width="5.5" style="18" bestFit="1" customWidth="1"/>
    <col min="15632" max="15634" width="6.1640625" style="18" bestFit="1" customWidth="1"/>
    <col min="15635" max="15635" width="7.1640625" style="18" bestFit="1" customWidth="1"/>
    <col min="15636" max="15645" width="8.83203125" style="18" customWidth="1"/>
    <col min="15646" max="15646" width="10" style="18" bestFit="1" customWidth="1"/>
    <col min="15647" max="15870" width="8.83203125" style="18" customWidth="1"/>
    <col min="15871" max="15871" width="7.83203125" style="18" customWidth="1"/>
    <col min="15872" max="15872" width="7.5" style="18" customWidth="1"/>
    <col min="15873" max="15873" width="9" style="18" customWidth="1"/>
    <col min="15874" max="15874" width="8.33203125" style="18" customWidth="1"/>
    <col min="15875" max="15877" width="8.5" style="18" bestFit="1" customWidth="1"/>
    <col min="15878" max="15878" width="10" style="18" bestFit="1" customWidth="1"/>
    <col min="15879" max="15879" width="8.1640625" style="18" bestFit="1" customWidth="1"/>
    <col min="15880" max="15881" width="8.5" style="18" bestFit="1" customWidth="1"/>
    <col min="15882" max="15882" width="6" style="18" bestFit="1" customWidth="1"/>
    <col min="15883" max="15883" width="8.83203125" style="18" customWidth="1"/>
    <col min="15884" max="15884" width="8.5" style="18" bestFit="1" customWidth="1"/>
    <col min="15885" max="15885" width="7.1640625" style="18" bestFit="1" customWidth="1"/>
    <col min="15886" max="15886" width="4.5" style="18" bestFit="1" customWidth="1"/>
    <col min="15887" max="15887" width="5.5" style="18" bestFit="1" customWidth="1"/>
    <col min="15888" max="15890" width="6.1640625" style="18" bestFit="1" customWidth="1"/>
    <col min="15891" max="15891" width="7.1640625" style="18" bestFit="1" customWidth="1"/>
    <col min="15892" max="15901" width="8.83203125" style="18" customWidth="1"/>
    <col min="15902" max="15902" width="10" style="18" bestFit="1" customWidth="1"/>
    <col min="15903" max="16126" width="8.83203125" style="18" customWidth="1"/>
    <col min="16127" max="16127" width="7.83203125" style="18" customWidth="1"/>
    <col min="16128" max="16128" width="7.5" style="18" customWidth="1"/>
    <col min="16129" max="16129" width="9" style="18" customWidth="1"/>
    <col min="16130" max="16130" width="8.33203125" style="18" customWidth="1"/>
    <col min="16131" max="16133" width="8.5" style="18" bestFit="1" customWidth="1"/>
    <col min="16134" max="16134" width="10" style="18" bestFit="1" customWidth="1"/>
    <col min="16135" max="16135" width="8.1640625" style="18" bestFit="1" customWidth="1"/>
    <col min="16136" max="16137" width="8.5" style="18" bestFit="1" customWidth="1"/>
    <col min="16138" max="16138" width="6" style="18" bestFit="1" customWidth="1"/>
    <col min="16139" max="16139" width="8.83203125" style="18" customWidth="1"/>
    <col min="16140" max="16140" width="8.5" style="18" bestFit="1" customWidth="1"/>
    <col min="16141" max="16141" width="7.1640625" style="18" bestFit="1" customWidth="1"/>
    <col min="16142" max="16142" width="4.5" style="18" bestFit="1" customWidth="1"/>
    <col min="16143" max="16143" width="5.5" style="18" bestFit="1" customWidth="1"/>
    <col min="16144" max="16146" width="6.1640625" style="18" bestFit="1" customWidth="1"/>
    <col min="16147" max="16147" width="7.1640625" style="18" bestFit="1" customWidth="1"/>
    <col min="16148" max="16157" width="8.83203125" style="18" customWidth="1"/>
    <col min="16158" max="16158" width="10" style="18" bestFit="1" customWidth="1"/>
    <col min="16159" max="16384" width="8.83203125" style="18" customWidth="1"/>
  </cols>
  <sheetData>
    <row r="1" spans="2:17" s="15" customFormat="1" ht="14" customHeight="1">
      <c r="G1" s="16"/>
    </row>
    <row r="2" spans="2:17" s="15" customFormat="1" ht="14" customHeight="1">
      <c r="B2" s="19"/>
      <c r="C2" s="20" t="s">
        <v>8</v>
      </c>
      <c r="D2" s="49"/>
      <c r="E2" s="49"/>
      <c r="G2" s="16"/>
      <c r="I2" s="28" t="s">
        <v>16</v>
      </c>
      <c r="J2" s="29">
        <f>PI()/180</f>
        <v>1.7453292519943295E-2</v>
      </c>
      <c r="M2" s="78" t="s">
        <v>22</v>
      </c>
      <c r="N2" s="79">
        <f>Illumination!J21</f>
        <v>217.01220028586425</v>
      </c>
      <c r="O2" s="34"/>
      <c r="P2" s="35"/>
      <c r="Q2" s="36"/>
    </row>
    <row r="3" spans="2:17" s="15" customFormat="1" ht="14" customHeight="1">
      <c r="B3" s="21" t="s">
        <v>0</v>
      </c>
      <c r="C3" s="22">
        <v>45439</v>
      </c>
      <c r="D3" s="50"/>
      <c r="E3" s="50"/>
      <c r="G3" s="16"/>
      <c r="I3" s="30" t="s">
        <v>18</v>
      </c>
      <c r="J3" s="32">
        <f>C9/36525</f>
        <v>0.2440371891398628</v>
      </c>
      <c r="M3" s="40" t="s">
        <v>45</v>
      </c>
      <c r="N3" s="41">
        <v>200</v>
      </c>
      <c r="O3" s="41"/>
      <c r="P3" s="41" t="s">
        <v>23</v>
      </c>
      <c r="Q3" s="77">
        <f>MOD(360-Illumination!N2+180,360)</f>
        <v>322.98779971413575</v>
      </c>
    </row>
    <row r="4" spans="2:17" s="15" customFormat="1" ht="14" customHeight="1">
      <c r="B4" s="23" t="s">
        <v>11</v>
      </c>
      <c r="C4" s="24">
        <v>0.95833333333333337</v>
      </c>
      <c r="D4" s="51"/>
      <c r="E4" s="51"/>
      <c r="G4" s="16"/>
      <c r="I4" s="30" t="s">
        <v>12</v>
      </c>
      <c r="J4" s="32">
        <f>MOD(297.8502042+445267.1115168*$J$3-0.00163*POWER($J$3,2)+(POWER($J$3,3)/545868)-(POWER($J$3,4)/113065000),360)</f>
        <v>239.5844181390421</v>
      </c>
      <c r="M4" s="40" t="s">
        <v>44</v>
      </c>
      <c r="N4" s="41">
        <f>2/N3</f>
        <v>0.01</v>
      </c>
      <c r="O4" s="41"/>
      <c r="P4" s="41" t="s">
        <v>24</v>
      </c>
      <c r="Q4" s="69">
        <f>COS(RADIANS(Q3))</f>
        <v>0.79850734436559123</v>
      </c>
    </row>
    <row r="5" spans="2:17" s="15" customFormat="1" ht="14" customHeight="1">
      <c r="B5" s="21" t="s">
        <v>5</v>
      </c>
      <c r="C5" s="25" t="str">
        <f>IF(OR(MOD(YEAR(C3),400)=0,AND(MOD(YEAR(C3),4)=0,MOD(YEAR(C3),100)&lt;&gt;0)),"Y", "N")</f>
        <v>Y</v>
      </c>
      <c r="D5" s="52"/>
      <c r="E5" s="52"/>
      <c r="G5" s="16"/>
      <c r="I5" s="30" t="s">
        <v>13</v>
      </c>
      <c r="J5" s="32">
        <f>MOD(357.5291092+35999.0502909*$J$3-0.0001536*POWER($J$3,2)+(POWER($J$3,3)/24490000),360)</f>
        <v>142.63614474887254</v>
      </c>
      <c r="M5" s="40"/>
      <c r="N5" s="41"/>
      <c r="O5" s="41"/>
      <c r="P5" s="41" t="s">
        <v>25</v>
      </c>
      <c r="Q5" s="42">
        <f>ABS(Q4)</f>
        <v>0.79850734436559123</v>
      </c>
    </row>
    <row r="6" spans="2:17" s="15" customFormat="1" ht="14" customHeight="1">
      <c r="B6" s="21" t="s">
        <v>6</v>
      </c>
      <c r="C6" s="26">
        <f>INT(275*MONTH(C3)/9)-IF(C5="Y",1,2)*INT((MONTH(C3)+9)/12)+DAY(C3)-30</f>
        <v>148</v>
      </c>
      <c r="D6" s="53"/>
      <c r="E6" s="53"/>
      <c r="G6" s="16"/>
      <c r="I6" s="30" t="s">
        <v>14</v>
      </c>
      <c r="J6" s="32">
        <f>MOD(134.9634114+477198.8676313*$J$3+0.008997*POWER($J$3,2)+(POWER($J$3,3)/69699)-(POWER($J$3,4)/14712000),360)</f>
        <v>309.23426488485711</v>
      </c>
      <c r="M6" s="37"/>
      <c r="N6" s="38"/>
      <c r="O6" s="38"/>
      <c r="P6" s="38" t="s">
        <v>26</v>
      </c>
      <c r="Q6" s="43">
        <v>1</v>
      </c>
    </row>
    <row r="7" spans="2:17" s="15" customFormat="1" ht="14" customHeight="1">
      <c r="B7" s="21" t="s">
        <v>9</v>
      </c>
      <c r="C7" s="26" t="str">
        <f>IF(INT(MOD(C8+1.5,7))=1,"Monday",IF(INT(MOD(C8+1.5,7))=2,"Tuesday",IF(INT(MOD(C8+1.5,7))=3,"Wednesday",IF(INT(MOD(C8+1.5,7))=4,"Thursday",IF(INT(MOD(C8+1.5,7))=5,"Friday",IF(INT(MOD(C8+1.5,7))=6,"Saturday","Sunday"))))))</f>
        <v>Monday</v>
      </c>
      <c r="D7" s="53"/>
      <c r="E7" s="53"/>
      <c r="G7" s="16"/>
      <c r="I7" s="30" t="s">
        <v>17</v>
      </c>
      <c r="J7" s="32">
        <f>180-J4-6.289*SIN($J$2*J6)+2.1*SIN($J$2*J5)-1.274*SIN($J$2*(2*J4-J6))-0.658*SIN($J$2*2*J4)-0.214*SIN($J$2*2*J6)-0.11*SIN($J$2*J4)</f>
        <v>-53.931409449255561</v>
      </c>
      <c r="M7" s="40"/>
      <c r="N7" s="41"/>
      <c r="O7" s="41"/>
      <c r="P7" s="41"/>
      <c r="Q7" s="42"/>
    </row>
    <row r="8" spans="2:17" s="15" customFormat="1" ht="14" customHeight="1">
      <c r="B8" s="21" t="s">
        <v>21</v>
      </c>
      <c r="C8" s="27">
        <f>367*YEAR(C3)-INT(7/4*YEAR(C3))-INT(3*(INT((YEAR(C3)-8/7)/100)+1)/4)+1721059.5-1+C6+((HOUR($C$4)+(MINUTE($C$4)/60))/24)</f>
        <v>2460458.4583333335</v>
      </c>
      <c r="D8" s="54"/>
      <c r="E8" s="54"/>
      <c r="G8" s="16"/>
      <c r="I8" s="31" t="s">
        <v>20</v>
      </c>
      <c r="J8" s="33">
        <f>(1+COS($J$2*J7))/2</f>
        <v>0.79437666507853189</v>
      </c>
      <c r="M8" s="46" t="s">
        <v>27</v>
      </c>
      <c r="N8" s="44" t="s">
        <v>28</v>
      </c>
      <c r="O8" s="44" t="s">
        <v>29</v>
      </c>
      <c r="P8" s="44" t="s">
        <v>30</v>
      </c>
      <c r="Q8" s="45" t="s">
        <v>31</v>
      </c>
    </row>
    <row r="9" spans="2:17" s="15" customFormat="1" ht="14" customHeight="1">
      <c r="B9" s="21" t="s">
        <v>10</v>
      </c>
      <c r="C9" s="27">
        <f>C8-2451545</f>
        <v>8913.4583333334886</v>
      </c>
      <c r="D9" s="54"/>
      <c r="E9" s="54"/>
      <c r="G9" s="16"/>
      <c r="M9" s="66">
        <v>-1</v>
      </c>
      <c r="N9" s="68">
        <f t="shared" ref="N9:N72" si="0">IFERROR(IF(SQRT(1-(M9*M9)/($Q$5*$Q$5))&lt;0.05,0,SQRT(1-(M9*M9)/($Q$5*$Q$5))),0)</f>
        <v>0</v>
      </c>
      <c r="O9" s="68">
        <f t="shared" ref="O9:O72" si="1">CHOOSE(MATCH($Q$3,degrees),IF(M9&lt;0,IFERROR(1-N9,1),0),0,0,IF(M9&gt;0,IFERROR(1-N9,1),0))</f>
        <v>0</v>
      </c>
      <c r="P9" s="68">
        <f t="shared" ref="P9:P72" si="2">CHOOSE(MATCH($Q$3,degrees),IF(M9&lt;0,2*N9,2),IF(M9&lt;0,0,1-N9),IF(M9&gt;0,0,1-N9),IF(M9&gt;0,2*N9,2))</f>
        <v>2</v>
      </c>
      <c r="Q9" s="69">
        <f t="shared" ref="Q9:Q72" si="3">CHOOSE(MATCH($Q$3,degrees),IF(M9&lt;0,N9+1,2),IF(M9&lt;0,2,2*N9),IF(M9&gt;0,2,2*N9),IF(M9&gt;0,N9+1,2))</f>
        <v>2</v>
      </c>
    </row>
    <row r="10" spans="2:17" s="15" customFormat="1" ht="14" customHeight="1">
      <c r="G10" s="16"/>
      <c r="M10" s="66">
        <f t="shared" ref="M10:M41" si="4">M9+$N$4</f>
        <v>-0.99</v>
      </c>
      <c r="N10" s="68">
        <f t="shared" si="0"/>
        <v>0</v>
      </c>
      <c r="O10" s="68">
        <f t="shared" si="1"/>
        <v>0</v>
      </c>
      <c r="P10" s="68">
        <f t="shared" si="2"/>
        <v>2</v>
      </c>
      <c r="Q10" s="69">
        <f t="shared" si="3"/>
        <v>2</v>
      </c>
    </row>
    <row r="11" spans="2:17" s="15" customFormat="1" ht="16" customHeight="1">
      <c r="G11" s="16"/>
      <c r="M11" s="66">
        <f t="shared" si="4"/>
        <v>-0.98</v>
      </c>
      <c r="N11" s="68">
        <f t="shared" si="0"/>
        <v>0</v>
      </c>
      <c r="O11" s="68">
        <f t="shared" si="1"/>
        <v>0</v>
      </c>
      <c r="P11" s="68">
        <f t="shared" si="2"/>
        <v>2</v>
      </c>
      <c r="Q11" s="69">
        <f t="shared" si="3"/>
        <v>2</v>
      </c>
    </row>
    <row r="12" spans="2:17" s="15" customFormat="1" ht="16" customHeight="1">
      <c r="D12" s="55"/>
      <c r="E12" s="55"/>
      <c r="G12" s="16"/>
      <c r="M12" s="66">
        <f t="shared" si="4"/>
        <v>-0.97</v>
      </c>
      <c r="N12" s="68">
        <f t="shared" si="0"/>
        <v>0</v>
      </c>
      <c r="O12" s="68">
        <f t="shared" si="1"/>
        <v>0</v>
      </c>
      <c r="P12" s="68">
        <f t="shared" si="2"/>
        <v>2</v>
      </c>
      <c r="Q12" s="69">
        <f t="shared" si="3"/>
        <v>2</v>
      </c>
    </row>
    <row r="13" spans="2:17" s="15" customFormat="1" ht="16" customHeight="1">
      <c r="B13" s="17"/>
      <c r="G13" s="16"/>
      <c r="M13" s="66">
        <f t="shared" si="4"/>
        <v>-0.96</v>
      </c>
      <c r="N13" s="68">
        <f t="shared" si="0"/>
        <v>0</v>
      </c>
      <c r="O13" s="68">
        <f t="shared" si="1"/>
        <v>0</v>
      </c>
      <c r="P13" s="68">
        <f t="shared" si="2"/>
        <v>2</v>
      </c>
      <c r="Q13" s="69">
        <f t="shared" si="3"/>
        <v>2</v>
      </c>
    </row>
    <row r="14" spans="2:17" s="15" customFormat="1" ht="16" customHeight="1">
      <c r="G14" s="16"/>
      <c r="L14" s="56"/>
      <c r="M14" s="66">
        <f t="shared" si="4"/>
        <v>-0.95</v>
      </c>
      <c r="N14" s="68">
        <f t="shared" si="0"/>
        <v>0</v>
      </c>
      <c r="O14" s="68">
        <f t="shared" si="1"/>
        <v>0</v>
      </c>
      <c r="P14" s="68">
        <f t="shared" si="2"/>
        <v>2</v>
      </c>
      <c r="Q14" s="69">
        <f t="shared" si="3"/>
        <v>2</v>
      </c>
    </row>
    <row r="15" spans="2:17" s="15" customFormat="1" ht="16" customHeight="1">
      <c r="G15" s="16"/>
      <c r="L15" s="56"/>
      <c r="M15" s="66">
        <f t="shared" si="4"/>
        <v>-0.94</v>
      </c>
      <c r="N15" s="68">
        <f t="shared" si="0"/>
        <v>0</v>
      </c>
      <c r="O15" s="68">
        <f t="shared" si="1"/>
        <v>0</v>
      </c>
      <c r="P15" s="68">
        <f t="shared" si="2"/>
        <v>2</v>
      </c>
      <c r="Q15" s="69">
        <f t="shared" si="3"/>
        <v>2</v>
      </c>
    </row>
    <row r="16" spans="2:17" s="15" customFormat="1" ht="16" customHeight="1">
      <c r="G16" s="16"/>
      <c r="L16" s="56"/>
      <c r="M16" s="66">
        <f t="shared" si="4"/>
        <v>-0.92999999999999994</v>
      </c>
      <c r="N16" s="68">
        <f t="shared" si="0"/>
        <v>0</v>
      </c>
      <c r="O16" s="68">
        <f t="shared" si="1"/>
        <v>0</v>
      </c>
      <c r="P16" s="68">
        <f t="shared" si="2"/>
        <v>2</v>
      </c>
      <c r="Q16" s="69">
        <f t="shared" si="3"/>
        <v>2</v>
      </c>
    </row>
    <row r="17" spans="2:17" s="15" customFormat="1" ht="16" customHeight="1">
      <c r="B17" s="147" t="str">
        <f>CONCATENATE("Moon phase: ",VLOOKUP(J21,J23:K31,2,TRUE))</f>
        <v>Moon phase: Waning gibbous</v>
      </c>
      <c r="C17" s="147"/>
      <c r="D17" s="75"/>
      <c r="E17" s="76" t="str">
        <f>CONCATENATE("Illuminated fraction: ",TEXT(Illumination!J8,"0.0%"))</f>
        <v>Illuminated fraction: 79.4%</v>
      </c>
      <c r="G17" s="16"/>
      <c r="L17" s="56"/>
      <c r="M17" s="66">
        <f t="shared" si="4"/>
        <v>-0.91999999999999993</v>
      </c>
      <c r="N17" s="68">
        <f t="shared" si="0"/>
        <v>0</v>
      </c>
      <c r="O17" s="68">
        <f t="shared" si="1"/>
        <v>0</v>
      </c>
      <c r="P17" s="68">
        <f t="shared" si="2"/>
        <v>2</v>
      </c>
      <c r="Q17" s="69">
        <f t="shared" si="3"/>
        <v>2</v>
      </c>
    </row>
    <row r="18" spans="2:17" s="15" customFormat="1" ht="16" customHeight="1">
      <c r="G18" s="16"/>
      <c r="L18" s="56"/>
      <c r="M18" s="66">
        <f t="shared" si="4"/>
        <v>-0.90999999999999992</v>
      </c>
      <c r="N18" s="68">
        <f t="shared" si="0"/>
        <v>0</v>
      </c>
      <c r="O18" s="68">
        <f t="shared" si="1"/>
        <v>0</v>
      </c>
      <c r="P18" s="68">
        <f t="shared" si="2"/>
        <v>2</v>
      </c>
      <c r="Q18" s="69">
        <f t="shared" si="3"/>
        <v>2</v>
      </c>
    </row>
    <row r="19" spans="2:17" s="15" customFormat="1" ht="16" customHeight="1">
      <c r="G19" s="16"/>
      <c r="I19" s="71" t="s">
        <v>41</v>
      </c>
      <c r="J19" s="72">
        <v>2460438.64</v>
      </c>
      <c r="K19" s="15" t="s">
        <v>43</v>
      </c>
      <c r="L19" s="56"/>
      <c r="M19" s="66">
        <f t="shared" si="4"/>
        <v>-0.89999999999999991</v>
      </c>
      <c r="N19" s="68">
        <f t="shared" si="0"/>
        <v>0</v>
      </c>
      <c r="O19" s="68">
        <f t="shared" si="1"/>
        <v>0</v>
      </c>
      <c r="P19" s="68">
        <f t="shared" si="2"/>
        <v>2</v>
      </c>
      <c r="Q19" s="69">
        <f t="shared" si="3"/>
        <v>2</v>
      </c>
    </row>
    <row r="20" spans="2:17" s="15" customFormat="1" ht="16" customHeight="1">
      <c r="G20" s="16"/>
      <c r="I20" s="73" t="s">
        <v>42</v>
      </c>
      <c r="J20" s="74">
        <f>((C8-J19)/29.530588853)-INT((C8-J19)/29.530588853)</f>
        <v>0.67111202665180958</v>
      </c>
      <c r="K20" s="15" t="str">
        <f>IF(J20&lt;0.5,"(before FM)","(after FM)")</f>
        <v>(after FM)</v>
      </c>
      <c r="L20" s="56"/>
      <c r="M20" s="66">
        <f t="shared" si="4"/>
        <v>-0.8899999999999999</v>
      </c>
      <c r="N20" s="68">
        <f t="shared" si="0"/>
        <v>0</v>
      </c>
      <c r="O20" s="68">
        <f t="shared" si="1"/>
        <v>0</v>
      </c>
      <c r="P20" s="68">
        <f t="shared" si="2"/>
        <v>2</v>
      </c>
      <c r="Q20" s="69">
        <f t="shared" si="3"/>
        <v>2</v>
      </c>
    </row>
    <row r="21" spans="2:17" s="15" customFormat="1" ht="16" customHeight="1">
      <c r="G21" s="16"/>
      <c r="I21" s="31" t="s">
        <v>32</v>
      </c>
      <c r="J21" s="48">
        <f>IF(J20&lt;0.5,180*J8,360-180*J8)</f>
        <v>217.01220028586425</v>
      </c>
      <c r="L21" s="56"/>
      <c r="M21" s="66">
        <f t="shared" si="4"/>
        <v>-0.87999999999999989</v>
      </c>
      <c r="N21" s="68">
        <f t="shared" si="0"/>
        <v>0</v>
      </c>
      <c r="O21" s="68">
        <f t="shared" si="1"/>
        <v>0</v>
      </c>
      <c r="P21" s="68">
        <f t="shared" si="2"/>
        <v>2</v>
      </c>
      <c r="Q21" s="69">
        <f t="shared" si="3"/>
        <v>2</v>
      </c>
    </row>
    <row r="22" spans="2:17" s="15" customFormat="1" ht="16" customHeight="1">
      <c r="G22" s="16"/>
      <c r="L22" s="56"/>
      <c r="M22" s="66">
        <f t="shared" si="4"/>
        <v>-0.86999999999999988</v>
      </c>
      <c r="N22" s="68">
        <f t="shared" si="0"/>
        <v>0</v>
      </c>
      <c r="O22" s="68">
        <f t="shared" si="1"/>
        <v>0</v>
      </c>
      <c r="P22" s="68">
        <f t="shared" si="2"/>
        <v>2</v>
      </c>
      <c r="Q22" s="69">
        <f t="shared" si="3"/>
        <v>2</v>
      </c>
    </row>
    <row r="23" spans="2:17" s="15" customFormat="1" ht="16" customHeight="1">
      <c r="G23" s="16"/>
      <c r="I23" s="57">
        <v>0</v>
      </c>
      <c r="J23" s="58">
        <v>0</v>
      </c>
      <c r="K23" s="59" t="s">
        <v>34</v>
      </c>
      <c r="M23" s="66">
        <f t="shared" si="4"/>
        <v>-0.85999999999999988</v>
      </c>
      <c r="N23" s="68">
        <f t="shared" si="0"/>
        <v>0</v>
      </c>
      <c r="O23" s="68">
        <f t="shared" si="1"/>
        <v>0</v>
      </c>
      <c r="P23" s="68">
        <f t="shared" si="2"/>
        <v>2</v>
      </c>
      <c r="Q23" s="69">
        <f t="shared" si="3"/>
        <v>2</v>
      </c>
    </row>
    <row r="24" spans="2:17" s="15" customFormat="1" ht="16" customHeight="1">
      <c r="G24" s="16"/>
      <c r="I24" s="60">
        <f t="shared" ref="I24:I31" si="5">I23+45</f>
        <v>45</v>
      </c>
      <c r="J24" s="61">
        <f t="shared" ref="J24:J31" si="6">I24-22.5</f>
        <v>22.5</v>
      </c>
      <c r="K24" s="62" t="s">
        <v>35</v>
      </c>
      <c r="M24" s="66">
        <f t="shared" si="4"/>
        <v>-0.84999999999999987</v>
      </c>
      <c r="N24" s="68">
        <f t="shared" si="0"/>
        <v>0</v>
      </c>
      <c r="O24" s="68">
        <f t="shared" si="1"/>
        <v>0</v>
      </c>
      <c r="P24" s="68">
        <f t="shared" si="2"/>
        <v>2</v>
      </c>
      <c r="Q24" s="69">
        <f t="shared" si="3"/>
        <v>2</v>
      </c>
    </row>
    <row r="25" spans="2:17" s="15" customFormat="1" ht="16" customHeight="1">
      <c r="G25" s="16"/>
      <c r="I25" s="60">
        <f t="shared" si="5"/>
        <v>90</v>
      </c>
      <c r="J25" s="61">
        <f t="shared" si="6"/>
        <v>67.5</v>
      </c>
      <c r="K25" s="62" t="s">
        <v>36</v>
      </c>
      <c r="M25" s="66">
        <f t="shared" si="4"/>
        <v>-0.83999999999999986</v>
      </c>
      <c r="N25" s="68">
        <f t="shared" si="0"/>
        <v>0</v>
      </c>
      <c r="O25" s="68">
        <f t="shared" si="1"/>
        <v>0</v>
      </c>
      <c r="P25" s="68">
        <f t="shared" si="2"/>
        <v>2</v>
      </c>
      <c r="Q25" s="69">
        <f t="shared" si="3"/>
        <v>2</v>
      </c>
    </row>
    <row r="26" spans="2:17" s="15" customFormat="1" ht="16" customHeight="1">
      <c r="G26" s="16"/>
      <c r="I26" s="60">
        <f t="shared" si="5"/>
        <v>135</v>
      </c>
      <c r="J26" s="61">
        <f t="shared" si="6"/>
        <v>112.5</v>
      </c>
      <c r="K26" s="62" t="s">
        <v>37</v>
      </c>
      <c r="M26" s="66">
        <f t="shared" si="4"/>
        <v>-0.82999999999999985</v>
      </c>
      <c r="N26" s="68">
        <f t="shared" si="0"/>
        <v>0</v>
      </c>
      <c r="O26" s="68">
        <f t="shared" si="1"/>
        <v>0</v>
      </c>
      <c r="P26" s="68">
        <f t="shared" si="2"/>
        <v>2</v>
      </c>
      <c r="Q26" s="69">
        <f t="shared" si="3"/>
        <v>2</v>
      </c>
    </row>
    <row r="27" spans="2:17" s="15" customFormat="1" ht="16" customHeight="1">
      <c r="G27" s="16"/>
      <c r="I27" s="60">
        <f t="shared" si="5"/>
        <v>180</v>
      </c>
      <c r="J27" s="61">
        <f t="shared" si="6"/>
        <v>157.5</v>
      </c>
      <c r="K27" s="62" t="s">
        <v>33</v>
      </c>
      <c r="M27" s="66">
        <f t="shared" si="4"/>
        <v>-0.81999999999999984</v>
      </c>
      <c r="N27" s="68">
        <f t="shared" si="0"/>
        <v>0</v>
      </c>
      <c r="O27" s="68">
        <f t="shared" si="1"/>
        <v>0</v>
      </c>
      <c r="P27" s="68">
        <f t="shared" si="2"/>
        <v>2</v>
      </c>
      <c r="Q27" s="69">
        <f t="shared" si="3"/>
        <v>2</v>
      </c>
    </row>
    <row r="28" spans="2:17" s="15" customFormat="1" ht="16" customHeight="1">
      <c r="G28" s="16"/>
      <c r="I28" s="60">
        <f t="shared" si="5"/>
        <v>225</v>
      </c>
      <c r="J28" s="61">
        <f t="shared" si="6"/>
        <v>202.5</v>
      </c>
      <c r="K28" s="62" t="s">
        <v>38</v>
      </c>
      <c r="M28" s="66">
        <f t="shared" si="4"/>
        <v>-0.80999999999999983</v>
      </c>
      <c r="N28" s="68">
        <f t="shared" si="0"/>
        <v>0</v>
      </c>
      <c r="O28" s="68">
        <f t="shared" si="1"/>
        <v>0</v>
      </c>
      <c r="P28" s="68">
        <f t="shared" si="2"/>
        <v>2</v>
      </c>
      <c r="Q28" s="69">
        <f t="shared" si="3"/>
        <v>2</v>
      </c>
    </row>
    <row r="29" spans="2:17" s="15" customFormat="1" ht="16" customHeight="1">
      <c r="G29" s="16"/>
      <c r="I29" s="60">
        <f t="shared" si="5"/>
        <v>270</v>
      </c>
      <c r="J29" s="61">
        <f t="shared" si="6"/>
        <v>247.5</v>
      </c>
      <c r="K29" s="62" t="s">
        <v>39</v>
      </c>
      <c r="M29" s="66">
        <f t="shared" si="4"/>
        <v>-0.79999999999999982</v>
      </c>
      <c r="N29" s="68">
        <f t="shared" si="0"/>
        <v>0</v>
      </c>
      <c r="O29" s="68">
        <f t="shared" si="1"/>
        <v>0</v>
      </c>
      <c r="P29" s="68">
        <f t="shared" si="2"/>
        <v>2</v>
      </c>
      <c r="Q29" s="69">
        <f t="shared" si="3"/>
        <v>2</v>
      </c>
    </row>
    <row r="30" spans="2:17" s="15" customFormat="1" ht="16" customHeight="1">
      <c r="G30" s="16"/>
      <c r="I30" s="60">
        <f t="shared" si="5"/>
        <v>315</v>
      </c>
      <c r="J30" s="61">
        <f t="shared" si="6"/>
        <v>292.5</v>
      </c>
      <c r="K30" s="62" t="s">
        <v>40</v>
      </c>
      <c r="M30" s="66">
        <f t="shared" si="4"/>
        <v>-0.78999999999999981</v>
      </c>
      <c r="N30" s="68">
        <f t="shared" si="0"/>
        <v>0.14558368398842947</v>
      </c>
      <c r="O30" s="68">
        <f t="shared" si="1"/>
        <v>0</v>
      </c>
      <c r="P30" s="68">
        <f t="shared" si="2"/>
        <v>2</v>
      </c>
      <c r="Q30" s="69">
        <f t="shared" si="3"/>
        <v>2</v>
      </c>
    </row>
    <row r="31" spans="2:17" s="15" customFormat="1" ht="16" customHeight="1">
      <c r="G31" s="16"/>
      <c r="I31" s="63">
        <f t="shared" si="5"/>
        <v>360</v>
      </c>
      <c r="J31" s="64">
        <f t="shared" si="6"/>
        <v>337.5</v>
      </c>
      <c r="K31" s="65" t="s">
        <v>34</v>
      </c>
      <c r="M31" s="66">
        <f t="shared" si="4"/>
        <v>-0.7799999999999998</v>
      </c>
      <c r="N31" s="68">
        <f t="shared" si="0"/>
        <v>0.21405059601520876</v>
      </c>
      <c r="O31" s="68">
        <f t="shared" si="1"/>
        <v>0</v>
      </c>
      <c r="P31" s="68">
        <f t="shared" si="2"/>
        <v>2</v>
      </c>
      <c r="Q31" s="69">
        <f t="shared" si="3"/>
        <v>2</v>
      </c>
    </row>
    <row r="32" spans="2:17" s="15" customFormat="1" ht="16" customHeight="1">
      <c r="G32" s="16"/>
      <c r="M32" s="66">
        <f t="shared" si="4"/>
        <v>-0.7699999999999998</v>
      </c>
      <c r="N32" s="68">
        <f t="shared" si="0"/>
        <v>0.26481509937357112</v>
      </c>
      <c r="O32" s="68">
        <f t="shared" si="1"/>
        <v>0</v>
      </c>
      <c r="P32" s="68">
        <f t="shared" si="2"/>
        <v>2</v>
      </c>
      <c r="Q32" s="69">
        <f t="shared" si="3"/>
        <v>2</v>
      </c>
    </row>
    <row r="33" spans="7:17" s="15" customFormat="1" ht="16" customHeight="1">
      <c r="G33" s="16"/>
      <c r="M33" s="66">
        <f t="shared" si="4"/>
        <v>-0.75999999999999979</v>
      </c>
      <c r="N33" s="68">
        <f t="shared" si="0"/>
        <v>0.30679430674141833</v>
      </c>
      <c r="O33" s="68">
        <f t="shared" si="1"/>
        <v>0</v>
      </c>
      <c r="P33" s="68">
        <f t="shared" si="2"/>
        <v>2</v>
      </c>
      <c r="Q33" s="69">
        <f t="shared" si="3"/>
        <v>2</v>
      </c>
    </row>
    <row r="34" spans="7:17" s="15" customFormat="1" ht="16" customHeight="1">
      <c r="G34" s="16"/>
      <c r="M34" s="66">
        <f t="shared" si="4"/>
        <v>-0.74999999999999978</v>
      </c>
      <c r="N34" s="68">
        <f t="shared" si="0"/>
        <v>0.34322701967153685</v>
      </c>
      <c r="O34" s="68">
        <f t="shared" si="1"/>
        <v>0</v>
      </c>
      <c r="P34" s="68">
        <f t="shared" si="2"/>
        <v>2</v>
      </c>
      <c r="Q34" s="69">
        <f t="shared" si="3"/>
        <v>2</v>
      </c>
    </row>
    <row r="35" spans="7:17" s="15" customFormat="1" ht="16" customHeight="1">
      <c r="G35" s="16"/>
      <c r="M35" s="66">
        <f t="shared" si="4"/>
        <v>-0.73999999999999977</v>
      </c>
      <c r="N35" s="68">
        <f t="shared" si="0"/>
        <v>0.37573016648548285</v>
      </c>
      <c r="O35" s="68">
        <f t="shared" si="1"/>
        <v>0</v>
      </c>
      <c r="P35" s="68">
        <f t="shared" si="2"/>
        <v>2</v>
      </c>
      <c r="Q35" s="69">
        <f t="shared" si="3"/>
        <v>2</v>
      </c>
    </row>
    <row r="36" spans="7:17" s="15" customFormat="1" ht="16" customHeight="1">
      <c r="G36" s="16"/>
      <c r="M36" s="66">
        <f t="shared" si="4"/>
        <v>-0.72999999999999976</v>
      </c>
      <c r="N36" s="68">
        <f t="shared" si="0"/>
        <v>0.40525036653007068</v>
      </c>
      <c r="O36" s="68">
        <f t="shared" si="1"/>
        <v>0</v>
      </c>
      <c r="P36" s="68">
        <f t="shared" si="2"/>
        <v>2</v>
      </c>
      <c r="Q36" s="69">
        <f t="shared" si="3"/>
        <v>2</v>
      </c>
    </row>
    <row r="37" spans="7:17" s="15" customFormat="1" ht="16" customHeight="1">
      <c r="G37" s="16"/>
      <c r="M37" s="66">
        <f t="shared" si="4"/>
        <v>-0.71999999999999975</v>
      </c>
      <c r="N37" s="68">
        <f t="shared" si="0"/>
        <v>0.43239899598547793</v>
      </c>
      <c r="O37" s="68">
        <f t="shared" si="1"/>
        <v>0</v>
      </c>
      <c r="P37" s="68">
        <f t="shared" si="2"/>
        <v>2</v>
      </c>
      <c r="Q37" s="69">
        <f t="shared" si="3"/>
        <v>2</v>
      </c>
    </row>
    <row r="38" spans="7:17" s="15" customFormat="1" ht="16" customHeight="1">
      <c r="G38" s="16"/>
      <c r="M38" s="66">
        <f t="shared" si="4"/>
        <v>-0.70999999999999974</v>
      </c>
      <c r="N38" s="68">
        <f t="shared" si="0"/>
        <v>0.45759835497594076</v>
      </c>
      <c r="O38" s="68">
        <f t="shared" si="1"/>
        <v>0</v>
      </c>
      <c r="P38" s="68">
        <f t="shared" si="2"/>
        <v>2</v>
      </c>
      <c r="Q38" s="69">
        <f t="shared" si="3"/>
        <v>2</v>
      </c>
    </row>
    <row r="39" spans="7:17" s="15" customFormat="1" ht="16" customHeight="1">
      <c r="G39" s="16"/>
      <c r="M39" s="66">
        <f t="shared" si="4"/>
        <v>-0.69999999999999973</v>
      </c>
      <c r="N39" s="68">
        <f t="shared" si="0"/>
        <v>0.48115480649690068</v>
      </c>
      <c r="O39" s="68">
        <f t="shared" si="1"/>
        <v>0</v>
      </c>
      <c r="P39" s="68">
        <f t="shared" si="2"/>
        <v>2</v>
      </c>
      <c r="Q39" s="69">
        <f t="shared" si="3"/>
        <v>2</v>
      </c>
    </row>
    <row r="40" spans="7:17" s="15" customFormat="1" ht="16" customHeight="1">
      <c r="G40" s="16"/>
      <c r="M40" s="66">
        <f t="shared" si="4"/>
        <v>-0.68999999999999972</v>
      </c>
      <c r="N40" s="68">
        <f t="shared" si="0"/>
        <v>0.50329908776432086</v>
      </c>
      <c r="O40" s="68">
        <f t="shared" si="1"/>
        <v>0</v>
      </c>
      <c r="P40" s="68">
        <f t="shared" si="2"/>
        <v>2</v>
      </c>
      <c r="Q40" s="69">
        <f t="shared" si="3"/>
        <v>2</v>
      </c>
    </row>
    <row r="41" spans="7:17" s="15" customFormat="1" ht="16" customHeight="1">
      <c r="G41" s="16"/>
      <c r="M41" s="66">
        <f t="shared" si="4"/>
        <v>-0.67999999999999972</v>
      </c>
      <c r="N41" s="68">
        <f t="shared" si="0"/>
        <v>0.52421019282790571</v>
      </c>
      <c r="O41" s="68">
        <f t="shared" si="1"/>
        <v>0</v>
      </c>
      <c r="P41" s="68">
        <f t="shared" si="2"/>
        <v>2</v>
      </c>
      <c r="Q41" s="69">
        <f t="shared" si="3"/>
        <v>2</v>
      </c>
    </row>
    <row r="42" spans="7:17" s="15" customFormat="1" ht="16" customHeight="1">
      <c r="G42" s="16"/>
      <c r="M42" s="66">
        <f t="shared" ref="M42:M73" si="7">M41+$N$4</f>
        <v>-0.66999999999999971</v>
      </c>
      <c r="N42" s="68">
        <f t="shared" si="0"/>
        <v>0.54403034049204235</v>
      </c>
      <c r="O42" s="68">
        <f t="shared" si="1"/>
        <v>0</v>
      </c>
      <c r="P42" s="68">
        <f t="shared" si="2"/>
        <v>2</v>
      </c>
      <c r="Q42" s="69">
        <f t="shared" si="3"/>
        <v>2</v>
      </c>
    </row>
    <row r="43" spans="7:17" s="15" customFormat="1" ht="16" customHeight="1">
      <c r="G43" s="16"/>
      <c r="M43" s="66">
        <f t="shared" si="7"/>
        <v>-0.6599999999999997</v>
      </c>
      <c r="N43" s="68">
        <f t="shared" si="0"/>
        <v>0.56287478809949376</v>
      </c>
      <c r="O43" s="68">
        <f t="shared" si="1"/>
        <v>0</v>
      </c>
      <c r="P43" s="68">
        <f t="shared" si="2"/>
        <v>2</v>
      </c>
      <c r="Q43" s="69">
        <f t="shared" si="3"/>
        <v>2</v>
      </c>
    </row>
    <row r="44" spans="7:17" s="15" customFormat="1" ht="16" customHeight="1">
      <c r="G44" s="16"/>
      <c r="M44" s="66">
        <f t="shared" si="7"/>
        <v>-0.64999999999999969</v>
      </c>
      <c r="N44" s="68">
        <f t="shared" si="0"/>
        <v>0.58083850885694321</v>
      </c>
      <c r="O44" s="68">
        <f t="shared" si="1"/>
        <v>0</v>
      </c>
      <c r="P44" s="68">
        <f t="shared" si="2"/>
        <v>2</v>
      </c>
      <c r="Q44" s="69">
        <f t="shared" si="3"/>
        <v>2</v>
      </c>
    </row>
    <row r="45" spans="7:17" s="15" customFormat="1" ht="16" customHeight="1">
      <c r="G45" s="16"/>
      <c r="M45" s="66">
        <f t="shared" si="7"/>
        <v>-0.63999999999999968</v>
      </c>
      <c r="N45" s="68">
        <f t="shared" si="0"/>
        <v>0.59800087813916258</v>
      </c>
      <c r="O45" s="68">
        <f t="shared" si="1"/>
        <v>0</v>
      </c>
      <c r="P45" s="68">
        <f t="shared" si="2"/>
        <v>2</v>
      </c>
      <c r="Q45" s="69">
        <f t="shared" si="3"/>
        <v>2</v>
      </c>
    </row>
    <row r="46" spans="7:17" s="15" customFormat="1" ht="16" customHeight="1">
      <c r="G46" s="16"/>
      <c r="M46" s="66">
        <f t="shared" si="7"/>
        <v>-0.62999999999999967</v>
      </c>
      <c r="N46" s="68">
        <f t="shared" si="0"/>
        <v>0.61442905020043348</v>
      </c>
      <c r="O46" s="68">
        <f t="shared" si="1"/>
        <v>0</v>
      </c>
      <c r="P46" s="68">
        <f t="shared" si="2"/>
        <v>2</v>
      </c>
      <c r="Q46" s="69">
        <f t="shared" si="3"/>
        <v>2</v>
      </c>
    </row>
    <row r="47" spans="7:17" s="15" customFormat="1" ht="16" customHeight="1">
      <c r="G47" s="16"/>
      <c r="M47" s="66">
        <f t="shared" si="7"/>
        <v>-0.61999999999999966</v>
      </c>
      <c r="N47" s="68">
        <f t="shared" si="0"/>
        <v>0.63018044701192444</v>
      </c>
      <c r="O47" s="68">
        <f t="shared" si="1"/>
        <v>0</v>
      </c>
      <c r="P47" s="68">
        <f t="shared" si="2"/>
        <v>2</v>
      </c>
      <c r="Q47" s="69">
        <f t="shared" si="3"/>
        <v>2</v>
      </c>
    </row>
    <row r="48" spans="7:17" s="15" customFormat="1" ht="16" customHeight="1">
      <c r="G48" s="16"/>
      <c r="M48" s="66">
        <f t="shared" si="7"/>
        <v>-0.60999999999999965</v>
      </c>
      <c r="N48" s="68">
        <f t="shared" si="0"/>
        <v>0.64530462918921938</v>
      </c>
      <c r="O48" s="68">
        <f t="shared" si="1"/>
        <v>0</v>
      </c>
      <c r="P48" s="68">
        <f t="shared" si="2"/>
        <v>2</v>
      </c>
      <c r="Q48" s="69">
        <f t="shared" si="3"/>
        <v>2</v>
      </c>
    </row>
    <row r="49" spans="7:17" s="15" customFormat="1" ht="16" customHeight="1">
      <c r="G49" s="16"/>
      <c r="M49" s="66">
        <f t="shared" si="7"/>
        <v>-0.59999999999999964</v>
      </c>
      <c r="N49" s="68">
        <f t="shared" si="0"/>
        <v>0.65984472696299379</v>
      </c>
      <c r="O49" s="68">
        <f t="shared" si="1"/>
        <v>0</v>
      </c>
      <c r="P49" s="68">
        <f t="shared" si="2"/>
        <v>2</v>
      </c>
      <c r="Q49" s="69">
        <f t="shared" si="3"/>
        <v>2</v>
      </c>
    </row>
    <row r="50" spans="7:17" s="15" customFormat="1" ht="16" customHeight="1">
      <c r="G50" s="16"/>
      <c r="M50" s="66">
        <f t="shared" si="7"/>
        <v>-0.58999999999999964</v>
      </c>
      <c r="N50" s="68">
        <f t="shared" si="0"/>
        <v>0.67383855153860472</v>
      </c>
      <c r="O50" s="68">
        <f t="shared" si="1"/>
        <v>0</v>
      </c>
      <c r="P50" s="68">
        <f t="shared" si="2"/>
        <v>2</v>
      </c>
      <c r="Q50" s="69">
        <f t="shared" si="3"/>
        <v>2</v>
      </c>
    </row>
    <row r="51" spans="7:17" s="15" customFormat="1" ht="16" customHeight="1">
      <c r="G51" s="16"/>
      <c r="M51" s="66">
        <f t="shared" si="7"/>
        <v>-0.57999999999999963</v>
      </c>
      <c r="N51" s="68">
        <f t="shared" si="0"/>
        <v>0.68731947009332317</v>
      </c>
      <c r="O51" s="68">
        <f t="shared" si="1"/>
        <v>0</v>
      </c>
      <c r="P51" s="68">
        <f t="shared" si="2"/>
        <v>2</v>
      </c>
      <c r="Q51" s="69">
        <f t="shared" si="3"/>
        <v>2</v>
      </c>
    </row>
    <row r="52" spans="7:17" s="15" customFormat="1" ht="16" customHeight="1">
      <c r="G52" s="16"/>
      <c r="M52" s="66">
        <f t="shared" si="7"/>
        <v>-0.56999999999999962</v>
      </c>
      <c r="N52" s="68">
        <f t="shared" si="0"/>
        <v>0.70031710316829576</v>
      </c>
      <c r="O52" s="68">
        <f t="shared" si="1"/>
        <v>0</v>
      </c>
      <c r="P52" s="68">
        <f t="shared" si="2"/>
        <v>2</v>
      </c>
      <c r="Q52" s="69">
        <f t="shared" si="3"/>
        <v>2</v>
      </c>
    </row>
    <row r="53" spans="7:17" s="15" customFormat="1" ht="16" customHeight="1">
      <c r="G53" s="16"/>
      <c r="M53" s="66">
        <f t="shared" si="7"/>
        <v>-0.55999999999999961</v>
      </c>
      <c r="N53" s="68">
        <f t="shared" si="0"/>
        <v>0.71285788667983818</v>
      </c>
      <c r="O53" s="68">
        <f t="shared" si="1"/>
        <v>0</v>
      </c>
      <c r="P53" s="68">
        <f t="shared" si="2"/>
        <v>2</v>
      </c>
      <c r="Q53" s="69">
        <f t="shared" si="3"/>
        <v>2</v>
      </c>
    </row>
    <row r="54" spans="7:17" s="15" customFormat="1" ht="16" customHeight="1">
      <c r="G54" s="16"/>
      <c r="M54" s="66">
        <f t="shared" si="7"/>
        <v>-0.5499999999999996</v>
      </c>
      <c r="N54" s="68">
        <f t="shared" si="0"/>
        <v>0.7249655293903301</v>
      </c>
      <c r="O54" s="68">
        <f t="shared" si="1"/>
        <v>0</v>
      </c>
      <c r="P54" s="68">
        <f t="shared" si="2"/>
        <v>2</v>
      </c>
      <c r="Q54" s="69">
        <f t="shared" si="3"/>
        <v>2</v>
      </c>
    </row>
    <row r="55" spans="7:17" s="15" customFormat="1" ht="16" customHeight="1">
      <c r="G55" s="16"/>
      <c r="M55" s="66">
        <f t="shared" si="7"/>
        <v>-0.53999999999999959</v>
      </c>
      <c r="N55" s="68">
        <f t="shared" si="0"/>
        <v>0.73666138869748232</v>
      </c>
      <c r="O55" s="68">
        <f t="shared" si="1"/>
        <v>0</v>
      </c>
      <c r="P55" s="68">
        <f t="shared" si="2"/>
        <v>2</v>
      </c>
      <c r="Q55" s="69">
        <f t="shared" si="3"/>
        <v>2</v>
      </c>
    </row>
    <row r="56" spans="7:17" s="15" customFormat="1" ht="16" customHeight="1">
      <c r="G56" s="16"/>
      <c r="M56" s="66">
        <f t="shared" si="7"/>
        <v>-0.52999999999999958</v>
      </c>
      <c r="N56" s="68">
        <f t="shared" si="0"/>
        <v>0.74796478191299198</v>
      </c>
      <c r="O56" s="68">
        <f t="shared" si="1"/>
        <v>0</v>
      </c>
      <c r="P56" s="68">
        <f t="shared" si="2"/>
        <v>2</v>
      </c>
      <c r="Q56" s="69">
        <f t="shared" si="3"/>
        <v>2</v>
      </c>
    </row>
    <row r="57" spans="7:17" s="15" customFormat="1" ht="16" customHeight="1">
      <c r="G57" s="16"/>
      <c r="M57" s="66">
        <f t="shared" si="7"/>
        <v>-0.51999999999999957</v>
      </c>
      <c r="N57" s="68">
        <f t="shared" si="0"/>
        <v>0.75889324608770969</v>
      </c>
      <c r="O57" s="68">
        <f t="shared" si="1"/>
        <v>0</v>
      </c>
      <c r="P57" s="68">
        <f t="shared" si="2"/>
        <v>2</v>
      </c>
      <c r="Q57" s="69">
        <f t="shared" si="3"/>
        <v>2</v>
      </c>
    </row>
    <row r="58" spans="7:17" s="15" customFormat="1" ht="16" customHeight="1">
      <c r="G58" s="16"/>
      <c r="M58" s="66">
        <f t="shared" si="7"/>
        <v>-0.50999999999999956</v>
      </c>
      <c r="N58" s="68">
        <f t="shared" si="0"/>
        <v>0.76946275642416717</v>
      </c>
      <c r="O58" s="68">
        <f t="shared" si="1"/>
        <v>0</v>
      </c>
      <c r="P58" s="68">
        <f t="shared" si="2"/>
        <v>2</v>
      </c>
      <c r="Q58" s="69">
        <f t="shared" si="3"/>
        <v>2</v>
      </c>
    </row>
    <row r="59" spans="7:17" s="15" customFormat="1" ht="16" customHeight="1">
      <c r="G59" s="16"/>
      <c r="M59" s="66">
        <f t="shared" si="7"/>
        <v>-0.49999999999999956</v>
      </c>
      <c r="N59" s="68">
        <f t="shared" si="0"/>
        <v>0.77968791107798929</v>
      </c>
      <c r="O59" s="68">
        <f t="shared" si="1"/>
        <v>0</v>
      </c>
      <c r="P59" s="68">
        <f t="shared" si="2"/>
        <v>2</v>
      </c>
      <c r="Q59" s="69">
        <f t="shared" si="3"/>
        <v>2</v>
      </c>
    </row>
    <row r="60" spans="7:17" s="15" customFormat="1" ht="16" customHeight="1">
      <c r="G60" s="16"/>
      <c r="M60" s="66">
        <f t="shared" si="7"/>
        <v>-0.48999999999999955</v>
      </c>
      <c r="N60" s="68">
        <f t="shared" si="0"/>
        <v>0.78958208846793421</v>
      </c>
      <c r="O60" s="68">
        <f t="shared" si="1"/>
        <v>0</v>
      </c>
      <c r="P60" s="68">
        <f t="shared" si="2"/>
        <v>2</v>
      </c>
      <c r="Q60" s="69">
        <f t="shared" si="3"/>
        <v>2</v>
      </c>
    </row>
    <row r="61" spans="7:17" s="15" customFormat="1" ht="16" customHeight="1">
      <c r="G61" s="16"/>
      <c r="M61" s="66">
        <f t="shared" si="7"/>
        <v>-0.47999999999999954</v>
      </c>
      <c r="N61" s="68">
        <f t="shared" si="0"/>
        <v>0.79915758193772746</v>
      </c>
      <c r="O61" s="68">
        <f t="shared" si="1"/>
        <v>0</v>
      </c>
      <c r="P61" s="68">
        <f t="shared" si="2"/>
        <v>2</v>
      </c>
      <c r="Q61" s="69">
        <f t="shared" si="3"/>
        <v>2</v>
      </c>
    </row>
    <row r="62" spans="7:17" s="15" customFormat="1" ht="16" customHeight="1">
      <c r="G62" s="16"/>
      <c r="M62" s="66">
        <f t="shared" si="7"/>
        <v>-0.46999999999999953</v>
      </c>
      <c r="N62" s="68">
        <f t="shared" si="0"/>
        <v>0.80842571563420207</v>
      </c>
      <c r="O62" s="68">
        <f t="shared" si="1"/>
        <v>0</v>
      </c>
      <c r="P62" s="68">
        <f t="shared" si="2"/>
        <v>2</v>
      </c>
      <c r="Q62" s="69">
        <f t="shared" si="3"/>
        <v>2</v>
      </c>
    </row>
    <row r="63" spans="7:17" s="15" customFormat="1" ht="16" customHeight="1">
      <c r="G63" s="16"/>
      <c r="M63" s="66">
        <f t="shared" si="7"/>
        <v>-0.45999999999999952</v>
      </c>
      <c r="N63" s="68">
        <f t="shared" si="0"/>
        <v>0.81739694470907631</v>
      </c>
      <c r="O63" s="68">
        <f t="shared" si="1"/>
        <v>0</v>
      </c>
      <c r="P63" s="68">
        <f t="shared" si="2"/>
        <v>2</v>
      </c>
      <c r="Q63" s="69">
        <f t="shared" si="3"/>
        <v>2</v>
      </c>
    </row>
    <row r="64" spans="7:17" ht="16">
      <c r="M64" s="66">
        <f t="shared" si="7"/>
        <v>-0.44999999999999951</v>
      </c>
      <c r="N64" s="68">
        <f t="shared" si="0"/>
        <v>0.82608094236081886</v>
      </c>
      <c r="O64" s="68">
        <f t="shared" si="1"/>
        <v>0</v>
      </c>
      <c r="P64" s="68">
        <f t="shared" si="2"/>
        <v>2</v>
      </c>
      <c r="Q64" s="69">
        <f t="shared" si="3"/>
        <v>2</v>
      </c>
    </row>
    <row r="65" spans="13:17" ht="16">
      <c r="M65" s="66">
        <f t="shared" si="7"/>
        <v>-0.4399999999999995</v>
      </c>
      <c r="N65" s="68">
        <f t="shared" si="0"/>
        <v>0.834486675768217</v>
      </c>
      <c r="O65" s="68">
        <f t="shared" si="1"/>
        <v>0</v>
      </c>
      <c r="P65" s="68">
        <f t="shared" si="2"/>
        <v>2</v>
      </c>
      <c r="Q65" s="69">
        <f t="shared" si="3"/>
        <v>2</v>
      </c>
    </row>
    <row r="66" spans="13:17" ht="16">
      <c r="M66" s="66">
        <f t="shared" si="7"/>
        <v>-0.42999999999999949</v>
      </c>
      <c r="N66" s="68">
        <f t="shared" si="0"/>
        <v>0.84262247259884127</v>
      </c>
      <c r="O66" s="68">
        <f t="shared" si="1"/>
        <v>0</v>
      </c>
      <c r="P66" s="68">
        <f t="shared" si="2"/>
        <v>2</v>
      </c>
      <c r="Q66" s="69">
        <f t="shared" si="3"/>
        <v>2</v>
      </c>
    </row>
    <row r="67" spans="13:17" ht="16">
      <c r="M67" s="66">
        <f t="shared" si="7"/>
        <v>-0.41999999999999948</v>
      </c>
      <c r="N67" s="68">
        <f t="shared" si="0"/>
        <v>0.85049607948151396</v>
      </c>
      <c r="O67" s="68">
        <f t="shared" si="1"/>
        <v>0</v>
      </c>
      <c r="P67" s="68">
        <f t="shared" si="2"/>
        <v>2</v>
      </c>
      <c r="Q67" s="69">
        <f t="shared" si="3"/>
        <v>2</v>
      </c>
    </row>
    <row r="68" spans="13:17" ht="16">
      <c r="M68" s="66">
        <f t="shared" si="7"/>
        <v>-0.40999999999999948</v>
      </c>
      <c r="N68" s="68">
        <f t="shared" si="0"/>
        <v>0.85811471359557234</v>
      </c>
      <c r="O68" s="68">
        <f t="shared" si="1"/>
        <v>0</v>
      </c>
      <c r="P68" s="68">
        <f t="shared" si="2"/>
        <v>2</v>
      </c>
      <c r="Q68" s="69">
        <f t="shared" si="3"/>
        <v>2</v>
      </c>
    </row>
    <row r="69" spans="13:17" ht="16">
      <c r="M69" s="66">
        <f t="shared" si="7"/>
        <v>-0.39999999999999947</v>
      </c>
      <c r="N69" s="68">
        <f t="shared" si="0"/>
        <v>0.86548510833863668</v>
      </c>
      <c r="O69" s="68">
        <f t="shared" si="1"/>
        <v>0</v>
      </c>
      <c r="P69" s="68">
        <f t="shared" si="2"/>
        <v>2</v>
      </c>
      <c r="Q69" s="69">
        <f t="shared" si="3"/>
        <v>2</v>
      </c>
    </row>
    <row r="70" spans="13:17" ht="16">
      <c r="M70" s="66">
        <f t="shared" si="7"/>
        <v>-0.38999999999999946</v>
      </c>
      <c r="N70" s="68">
        <f t="shared" si="0"/>
        <v>0.87261355387915962</v>
      </c>
      <c r="O70" s="68">
        <f t="shared" si="1"/>
        <v>0</v>
      </c>
      <c r="P70" s="68">
        <f t="shared" si="2"/>
        <v>2</v>
      </c>
      <c r="Q70" s="69">
        <f t="shared" si="3"/>
        <v>2</v>
      </c>
    </row>
    <row r="71" spans="13:17" ht="16">
      <c r="M71" s="66">
        <f t="shared" si="7"/>
        <v>-0.37999999999999945</v>
      </c>
      <c r="N71" s="68">
        <f t="shared" si="0"/>
        <v>0.87950593327290139</v>
      </c>
      <c r="O71" s="68">
        <f t="shared" si="1"/>
        <v>0</v>
      </c>
      <c r="P71" s="68">
        <f t="shared" si="2"/>
        <v>2</v>
      </c>
      <c r="Q71" s="69">
        <f t="shared" si="3"/>
        <v>2</v>
      </c>
    </row>
    <row r="72" spans="13:17" ht="16">
      <c r="M72" s="66">
        <f t="shared" si="7"/>
        <v>-0.36999999999999944</v>
      </c>
      <c r="N72" s="68">
        <f t="shared" si="0"/>
        <v>0.88616775471792175</v>
      </c>
      <c r="O72" s="68">
        <f t="shared" si="1"/>
        <v>0</v>
      </c>
      <c r="P72" s="68">
        <f t="shared" si="2"/>
        <v>2</v>
      </c>
      <c r="Q72" s="69">
        <f t="shared" si="3"/>
        <v>2</v>
      </c>
    </row>
    <row r="73" spans="13:17" ht="16">
      <c r="M73" s="66">
        <f t="shared" si="7"/>
        <v>-0.35999999999999943</v>
      </c>
      <c r="N73" s="68">
        <f t="shared" ref="N73:N136" si="8">IFERROR(IF(SQRT(1-(M73*M73)/($Q$5*$Q$5))&lt;0.05,0,SQRT(1-(M73*M73)/($Q$5*$Q$5))),0)</f>
        <v>0.89260418043627432</v>
      </c>
      <c r="O73" s="68">
        <f t="shared" ref="O73:O136" si="9">CHOOSE(MATCH($Q$3,degrees),IF(M73&lt;0,IFERROR(1-N73,1),0),0,0,IF(M73&gt;0,IFERROR(1-N73,1),0))</f>
        <v>0</v>
      </c>
      <c r="P73" s="68">
        <f t="shared" ref="P73:P136" si="10">CHOOSE(MATCH($Q$3,degrees),IF(M73&lt;0,2*N73,2),IF(M73&lt;0,0,1-N73),IF(M73&gt;0,0,1-N73),IF(M73&gt;0,2*N73,2))</f>
        <v>2</v>
      </c>
      <c r="Q73" s="69">
        <f t="shared" ref="Q73:Q136" si="11">CHOOSE(MATCH($Q$3,degrees),IF(M73&lt;0,N73+1,2),IF(M73&lt;0,2,2*N73),IF(M73&gt;0,2,2*N73),IF(M73&gt;0,N73+1,2))</f>
        <v>2</v>
      </c>
    </row>
    <row r="74" spans="13:17" ht="16">
      <c r="M74" s="66">
        <f t="shared" ref="M74:M105" si="12">M73+$N$4</f>
        <v>-0.34999999999999942</v>
      </c>
      <c r="N74" s="68">
        <f t="shared" si="8"/>
        <v>0.89882005259883246</v>
      </c>
      <c r="O74" s="68">
        <f t="shared" si="9"/>
        <v>0</v>
      </c>
      <c r="P74" s="68">
        <f t="shared" si="10"/>
        <v>2</v>
      </c>
      <c r="Q74" s="69">
        <f t="shared" si="11"/>
        <v>2</v>
      </c>
    </row>
    <row r="75" spans="13:17" ht="16">
      <c r="M75" s="66">
        <f t="shared" si="12"/>
        <v>-0.33999999999999941</v>
      </c>
      <c r="N75" s="68">
        <f t="shared" si="8"/>
        <v>0.90481991664980943</v>
      </c>
      <c r="O75" s="68">
        <f t="shared" si="9"/>
        <v>0</v>
      </c>
      <c r="P75" s="68">
        <f t="shared" si="10"/>
        <v>2</v>
      </c>
      <c r="Q75" s="69">
        <f t="shared" si="11"/>
        <v>2</v>
      </c>
    </row>
    <row r="76" spans="13:17" ht="16">
      <c r="M76" s="66">
        <f t="shared" si="12"/>
        <v>-0.3299999999999994</v>
      </c>
      <c r="N76" s="68">
        <f t="shared" si="8"/>
        <v>0.91060804233737858</v>
      </c>
      <c r="O76" s="68">
        <f t="shared" si="9"/>
        <v>0</v>
      </c>
      <c r="P76" s="68">
        <f t="shared" si="10"/>
        <v>2</v>
      </c>
      <c r="Q76" s="69">
        <f t="shared" si="11"/>
        <v>2</v>
      </c>
    </row>
    <row r="77" spans="13:17" ht="16">
      <c r="M77" s="66">
        <f t="shared" si="12"/>
        <v>-0.3199999999999994</v>
      </c>
      <c r="N77" s="68">
        <f t="shared" si="8"/>
        <v>0.91618844271459943</v>
      </c>
      <c r="O77" s="68">
        <f t="shared" si="9"/>
        <v>0</v>
      </c>
      <c r="P77" s="68">
        <f t="shared" si="10"/>
        <v>2</v>
      </c>
      <c r="Q77" s="69">
        <f t="shared" si="11"/>
        <v>2</v>
      </c>
    </row>
    <row r="78" spans="13:17" ht="16">
      <c r="M78" s="66">
        <f t="shared" si="12"/>
        <v>-0.30999999999999939</v>
      </c>
      <c r="N78" s="68">
        <f t="shared" si="8"/>
        <v>0.92156489133920338</v>
      </c>
      <c r="O78" s="68">
        <f t="shared" si="9"/>
        <v>0</v>
      </c>
      <c r="P78" s="68">
        <f t="shared" si="10"/>
        <v>2</v>
      </c>
      <c r="Q78" s="69">
        <f t="shared" si="11"/>
        <v>2</v>
      </c>
    </row>
    <row r="79" spans="13:17" ht="16">
      <c r="M79" s="66">
        <f t="shared" si="12"/>
        <v>-0.29999999999999938</v>
      </c>
      <c r="N79" s="68">
        <f t="shared" si="8"/>
        <v>0.92674093787056666</v>
      </c>
      <c r="O79" s="68">
        <f t="shared" si="9"/>
        <v>0</v>
      </c>
      <c r="P79" s="68">
        <f t="shared" si="10"/>
        <v>2</v>
      </c>
      <c r="Q79" s="69">
        <f t="shared" si="11"/>
        <v>2</v>
      </c>
    </row>
    <row r="80" spans="13:17" ht="16">
      <c r="M80" s="66">
        <f t="shared" si="12"/>
        <v>-0.28999999999999937</v>
      </c>
      <c r="N80" s="68">
        <f t="shared" si="8"/>
        <v>0.93171992223647448</v>
      </c>
      <c r="O80" s="68">
        <f t="shared" si="9"/>
        <v>0</v>
      </c>
      <c r="P80" s="68">
        <f t="shared" si="10"/>
        <v>2</v>
      </c>
      <c r="Q80" s="69">
        <f t="shared" si="11"/>
        <v>2</v>
      </c>
    </row>
    <row r="81" spans="13:17" ht="16">
      <c r="M81" s="66">
        <f t="shared" si="12"/>
        <v>-0.27999999999999936</v>
      </c>
      <c r="N81" s="68">
        <f t="shared" si="8"/>
        <v>0.93650498752030764</v>
      </c>
      <c r="O81" s="68">
        <f t="shared" si="9"/>
        <v>0</v>
      </c>
      <c r="P81" s="68">
        <f t="shared" si="10"/>
        <v>2</v>
      </c>
      <c r="Q81" s="69">
        <f t="shared" si="11"/>
        <v>2</v>
      </c>
    </row>
    <row r="82" spans="13:17" ht="16">
      <c r="M82" s="66">
        <f t="shared" si="12"/>
        <v>-0.26999999999999935</v>
      </c>
      <c r="N82" s="68">
        <f t="shared" si="8"/>
        <v>0.94109909170045758</v>
      </c>
      <c r="O82" s="68">
        <f t="shared" si="9"/>
        <v>0</v>
      </c>
      <c r="P82" s="68">
        <f t="shared" si="10"/>
        <v>2</v>
      </c>
      <c r="Q82" s="69">
        <f t="shared" si="11"/>
        <v>2</v>
      </c>
    </row>
    <row r="83" spans="13:17" ht="16">
      <c r="M83" s="66">
        <f t="shared" si="12"/>
        <v>-0.25999999999999934</v>
      </c>
      <c r="N83" s="68">
        <f t="shared" si="8"/>
        <v>0.94550501835758949</v>
      </c>
      <c r="O83" s="68">
        <f t="shared" si="9"/>
        <v>0</v>
      </c>
      <c r="P83" s="68">
        <f t="shared" si="10"/>
        <v>2</v>
      </c>
      <c r="Q83" s="69">
        <f t="shared" si="11"/>
        <v>2</v>
      </c>
    </row>
    <row r="84" spans="13:17" ht="16">
      <c r="M84" s="66">
        <f t="shared" si="12"/>
        <v>-0.24999999999999933</v>
      </c>
      <c r="N84" s="68">
        <f t="shared" si="8"/>
        <v>0.94972538645141524</v>
      </c>
      <c r="O84" s="68">
        <f t="shared" si="9"/>
        <v>0</v>
      </c>
      <c r="P84" s="68">
        <f t="shared" si="10"/>
        <v>2</v>
      </c>
      <c r="Q84" s="69">
        <f t="shared" si="11"/>
        <v>2</v>
      </c>
    </row>
    <row r="85" spans="13:17" ht="16">
      <c r="M85" s="66">
        <f t="shared" si="12"/>
        <v>-0.23999999999999932</v>
      </c>
      <c r="N85" s="68">
        <f t="shared" si="8"/>
        <v>0.95376265925655701</v>
      </c>
      <c r="O85" s="68">
        <f t="shared" si="9"/>
        <v>0</v>
      </c>
      <c r="P85" s="68">
        <f t="shared" si="10"/>
        <v>2</v>
      </c>
      <c r="Q85" s="69">
        <f t="shared" si="11"/>
        <v>2</v>
      </c>
    </row>
    <row r="86" spans="13:17" ht="16">
      <c r="M86" s="66">
        <f t="shared" si="12"/>
        <v>-0.22999999999999932</v>
      </c>
      <c r="N86" s="68">
        <f t="shared" si="8"/>
        <v>0.95761915253660912</v>
      </c>
      <c r="O86" s="68">
        <f t="shared" si="9"/>
        <v>0</v>
      </c>
      <c r="P86" s="68">
        <f t="shared" si="10"/>
        <v>2</v>
      </c>
      <c r="Q86" s="69">
        <f t="shared" si="11"/>
        <v>2</v>
      </c>
    </row>
    <row r="87" spans="13:17" ht="16">
      <c r="M87" s="66">
        <f t="shared" si="12"/>
        <v>-0.21999999999999931</v>
      </c>
      <c r="N87" s="68">
        <f t="shared" si="8"/>
        <v>0.96129704202638255</v>
      </c>
      <c r="O87" s="68">
        <f t="shared" si="9"/>
        <v>0</v>
      </c>
      <c r="P87" s="68">
        <f t="shared" si="10"/>
        <v>2</v>
      </c>
      <c r="Q87" s="69">
        <f t="shared" si="11"/>
        <v>2</v>
      </c>
    </row>
    <row r="88" spans="13:17" ht="16">
      <c r="M88" s="66">
        <f t="shared" si="12"/>
        <v>-0.2099999999999993</v>
      </c>
      <c r="N88" s="68">
        <f t="shared" si="8"/>
        <v>0.96479837028435977</v>
      </c>
      <c r="O88" s="68">
        <f t="shared" si="9"/>
        <v>0</v>
      </c>
      <c r="P88" s="68">
        <f t="shared" si="10"/>
        <v>2</v>
      </c>
      <c r="Q88" s="69">
        <f t="shared" si="11"/>
        <v>2</v>
      </c>
    </row>
    <row r="89" spans="13:17" ht="16">
      <c r="M89" s="66">
        <f t="shared" si="12"/>
        <v>-0.19999999999999929</v>
      </c>
      <c r="N89" s="68">
        <f t="shared" si="8"/>
        <v>0.96812505297042373</v>
      </c>
      <c r="O89" s="68">
        <f t="shared" si="9"/>
        <v>0</v>
      </c>
      <c r="P89" s="68">
        <f t="shared" si="10"/>
        <v>2</v>
      </c>
      <c r="Q89" s="69">
        <f t="shared" si="11"/>
        <v>2</v>
      </c>
    </row>
    <row r="90" spans="13:17" ht="16">
      <c r="M90" s="66">
        <f t="shared" si="12"/>
        <v>-0.18999999999999928</v>
      </c>
      <c r="N90" s="68">
        <f t="shared" si="8"/>
        <v>0.97127888459780676</v>
      </c>
      <c r="O90" s="68">
        <f t="shared" si="9"/>
        <v>0</v>
      </c>
      <c r="P90" s="68">
        <f t="shared" si="10"/>
        <v>2</v>
      </c>
      <c r="Q90" s="69">
        <f t="shared" si="11"/>
        <v>2</v>
      </c>
    </row>
    <row r="91" spans="13:17" ht="16">
      <c r="M91" s="66">
        <f t="shared" si="12"/>
        <v>-0.17999999999999927</v>
      </c>
      <c r="N91" s="68">
        <f t="shared" si="8"/>
        <v>0.97426154380283247</v>
      </c>
      <c r="O91" s="68">
        <f t="shared" si="9"/>
        <v>0</v>
      </c>
      <c r="P91" s="68">
        <f t="shared" si="10"/>
        <v>2</v>
      </c>
      <c r="Q91" s="69">
        <f t="shared" si="11"/>
        <v>2</v>
      </c>
    </row>
    <row r="92" spans="13:17" ht="16">
      <c r="M92" s="66">
        <f t="shared" si="12"/>
        <v>-0.16999999999999926</v>
      </c>
      <c r="N92" s="68">
        <f t="shared" si="8"/>
        <v>0.97707459817126663</v>
      </c>
      <c r="O92" s="68">
        <f t="shared" si="9"/>
        <v>0</v>
      </c>
      <c r="P92" s="68">
        <f t="shared" si="10"/>
        <v>2</v>
      </c>
      <c r="Q92" s="69">
        <f t="shared" si="11"/>
        <v>2</v>
      </c>
    </row>
    <row r="93" spans="13:17" ht="16">
      <c r="M93" s="66">
        <f t="shared" si="12"/>
        <v>-0.15999999999999925</v>
      </c>
      <c r="N93" s="68">
        <f t="shared" si="8"/>
        <v>0.9797195086558963</v>
      </c>
      <c r="O93" s="68">
        <f t="shared" si="9"/>
        <v>0</v>
      </c>
      <c r="P93" s="68">
        <f t="shared" si="10"/>
        <v>2</v>
      </c>
      <c r="Q93" s="69">
        <f t="shared" si="11"/>
        <v>2</v>
      </c>
    </row>
    <row r="94" spans="13:17" ht="16">
      <c r="M94" s="66">
        <f t="shared" si="12"/>
        <v>-0.14999999999999925</v>
      </c>
      <c r="N94" s="68">
        <f t="shared" si="8"/>
        <v>0.98219763361622114</v>
      </c>
      <c r="O94" s="68">
        <f t="shared" si="9"/>
        <v>0</v>
      </c>
      <c r="P94" s="68">
        <f t="shared" si="10"/>
        <v>2</v>
      </c>
      <c r="Q94" s="69">
        <f t="shared" si="11"/>
        <v>2</v>
      </c>
    </row>
    <row r="95" spans="13:17" ht="16">
      <c r="M95" s="66">
        <f t="shared" si="12"/>
        <v>-0.13999999999999924</v>
      </c>
      <c r="N95" s="68">
        <f t="shared" si="8"/>
        <v>0.98451023250782066</v>
      </c>
      <c r="O95" s="68">
        <f t="shared" si="9"/>
        <v>0</v>
      </c>
      <c r="P95" s="68">
        <f t="shared" si="10"/>
        <v>2</v>
      </c>
      <c r="Q95" s="69">
        <f t="shared" si="11"/>
        <v>2</v>
      </c>
    </row>
    <row r="96" spans="13:17" ht="16">
      <c r="M96" s="66">
        <f t="shared" si="12"/>
        <v>-0.12999999999999923</v>
      </c>
      <c r="N96" s="68">
        <f t="shared" si="8"/>
        <v>0.98665846924599321</v>
      </c>
      <c r="O96" s="68">
        <f t="shared" si="9"/>
        <v>0</v>
      </c>
      <c r="P96" s="68">
        <f t="shared" si="10"/>
        <v>2</v>
      </c>
      <c r="Q96" s="69">
        <f t="shared" si="11"/>
        <v>2</v>
      </c>
    </row>
    <row r="97" spans="13:17" ht="16">
      <c r="M97" s="66">
        <f t="shared" si="12"/>
        <v>-0.11999999999999923</v>
      </c>
      <c r="N97" s="68">
        <f t="shared" si="8"/>
        <v>0.98864341526560273</v>
      </c>
      <c r="O97" s="68">
        <f t="shared" si="9"/>
        <v>0</v>
      </c>
      <c r="P97" s="68">
        <f t="shared" si="10"/>
        <v>2</v>
      </c>
      <c r="Q97" s="69">
        <f t="shared" si="11"/>
        <v>2</v>
      </c>
    </row>
    <row r="98" spans="13:17" ht="16">
      <c r="M98" s="66">
        <f t="shared" si="12"/>
        <v>-0.10999999999999924</v>
      </c>
      <c r="N98" s="68">
        <f t="shared" si="8"/>
        <v>0.99046605229667928</v>
      </c>
      <c r="O98" s="68">
        <f t="shared" si="9"/>
        <v>0</v>
      </c>
      <c r="P98" s="68">
        <f t="shared" si="10"/>
        <v>2</v>
      </c>
      <c r="Q98" s="69">
        <f t="shared" si="11"/>
        <v>2</v>
      </c>
    </row>
    <row r="99" spans="13:17" ht="16">
      <c r="M99" s="66">
        <f t="shared" si="12"/>
        <v>-9.9999999999999242E-2</v>
      </c>
      <c r="N99" s="68">
        <f t="shared" si="8"/>
        <v>0.99212727487316188</v>
      </c>
      <c r="O99" s="68">
        <f t="shared" si="9"/>
        <v>0</v>
      </c>
      <c r="P99" s="68">
        <f t="shared" si="10"/>
        <v>2</v>
      </c>
      <c r="Q99" s="69">
        <f t="shared" si="11"/>
        <v>2</v>
      </c>
    </row>
    <row r="100" spans="13:17" ht="16">
      <c r="M100" s="66">
        <f t="shared" si="12"/>
        <v>-8.9999999999999247E-2</v>
      </c>
      <c r="N100" s="68">
        <f t="shared" si="8"/>
        <v>0.993627892590214</v>
      </c>
      <c r="O100" s="68">
        <f t="shared" si="9"/>
        <v>0</v>
      </c>
      <c r="P100" s="68">
        <f t="shared" si="10"/>
        <v>2</v>
      </c>
      <c r="Q100" s="69">
        <f t="shared" si="11"/>
        <v>2</v>
      </c>
    </row>
    <row r="101" spans="13:17" ht="16">
      <c r="M101" s="66">
        <f t="shared" si="12"/>
        <v>-7.9999999999999252E-2</v>
      </c>
      <c r="N101" s="68">
        <f t="shared" si="8"/>
        <v>0.99496863212376596</v>
      </c>
      <c r="O101" s="68">
        <f t="shared" si="9"/>
        <v>0</v>
      </c>
      <c r="P101" s="68">
        <f t="shared" si="10"/>
        <v>2</v>
      </c>
      <c r="Q101" s="69">
        <f t="shared" si="11"/>
        <v>2</v>
      </c>
    </row>
    <row r="102" spans="13:17" ht="16">
      <c r="M102" s="66">
        <f t="shared" si="12"/>
        <v>-6.9999999999999257E-2</v>
      </c>
      <c r="N102" s="68">
        <f t="shared" si="8"/>
        <v>0.99615013902430938</v>
      </c>
      <c r="O102" s="68">
        <f t="shared" si="9"/>
        <v>0</v>
      </c>
      <c r="P102" s="68">
        <f t="shared" si="10"/>
        <v>2</v>
      </c>
      <c r="Q102" s="69">
        <f t="shared" si="11"/>
        <v>2</v>
      </c>
    </row>
    <row r="103" spans="13:17" ht="16">
      <c r="M103" s="66">
        <f t="shared" si="12"/>
        <v>-5.9999999999999255E-2</v>
      </c>
      <c r="N103" s="68">
        <f t="shared" si="8"/>
        <v>0.99717297929547255</v>
      </c>
      <c r="O103" s="68">
        <f t="shared" si="9"/>
        <v>0</v>
      </c>
      <c r="P103" s="68">
        <f t="shared" si="10"/>
        <v>2</v>
      </c>
      <c r="Q103" s="69">
        <f t="shared" si="11"/>
        <v>2</v>
      </c>
    </row>
    <row r="104" spans="13:17" ht="16">
      <c r="M104" s="66">
        <f t="shared" si="12"/>
        <v>-4.9999999999999253E-2</v>
      </c>
      <c r="N104" s="68">
        <f t="shared" si="8"/>
        <v>0.99803764076652524</v>
      </c>
      <c r="O104" s="68">
        <f t="shared" si="9"/>
        <v>0</v>
      </c>
      <c r="P104" s="68">
        <f t="shared" si="10"/>
        <v>2</v>
      </c>
      <c r="Q104" s="69">
        <f t="shared" si="11"/>
        <v>2</v>
      </c>
    </row>
    <row r="105" spans="13:17" ht="16">
      <c r="M105" s="66">
        <f t="shared" si="12"/>
        <v>-3.9999999999999251E-2</v>
      </c>
      <c r="N105" s="68">
        <f t="shared" si="8"/>
        <v>0.99874453426667598</v>
      </c>
      <c r="O105" s="68">
        <f t="shared" si="9"/>
        <v>0</v>
      </c>
      <c r="P105" s="68">
        <f t="shared" si="10"/>
        <v>2</v>
      </c>
      <c r="Q105" s="69">
        <f t="shared" si="11"/>
        <v>2</v>
      </c>
    </row>
    <row r="106" spans="13:17" ht="16">
      <c r="M106" s="66">
        <f t="shared" ref="M106:M137" si="13">M105+$N$4</f>
        <v>-2.9999999999999249E-2</v>
      </c>
      <c r="N106" s="68">
        <f t="shared" si="8"/>
        <v>0.9992939946078192</v>
      </c>
      <c r="O106" s="68">
        <f t="shared" si="9"/>
        <v>0</v>
      </c>
      <c r="P106" s="68">
        <f t="shared" si="10"/>
        <v>2</v>
      </c>
      <c r="Q106" s="69">
        <f t="shared" si="11"/>
        <v>2</v>
      </c>
    </row>
    <row r="107" spans="13:17" ht="16">
      <c r="M107" s="66">
        <f t="shared" si="13"/>
        <v>-1.9999999999999248E-2</v>
      </c>
      <c r="N107" s="68">
        <f t="shared" si="8"/>
        <v>0.99968628138125915</v>
      </c>
      <c r="O107" s="68">
        <f t="shared" si="9"/>
        <v>0</v>
      </c>
      <c r="P107" s="68">
        <f t="shared" si="10"/>
        <v>2</v>
      </c>
      <c r="Q107" s="69">
        <f t="shared" si="11"/>
        <v>2</v>
      </c>
    </row>
    <row r="108" spans="13:17" ht="16">
      <c r="M108" s="66">
        <f t="shared" si="13"/>
        <v>-9.9999999999992473E-3</v>
      </c>
      <c r="N108" s="68">
        <f t="shared" si="8"/>
        <v>0.99992157957285455</v>
      </c>
      <c r="O108" s="68">
        <f t="shared" si="9"/>
        <v>0</v>
      </c>
      <c r="P108" s="68">
        <f t="shared" si="10"/>
        <v>2</v>
      </c>
      <c r="Q108" s="69">
        <f t="shared" si="11"/>
        <v>2</v>
      </c>
    </row>
    <row r="109" spans="13:17" ht="16">
      <c r="M109" s="66">
        <f t="shared" si="13"/>
        <v>7.5286998857393428E-16</v>
      </c>
      <c r="N109" s="68">
        <f t="shared" si="8"/>
        <v>1</v>
      </c>
      <c r="O109" s="68">
        <f t="shared" si="9"/>
        <v>0</v>
      </c>
      <c r="P109" s="68">
        <f t="shared" si="10"/>
        <v>2</v>
      </c>
      <c r="Q109" s="69">
        <f t="shared" si="11"/>
        <v>2</v>
      </c>
    </row>
    <row r="110" spans="13:17" ht="16">
      <c r="M110" s="66">
        <f t="shared" si="13"/>
        <v>1.0000000000000753E-2</v>
      </c>
      <c r="N110" s="68">
        <f t="shared" si="8"/>
        <v>0.99992157957285455</v>
      </c>
      <c r="O110" s="68">
        <f t="shared" si="9"/>
        <v>7.8420427145453608E-5</v>
      </c>
      <c r="P110" s="68">
        <f t="shared" si="10"/>
        <v>1.9998431591457091</v>
      </c>
      <c r="Q110" s="69">
        <f t="shared" si="11"/>
        <v>1.9999215795728547</v>
      </c>
    </row>
    <row r="111" spans="13:17" ht="16">
      <c r="M111" s="66">
        <f t="shared" si="13"/>
        <v>2.0000000000000753E-2</v>
      </c>
      <c r="N111" s="68">
        <f t="shared" si="8"/>
        <v>0.99968628138125903</v>
      </c>
      <c r="O111" s="68">
        <f t="shared" si="9"/>
        <v>3.1371861874096574E-4</v>
      </c>
      <c r="P111" s="68">
        <f t="shared" si="10"/>
        <v>1.9993725627625181</v>
      </c>
      <c r="Q111" s="69">
        <f t="shared" si="11"/>
        <v>1.999686281381259</v>
      </c>
    </row>
    <row r="112" spans="13:17" ht="16">
      <c r="M112" s="66">
        <f t="shared" si="13"/>
        <v>3.0000000000000755E-2</v>
      </c>
      <c r="N112" s="68">
        <f t="shared" si="8"/>
        <v>0.9992939946078192</v>
      </c>
      <c r="O112" s="68">
        <f t="shared" si="9"/>
        <v>7.0600539218079739E-4</v>
      </c>
      <c r="P112" s="68">
        <f t="shared" si="10"/>
        <v>1.9985879892156384</v>
      </c>
      <c r="Q112" s="69">
        <f t="shared" si="11"/>
        <v>1.9992939946078192</v>
      </c>
    </row>
    <row r="113" spans="13:17" ht="16">
      <c r="M113" s="66">
        <f t="shared" si="13"/>
        <v>4.0000000000000757E-2</v>
      </c>
      <c r="N113" s="68">
        <f t="shared" si="8"/>
        <v>0.99874453426667587</v>
      </c>
      <c r="O113" s="68">
        <f t="shared" si="9"/>
        <v>1.2554657333241348E-3</v>
      </c>
      <c r="P113" s="68">
        <f t="shared" si="10"/>
        <v>1.9974890685333517</v>
      </c>
      <c r="Q113" s="69">
        <f t="shared" si="11"/>
        <v>1.9987445342666759</v>
      </c>
    </row>
    <row r="114" spans="13:17" ht="16">
      <c r="M114" s="66">
        <f t="shared" si="13"/>
        <v>5.0000000000000759E-2</v>
      </c>
      <c r="N114" s="68">
        <f t="shared" si="8"/>
        <v>0.99803764076652512</v>
      </c>
      <c r="O114" s="68">
        <f t="shared" si="9"/>
        <v>1.9623592334748752E-3</v>
      </c>
      <c r="P114" s="68">
        <f t="shared" si="10"/>
        <v>1.9960752815330502</v>
      </c>
      <c r="Q114" s="69">
        <f t="shared" si="11"/>
        <v>1.9980376407665252</v>
      </c>
    </row>
    <row r="115" spans="13:17" ht="16">
      <c r="M115" s="66">
        <f t="shared" si="13"/>
        <v>6.0000000000000761E-2</v>
      </c>
      <c r="N115" s="68">
        <f t="shared" si="8"/>
        <v>0.99717297929547233</v>
      </c>
      <c r="O115" s="68">
        <f t="shared" si="9"/>
        <v>2.8270207045276718E-3</v>
      </c>
      <c r="P115" s="68">
        <f t="shared" si="10"/>
        <v>1.9943459585909447</v>
      </c>
      <c r="Q115" s="69">
        <f t="shared" si="11"/>
        <v>1.9971729792954722</v>
      </c>
    </row>
    <row r="116" spans="13:17" ht="16">
      <c r="M116" s="66">
        <f t="shared" si="13"/>
        <v>7.0000000000000756E-2</v>
      </c>
      <c r="N116" s="68">
        <f t="shared" si="8"/>
        <v>0.99615013902430916</v>
      </c>
      <c r="O116" s="68">
        <f t="shared" si="9"/>
        <v>3.8498609756908442E-3</v>
      </c>
      <c r="P116" s="68">
        <f t="shared" si="10"/>
        <v>1.9923002780486183</v>
      </c>
      <c r="Q116" s="69">
        <f t="shared" si="11"/>
        <v>1.996150139024309</v>
      </c>
    </row>
    <row r="117" spans="13:17" ht="16">
      <c r="M117" s="66">
        <f t="shared" si="13"/>
        <v>8.0000000000000751E-2</v>
      </c>
      <c r="N117" s="68">
        <f t="shared" si="8"/>
        <v>0.99496863212376574</v>
      </c>
      <c r="O117" s="68">
        <f t="shared" si="9"/>
        <v>5.0313678762342606E-3</v>
      </c>
      <c r="P117" s="68">
        <f t="shared" si="10"/>
        <v>1.9899372642475315</v>
      </c>
      <c r="Q117" s="69">
        <f t="shared" si="11"/>
        <v>1.9949686321237659</v>
      </c>
    </row>
    <row r="118" spans="13:17" ht="16">
      <c r="M118" s="66">
        <f t="shared" si="13"/>
        <v>9.0000000000000746E-2</v>
      </c>
      <c r="N118" s="68">
        <f t="shared" si="8"/>
        <v>0.99362789259021378</v>
      </c>
      <c r="O118" s="68">
        <f t="shared" si="9"/>
        <v>6.3721074097862207E-3</v>
      </c>
      <c r="P118" s="68">
        <f t="shared" si="10"/>
        <v>1.9872557851804276</v>
      </c>
      <c r="Q118" s="69">
        <f t="shared" si="11"/>
        <v>1.9936278925902138</v>
      </c>
    </row>
    <row r="119" spans="13:17" ht="16">
      <c r="M119" s="66">
        <f t="shared" si="13"/>
        <v>0.10000000000000074</v>
      </c>
      <c r="N119" s="68">
        <f t="shared" si="8"/>
        <v>0.99212727487316166</v>
      </c>
      <c r="O119" s="68">
        <f t="shared" si="9"/>
        <v>7.8727251268383425E-3</v>
      </c>
      <c r="P119" s="68">
        <f t="shared" si="10"/>
        <v>1.9842545497463233</v>
      </c>
      <c r="Q119" s="69">
        <f t="shared" si="11"/>
        <v>1.9921272748731615</v>
      </c>
    </row>
    <row r="120" spans="13:17" ht="16">
      <c r="M120" s="66">
        <f t="shared" si="13"/>
        <v>0.11000000000000074</v>
      </c>
      <c r="N120" s="68">
        <f t="shared" si="8"/>
        <v>0.99046605229667906</v>
      </c>
      <c r="O120" s="68">
        <f t="shared" si="9"/>
        <v>9.5339477033209441E-3</v>
      </c>
      <c r="P120" s="68">
        <f t="shared" si="10"/>
        <v>1.9809321045933581</v>
      </c>
      <c r="Q120" s="69">
        <f t="shared" si="11"/>
        <v>1.9904660522966791</v>
      </c>
    </row>
    <row r="121" spans="13:17" ht="16">
      <c r="M121" s="66">
        <f t="shared" si="13"/>
        <v>0.12000000000000073</v>
      </c>
      <c r="N121" s="68">
        <f t="shared" si="8"/>
        <v>0.9886434152656024</v>
      </c>
      <c r="O121" s="68">
        <f t="shared" si="9"/>
        <v>1.1356584734397601E-2</v>
      </c>
      <c r="P121" s="68">
        <f t="shared" si="10"/>
        <v>1.9772868305312048</v>
      </c>
      <c r="Q121" s="69">
        <f t="shared" si="11"/>
        <v>1.9886434152656025</v>
      </c>
    </row>
    <row r="122" spans="13:17" ht="16">
      <c r="M122" s="66">
        <f t="shared" si="13"/>
        <v>0.13000000000000073</v>
      </c>
      <c r="N122" s="68">
        <f t="shared" si="8"/>
        <v>0.98665846924599288</v>
      </c>
      <c r="O122" s="68">
        <f t="shared" si="9"/>
        <v>1.3341530754007125E-2</v>
      </c>
      <c r="P122" s="68">
        <f t="shared" si="10"/>
        <v>1.9733169384919858</v>
      </c>
      <c r="Q122" s="69">
        <f t="shared" si="11"/>
        <v>1.986658469245993</v>
      </c>
    </row>
    <row r="123" spans="13:17" ht="16">
      <c r="M123" s="66">
        <f t="shared" si="13"/>
        <v>0.14000000000000073</v>
      </c>
      <c r="N123" s="68">
        <f t="shared" si="8"/>
        <v>0.98451023250782033</v>
      </c>
      <c r="O123" s="68">
        <f t="shared" si="9"/>
        <v>1.5489767492179674E-2</v>
      </c>
      <c r="P123" s="68">
        <f t="shared" si="10"/>
        <v>1.9690204650156407</v>
      </c>
      <c r="Q123" s="69">
        <f t="shared" si="11"/>
        <v>1.9845102325078203</v>
      </c>
    </row>
    <row r="124" spans="13:17" ht="16">
      <c r="M124" s="66">
        <f t="shared" si="13"/>
        <v>0.15000000000000074</v>
      </c>
      <c r="N124" s="68">
        <f t="shared" si="8"/>
        <v>0.98219763361622081</v>
      </c>
      <c r="O124" s="68">
        <f t="shared" si="9"/>
        <v>1.7802366383779189E-2</v>
      </c>
      <c r="P124" s="68">
        <f t="shared" si="10"/>
        <v>1.9643952672324416</v>
      </c>
      <c r="Q124" s="69">
        <f t="shared" si="11"/>
        <v>1.9821976336162208</v>
      </c>
    </row>
    <row r="125" spans="13:17" ht="16">
      <c r="M125" s="66">
        <f t="shared" si="13"/>
        <v>0.16000000000000075</v>
      </c>
      <c r="N125" s="68">
        <f t="shared" si="8"/>
        <v>0.97971950865589597</v>
      </c>
      <c r="O125" s="68">
        <f t="shared" si="9"/>
        <v>2.0280491344104035E-2</v>
      </c>
      <c r="P125" s="68">
        <f t="shared" si="10"/>
        <v>1.9594390173117919</v>
      </c>
      <c r="Q125" s="69">
        <f t="shared" si="11"/>
        <v>1.9797195086558959</v>
      </c>
    </row>
    <row r="126" spans="13:17" ht="16">
      <c r="M126" s="66">
        <f t="shared" si="13"/>
        <v>0.17000000000000076</v>
      </c>
      <c r="N126" s="68">
        <f t="shared" si="8"/>
        <v>0.9770745981712663</v>
      </c>
      <c r="O126" s="68">
        <f t="shared" si="9"/>
        <v>2.2925401828733705E-2</v>
      </c>
      <c r="P126" s="68">
        <f t="shared" si="10"/>
        <v>1.9541491963425326</v>
      </c>
      <c r="Q126" s="69">
        <f t="shared" si="11"/>
        <v>1.9770745981712663</v>
      </c>
    </row>
    <row r="127" spans="13:17" ht="16">
      <c r="M127" s="66">
        <f t="shared" si="13"/>
        <v>0.18000000000000077</v>
      </c>
      <c r="N127" s="68">
        <f t="shared" si="8"/>
        <v>0.97426154380283203</v>
      </c>
      <c r="O127" s="68">
        <f t="shared" si="9"/>
        <v>2.5738456197167969E-2</v>
      </c>
      <c r="P127" s="68">
        <f t="shared" si="10"/>
        <v>1.9485230876056641</v>
      </c>
      <c r="Q127" s="69">
        <f t="shared" si="11"/>
        <v>1.9742615438028319</v>
      </c>
    </row>
    <row r="128" spans="13:17" ht="16">
      <c r="M128" s="66">
        <f t="shared" si="13"/>
        <v>0.19000000000000078</v>
      </c>
      <c r="N128" s="68">
        <f t="shared" si="8"/>
        <v>0.97127888459780631</v>
      </c>
      <c r="O128" s="68">
        <f t="shared" si="9"/>
        <v>2.8721115402193687E-2</v>
      </c>
      <c r="P128" s="68">
        <f t="shared" si="10"/>
        <v>1.9425577691956126</v>
      </c>
      <c r="Q128" s="69">
        <f t="shared" si="11"/>
        <v>1.9712788845978064</v>
      </c>
    </row>
    <row r="129" spans="13:17" ht="16">
      <c r="M129" s="66">
        <f t="shared" si="13"/>
        <v>0.20000000000000079</v>
      </c>
      <c r="N129" s="68">
        <f t="shared" si="8"/>
        <v>0.96812505297042317</v>
      </c>
      <c r="O129" s="68">
        <f t="shared" si="9"/>
        <v>3.1874947029576828E-2</v>
      </c>
      <c r="P129" s="68">
        <f t="shared" si="10"/>
        <v>1.9362501059408463</v>
      </c>
      <c r="Q129" s="69">
        <f t="shared" si="11"/>
        <v>1.9681250529704233</v>
      </c>
    </row>
    <row r="130" spans="13:17" ht="16">
      <c r="M130" s="66">
        <f t="shared" si="13"/>
        <v>0.2100000000000008</v>
      </c>
      <c r="N130" s="68">
        <f t="shared" si="8"/>
        <v>0.96479837028435933</v>
      </c>
      <c r="O130" s="68">
        <f t="shared" si="9"/>
        <v>3.520162971564067E-2</v>
      </c>
      <c r="P130" s="68">
        <f t="shared" si="10"/>
        <v>1.9295967405687187</v>
      </c>
      <c r="Q130" s="69">
        <f t="shared" si="11"/>
        <v>1.9647983702843592</v>
      </c>
    </row>
    <row r="131" spans="13:17" ht="16">
      <c r="M131" s="66">
        <f t="shared" si="13"/>
        <v>0.22000000000000081</v>
      </c>
      <c r="N131" s="68">
        <f t="shared" si="8"/>
        <v>0.961297042026382</v>
      </c>
      <c r="O131" s="68">
        <f t="shared" si="9"/>
        <v>3.8702957973618002E-2</v>
      </c>
      <c r="P131" s="68">
        <f t="shared" si="10"/>
        <v>1.922594084052764</v>
      </c>
      <c r="Q131" s="69">
        <f t="shared" si="11"/>
        <v>1.961297042026382</v>
      </c>
    </row>
    <row r="132" spans="13:17" ht="16">
      <c r="M132" s="66">
        <f t="shared" si="13"/>
        <v>0.23000000000000081</v>
      </c>
      <c r="N132" s="68">
        <f t="shared" si="8"/>
        <v>0.95761915253660856</v>
      </c>
      <c r="O132" s="68">
        <f t="shared" si="9"/>
        <v>4.2380847463391436E-2</v>
      </c>
      <c r="P132" s="68">
        <f t="shared" si="10"/>
        <v>1.9152383050732171</v>
      </c>
      <c r="Q132" s="69">
        <f t="shared" si="11"/>
        <v>1.9576191525366085</v>
      </c>
    </row>
    <row r="133" spans="13:17" ht="16">
      <c r="M133" s="66">
        <f t="shared" si="13"/>
        <v>0.24000000000000082</v>
      </c>
      <c r="N133" s="68">
        <f t="shared" si="8"/>
        <v>0.95376265925655646</v>
      </c>
      <c r="O133" s="68">
        <f t="shared" si="9"/>
        <v>4.6237340743443545E-2</v>
      </c>
      <c r="P133" s="68">
        <f t="shared" si="10"/>
        <v>1.9075253185131129</v>
      </c>
      <c r="Q133" s="69">
        <f t="shared" si="11"/>
        <v>1.9537626592565565</v>
      </c>
    </row>
    <row r="134" spans="13:17" ht="16">
      <c r="M134" s="66">
        <f t="shared" si="13"/>
        <v>0.25000000000000083</v>
      </c>
      <c r="N134" s="68">
        <f t="shared" si="8"/>
        <v>0.94972538645141458</v>
      </c>
      <c r="O134" s="68">
        <f t="shared" si="9"/>
        <v>5.0274613548585423E-2</v>
      </c>
      <c r="P134" s="68">
        <f t="shared" si="10"/>
        <v>1.8994507729028292</v>
      </c>
      <c r="Q134" s="69">
        <f t="shared" si="11"/>
        <v>1.9497253864514146</v>
      </c>
    </row>
    <row r="135" spans="13:17" ht="16">
      <c r="M135" s="66">
        <f t="shared" si="13"/>
        <v>0.26000000000000084</v>
      </c>
      <c r="N135" s="68">
        <f t="shared" si="8"/>
        <v>0.94550501835758882</v>
      </c>
      <c r="O135" s="68">
        <f t="shared" si="9"/>
        <v>5.4494981642411178E-2</v>
      </c>
      <c r="P135" s="68">
        <f t="shared" si="10"/>
        <v>1.8910100367151776</v>
      </c>
      <c r="Q135" s="69">
        <f t="shared" si="11"/>
        <v>1.9455050183575888</v>
      </c>
    </row>
    <row r="136" spans="13:17" ht="16">
      <c r="M136" s="66">
        <f t="shared" si="13"/>
        <v>0.27000000000000085</v>
      </c>
      <c r="N136" s="68">
        <f t="shared" si="8"/>
        <v>0.9410990917004568</v>
      </c>
      <c r="O136" s="68">
        <f t="shared" si="9"/>
        <v>5.8900908299543198E-2</v>
      </c>
      <c r="P136" s="68">
        <f t="shared" si="10"/>
        <v>1.8821981834009136</v>
      </c>
      <c r="Q136" s="69">
        <f t="shared" si="11"/>
        <v>1.9410990917004569</v>
      </c>
    </row>
    <row r="137" spans="13:17" ht="16">
      <c r="M137" s="66">
        <f t="shared" si="13"/>
        <v>0.28000000000000086</v>
      </c>
      <c r="N137" s="68">
        <f t="shared" ref="N137:N200" si="14">IFERROR(IF(SQRT(1-(M137*M137)/($Q$5*$Q$5))&lt;0.05,0,SQRT(1-(M137*M137)/($Q$5*$Q$5))),0)</f>
        <v>0.93650498752030698</v>
      </c>
      <c r="O137" s="68">
        <f t="shared" ref="O137:O200" si="15">CHOOSE(MATCH($Q$3,degrees),IF(M137&lt;0,IFERROR(1-N137,1),0),0,0,IF(M137&gt;0,IFERROR(1-N137,1),0))</f>
        <v>6.3495012479693025E-2</v>
      </c>
      <c r="P137" s="68">
        <f t="shared" ref="P137:P200" si="16">CHOOSE(MATCH($Q$3,degrees),IF(M137&lt;0,2*N137,2),IF(M137&lt;0,0,1-N137),IF(M137&gt;0,0,1-N137),IF(M137&gt;0,2*N137,2))</f>
        <v>1.873009975040614</v>
      </c>
      <c r="Q137" s="69">
        <f t="shared" ref="Q137:Q200" si="17">CHOOSE(MATCH($Q$3,degrees),IF(M137&lt;0,N137+1,2),IF(M137&lt;0,2,2*N137),IF(M137&gt;0,2,2*N137),IF(M137&gt;0,N137+1,2))</f>
        <v>1.9365049875203071</v>
      </c>
    </row>
    <row r="138" spans="13:17" ht="16">
      <c r="M138" s="66">
        <f t="shared" ref="M138:M169" si="18">M137+$N$4</f>
        <v>0.29000000000000087</v>
      </c>
      <c r="N138" s="68">
        <f t="shared" si="14"/>
        <v>0.93171992223647382</v>
      </c>
      <c r="O138" s="68">
        <f t="shared" si="15"/>
        <v>6.8280077763526181E-2</v>
      </c>
      <c r="P138" s="68">
        <f t="shared" si="16"/>
        <v>1.8634398444729476</v>
      </c>
      <c r="Q138" s="69">
        <f t="shared" si="17"/>
        <v>1.9317199222364738</v>
      </c>
    </row>
    <row r="139" spans="13:17" ht="16">
      <c r="M139" s="66">
        <f t="shared" si="18"/>
        <v>0.30000000000000088</v>
      </c>
      <c r="N139" s="68">
        <f t="shared" si="14"/>
        <v>0.92674093787056588</v>
      </c>
      <c r="O139" s="68">
        <f t="shared" si="15"/>
        <v>7.3259062129434116E-2</v>
      </c>
      <c r="P139" s="68">
        <f t="shared" si="16"/>
        <v>1.8534818757411318</v>
      </c>
      <c r="Q139" s="69">
        <f t="shared" si="17"/>
        <v>1.9267409378705658</v>
      </c>
    </row>
    <row r="140" spans="13:17" ht="16">
      <c r="M140" s="66">
        <f t="shared" si="18"/>
        <v>0.31000000000000089</v>
      </c>
      <c r="N140" s="68">
        <f t="shared" si="14"/>
        <v>0.9215648913392025</v>
      </c>
      <c r="O140" s="68">
        <f t="shared" si="15"/>
        <v>7.8435108660797503E-2</v>
      </c>
      <c r="P140" s="68">
        <f t="shared" si="16"/>
        <v>1.843129782678405</v>
      </c>
      <c r="Q140" s="69">
        <f t="shared" si="17"/>
        <v>1.9215648913392025</v>
      </c>
    </row>
    <row r="141" spans="13:17" ht="16">
      <c r="M141" s="66">
        <f t="shared" si="18"/>
        <v>0.32000000000000089</v>
      </c>
      <c r="N141" s="68">
        <f t="shared" si="14"/>
        <v>0.91618844271459865</v>
      </c>
      <c r="O141" s="68">
        <f t="shared" si="15"/>
        <v>8.381155728540135E-2</v>
      </c>
      <c r="P141" s="68">
        <f t="shared" si="16"/>
        <v>1.8323768854291973</v>
      </c>
      <c r="Q141" s="69">
        <f t="shared" si="17"/>
        <v>1.9161884427145988</v>
      </c>
    </row>
    <row r="142" spans="13:17" ht="16">
      <c r="M142" s="66">
        <f t="shared" si="18"/>
        <v>0.3300000000000009</v>
      </c>
      <c r="N142" s="68">
        <f t="shared" si="14"/>
        <v>0.91060804233737769</v>
      </c>
      <c r="O142" s="68">
        <f t="shared" si="15"/>
        <v>8.9391957662622312E-2</v>
      </c>
      <c r="P142" s="68">
        <f t="shared" si="16"/>
        <v>1.8212160846747554</v>
      </c>
      <c r="Q142" s="69">
        <f t="shared" si="17"/>
        <v>1.9106080423373777</v>
      </c>
    </row>
    <row r="143" spans="13:17" ht="16">
      <c r="M143" s="66">
        <f t="shared" si="18"/>
        <v>0.34000000000000091</v>
      </c>
      <c r="N143" s="68">
        <f t="shared" si="14"/>
        <v>0.90481991664980843</v>
      </c>
      <c r="O143" s="68">
        <f t="shared" si="15"/>
        <v>9.5180083350191569E-2</v>
      </c>
      <c r="P143" s="68">
        <f t="shared" si="16"/>
        <v>1.8096398332996169</v>
      </c>
      <c r="Q143" s="69">
        <f t="shared" si="17"/>
        <v>1.9048199166498083</v>
      </c>
    </row>
    <row r="144" spans="13:17" ht="16">
      <c r="M144" s="66">
        <f t="shared" si="18"/>
        <v>0.35000000000000092</v>
      </c>
      <c r="N144" s="68">
        <f t="shared" si="14"/>
        <v>0.89882005259883158</v>
      </c>
      <c r="O144" s="68">
        <f t="shared" si="15"/>
        <v>0.10117994740116842</v>
      </c>
      <c r="P144" s="68">
        <f t="shared" si="16"/>
        <v>1.7976401051976632</v>
      </c>
      <c r="Q144" s="69">
        <f t="shared" si="17"/>
        <v>1.8988200525988317</v>
      </c>
    </row>
    <row r="145" spans="13:17" ht="16">
      <c r="M145" s="66">
        <f t="shared" si="18"/>
        <v>0.36000000000000093</v>
      </c>
      <c r="N145" s="68">
        <f t="shared" si="14"/>
        <v>0.89260418043627332</v>
      </c>
      <c r="O145" s="68">
        <f t="shared" si="15"/>
        <v>0.10739581956372668</v>
      </c>
      <c r="P145" s="68">
        <f t="shared" si="16"/>
        <v>1.7852083608725466</v>
      </c>
      <c r="Q145" s="69">
        <f t="shared" si="17"/>
        <v>1.8926041804362734</v>
      </c>
    </row>
    <row r="146" spans="13:17" ht="16">
      <c r="M146" s="66">
        <f t="shared" si="18"/>
        <v>0.37000000000000094</v>
      </c>
      <c r="N146" s="68">
        <f t="shared" si="14"/>
        <v>0.88616775471792075</v>
      </c>
      <c r="O146" s="68">
        <f t="shared" si="15"/>
        <v>0.11383224528207925</v>
      </c>
      <c r="P146" s="68">
        <f t="shared" si="16"/>
        <v>1.7723355094358415</v>
      </c>
      <c r="Q146" s="69">
        <f t="shared" si="17"/>
        <v>1.8861677547179208</v>
      </c>
    </row>
    <row r="147" spans="13:17" ht="16">
      <c r="M147" s="66">
        <f t="shared" si="18"/>
        <v>0.38000000000000095</v>
      </c>
      <c r="N147" s="68">
        <f t="shared" si="14"/>
        <v>0.87950593327290039</v>
      </c>
      <c r="O147" s="68">
        <f t="shared" si="15"/>
        <v>0.12049406672709961</v>
      </c>
      <c r="P147" s="68">
        <f t="shared" si="16"/>
        <v>1.7590118665458008</v>
      </c>
      <c r="Q147" s="69">
        <f t="shared" si="17"/>
        <v>1.8795059332729003</v>
      </c>
    </row>
    <row r="148" spans="13:17" ht="16">
      <c r="M148" s="66">
        <f t="shared" si="18"/>
        <v>0.39000000000000096</v>
      </c>
      <c r="N148" s="68">
        <f t="shared" si="14"/>
        <v>0.87261355387915862</v>
      </c>
      <c r="O148" s="68">
        <f t="shared" si="15"/>
        <v>0.12738644612084138</v>
      </c>
      <c r="P148" s="68">
        <f t="shared" si="16"/>
        <v>1.7452271077583172</v>
      </c>
      <c r="Q148" s="69">
        <f t="shared" si="17"/>
        <v>1.8726135538791586</v>
      </c>
    </row>
    <row r="149" spans="13:17" ht="16">
      <c r="M149" s="66">
        <f t="shared" si="18"/>
        <v>0.40000000000000097</v>
      </c>
      <c r="N149" s="68">
        <f t="shared" si="14"/>
        <v>0.86548510833863557</v>
      </c>
      <c r="O149" s="68">
        <f t="shared" si="15"/>
        <v>0.13451489166136443</v>
      </c>
      <c r="P149" s="68">
        <f t="shared" si="16"/>
        <v>1.7309702166772711</v>
      </c>
      <c r="Q149" s="69">
        <f t="shared" si="17"/>
        <v>1.8654851083386355</v>
      </c>
    </row>
    <row r="150" spans="13:17" ht="16">
      <c r="M150" s="66">
        <f t="shared" si="18"/>
        <v>0.41000000000000097</v>
      </c>
      <c r="N150" s="68">
        <f t="shared" si="14"/>
        <v>0.85811471359557123</v>
      </c>
      <c r="O150" s="68">
        <f t="shared" si="15"/>
        <v>0.14188528640442877</v>
      </c>
      <c r="P150" s="68">
        <f t="shared" si="16"/>
        <v>1.7162294271911425</v>
      </c>
      <c r="Q150" s="69">
        <f t="shared" si="17"/>
        <v>1.8581147135955711</v>
      </c>
    </row>
    <row r="151" spans="13:17" ht="16">
      <c r="M151" s="66">
        <f t="shared" si="18"/>
        <v>0.42000000000000098</v>
      </c>
      <c r="N151" s="68">
        <f t="shared" si="14"/>
        <v>0.85049607948151273</v>
      </c>
      <c r="O151" s="68">
        <f t="shared" si="15"/>
        <v>0.14950392051848727</v>
      </c>
      <c r="P151" s="68">
        <f t="shared" si="16"/>
        <v>1.7009921589630255</v>
      </c>
      <c r="Q151" s="69">
        <f t="shared" si="17"/>
        <v>1.8504960794815126</v>
      </c>
    </row>
    <row r="152" spans="13:17" ht="16">
      <c r="M152" s="66">
        <f t="shared" si="18"/>
        <v>0.43000000000000099</v>
      </c>
      <c r="N152" s="68">
        <f t="shared" si="14"/>
        <v>0.84262247259884016</v>
      </c>
      <c r="O152" s="68">
        <f t="shared" si="15"/>
        <v>0.15737752740115984</v>
      </c>
      <c r="P152" s="68">
        <f t="shared" si="16"/>
        <v>1.6852449451976803</v>
      </c>
      <c r="Q152" s="69">
        <f t="shared" si="17"/>
        <v>1.84262247259884</v>
      </c>
    </row>
    <row r="153" spans="13:17" ht="16">
      <c r="M153" s="66">
        <f t="shared" si="18"/>
        <v>0.440000000000001</v>
      </c>
      <c r="N153" s="68">
        <f t="shared" si="14"/>
        <v>0.83448667576821578</v>
      </c>
      <c r="O153" s="68">
        <f t="shared" si="15"/>
        <v>0.16551332423178422</v>
      </c>
      <c r="P153" s="68">
        <f t="shared" si="16"/>
        <v>1.6689733515364316</v>
      </c>
      <c r="Q153" s="69">
        <f t="shared" si="17"/>
        <v>1.8344866757682157</v>
      </c>
    </row>
    <row r="154" spans="13:17" ht="16">
      <c r="M154" s="66">
        <f t="shared" si="18"/>
        <v>0.45000000000000101</v>
      </c>
      <c r="N154" s="68">
        <f t="shared" si="14"/>
        <v>0.82608094236081753</v>
      </c>
      <c r="O154" s="68">
        <f t="shared" si="15"/>
        <v>0.17391905763918247</v>
      </c>
      <c r="P154" s="68">
        <f t="shared" si="16"/>
        <v>1.6521618847216351</v>
      </c>
      <c r="Q154" s="69">
        <f t="shared" si="17"/>
        <v>1.8260809423608175</v>
      </c>
    </row>
    <row r="155" spans="13:17" ht="16">
      <c r="M155" s="66">
        <f t="shared" si="18"/>
        <v>0.46000000000000102</v>
      </c>
      <c r="N155" s="68">
        <f t="shared" si="14"/>
        <v>0.81739694470907487</v>
      </c>
      <c r="O155" s="68">
        <f t="shared" si="15"/>
        <v>0.18260305529092513</v>
      </c>
      <c r="P155" s="68">
        <f t="shared" si="16"/>
        <v>1.6347938894181497</v>
      </c>
      <c r="Q155" s="69">
        <f t="shared" si="17"/>
        <v>1.817396944709075</v>
      </c>
    </row>
    <row r="156" spans="13:17" ht="16">
      <c r="M156" s="66">
        <f t="shared" si="18"/>
        <v>0.47000000000000103</v>
      </c>
      <c r="N156" s="68">
        <f t="shared" si="14"/>
        <v>0.80842571563420063</v>
      </c>
      <c r="O156" s="68">
        <f t="shared" si="15"/>
        <v>0.19157428436579937</v>
      </c>
      <c r="P156" s="68">
        <f t="shared" si="16"/>
        <v>1.6168514312684013</v>
      </c>
      <c r="Q156" s="69">
        <f t="shared" si="17"/>
        <v>1.8084257156342005</v>
      </c>
    </row>
    <row r="157" spans="13:17" ht="16">
      <c r="M157" s="66">
        <f t="shared" si="18"/>
        <v>0.48000000000000104</v>
      </c>
      <c r="N157" s="68">
        <f t="shared" si="14"/>
        <v>0.79915758193772612</v>
      </c>
      <c r="O157" s="68">
        <f t="shared" si="15"/>
        <v>0.20084241806227388</v>
      </c>
      <c r="P157" s="68">
        <f t="shared" si="16"/>
        <v>1.5983151638754522</v>
      </c>
      <c r="Q157" s="69">
        <f t="shared" si="17"/>
        <v>1.7991575819377261</v>
      </c>
    </row>
    <row r="158" spans="13:17" ht="16">
      <c r="M158" s="66">
        <f t="shared" si="18"/>
        <v>0.49000000000000105</v>
      </c>
      <c r="N158" s="68">
        <f t="shared" si="14"/>
        <v>0.78958208846793265</v>
      </c>
      <c r="O158" s="68">
        <f t="shared" si="15"/>
        <v>0.21041791153206735</v>
      </c>
      <c r="P158" s="68">
        <f t="shared" si="16"/>
        <v>1.5791641769358653</v>
      </c>
      <c r="Q158" s="69">
        <f t="shared" si="17"/>
        <v>1.7895820884679328</v>
      </c>
    </row>
    <row r="159" spans="13:17" ht="16">
      <c r="M159" s="66">
        <f t="shared" si="18"/>
        <v>0.500000000000001</v>
      </c>
      <c r="N159" s="68">
        <f t="shared" si="14"/>
        <v>0.77968791107798785</v>
      </c>
      <c r="O159" s="68">
        <f t="shared" si="15"/>
        <v>0.22031208892201215</v>
      </c>
      <c r="P159" s="68">
        <f t="shared" si="16"/>
        <v>1.5593758221559757</v>
      </c>
      <c r="Q159" s="69">
        <f t="shared" si="17"/>
        <v>1.7796879110779877</v>
      </c>
    </row>
    <row r="160" spans="13:17" ht="16">
      <c r="M160" s="66">
        <f t="shared" si="18"/>
        <v>0.51000000000000101</v>
      </c>
      <c r="N160" s="68">
        <f t="shared" si="14"/>
        <v>0.76946275642416573</v>
      </c>
      <c r="O160" s="68">
        <f t="shared" si="15"/>
        <v>0.23053724357583427</v>
      </c>
      <c r="P160" s="68">
        <f t="shared" si="16"/>
        <v>1.5389255128483315</v>
      </c>
      <c r="Q160" s="69">
        <f t="shared" si="17"/>
        <v>1.7694627564241658</v>
      </c>
    </row>
    <row r="161" spans="13:17" ht="16">
      <c r="M161" s="66">
        <f t="shared" si="18"/>
        <v>0.52000000000000102</v>
      </c>
      <c r="N161" s="68">
        <f t="shared" si="14"/>
        <v>0.75889324608770803</v>
      </c>
      <c r="O161" s="68">
        <f t="shared" si="15"/>
        <v>0.24110675391229197</v>
      </c>
      <c r="P161" s="68">
        <f t="shared" si="16"/>
        <v>1.5177864921754161</v>
      </c>
      <c r="Q161" s="69">
        <f t="shared" si="17"/>
        <v>1.758893246087708</v>
      </c>
    </row>
    <row r="162" spans="13:17" ht="16">
      <c r="M162" s="66">
        <f t="shared" si="18"/>
        <v>0.53000000000000103</v>
      </c>
      <c r="N162" s="68">
        <f t="shared" si="14"/>
        <v>0.74796478191299032</v>
      </c>
      <c r="O162" s="68">
        <f t="shared" si="15"/>
        <v>0.25203521808700968</v>
      </c>
      <c r="P162" s="68">
        <f t="shared" si="16"/>
        <v>1.4959295638259806</v>
      </c>
      <c r="Q162" s="69">
        <f t="shared" si="17"/>
        <v>1.7479647819129904</v>
      </c>
    </row>
    <row r="163" spans="13:17" ht="16">
      <c r="M163" s="66">
        <f t="shared" si="18"/>
        <v>0.54000000000000103</v>
      </c>
      <c r="N163" s="68">
        <f t="shared" si="14"/>
        <v>0.73666138869748066</v>
      </c>
      <c r="O163" s="68">
        <f t="shared" si="15"/>
        <v>0.26333861130251934</v>
      </c>
      <c r="P163" s="68">
        <f t="shared" si="16"/>
        <v>1.4733227773949613</v>
      </c>
      <c r="Q163" s="69">
        <f t="shared" si="17"/>
        <v>1.7366613886974807</v>
      </c>
    </row>
    <row r="164" spans="13:17" ht="16">
      <c r="M164" s="66">
        <f t="shared" si="18"/>
        <v>0.55000000000000104</v>
      </c>
      <c r="N164" s="68">
        <f t="shared" si="14"/>
        <v>0.72496552939032843</v>
      </c>
      <c r="O164" s="68">
        <f t="shared" si="15"/>
        <v>0.27503447060967157</v>
      </c>
      <c r="P164" s="68">
        <f t="shared" si="16"/>
        <v>1.4499310587806569</v>
      </c>
      <c r="Q164" s="69">
        <f t="shared" si="17"/>
        <v>1.7249655293903285</v>
      </c>
    </row>
    <row r="165" spans="13:17" ht="16">
      <c r="M165" s="66">
        <f t="shared" si="18"/>
        <v>0.56000000000000105</v>
      </c>
      <c r="N165" s="68">
        <f t="shared" si="14"/>
        <v>0.71285788667983641</v>
      </c>
      <c r="O165" s="68">
        <f t="shared" si="15"/>
        <v>0.28714211332016359</v>
      </c>
      <c r="P165" s="68">
        <f t="shared" si="16"/>
        <v>1.4257157733596728</v>
      </c>
      <c r="Q165" s="69">
        <f t="shared" si="17"/>
        <v>1.7128578866798363</v>
      </c>
    </row>
    <row r="166" spans="13:17" ht="16">
      <c r="M166" s="66">
        <f t="shared" si="18"/>
        <v>0.57000000000000106</v>
      </c>
      <c r="N166" s="68">
        <f t="shared" si="14"/>
        <v>0.70031710316829388</v>
      </c>
      <c r="O166" s="68">
        <f t="shared" si="15"/>
        <v>0.29968289683170612</v>
      </c>
      <c r="P166" s="68">
        <f t="shared" si="16"/>
        <v>1.4006342063365878</v>
      </c>
      <c r="Q166" s="69">
        <f t="shared" si="17"/>
        <v>1.700317103168294</v>
      </c>
    </row>
    <row r="167" spans="13:17" ht="16">
      <c r="M167" s="66">
        <f t="shared" si="18"/>
        <v>0.58000000000000107</v>
      </c>
      <c r="N167" s="68">
        <f t="shared" si="14"/>
        <v>0.68731947009332128</v>
      </c>
      <c r="O167" s="68">
        <f t="shared" si="15"/>
        <v>0.31268052990667872</v>
      </c>
      <c r="P167" s="68">
        <f t="shared" si="16"/>
        <v>1.3746389401866426</v>
      </c>
      <c r="Q167" s="69">
        <f t="shared" si="17"/>
        <v>1.6873194700933212</v>
      </c>
    </row>
    <row r="168" spans="13:17" ht="16">
      <c r="M168" s="66">
        <f t="shared" si="18"/>
        <v>0.59000000000000108</v>
      </c>
      <c r="N168" s="68">
        <f t="shared" si="14"/>
        <v>0.67383855153860261</v>
      </c>
      <c r="O168" s="68">
        <f t="shared" si="15"/>
        <v>0.32616144846139739</v>
      </c>
      <c r="P168" s="68">
        <f t="shared" si="16"/>
        <v>1.3476771030772052</v>
      </c>
      <c r="Q168" s="69">
        <f t="shared" si="17"/>
        <v>1.6738385515386027</v>
      </c>
    </row>
    <row r="169" spans="13:17" ht="16">
      <c r="M169" s="66">
        <f t="shared" si="18"/>
        <v>0.60000000000000109</v>
      </c>
      <c r="N169" s="68">
        <f t="shared" si="14"/>
        <v>0.65984472696299179</v>
      </c>
      <c r="O169" s="68">
        <f t="shared" si="15"/>
        <v>0.34015527303700821</v>
      </c>
      <c r="P169" s="68">
        <f t="shared" si="16"/>
        <v>1.3196894539259836</v>
      </c>
      <c r="Q169" s="69">
        <f t="shared" si="17"/>
        <v>1.6598447269629917</v>
      </c>
    </row>
    <row r="170" spans="13:17" ht="16">
      <c r="M170" s="66">
        <f t="shared" ref="M170:M201" si="19">M169+$N$4</f>
        <v>0.6100000000000011</v>
      </c>
      <c r="N170" s="68">
        <f t="shared" si="14"/>
        <v>0.64530462918921727</v>
      </c>
      <c r="O170" s="68">
        <f t="shared" si="15"/>
        <v>0.35469537081078273</v>
      </c>
      <c r="P170" s="68">
        <f t="shared" si="16"/>
        <v>1.2906092583784345</v>
      </c>
      <c r="Q170" s="69">
        <f t="shared" si="17"/>
        <v>1.6453046291892173</v>
      </c>
    </row>
    <row r="171" spans="13:17" ht="16">
      <c r="M171" s="66">
        <f t="shared" si="19"/>
        <v>0.62000000000000111</v>
      </c>
      <c r="N171" s="68">
        <f t="shared" si="14"/>
        <v>0.63018044701192222</v>
      </c>
      <c r="O171" s="68">
        <f t="shared" si="15"/>
        <v>0.36981955298807778</v>
      </c>
      <c r="P171" s="68">
        <f t="shared" si="16"/>
        <v>1.2603608940238444</v>
      </c>
      <c r="Q171" s="69">
        <f t="shared" si="17"/>
        <v>1.6301804470119223</v>
      </c>
    </row>
    <row r="172" spans="13:17" ht="16">
      <c r="M172" s="66">
        <f t="shared" si="19"/>
        <v>0.63000000000000111</v>
      </c>
      <c r="N172" s="68">
        <f t="shared" si="14"/>
        <v>0.61442905020043115</v>
      </c>
      <c r="O172" s="68">
        <f t="shared" si="15"/>
        <v>0.38557094979956885</v>
      </c>
      <c r="P172" s="68">
        <f t="shared" si="16"/>
        <v>1.2288581004008623</v>
      </c>
      <c r="Q172" s="69">
        <f t="shared" si="17"/>
        <v>1.6144290502004313</v>
      </c>
    </row>
    <row r="173" spans="13:17" ht="16">
      <c r="M173" s="66">
        <f t="shared" si="19"/>
        <v>0.64000000000000112</v>
      </c>
      <c r="N173" s="68">
        <f t="shared" si="14"/>
        <v>0.59800087813916014</v>
      </c>
      <c r="O173" s="68">
        <f t="shared" si="15"/>
        <v>0.40199912186083986</v>
      </c>
      <c r="P173" s="68">
        <f t="shared" si="16"/>
        <v>1.1960017562783203</v>
      </c>
      <c r="Q173" s="69">
        <f t="shared" si="17"/>
        <v>1.5980008781391601</v>
      </c>
    </row>
    <row r="174" spans="13:17" ht="16">
      <c r="M174" s="66">
        <f t="shared" si="19"/>
        <v>0.65000000000000113</v>
      </c>
      <c r="N174" s="68">
        <f t="shared" si="14"/>
        <v>0.58083850885694066</v>
      </c>
      <c r="O174" s="68">
        <f t="shared" si="15"/>
        <v>0.41916149114305934</v>
      </c>
      <c r="P174" s="68">
        <f t="shared" si="16"/>
        <v>1.1616770177138813</v>
      </c>
      <c r="Q174" s="69">
        <f t="shared" si="17"/>
        <v>1.5808385088569405</v>
      </c>
    </row>
    <row r="175" spans="13:17" ht="16">
      <c r="M175" s="66">
        <f t="shared" si="19"/>
        <v>0.66000000000000114</v>
      </c>
      <c r="N175" s="68">
        <f t="shared" si="14"/>
        <v>0.5628747880994911</v>
      </c>
      <c r="O175" s="68">
        <f t="shared" si="15"/>
        <v>0.4371252119005089</v>
      </c>
      <c r="P175" s="68">
        <f t="shared" si="16"/>
        <v>1.1257495761989822</v>
      </c>
      <c r="Q175" s="69">
        <f t="shared" si="17"/>
        <v>1.5628747880994911</v>
      </c>
    </row>
    <row r="176" spans="13:17" ht="16">
      <c r="M176" s="66">
        <f t="shared" si="19"/>
        <v>0.67000000000000115</v>
      </c>
      <c r="N176" s="68">
        <f t="shared" si="14"/>
        <v>0.54403034049203969</v>
      </c>
      <c r="O176" s="68">
        <f t="shared" si="15"/>
        <v>0.45596965950796031</v>
      </c>
      <c r="P176" s="68">
        <f t="shared" si="16"/>
        <v>1.0880606809840794</v>
      </c>
      <c r="Q176" s="69">
        <f t="shared" si="17"/>
        <v>1.5440303404920397</v>
      </c>
    </row>
    <row r="177" spans="13:17" ht="16">
      <c r="M177" s="66">
        <f t="shared" si="19"/>
        <v>0.68000000000000116</v>
      </c>
      <c r="N177" s="68">
        <f t="shared" si="14"/>
        <v>0.52421019282790271</v>
      </c>
      <c r="O177" s="68">
        <f t="shared" si="15"/>
        <v>0.47578980717209729</v>
      </c>
      <c r="P177" s="68">
        <f t="shared" si="16"/>
        <v>1.0484203856558054</v>
      </c>
      <c r="Q177" s="69">
        <f t="shared" si="17"/>
        <v>1.5242101928279026</v>
      </c>
    </row>
    <row r="178" spans="13:17" ht="16">
      <c r="M178" s="66">
        <f t="shared" si="19"/>
        <v>0.69000000000000117</v>
      </c>
      <c r="N178" s="68">
        <f t="shared" si="14"/>
        <v>0.50329908776431775</v>
      </c>
      <c r="O178" s="68">
        <f t="shared" si="15"/>
        <v>0.49670091223568225</v>
      </c>
      <c r="P178" s="68">
        <f t="shared" si="16"/>
        <v>1.0065981755286355</v>
      </c>
      <c r="Q178" s="69">
        <f t="shared" si="17"/>
        <v>1.5032990877643178</v>
      </c>
    </row>
    <row r="179" spans="13:17" ht="16">
      <c r="M179" s="66">
        <f t="shared" si="19"/>
        <v>0.70000000000000118</v>
      </c>
      <c r="N179" s="68">
        <f t="shared" si="14"/>
        <v>0.48115480649689735</v>
      </c>
      <c r="O179" s="68">
        <f t="shared" si="15"/>
        <v>0.51884519350310265</v>
      </c>
      <c r="P179" s="68">
        <f t="shared" si="16"/>
        <v>0.96230961299379469</v>
      </c>
      <c r="Q179" s="69">
        <f t="shared" si="17"/>
        <v>1.4811548064968973</v>
      </c>
    </row>
    <row r="180" spans="13:17" ht="16">
      <c r="M180" s="66">
        <f t="shared" si="19"/>
        <v>0.71000000000000119</v>
      </c>
      <c r="N180" s="68">
        <f t="shared" si="14"/>
        <v>0.45759835497593737</v>
      </c>
      <c r="O180" s="68">
        <f t="shared" si="15"/>
        <v>0.54240164502406263</v>
      </c>
      <c r="P180" s="68">
        <f t="shared" si="16"/>
        <v>0.91519670995187474</v>
      </c>
      <c r="Q180" s="69">
        <f t="shared" si="17"/>
        <v>1.4575983549759375</v>
      </c>
    </row>
    <row r="181" spans="13:17" ht="16">
      <c r="M181" s="66">
        <f t="shared" si="19"/>
        <v>0.72000000000000119</v>
      </c>
      <c r="N181" s="68">
        <f t="shared" si="14"/>
        <v>0.4323989959854741</v>
      </c>
      <c r="O181" s="68">
        <f t="shared" si="15"/>
        <v>0.56760100401452585</v>
      </c>
      <c r="P181" s="68">
        <f t="shared" si="16"/>
        <v>0.8647979919709482</v>
      </c>
      <c r="Q181" s="69">
        <f t="shared" si="17"/>
        <v>1.4323989959854742</v>
      </c>
    </row>
    <row r="182" spans="13:17" ht="16">
      <c r="M182" s="66">
        <f t="shared" si="19"/>
        <v>0.7300000000000012</v>
      </c>
      <c r="N182" s="68">
        <f t="shared" si="14"/>
        <v>0.40525036653006657</v>
      </c>
      <c r="O182" s="68">
        <f t="shared" si="15"/>
        <v>0.59474963346993337</v>
      </c>
      <c r="P182" s="68">
        <f t="shared" si="16"/>
        <v>0.81050073306013315</v>
      </c>
      <c r="Q182" s="69">
        <f t="shared" si="17"/>
        <v>1.4052503665300666</v>
      </c>
    </row>
    <row r="183" spans="13:17" ht="16">
      <c r="M183" s="66">
        <f t="shared" si="19"/>
        <v>0.74000000000000121</v>
      </c>
      <c r="N183" s="68">
        <f t="shared" si="14"/>
        <v>0.37573016648547841</v>
      </c>
      <c r="O183" s="68">
        <f t="shared" si="15"/>
        <v>0.62426983351452159</v>
      </c>
      <c r="P183" s="68">
        <f t="shared" si="16"/>
        <v>0.75146033297095682</v>
      </c>
      <c r="Q183" s="69">
        <f t="shared" si="17"/>
        <v>1.3757301664854784</v>
      </c>
    </row>
    <row r="184" spans="13:17" ht="16">
      <c r="M184" s="66">
        <f t="shared" si="19"/>
        <v>0.75000000000000122</v>
      </c>
      <c r="N184" s="68">
        <f t="shared" si="14"/>
        <v>0.34322701967153185</v>
      </c>
      <c r="O184" s="68">
        <f t="shared" si="15"/>
        <v>0.65677298032846809</v>
      </c>
      <c r="P184" s="68">
        <f t="shared" si="16"/>
        <v>0.6864540393430637</v>
      </c>
      <c r="Q184" s="69">
        <f t="shared" si="17"/>
        <v>1.3432270196715319</v>
      </c>
    </row>
    <row r="185" spans="13:17" ht="16">
      <c r="M185" s="66">
        <f t="shared" si="19"/>
        <v>0.76000000000000123</v>
      </c>
      <c r="N185" s="68">
        <f t="shared" si="14"/>
        <v>0.30679430674141273</v>
      </c>
      <c r="O185" s="68">
        <f t="shared" si="15"/>
        <v>0.69320569325858727</v>
      </c>
      <c r="P185" s="68">
        <f t="shared" si="16"/>
        <v>0.61358861348282545</v>
      </c>
      <c r="Q185" s="69">
        <f t="shared" si="17"/>
        <v>1.3067943067414127</v>
      </c>
    </row>
    <row r="186" spans="13:17" ht="16">
      <c r="M186" s="66">
        <f t="shared" si="19"/>
        <v>0.77000000000000124</v>
      </c>
      <c r="N186" s="68">
        <f t="shared" si="14"/>
        <v>0.26481509937356462</v>
      </c>
      <c r="O186" s="68">
        <f t="shared" si="15"/>
        <v>0.73518490062643538</v>
      </c>
      <c r="P186" s="68">
        <f t="shared" si="16"/>
        <v>0.52963019874712924</v>
      </c>
      <c r="Q186" s="69">
        <f t="shared" si="17"/>
        <v>1.2648150993735645</v>
      </c>
    </row>
    <row r="187" spans="13:17" ht="16">
      <c r="M187" s="66">
        <f t="shared" si="19"/>
        <v>0.78000000000000125</v>
      </c>
      <c r="N187" s="68">
        <f t="shared" si="14"/>
        <v>0.21405059601520046</v>
      </c>
      <c r="O187" s="68">
        <f t="shared" si="15"/>
        <v>0.78594940398479951</v>
      </c>
      <c r="P187" s="68">
        <f t="shared" si="16"/>
        <v>0.42810119203040092</v>
      </c>
      <c r="Q187" s="69">
        <f t="shared" si="17"/>
        <v>1.2140505960152004</v>
      </c>
    </row>
    <row r="188" spans="13:17" ht="16">
      <c r="M188" s="66">
        <f t="shared" si="19"/>
        <v>0.79000000000000126</v>
      </c>
      <c r="N188" s="68">
        <f t="shared" si="14"/>
        <v>0.1455836839884169</v>
      </c>
      <c r="O188" s="68">
        <f t="shared" si="15"/>
        <v>0.85441631601158308</v>
      </c>
      <c r="P188" s="68">
        <f t="shared" si="16"/>
        <v>0.29116736797683379</v>
      </c>
      <c r="Q188" s="69">
        <f t="shared" si="17"/>
        <v>1.1455836839884168</v>
      </c>
    </row>
    <row r="189" spans="13:17" ht="16">
      <c r="M189" s="66">
        <f t="shared" si="19"/>
        <v>0.80000000000000127</v>
      </c>
      <c r="N189" s="68">
        <f t="shared" si="14"/>
        <v>0</v>
      </c>
      <c r="O189" s="68">
        <f t="shared" si="15"/>
        <v>1</v>
      </c>
      <c r="P189" s="68">
        <f t="shared" si="16"/>
        <v>0</v>
      </c>
      <c r="Q189" s="69">
        <f t="shared" si="17"/>
        <v>1</v>
      </c>
    </row>
    <row r="190" spans="13:17" ht="16">
      <c r="M190" s="66">
        <f t="shared" si="19"/>
        <v>0.81000000000000127</v>
      </c>
      <c r="N190" s="68">
        <f t="shared" si="14"/>
        <v>0</v>
      </c>
      <c r="O190" s="68">
        <f t="shared" si="15"/>
        <v>1</v>
      </c>
      <c r="P190" s="68">
        <f t="shared" si="16"/>
        <v>0</v>
      </c>
      <c r="Q190" s="69">
        <f t="shared" si="17"/>
        <v>1</v>
      </c>
    </row>
    <row r="191" spans="13:17" ht="16">
      <c r="M191" s="66">
        <f t="shared" si="19"/>
        <v>0.82000000000000128</v>
      </c>
      <c r="N191" s="68">
        <f t="shared" si="14"/>
        <v>0</v>
      </c>
      <c r="O191" s="68">
        <f t="shared" si="15"/>
        <v>1</v>
      </c>
      <c r="P191" s="68">
        <f t="shared" si="16"/>
        <v>0</v>
      </c>
      <c r="Q191" s="69">
        <f t="shared" si="17"/>
        <v>1</v>
      </c>
    </row>
    <row r="192" spans="13:17" ht="16">
      <c r="M192" s="66">
        <f t="shared" si="19"/>
        <v>0.83000000000000129</v>
      </c>
      <c r="N192" s="68">
        <f t="shared" si="14"/>
        <v>0</v>
      </c>
      <c r="O192" s="68">
        <f t="shared" si="15"/>
        <v>1</v>
      </c>
      <c r="P192" s="68">
        <f t="shared" si="16"/>
        <v>0</v>
      </c>
      <c r="Q192" s="69">
        <f t="shared" si="17"/>
        <v>1</v>
      </c>
    </row>
    <row r="193" spans="13:17" ht="16">
      <c r="M193" s="66">
        <f t="shared" si="19"/>
        <v>0.8400000000000013</v>
      </c>
      <c r="N193" s="68">
        <f t="shared" si="14"/>
        <v>0</v>
      </c>
      <c r="O193" s="68">
        <f t="shared" si="15"/>
        <v>1</v>
      </c>
      <c r="P193" s="68">
        <f t="shared" si="16"/>
        <v>0</v>
      </c>
      <c r="Q193" s="69">
        <f t="shared" si="17"/>
        <v>1</v>
      </c>
    </row>
    <row r="194" spans="13:17" ht="16">
      <c r="M194" s="66">
        <f t="shared" si="19"/>
        <v>0.85000000000000131</v>
      </c>
      <c r="N194" s="68">
        <f t="shared" si="14"/>
        <v>0</v>
      </c>
      <c r="O194" s="68">
        <f t="shared" si="15"/>
        <v>1</v>
      </c>
      <c r="P194" s="68">
        <f t="shared" si="16"/>
        <v>0</v>
      </c>
      <c r="Q194" s="69">
        <f t="shared" si="17"/>
        <v>1</v>
      </c>
    </row>
    <row r="195" spans="13:17" ht="16">
      <c r="M195" s="66">
        <f t="shared" si="19"/>
        <v>0.86000000000000132</v>
      </c>
      <c r="N195" s="68">
        <f t="shared" si="14"/>
        <v>0</v>
      </c>
      <c r="O195" s="68">
        <f t="shared" si="15"/>
        <v>1</v>
      </c>
      <c r="P195" s="68">
        <f t="shared" si="16"/>
        <v>0</v>
      </c>
      <c r="Q195" s="69">
        <f t="shared" si="17"/>
        <v>1</v>
      </c>
    </row>
    <row r="196" spans="13:17" ht="16">
      <c r="M196" s="66">
        <f t="shared" si="19"/>
        <v>0.87000000000000133</v>
      </c>
      <c r="N196" s="68">
        <f t="shared" si="14"/>
        <v>0</v>
      </c>
      <c r="O196" s="68">
        <f t="shared" si="15"/>
        <v>1</v>
      </c>
      <c r="P196" s="68">
        <f t="shared" si="16"/>
        <v>0</v>
      </c>
      <c r="Q196" s="69">
        <f t="shared" si="17"/>
        <v>1</v>
      </c>
    </row>
    <row r="197" spans="13:17" ht="16">
      <c r="M197" s="66">
        <f t="shared" si="19"/>
        <v>0.88000000000000134</v>
      </c>
      <c r="N197" s="68">
        <f t="shared" si="14"/>
        <v>0</v>
      </c>
      <c r="O197" s="68">
        <f t="shared" si="15"/>
        <v>1</v>
      </c>
      <c r="P197" s="68">
        <f t="shared" si="16"/>
        <v>0</v>
      </c>
      <c r="Q197" s="69">
        <f t="shared" si="17"/>
        <v>1</v>
      </c>
    </row>
    <row r="198" spans="13:17" ht="16">
      <c r="M198" s="66">
        <f t="shared" si="19"/>
        <v>0.89000000000000135</v>
      </c>
      <c r="N198" s="68">
        <f t="shared" si="14"/>
        <v>0</v>
      </c>
      <c r="O198" s="68">
        <f t="shared" si="15"/>
        <v>1</v>
      </c>
      <c r="P198" s="68">
        <f t="shared" si="16"/>
        <v>0</v>
      </c>
      <c r="Q198" s="69">
        <f t="shared" si="17"/>
        <v>1</v>
      </c>
    </row>
    <row r="199" spans="13:17" ht="16">
      <c r="M199" s="66">
        <f t="shared" si="19"/>
        <v>0.90000000000000135</v>
      </c>
      <c r="N199" s="68">
        <f t="shared" si="14"/>
        <v>0</v>
      </c>
      <c r="O199" s="68">
        <f t="shared" si="15"/>
        <v>1</v>
      </c>
      <c r="P199" s="68">
        <f t="shared" si="16"/>
        <v>0</v>
      </c>
      <c r="Q199" s="69">
        <f t="shared" si="17"/>
        <v>1</v>
      </c>
    </row>
    <row r="200" spans="13:17" ht="16">
      <c r="M200" s="66">
        <f t="shared" si="19"/>
        <v>0.91000000000000136</v>
      </c>
      <c r="N200" s="68">
        <f t="shared" si="14"/>
        <v>0</v>
      </c>
      <c r="O200" s="68">
        <f t="shared" si="15"/>
        <v>1</v>
      </c>
      <c r="P200" s="68">
        <f t="shared" si="16"/>
        <v>0</v>
      </c>
      <c r="Q200" s="69">
        <f t="shared" si="17"/>
        <v>1</v>
      </c>
    </row>
    <row r="201" spans="13:17" ht="16">
      <c r="M201" s="66">
        <f t="shared" si="19"/>
        <v>0.92000000000000137</v>
      </c>
      <c r="N201" s="68">
        <f t="shared" ref="N201:N209" si="20">IFERROR(IF(SQRT(1-(M201*M201)/($Q$5*$Q$5))&lt;0.05,0,SQRT(1-(M201*M201)/($Q$5*$Q$5))),0)</f>
        <v>0</v>
      </c>
      <c r="O201" s="68">
        <f t="shared" ref="O201:O209" si="21">CHOOSE(MATCH($Q$3,degrees),IF(M201&lt;0,IFERROR(1-N201,1),0),0,0,IF(M201&gt;0,IFERROR(1-N201,1),0))</f>
        <v>1</v>
      </c>
      <c r="P201" s="68">
        <f t="shared" ref="P201:P209" si="22">CHOOSE(MATCH($Q$3,degrees),IF(M201&lt;0,2*N201,2),IF(M201&lt;0,0,1-N201),IF(M201&gt;0,0,1-N201),IF(M201&gt;0,2*N201,2))</f>
        <v>0</v>
      </c>
      <c r="Q201" s="69">
        <f t="shared" ref="Q201:Q209" si="23">CHOOSE(MATCH($Q$3,degrees),IF(M201&lt;0,N201+1,2),IF(M201&lt;0,2,2*N201),IF(M201&gt;0,2,2*N201),IF(M201&gt;0,N201+1,2))</f>
        <v>1</v>
      </c>
    </row>
    <row r="202" spans="13:17" ht="16">
      <c r="M202" s="66">
        <f t="shared" ref="M202:M209" si="24">M201+$N$4</f>
        <v>0.93000000000000138</v>
      </c>
      <c r="N202" s="68">
        <f t="shared" si="20"/>
        <v>0</v>
      </c>
      <c r="O202" s="68">
        <f t="shared" si="21"/>
        <v>1</v>
      </c>
      <c r="P202" s="68">
        <f t="shared" si="22"/>
        <v>0</v>
      </c>
      <c r="Q202" s="69">
        <f t="shared" si="23"/>
        <v>1</v>
      </c>
    </row>
    <row r="203" spans="13:17" ht="16">
      <c r="M203" s="66">
        <f t="shared" si="24"/>
        <v>0.94000000000000139</v>
      </c>
      <c r="N203" s="68">
        <f t="shared" si="20"/>
        <v>0</v>
      </c>
      <c r="O203" s="68">
        <f t="shared" si="21"/>
        <v>1</v>
      </c>
      <c r="P203" s="68">
        <f t="shared" si="22"/>
        <v>0</v>
      </c>
      <c r="Q203" s="69">
        <f t="shared" si="23"/>
        <v>1</v>
      </c>
    </row>
    <row r="204" spans="13:17" ht="16">
      <c r="M204" s="66">
        <f t="shared" si="24"/>
        <v>0.9500000000000014</v>
      </c>
      <c r="N204" s="68">
        <f t="shared" si="20"/>
        <v>0</v>
      </c>
      <c r="O204" s="68">
        <f t="shared" si="21"/>
        <v>1</v>
      </c>
      <c r="P204" s="68">
        <f t="shared" si="22"/>
        <v>0</v>
      </c>
      <c r="Q204" s="69">
        <f t="shared" si="23"/>
        <v>1</v>
      </c>
    </row>
    <row r="205" spans="13:17" ht="16">
      <c r="M205" s="66">
        <f t="shared" si="24"/>
        <v>0.96000000000000141</v>
      </c>
      <c r="N205" s="68">
        <f t="shared" si="20"/>
        <v>0</v>
      </c>
      <c r="O205" s="68">
        <f t="shared" si="21"/>
        <v>1</v>
      </c>
      <c r="P205" s="68">
        <f t="shared" si="22"/>
        <v>0</v>
      </c>
      <c r="Q205" s="69">
        <f t="shared" si="23"/>
        <v>1</v>
      </c>
    </row>
    <row r="206" spans="13:17" ht="16">
      <c r="M206" s="66">
        <f t="shared" si="24"/>
        <v>0.97000000000000142</v>
      </c>
      <c r="N206" s="68">
        <f t="shared" si="20"/>
        <v>0</v>
      </c>
      <c r="O206" s="68">
        <f t="shared" si="21"/>
        <v>1</v>
      </c>
      <c r="P206" s="68">
        <f t="shared" si="22"/>
        <v>0</v>
      </c>
      <c r="Q206" s="69">
        <f t="shared" si="23"/>
        <v>1</v>
      </c>
    </row>
    <row r="207" spans="13:17" ht="16">
      <c r="M207" s="66">
        <f t="shared" si="24"/>
        <v>0.98000000000000143</v>
      </c>
      <c r="N207" s="68">
        <f t="shared" si="20"/>
        <v>0</v>
      </c>
      <c r="O207" s="68">
        <f t="shared" si="21"/>
        <v>1</v>
      </c>
      <c r="P207" s="68">
        <f t="shared" si="22"/>
        <v>0</v>
      </c>
      <c r="Q207" s="69">
        <f t="shared" si="23"/>
        <v>1</v>
      </c>
    </row>
    <row r="208" spans="13:17" ht="16">
      <c r="M208" s="66">
        <f t="shared" si="24"/>
        <v>0.99000000000000143</v>
      </c>
      <c r="N208" s="68">
        <f t="shared" si="20"/>
        <v>0</v>
      </c>
      <c r="O208" s="68">
        <f t="shared" si="21"/>
        <v>1</v>
      </c>
      <c r="P208" s="68">
        <f t="shared" si="22"/>
        <v>0</v>
      </c>
      <c r="Q208" s="69">
        <f t="shared" si="23"/>
        <v>1</v>
      </c>
    </row>
    <row r="209" spans="13:17" ht="16">
      <c r="M209" s="67">
        <f t="shared" si="24"/>
        <v>1.0000000000000013</v>
      </c>
      <c r="N209" s="70">
        <f t="shared" si="20"/>
        <v>0</v>
      </c>
      <c r="O209" s="70">
        <f t="shared" si="21"/>
        <v>1</v>
      </c>
      <c r="P209" s="70">
        <f t="shared" si="22"/>
        <v>0</v>
      </c>
      <c r="Q209" s="39">
        <f t="shared" si="23"/>
        <v>1</v>
      </c>
    </row>
  </sheetData>
  <sheetProtection sheet="1" objects="1" scenarios="1"/>
  <mergeCells count="1">
    <mergeCell ref="B17:C17"/>
  </mergeCells>
  <pageMargins left="0.75" right="0.75" top="1" bottom="1" header="0.5" footer="0.5"/>
  <pageSetup paperSize="8" scale="150" orientation="landscape" horizontalDpi="30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60F7C-E98A-9941-B004-97083A6369B3}">
  <sheetPr>
    <pageSetUpPr fitToPage="1"/>
  </sheetPr>
  <dimension ref="B2:K162"/>
  <sheetViews>
    <sheetView showGridLines="0" zoomScaleNormal="100" workbookViewId="0">
      <selection activeCell="D2" sqref="D2"/>
    </sheetView>
  </sheetViews>
  <sheetFormatPr baseColWidth="10" defaultColWidth="8.83203125" defaultRowHeight="16"/>
  <cols>
    <col min="1" max="1" width="8.83203125" style="80"/>
    <col min="2" max="2" width="31.1640625" style="80" customWidth="1"/>
    <col min="3" max="3" width="11.33203125" style="80" customWidth="1"/>
    <col min="4" max="4" width="13.33203125" style="80" customWidth="1"/>
    <col min="5" max="5" width="12.5" style="80" bestFit="1" customWidth="1"/>
    <col min="6" max="6" width="29.83203125" style="80" customWidth="1"/>
    <col min="7" max="8" width="5.83203125" style="80" customWidth="1"/>
    <col min="9" max="9" width="6.1640625" style="80" hidden="1" customWidth="1"/>
    <col min="10" max="10" width="5.83203125" style="80" customWidth="1"/>
    <col min="11" max="257" width="8.83203125" style="80"/>
    <col min="258" max="258" width="31.1640625" style="80" customWidth="1"/>
    <col min="259" max="259" width="11.5" style="80" bestFit="1" customWidth="1"/>
    <col min="260" max="260" width="14.5" style="80" bestFit="1" customWidth="1"/>
    <col min="261" max="261" width="12.5" style="80" bestFit="1" customWidth="1"/>
    <col min="262" max="262" width="29.83203125" style="80" customWidth="1"/>
    <col min="263" max="263" width="8.5" style="80" customWidth="1"/>
    <col min="264" max="264" width="6.1640625" style="80" customWidth="1"/>
    <col min="265" max="265" width="7" style="80" customWidth="1"/>
    <col min="266" max="513" width="8.83203125" style="80"/>
    <col min="514" max="514" width="31.1640625" style="80" customWidth="1"/>
    <col min="515" max="515" width="11.5" style="80" bestFit="1" customWidth="1"/>
    <col min="516" max="516" width="14.5" style="80" bestFit="1" customWidth="1"/>
    <col min="517" max="517" width="12.5" style="80" bestFit="1" customWidth="1"/>
    <col min="518" max="518" width="29.83203125" style="80" customWidth="1"/>
    <col min="519" max="519" width="8.5" style="80" customWidth="1"/>
    <col min="520" max="520" width="6.1640625" style="80" customWidth="1"/>
    <col min="521" max="521" width="7" style="80" customWidth="1"/>
    <col min="522" max="769" width="8.83203125" style="80"/>
    <col min="770" max="770" width="31.1640625" style="80" customWidth="1"/>
    <col min="771" max="771" width="11.5" style="80" bestFit="1" customWidth="1"/>
    <col min="772" max="772" width="14.5" style="80" bestFit="1" customWidth="1"/>
    <col min="773" max="773" width="12.5" style="80" bestFit="1" customWidth="1"/>
    <col min="774" max="774" width="29.83203125" style="80" customWidth="1"/>
    <col min="775" max="775" width="8.5" style="80" customWidth="1"/>
    <col min="776" max="776" width="6.1640625" style="80" customWidth="1"/>
    <col min="777" max="777" width="7" style="80" customWidth="1"/>
    <col min="778" max="1025" width="8.83203125" style="80"/>
    <col min="1026" max="1026" width="31.1640625" style="80" customWidth="1"/>
    <col min="1027" max="1027" width="11.5" style="80" bestFit="1" customWidth="1"/>
    <col min="1028" max="1028" width="14.5" style="80" bestFit="1" customWidth="1"/>
    <col min="1029" max="1029" width="12.5" style="80" bestFit="1" customWidth="1"/>
    <col min="1030" max="1030" width="29.83203125" style="80" customWidth="1"/>
    <col min="1031" max="1031" width="8.5" style="80" customWidth="1"/>
    <col min="1032" max="1032" width="6.1640625" style="80" customWidth="1"/>
    <col min="1033" max="1033" width="7" style="80" customWidth="1"/>
    <col min="1034" max="1281" width="8.83203125" style="80"/>
    <col min="1282" max="1282" width="31.1640625" style="80" customWidth="1"/>
    <col min="1283" max="1283" width="11.5" style="80" bestFit="1" customWidth="1"/>
    <col min="1284" max="1284" width="14.5" style="80" bestFit="1" customWidth="1"/>
    <col min="1285" max="1285" width="12.5" style="80" bestFit="1" customWidth="1"/>
    <col min="1286" max="1286" width="29.83203125" style="80" customWidth="1"/>
    <col min="1287" max="1287" width="8.5" style="80" customWidth="1"/>
    <col min="1288" max="1288" width="6.1640625" style="80" customWidth="1"/>
    <col min="1289" max="1289" width="7" style="80" customWidth="1"/>
    <col min="1290" max="1537" width="8.83203125" style="80"/>
    <col min="1538" max="1538" width="31.1640625" style="80" customWidth="1"/>
    <col min="1539" max="1539" width="11.5" style="80" bestFit="1" customWidth="1"/>
    <col min="1540" max="1540" width="14.5" style="80" bestFit="1" customWidth="1"/>
    <col min="1541" max="1541" width="12.5" style="80" bestFit="1" customWidth="1"/>
    <col min="1542" max="1542" width="29.83203125" style="80" customWidth="1"/>
    <col min="1543" max="1543" width="8.5" style="80" customWidth="1"/>
    <col min="1544" max="1544" width="6.1640625" style="80" customWidth="1"/>
    <col min="1545" max="1545" width="7" style="80" customWidth="1"/>
    <col min="1546" max="1793" width="8.83203125" style="80"/>
    <col min="1794" max="1794" width="31.1640625" style="80" customWidth="1"/>
    <col min="1795" max="1795" width="11.5" style="80" bestFit="1" customWidth="1"/>
    <col min="1796" max="1796" width="14.5" style="80" bestFit="1" customWidth="1"/>
    <col min="1797" max="1797" width="12.5" style="80" bestFit="1" customWidth="1"/>
    <col min="1798" max="1798" width="29.83203125" style="80" customWidth="1"/>
    <col min="1799" max="1799" width="8.5" style="80" customWidth="1"/>
    <col min="1800" max="1800" width="6.1640625" style="80" customWidth="1"/>
    <col min="1801" max="1801" width="7" style="80" customWidth="1"/>
    <col min="1802" max="2049" width="8.83203125" style="80"/>
    <col min="2050" max="2050" width="31.1640625" style="80" customWidth="1"/>
    <col min="2051" max="2051" width="11.5" style="80" bestFit="1" customWidth="1"/>
    <col min="2052" max="2052" width="14.5" style="80" bestFit="1" customWidth="1"/>
    <col min="2053" max="2053" width="12.5" style="80" bestFit="1" customWidth="1"/>
    <col min="2054" max="2054" width="29.83203125" style="80" customWidth="1"/>
    <col min="2055" max="2055" width="8.5" style="80" customWidth="1"/>
    <col min="2056" max="2056" width="6.1640625" style="80" customWidth="1"/>
    <col min="2057" max="2057" width="7" style="80" customWidth="1"/>
    <col min="2058" max="2305" width="8.83203125" style="80"/>
    <col min="2306" max="2306" width="31.1640625" style="80" customWidth="1"/>
    <col min="2307" max="2307" width="11.5" style="80" bestFit="1" customWidth="1"/>
    <col min="2308" max="2308" width="14.5" style="80" bestFit="1" customWidth="1"/>
    <col min="2309" max="2309" width="12.5" style="80" bestFit="1" customWidth="1"/>
    <col min="2310" max="2310" width="29.83203125" style="80" customWidth="1"/>
    <col min="2311" max="2311" width="8.5" style="80" customWidth="1"/>
    <col min="2312" max="2312" width="6.1640625" style="80" customWidth="1"/>
    <col min="2313" max="2313" width="7" style="80" customWidth="1"/>
    <col min="2314" max="2561" width="8.83203125" style="80"/>
    <col min="2562" max="2562" width="31.1640625" style="80" customWidth="1"/>
    <col min="2563" max="2563" width="11.5" style="80" bestFit="1" customWidth="1"/>
    <col min="2564" max="2564" width="14.5" style="80" bestFit="1" customWidth="1"/>
    <col min="2565" max="2565" width="12.5" style="80" bestFit="1" customWidth="1"/>
    <col min="2566" max="2566" width="29.83203125" style="80" customWidth="1"/>
    <col min="2567" max="2567" width="8.5" style="80" customWidth="1"/>
    <col min="2568" max="2568" width="6.1640625" style="80" customWidth="1"/>
    <col min="2569" max="2569" width="7" style="80" customWidth="1"/>
    <col min="2570" max="2817" width="8.83203125" style="80"/>
    <col min="2818" max="2818" width="31.1640625" style="80" customWidth="1"/>
    <col min="2819" max="2819" width="11.5" style="80" bestFit="1" customWidth="1"/>
    <col min="2820" max="2820" width="14.5" style="80" bestFit="1" customWidth="1"/>
    <col min="2821" max="2821" width="12.5" style="80" bestFit="1" customWidth="1"/>
    <col min="2822" max="2822" width="29.83203125" style="80" customWidth="1"/>
    <col min="2823" max="2823" width="8.5" style="80" customWidth="1"/>
    <col min="2824" max="2824" width="6.1640625" style="80" customWidth="1"/>
    <col min="2825" max="2825" width="7" style="80" customWidth="1"/>
    <col min="2826" max="3073" width="8.83203125" style="80"/>
    <col min="3074" max="3074" width="31.1640625" style="80" customWidth="1"/>
    <col min="3075" max="3075" width="11.5" style="80" bestFit="1" customWidth="1"/>
    <col min="3076" max="3076" width="14.5" style="80" bestFit="1" customWidth="1"/>
    <col min="3077" max="3077" width="12.5" style="80" bestFit="1" customWidth="1"/>
    <col min="3078" max="3078" width="29.83203125" style="80" customWidth="1"/>
    <col min="3079" max="3079" width="8.5" style="80" customWidth="1"/>
    <col min="3080" max="3080" width="6.1640625" style="80" customWidth="1"/>
    <col min="3081" max="3081" width="7" style="80" customWidth="1"/>
    <col min="3082" max="3329" width="8.83203125" style="80"/>
    <col min="3330" max="3330" width="31.1640625" style="80" customWidth="1"/>
    <col min="3331" max="3331" width="11.5" style="80" bestFit="1" customWidth="1"/>
    <col min="3332" max="3332" width="14.5" style="80" bestFit="1" customWidth="1"/>
    <col min="3333" max="3333" width="12.5" style="80" bestFit="1" customWidth="1"/>
    <col min="3334" max="3334" width="29.83203125" style="80" customWidth="1"/>
    <col min="3335" max="3335" width="8.5" style="80" customWidth="1"/>
    <col min="3336" max="3336" width="6.1640625" style="80" customWidth="1"/>
    <col min="3337" max="3337" width="7" style="80" customWidth="1"/>
    <col min="3338" max="3585" width="8.83203125" style="80"/>
    <col min="3586" max="3586" width="31.1640625" style="80" customWidth="1"/>
    <col min="3587" max="3587" width="11.5" style="80" bestFit="1" customWidth="1"/>
    <col min="3588" max="3588" width="14.5" style="80" bestFit="1" customWidth="1"/>
    <col min="3589" max="3589" width="12.5" style="80" bestFit="1" customWidth="1"/>
    <col min="3590" max="3590" width="29.83203125" style="80" customWidth="1"/>
    <col min="3591" max="3591" width="8.5" style="80" customWidth="1"/>
    <col min="3592" max="3592" width="6.1640625" style="80" customWidth="1"/>
    <col min="3593" max="3593" width="7" style="80" customWidth="1"/>
    <col min="3594" max="3841" width="8.83203125" style="80"/>
    <col min="3842" max="3842" width="31.1640625" style="80" customWidth="1"/>
    <col min="3843" max="3843" width="11.5" style="80" bestFit="1" customWidth="1"/>
    <col min="3844" max="3844" width="14.5" style="80" bestFit="1" customWidth="1"/>
    <col min="3845" max="3845" width="12.5" style="80" bestFit="1" customWidth="1"/>
    <col min="3846" max="3846" width="29.83203125" style="80" customWidth="1"/>
    <col min="3847" max="3847" width="8.5" style="80" customWidth="1"/>
    <col min="3848" max="3848" width="6.1640625" style="80" customWidth="1"/>
    <col min="3849" max="3849" width="7" style="80" customWidth="1"/>
    <col min="3850" max="4097" width="8.83203125" style="80"/>
    <col min="4098" max="4098" width="31.1640625" style="80" customWidth="1"/>
    <col min="4099" max="4099" width="11.5" style="80" bestFit="1" customWidth="1"/>
    <col min="4100" max="4100" width="14.5" style="80" bestFit="1" customWidth="1"/>
    <col min="4101" max="4101" width="12.5" style="80" bestFit="1" customWidth="1"/>
    <col min="4102" max="4102" width="29.83203125" style="80" customWidth="1"/>
    <col min="4103" max="4103" width="8.5" style="80" customWidth="1"/>
    <col min="4104" max="4104" width="6.1640625" style="80" customWidth="1"/>
    <col min="4105" max="4105" width="7" style="80" customWidth="1"/>
    <col min="4106" max="4353" width="8.83203125" style="80"/>
    <col min="4354" max="4354" width="31.1640625" style="80" customWidth="1"/>
    <col min="4355" max="4355" width="11.5" style="80" bestFit="1" customWidth="1"/>
    <col min="4356" max="4356" width="14.5" style="80" bestFit="1" customWidth="1"/>
    <col min="4357" max="4357" width="12.5" style="80" bestFit="1" customWidth="1"/>
    <col min="4358" max="4358" width="29.83203125" style="80" customWidth="1"/>
    <col min="4359" max="4359" width="8.5" style="80" customWidth="1"/>
    <col min="4360" max="4360" width="6.1640625" style="80" customWidth="1"/>
    <col min="4361" max="4361" width="7" style="80" customWidth="1"/>
    <col min="4362" max="4609" width="8.83203125" style="80"/>
    <col min="4610" max="4610" width="31.1640625" style="80" customWidth="1"/>
    <col min="4611" max="4611" width="11.5" style="80" bestFit="1" customWidth="1"/>
    <col min="4612" max="4612" width="14.5" style="80" bestFit="1" customWidth="1"/>
    <col min="4613" max="4613" width="12.5" style="80" bestFit="1" customWidth="1"/>
    <col min="4614" max="4614" width="29.83203125" style="80" customWidth="1"/>
    <col min="4615" max="4615" width="8.5" style="80" customWidth="1"/>
    <col min="4616" max="4616" width="6.1640625" style="80" customWidth="1"/>
    <col min="4617" max="4617" width="7" style="80" customWidth="1"/>
    <col min="4618" max="4865" width="8.83203125" style="80"/>
    <col min="4866" max="4866" width="31.1640625" style="80" customWidth="1"/>
    <col min="4867" max="4867" width="11.5" style="80" bestFit="1" customWidth="1"/>
    <col min="4868" max="4868" width="14.5" style="80" bestFit="1" customWidth="1"/>
    <col min="4869" max="4869" width="12.5" style="80" bestFit="1" customWidth="1"/>
    <col min="4870" max="4870" width="29.83203125" style="80" customWidth="1"/>
    <col min="4871" max="4871" width="8.5" style="80" customWidth="1"/>
    <col min="4872" max="4872" width="6.1640625" style="80" customWidth="1"/>
    <col min="4873" max="4873" width="7" style="80" customWidth="1"/>
    <col min="4874" max="5121" width="8.83203125" style="80"/>
    <col min="5122" max="5122" width="31.1640625" style="80" customWidth="1"/>
    <col min="5123" max="5123" width="11.5" style="80" bestFit="1" customWidth="1"/>
    <col min="5124" max="5124" width="14.5" style="80" bestFit="1" customWidth="1"/>
    <col min="5125" max="5125" width="12.5" style="80" bestFit="1" customWidth="1"/>
    <col min="5126" max="5126" width="29.83203125" style="80" customWidth="1"/>
    <col min="5127" max="5127" width="8.5" style="80" customWidth="1"/>
    <col min="5128" max="5128" width="6.1640625" style="80" customWidth="1"/>
    <col min="5129" max="5129" width="7" style="80" customWidth="1"/>
    <col min="5130" max="5377" width="8.83203125" style="80"/>
    <col min="5378" max="5378" width="31.1640625" style="80" customWidth="1"/>
    <col min="5379" max="5379" width="11.5" style="80" bestFit="1" customWidth="1"/>
    <col min="5380" max="5380" width="14.5" style="80" bestFit="1" customWidth="1"/>
    <col min="5381" max="5381" width="12.5" style="80" bestFit="1" customWidth="1"/>
    <col min="5382" max="5382" width="29.83203125" style="80" customWidth="1"/>
    <col min="5383" max="5383" width="8.5" style="80" customWidth="1"/>
    <col min="5384" max="5384" width="6.1640625" style="80" customWidth="1"/>
    <col min="5385" max="5385" width="7" style="80" customWidth="1"/>
    <col min="5386" max="5633" width="8.83203125" style="80"/>
    <col min="5634" max="5634" width="31.1640625" style="80" customWidth="1"/>
    <col min="5635" max="5635" width="11.5" style="80" bestFit="1" customWidth="1"/>
    <col min="5636" max="5636" width="14.5" style="80" bestFit="1" customWidth="1"/>
    <col min="5637" max="5637" width="12.5" style="80" bestFit="1" customWidth="1"/>
    <col min="5638" max="5638" width="29.83203125" style="80" customWidth="1"/>
    <col min="5639" max="5639" width="8.5" style="80" customWidth="1"/>
    <col min="5640" max="5640" width="6.1640625" style="80" customWidth="1"/>
    <col min="5641" max="5641" width="7" style="80" customWidth="1"/>
    <col min="5642" max="5889" width="8.83203125" style="80"/>
    <col min="5890" max="5890" width="31.1640625" style="80" customWidth="1"/>
    <col min="5891" max="5891" width="11.5" style="80" bestFit="1" customWidth="1"/>
    <col min="5892" max="5892" width="14.5" style="80" bestFit="1" customWidth="1"/>
    <col min="5893" max="5893" width="12.5" style="80" bestFit="1" customWidth="1"/>
    <col min="5894" max="5894" width="29.83203125" style="80" customWidth="1"/>
    <col min="5895" max="5895" width="8.5" style="80" customWidth="1"/>
    <col min="5896" max="5896" width="6.1640625" style="80" customWidth="1"/>
    <col min="5897" max="5897" width="7" style="80" customWidth="1"/>
    <col min="5898" max="6145" width="8.83203125" style="80"/>
    <col min="6146" max="6146" width="31.1640625" style="80" customWidth="1"/>
    <col min="6147" max="6147" width="11.5" style="80" bestFit="1" customWidth="1"/>
    <col min="6148" max="6148" width="14.5" style="80" bestFit="1" customWidth="1"/>
    <col min="6149" max="6149" width="12.5" style="80" bestFit="1" customWidth="1"/>
    <col min="6150" max="6150" width="29.83203125" style="80" customWidth="1"/>
    <col min="6151" max="6151" width="8.5" style="80" customWidth="1"/>
    <col min="6152" max="6152" width="6.1640625" style="80" customWidth="1"/>
    <col min="6153" max="6153" width="7" style="80" customWidth="1"/>
    <col min="6154" max="6401" width="8.83203125" style="80"/>
    <col min="6402" max="6402" width="31.1640625" style="80" customWidth="1"/>
    <col min="6403" max="6403" width="11.5" style="80" bestFit="1" customWidth="1"/>
    <col min="6404" max="6404" width="14.5" style="80" bestFit="1" customWidth="1"/>
    <col min="6405" max="6405" width="12.5" style="80" bestFit="1" customWidth="1"/>
    <col min="6406" max="6406" width="29.83203125" style="80" customWidth="1"/>
    <col min="6407" max="6407" width="8.5" style="80" customWidth="1"/>
    <col min="6408" max="6408" width="6.1640625" style="80" customWidth="1"/>
    <col min="6409" max="6409" width="7" style="80" customWidth="1"/>
    <col min="6410" max="6657" width="8.83203125" style="80"/>
    <col min="6658" max="6658" width="31.1640625" style="80" customWidth="1"/>
    <col min="6659" max="6659" width="11.5" style="80" bestFit="1" customWidth="1"/>
    <col min="6660" max="6660" width="14.5" style="80" bestFit="1" customWidth="1"/>
    <col min="6661" max="6661" width="12.5" style="80" bestFit="1" customWidth="1"/>
    <col min="6662" max="6662" width="29.83203125" style="80" customWidth="1"/>
    <col min="6663" max="6663" width="8.5" style="80" customWidth="1"/>
    <col min="6664" max="6664" width="6.1640625" style="80" customWidth="1"/>
    <col min="6665" max="6665" width="7" style="80" customWidth="1"/>
    <col min="6666" max="6913" width="8.83203125" style="80"/>
    <col min="6914" max="6914" width="31.1640625" style="80" customWidth="1"/>
    <col min="6915" max="6915" width="11.5" style="80" bestFit="1" customWidth="1"/>
    <col min="6916" max="6916" width="14.5" style="80" bestFit="1" customWidth="1"/>
    <col min="6917" max="6917" width="12.5" style="80" bestFit="1" customWidth="1"/>
    <col min="6918" max="6918" width="29.83203125" style="80" customWidth="1"/>
    <col min="6919" max="6919" width="8.5" style="80" customWidth="1"/>
    <col min="6920" max="6920" width="6.1640625" style="80" customWidth="1"/>
    <col min="6921" max="6921" width="7" style="80" customWidth="1"/>
    <col min="6922" max="7169" width="8.83203125" style="80"/>
    <col min="7170" max="7170" width="31.1640625" style="80" customWidth="1"/>
    <col min="7171" max="7171" width="11.5" style="80" bestFit="1" customWidth="1"/>
    <col min="7172" max="7172" width="14.5" style="80" bestFit="1" customWidth="1"/>
    <col min="7173" max="7173" width="12.5" style="80" bestFit="1" customWidth="1"/>
    <col min="7174" max="7174" width="29.83203125" style="80" customWidth="1"/>
    <col min="7175" max="7175" width="8.5" style="80" customWidth="1"/>
    <col min="7176" max="7176" width="6.1640625" style="80" customWidth="1"/>
    <col min="7177" max="7177" width="7" style="80" customWidth="1"/>
    <col min="7178" max="7425" width="8.83203125" style="80"/>
    <col min="7426" max="7426" width="31.1640625" style="80" customWidth="1"/>
    <col min="7427" max="7427" width="11.5" style="80" bestFit="1" customWidth="1"/>
    <col min="7428" max="7428" width="14.5" style="80" bestFit="1" customWidth="1"/>
    <col min="7429" max="7429" width="12.5" style="80" bestFit="1" customWidth="1"/>
    <col min="7430" max="7430" width="29.83203125" style="80" customWidth="1"/>
    <col min="7431" max="7431" width="8.5" style="80" customWidth="1"/>
    <col min="7432" max="7432" width="6.1640625" style="80" customWidth="1"/>
    <col min="7433" max="7433" width="7" style="80" customWidth="1"/>
    <col min="7434" max="7681" width="8.83203125" style="80"/>
    <col min="7682" max="7682" width="31.1640625" style="80" customWidth="1"/>
    <col min="7683" max="7683" width="11.5" style="80" bestFit="1" customWidth="1"/>
    <col min="7684" max="7684" width="14.5" style="80" bestFit="1" customWidth="1"/>
    <col min="7685" max="7685" width="12.5" style="80" bestFit="1" customWidth="1"/>
    <col min="7686" max="7686" width="29.83203125" style="80" customWidth="1"/>
    <col min="7687" max="7687" width="8.5" style="80" customWidth="1"/>
    <col min="7688" max="7688" width="6.1640625" style="80" customWidth="1"/>
    <col min="7689" max="7689" width="7" style="80" customWidth="1"/>
    <col min="7690" max="7937" width="8.83203125" style="80"/>
    <col min="7938" max="7938" width="31.1640625" style="80" customWidth="1"/>
    <col min="7939" max="7939" width="11.5" style="80" bestFit="1" customWidth="1"/>
    <col min="7940" max="7940" width="14.5" style="80" bestFit="1" customWidth="1"/>
    <col min="7941" max="7941" width="12.5" style="80" bestFit="1" customWidth="1"/>
    <col min="7942" max="7942" width="29.83203125" style="80" customWidth="1"/>
    <col min="7943" max="7943" width="8.5" style="80" customWidth="1"/>
    <col min="7944" max="7944" width="6.1640625" style="80" customWidth="1"/>
    <col min="7945" max="7945" width="7" style="80" customWidth="1"/>
    <col min="7946" max="8193" width="8.83203125" style="80"/>
    <col min="8194" max="8194" width="31.1640625" style="80" customWidth="1"/>
    <col min="8195" max="8195" width="11.5" style="80" bestFit="1" customWidth="1"/>
    <col min="8196" max="8196" width="14.5" style="80" bestFit="1" customWidth="1"/>
    <col min="8197" max="8197" width="12.5" style="80" bestFit="1" customWidth="1"/>
    <col min="8198" max="8198" width="29.83203125" style="80" customWidth="1"/>
    <col min="8199" max="8199" width="8.5" style="80" customWidth="1"/>
    <col min="8200" max="8200" width="6.1640625" style="80" customWidth="1"/>
    <col min="8201" max="8201" width="7" style="80" customWidth="1"/>
    <col min="8202" max="8449" width="8.83203125" style="80"/>
    <col min="8450" max="8450" width="31.1640625" style="80" customWidth="1"/>
    <col min="8451" max="8451" width="11.5" style="80" bestFit="1" customWidth="1"/>
    <col min="8452" max="8452" width="14.5" style="80" bestFit="1" customWidth="1"/>
    <col min="8453" max="8453" width="12.5" style="80" bestFit="1" customWidth="1"/>
    <col min="8454" max="8454" width="29.83203125" style="80" customWidth="1"/>
    <col min="8455" max="8455" width="8.5" style="80" customWidth="1"/>
    <col min="8456" max="8456" width="6.1640625" style="80" customWidth="1"/>
    <col min="8457" max="8457" width="7" style="80" customWidth="1"/>
    <col min="8458" max="8705" width="8.83203125" style="80"/>
    <col min="8706" max="8706" width="31.1640625" style="80" customWidth="1"/>
    <col min="8707" max="8707" width="11.5" style="80" bestFit="1" customWidth="1"/>
    <col min="8708" max="8708" width="14.5" style="80" bestFit="1" customWidth="1"/>
    <col min="8709" max="8709" width="12.5" style="80" bestFit="1" customWidth="1"/>
    <col min="8710" max="8710" width="29.83203125" style="80" customWidth="1"/>
    <col min="8711" max="8711" width="8.5" style="80" customWidth="1"/>
    <col min="8712" max="8712" width="6.1640625" style="80" customWidth="1"/>
    <col min="8713" max="8713" width="7" style="80" customWidth="1"/>
    <col min="8714" max="8961" width="8.83203125" style="80"/>
    <col min="8962" max="8962" width="31.1640625" style="80" customWidth="1"/>
    <col min="8963" max="8963" width="11.5" style="80" bestFit="1" customWidth="1"/>
    <col min="8964" max="8964" width="14.5" style="80" bestFit="1" customWidth="1"/>
    <col min="8965" max="8965" width="12.5" style="80" bestFit="1" customWidth="1"/>
    <col min="8966" max="8966" width="29.83203125" style="80" customWidth="1"/>
    <col min="8967" max="8967" width="8.5" style="80" customWidth="1"/>
    <col min="8968" max="8968" width="6.1640625" style="80" customWidth="1"/>
    <col min="8969" max="8969" width="7" style="80" customWidth="1"/>
    <col min="8970" max="9217" width="8.83203125" style="80"/>
    <col min="9218" max="9218" width="31.1640625" style="80" customWidth="1"/>
    <col min="9219" max="9219" width="11.5" style="80" bestFit="1" customWidth="1"/>
    <col min="9220" max="9220" width="14.5" style="80" bestFit="1" customWidth="1"/>
    <col min="9221" max="9221" width="12.5" style="80" bestFit="1" customWidth="1"/>
    <col min="9222" max="9222" width="29.83203125" style="80" customWidth="1"/>
    <col min="9223" max="9223" width="8.5" style="80" customWidth="1"/>
    <col min="9224" max="9224" width="6.1640625" style="80" customWidth="1"/>
    <col min="9225" max="9225" width="7" style="80" customWidth="1"/>
    <col min="9226" max="9473" width="8.83203125" style="80"/>
    <col min="9474" max="9474" width="31.1640625" style="80" customWidth="1"/>
    <col min="9475" max="9475" width="11.5" style="80" bestFit="1" customWidth="1"/>
    <col min="9476" max="9476" width="14.5" style="80" bestFit="1" customWidth="1"/>
    <col min="9477" max="9477" width="12.5" style="80" bestFit="1" customWidth="1"/>
    <col min="9478" max="9478" width="29.83203125" style="80" customWidth="1"/>
    <col min="9479" max="9479" width="8.5" style="80" customWidth="1"/>
    <col min="9480" max="9480" width="6.1640625" style="80" customWidth="1"/>
    <col min="9481" max="9481" width="7" style="80" customWidth="1"/>
    <col min="9482" max="9729" width="8.83203125" style="80"/>
    <col min="9730" max="9730" width="31.1640625" style="80" customWidth="1"/>
    <col min="9731" max="9731" width="11.5" style="80" bestFit="1" customWidth="1"/>
    <col min="9732" max="9732" width="14.5" style="80" bestFit="1" customWidth="1"/>
    <col min="9733" max="9733" width="12.5" style="80" bestFit="1" customWidth="1"/>
    <col min="9734" max="9734" width="29.83203125" style="80" customWidth="1"/>
    <col min="9735" max="9735" width="8.5" style="80" customWidth="1"/>
    <col min="9736" max="9736" width="6.1640625" style="80" customWidth="1"/>
    <col min="9737" max="9737" width="7" style="80" customWidth="1"/>
    <col min="9738" max="9985" width="8.83203125" style="80"/>
    <col min="9986" max="9986" width="31.1640625" style="80" customWidth="1"/>
    <col min="9987" max="9987" width="11.5" style="80" bestFit="1" customWidth="1"/>
    <col min="9988" max="9988" width="14.5" style="80" bestFit="1" customWidth="1"/>
    <col min="9989" max="9989" width="12.5" style="80" bestFit="1" customWidth="1"/>
    <col min="9990" max="9990" width="29.83203125" style="80" customWidth="1"/>
    <col min="9991" max="9991" width="8.5" style="80" customWidth="1"/>
    <col min="9992" max="9992" width="6.1640625" style="80" customWidth="1"/>
    <col min="9993" max="9993" width="7" style="80" customWidth="1"/>
    <col min="9994" max="10241" width="8.83203125" style="80"/>
    <col min="10242" max="10242" width="31.1640625" style="80" customWidth="1"/>
    <col min="10243" max="10243" width="11.5" style="80" bestFit="1" customWidth="1"/>
    <col min="10244" max="10244" width="14.5" style="80" bestFit="1" customWidth="1"/>
    <col min="10245" max="10245" width="12.5" style="80" bestFit="1" customWidth="1"/>
    <col min="10246" max="10246" width="29.83203125" style="80" customWidth="1"/>
    <col min="10247" max="10247" width="8.5" style="80" customWidth="1"/>
    <col min="10248" max="10248" width="6.1640625" style="80" customWidth="1"/>
    <col min="10249" max="10249" width="7" style="80" customWidth="1"/>
    <col min="10250" max="10497" width="8.83203125" style="80"/>
    <col min="10498" max="10498" width="31.1640625" style="80" customWidth="1"/>
    <col min="10499" max="10499" width="11.5" style="80" bestFit="1" customWidth="1"/>
    <col min="10500" max="10500" width="14.5" style="80" bestFit="1" customWidth="1"/>
    <col min="10501" max="10501" width="12.5" style="80" bestFit="1" customWidth="1"/>
    <col min="10502" max="10502" width="29.83203125" style="80" customWidth="1"/>
    <col min="10503" max="10503" width="8.5" style="80" customWidth="1"/>
    <col min="10504" max="10504" width="6.1640625" style="80" customWidth="1"/>
    <col min="10505" max="10505" width="7" style="80" customWidth="1"/>
    <col min="10506" max="10753" width="8.83203125" style="80"/>
    <col min="10754" max="10754" width="31.1640625" style="80" customWidth="1"/>
    <col min="10755" max="10755" width="11.5" style="80" bestFit="1" customWidth="1"/>
    <col min="10756" max="10756" width="14.5" style="80" bestFit="1" customWidth="1"/>
    <col min="10757" max="10757" width="12.5" style="80" bestFit="1" customWidth="1"/>
    <col min="10758" max="10758" width="29.83203125" style="80" customWidth="1"/>
    <col min="10759" max="10759" width="8.5" style="80" customWidth="1"/>
    <col min="10760" max="10760" width="6.1640625" style="80" customWidth="1"/>
    <col min="10761" max="10761" width="7" style="80" customWidth="1"/>
    <col min="10762" max="11009" width="8.83203125" style="80"/>
    <col min="11010" max="11010" width="31.1640625" style="80" customWidth="1"/>
    <col min="11011" max="11011" width="11.5" style="80" bestFit="1" customWidth="1"/>
    <col min="11012" max="11012" width="14.5" style="80" bestFit="1" customWidth="1"/>
    <col min="11013" max="11013" width="12.5" style="80" bestFit="1" customWidth="1"/>
    <col min="11014" max="11014" width="29.83203125" style="80" customWidth="1"/>
    <col min="11015" max="11015" width="8.5" style="80" customWidth="1"/>
    <col min="11016" max="11016" width="6.1640625" style="80" customWidth="1"/>
    <col min="11017" max="11017" width="7" style="80" customWidth="1"/>
    <col min="11018" max="11265" width="8.83203125" style="80"/>
    <col min="11266" max="11266" width="31.1640625" style="80" customWidth="1"/>
    <col min="11267" max="11267" width="11.5" style="80" bestFit="1" customWidth="1"/>
    <col min="11268" max="11268" width="14.5" style="80" bestFit="1" customWidth="1"/>
    <col min="11269" max="11269" width="12.5" style="80" bestFit="1" customWidth="1"/>
    <col min="11270" max="11270" width="29.83203125" style="80" customWidth="1"/>
    <col min="11271" max="11271" width="8.5" style="80" customWidth="1"/>
    <col min="11272" max="11272" width="6.1640625" style="80" customWidth="1"/>
    <col min="11273" max="11273" width="7" style="80" customWidth="1"/>
    <col min="11274" max="11521" width="8.83203125" style="80"/>
    <col min="11522" max="11522" width="31.1640625" style="80" customWidth="1"/>
    <col min="11523" max="11523" width="11.5" style="80" bestFit="1" customWidth="1"/>
    <col min="11524" max="11524" width="14.5" style="80" bestFit="1" customWidth="1"/>
    <col min="11525" max="11525" width="12.5" style="80" bestFit="1" customWidth="1"/>
    <col min="11526" max="11526" width="29.83203125" style="80" customWidth="1"/>
    <col min="11527" max="11527" width="8.5" style="80" customWidth="1"/>
    <col min="11528" max="11528" width="6.1640625" style="80" customWidth="1"/>
    <col min="11529" max="11529" width="7" style="80" customWidth="1"/>
    <col min="11530" max="11777" width="8.83203125" style="80"/>
    <col min="11778" max="11778" width="31.1640625" style="80" customWidth="1"/>
    <col min="11779" max="11779" width="11.5" style="80" bestFit="1" customWidth="1"/>
    <col min="11780" max="11780" width="14.5" style="80" bestFit="1" customWidth="1"/>
    <col min="11781" max="11781" width="12.5" style="80" bestFit="1" customWidth="1"/>
    <col min="11782" max="11782" width="29.83203125" style="80" customWidth="1"/>
    <col min="11783" max="11783" width="8.5" style="80" customWidth="1"/>
    <col min="11784" max="11784" width="6.1640625" style="80" customWidth="1"/>
    <col min="11785" max="11785" width="7" style="80" customWidth="1"/>
    <col min="11786" max="12033" width="8.83203125" style="80"/>
    <col min="12034" max="12034" width="31.1640625" style="80" customWidth="1"/>
    <col min="12035" max="12035" width="11.5" style="80" bestFit="1" customWidth="1"/>
    <col min="12036" max="12036" width="14.5" style="80" bestFit="1" customWidth="1"/>
    <col min="12037" max="12037" width="12.5" style="80" bestFit="1" customWidth="1"/>
    <col min="12038" max="12038" width="29.83203125" style="80" customWidth="1"/>
    <col min="12039" max="12039" width="8.5" style="80" customWidth="1"/>
    <col min="12040" max="12040" width="6.1640625" style="80" customWidth="1"/>
    <col min="12041" max="12041" width="7" style="80" customWidth="1"/>
    <col min="12042" max="12289" width="8.83203125" style="80"/>
    <col min="12290" max="12290" width="31.1640625" style="80" customWidth="1"/>
    <col min="12291" max="12291" width="11.5" style="80" bestFit="1" customWidth="1"/>
    <col min="12292" max="12292" width="14.5" style="80" bestFit="1" customWidth="1"/>
    <col min="12293" max="12293" width="12.5" style="80" bestFit="1" customWidth="1"/>
    <col min="12294" max="12294" width="29.83203125" style="80" customWidth="1"/>
    <col min="12295" max="12295" width="8.5" style="80" customWidth="1"/>
    <col min="12296" max="12296" width="6.1640625" style="80" customWidth="1"/>
    <col min="12297" max="12297" width="7" style="80" customWidth="1"/>
    <col min="12298" max="12545" width="8.83203125" style="80"/>
    <col min="12546" max="12546" width="31.1640625" style="80" customWidth="1"/>
    <col min="12547" max="12547" width="11.5" style="80" bestFit="1" customWidth="1"/>
    <col min="12548" max="12548" width="14.5" style="80" bestFit="1" customWidth="1"/>
    <col min="12549" max="12549" width="12.5" style="80" bestFit="1" customWidth="1"/>
    <col min="12550" max="12550" width="29.83203125" style="80" customWidth="1"/>
    <col min="12551" max="12551" width="8.5" style="80" customWidth="1"/>
    <col min="12552" max="12552" width="6.1640625" style="80" customWidth="1"/>
    <col min="12553" max="12553" width="7" style="80" customWidth="1"/>
    <col min="12554" max="12801" width="8.83203125" style="80"/>
    <col min="12802" max="12802" width="31.1640625" style="80" customWidth="1"/>
    <col min="12803" max="12803" width="11.5" style="80" bestFit="1" customWidth="1"/>
    <col min="12804" max="12804" width="14.5" style="80" bestFit="1" customWidth="1"/>
    <col min="12805" max="12805" width="12.5" style="80" bestFit="1" customWidth="1"/>
    <col min="12806" max="12806" width="29.83203125" style="80" customWidth="1"/>
    <col min="12807" max="12807" width="8.5" style="80" customWidth="1"/>
    <col min="12808" max="12808" width="6.1640625" style="80" customWidth="1"/>
    <col min="12809" max="12809" width="7" style="80" customWidth="1"/>
    <col min="12810" max="13057" width="8.83203125" style="80"/>
    <col min="13058" max="13058" width="31.1640625" style="80" customWidth="1"/>
    <col min="13059" max="13059" width="11.5" style="80" bestFit="1" customWidth="1"/>
    <col min="13060" max="13060" width="14.5" style="80" bestFit="1" customWidth="1"/>
    <col min="13061" max="13061" width="12.5" style="80" bestFit="1" customWidth="1"/>
    <col min="13062" max="13062" width="29.83203125" style="80" customWidth="1"/>
    <col min="13063" max="13063" width="8.5" style="80" customWidth="1"/>
    <col min="13064" max="13064" width="6.1640625" style="80" customWidth="1"/>
    <col min="13065" max="13065" width="7" style="80" customWidth="1"/>
    <col min="13066" max="13313" width="8.83203125" style="80"/>
    <col min="13314" max="13314" width="31.1640625" style="80" customWidth="1"/>
    <col min="13315" max="13315" width="11.5" style="80" bestFit="1" customWidth="1"/>
    <col min="13316" max="13316" width="14.5" style="80" bestFit="1" customWidth="1"/>
    <col min="13317" max="13317" width="12.5" style="80" bestFit="1" customWidth="1"/>
    <col min="13318" max="13318" width="29.83203125" style="80" customWidth="1"/>
    <col min="13319" max="13319" width="8.5" style="80" customWidth="1"/>
    <col min="13320" max="13320" width="6.1640625" style="80" customWidth="1"/>
    <col min="13321" max="13321" width="7" style="80" customWidth="1"/>
    <col min="13322" max="13569" width="8.83203125" style="80"/>
    <col min="13570" max="13570" width="31.1640625" style="80" customWidth="1"/>
    <col min="13571" max="13571" width="11.5" style="80" bestFit="1" customWidth="1"/>
    <col min="13572" max="13572" width="14.5" style="80" bestFit="1" customWidth="1"/>
    <col min="13573" max="13573" width="12.5" style="80" bestFit="1" customWidth="1"/>
    <col min="13574" max="13574" width="29.83203125" style="80" customWidth="1"/>
    <col min="13575" max="13575" width="8.5" style="80" customWidth="1"/>
    <col min="13576" max="13576" width="6.1640625" style="80" customWidth="1"/>
    <col min="13577" max="13577" width="7" style="80" customWidth="1"/>
    <col min="13578" max="13825" width="8.83203125" style="80"/>
    <col min="13826" max="13826" width="31.1640625" style="80" customWidth="1"/>
    <col min="13827" max="13827" width="11.5" style="80" bestFit="1" customWidth="1"/>
    <col min="13828" max="13828" width="14.5" style="80" bestFit="1" customWidth="1"/>
    <col min="13829" max="13829" width="12.5" style="80" bestFit="1" customWidth="1"/>
    <col min="13830" max="13830" width="29.83203125" style="80" customWidth="1"/>
    <col min="13831" max="13831" width="8.5" style="80" customWidth="1"/>
    <col min="13832" max="13832" width="6.1640625" style="80" customWidth="1"/>
    <col min="13833" max="13833" width="7" style="80" customWidth="1"/>
    <col min="13834" max="14081" width="8.83203125" style="80"/>
    <col min="14082" max="14082" width="31.1640625" style="80" customWidth="1"/>
    <col min="14083" max="14083" width="11.5" style="80" bestFit="1" customWidth="1"/>
    <col min="14084" max="14084" width="14.5" style="80" bestFit="1" customWidth="1"/>
    <col min="14085" max="14085" width="12.5" style="80" bestFit="1" customWidth="1"/>
    <col min="14086" max="14086" width="29.83203125" style="80" customWidth="1"/>
    <col min="14087" max="14087" width="8.5" style="80" customWidth="1"/>
    <col min="14088" max="14088" width="6.1640625" style="80" customWidth="1"/>
    <col min="14089" max="14089" width="7" style="80" customWidth="1"/>
    <col min="14090" max="14337" width="8.83203125" style="80"/>
    <col min="14338" max="14338" width="31.1640625" style="80" customWidth="1"/>
    <col min="14339" max="14339" width="11.5" style="80" bestFit="1" customWidth="1"/>
    <col min="14340" max="14340" width="14.5" style="80" bestFit="1" customWidth="1"/>
    <col min="14341" max="14341" width="12.5" style="80" bestFit="1" customWidth="1"/>
    <col min="14342" max="14342" width="29.83203125" style="80" customWidth="1"/>
    <col min="14343" max="14343" width="8.5" style="80" customWidth="1"/>
    <col min="14344" max="14344" width="6.1640625" style="80" customWidth="1"/>
    <col min="14345" max="14345" width="7" style="80" customWidth="1"/>
    <col min="14346" max="14593" width="8.83203125" style="80"/>
    <col min="14594" max="14594" width="31.1640625" style="80" customWidth="1"/>
    <col min="14595" max="14595" width="11.5" style="80" bestFit="1" customWidth="1"/>
    <col min="14596" max="14596" width="14.5" style="80" bestFit="1" customWidth="1"/>
    <col min="14597" max="14597" width="12.5" style="80" bestFit="1" customWidth="1"/>
    <col min="14598" max="14598" width="29.83203125" style="80" customWidth="1"/>
    <col min="14599" max="14599" width="8.5" style="80" customWidth="1"/>
    <col min="14600" max="14600" width="6.1640625" style="80" customWidth="1"/>
    <col min="14601" max="14601" width="7" style="80" customWidth="1"/>
    <col min="14602" max="14849" width="8.83203125" style="80"/>
    <col min="14850" max="14850" width="31.1640625" style="80" customWidth="1"/>
    <col min="14851" max="14851" width="11.5" style="80" bestFit="1" customWidth="1"/>
    <col min="14852" max="14852" width="14.5" style="80" bestFit="1" customWidth="1"/>
    <col min="14853" max="14853" width="12.5" style="80" bestFit="1" customWidth="1"/>
    <col min="14854" max="14854" width="29.83203125" style="80" customWidth="1"/>
    <col min="14855" max="14855" width="8.5" style="80" customWidth="1"/>
    <col min="14856" max="14856" width="6.1640625" style="80" customWidth="1"/>
    <col min="14857" max="14857" width="7" style="80" customWidth="1"/>
    <col min="14858" max="15105" width="8.83203125" style="80"/>
    <col min="15106" max="15106" width="31.1640625" style="80" customWidth="1"/>
    <col min="15107" max="15107" width="11.5" style="80" bestFit="1" customWidth="1"/>
    <col min="15108" max="15108" width="14.5" style="80" bestFit="1" customWidth="1"/>
    <col min="15109" max="15109" width="12.5" style="80" bestFit="1" customWidth="1"/>
    <col min="15110" max="15110" width="29.83203125" style="80" customWidth="1"/>
    <col min="15111" max="15111" width="8.5" style="80" customWidth="1"/>
    <col min="15112" max="15112" width="6.1640625" style="80" customWidth="1"/>
    <col min="15113" max="15113" width="7" style="80" customWidth="1"/>
    <col min="15114" max="15361" width="8.83203125" style="80"/>
    <col min="15362" max="15362" width="31.1640625" style="80" customWidth="1"/>
    <col min="15363" max="15363" width="11.5" style="80" bestFit="1" customWidth="1"/>
    <col min="15364" max="15364" width="14.5" style="80" bestFit="1" customWidth="1"/>
    <col min="15365" max="15365" width="12.5" style="80" bestFit="1" customWidth="1"/>
    <col min="15366" max="15366" width="29.83203125" style="80" customWidth="1"/>
    <col min="15367" max="15367" width="8.5" style="80" customWidth="1"/>
    <col min="15368" max="15368" width="6.1640625" style="80" customWidth="1"/>
    <col min="15369" max="15369" width="7" style="80" customWidth="1"/>
    <col min="15370" max="15617" width="8.83203125" style="80"/>
    <col min="15618" max="15618" width="31.1640625" style="80" customWidth="1"/>
    <col min="15619" max="15619" width="11.5" style="80" bestFit="1" customWidth="1"/>
    <col min="15620" max="15620" width="14.5" style="80" bestFit="1" customWidth="1"/>
    <col min="15621" max="15621" width="12.5" style="80" bestFit="1" customWidth="1"/>
    <col min="15622" max="15622" width="29.83203125" style="80" customWidth="1"/>
    <col min="15623" max="15623" width="8.5" style="80" customWidth="1"/>
    <col min="15624" max="15624" width="6.1640625" style="80" customWidth="1"/>
    <col min="15625" max="15625" width="7" style="80" customWidth="1"/>
    <col min="15626" max="15873" width="8.83203125" style="80"/>
    <col min="15874" max="15874" width="31.1640625" style="80" customWidth="1"/>
    <col min="15875" max="15875" width="11.5" style="80" bestFit="1" customWidth="1"/>
    <col min="15876" max="15876" width="14.5" style="80" bestFit="1" customWidth="1"/>
    <col min="15877" max="15877" width="12.5" style="80" bestFit="1" customWidth="1"/>
    <col min="15878" max="15878" width="29.83203125" style="80" customWidth="1"/>
    <col min="15879" max="15879" width="8.5" style="80" customWidth="1"/>
    <col min="15880" max="15880" width="6.1640625" style="80" customWidth="1"/>
    <col min="15881" max="15881" width="7" style="80" customWidth="1"/>
    <col min="15882" max="16129" width="8.83203125" style="80"/>
    <col min="16130" max="16130" width="31.1640625" style="80" customWidth="1"/>
    <col min="16131" max="16131" width="11.5" style="80" bestFit="1" customWidth="1"/>
    <col min="16132" max="16132" width="14.5" style="80" bestFit="1" customWidth="1"/>
    <col min="16133" max="16133" width="12.5" style="80" bestFit="1" customWidth="1"/>
    <col min="16134" max="16134" width="29.83203125" style="80" customWidth="1"/>
    <col min="16135" max="16135" width="8.5" style="80" customWidth="1"/>
    <col min="16136" max="16136" width="6.1640625" style="80" customWidth="1"/>
    <col min="16137" max="16137" width="7" style="80" customWidth="1"/>
    <col min="16138" max="16384" width="8.83203125" style="80"/>
  </cols>
  <sheetData>
    <row r="2" spans="2:10">
      <c r="B2" s="152" t="s">
        <v>179</v>
      </c>
    </row>
    <row r="5" spans="2:10">
      <c r="B5" s="19"/>
      <c r="C5" s="20" t="s">
        <v>8</v>
      </c>
    </row>
    <row r="6" spans="2:10">
      <c r="B6" s="21" t="s">
        <v>0</v>
      </c>
      <c r="C6" s="22">
        <v>45439</v>
      </c>
      <c r="F6" s="149" t="s">
        <v>49</v>
      </c>
      <c r="G6" s="150"/>
      <c r="H6" s="150"/>
      <c r="I6" s="150"/>
      <c r="J6" s="151"/>
    </row>
    <row r="7" spans="2:10">
      <c r="B7" s="23" t="s">
        <v>11</v>
      </c>
      <c r="C7" s="24">
        <v>0.95833333333333337</v>
      </c>
      <c r="F7" s="96" t="s">
        <v>51</v>
      </c>
      <c r="G7" s="115" t="s">
        <v>52</v>
      </c>
      <c r="H7" s="115" t="s">
        <v>53</v>
      </c>
      <c r="I7" s="115" t="s">
        <v>32</v>
      </c>
      <c r="J7" s="115" t="s">
        <v>54</v>
      </c>
    </row>
    <row r="8" spans="2:10">
      <c r="B8" s="113" t="s">
        <v>175</v>
      </c>
      <c r="C8" s="114"/>
      <c r="F8" s="133" t="s">
        <v>57</v>
      </c>
      <c r="G8" s="134">
        <v>51.6</v>
      </c>
      <c r="H8" s="134">
        <v>-9.4</v>
      </c>
      <c r="I8" s="88">
        <f t="shared" ref="I8:I30" si="0">SIN($D$126)*SIN(RADIANS(G8)) + COS($D$126)*COS(RADIANS(G8))*SIN(RADIANS($C$52+H8))</f>
        <v>0.42527511006044444</v>
      </c>
      <c r="J8" s="116">
        <f t="shared" ref="J8:J30" si="1">DEGREES(ATAN(I8/SQRT(1-I8*I8)))</f>
        <v>25.168078222774422</v>
      </c>
    </row>
    <row r="9" spans="2:10">
      <c r="B9" s="21" t="s">
        <v>5</v>
      </c>
      <c r="C9" s="25" t="s">
        <v>142</v>
      </c>
      <c r="F9" s="133" t="s">
        <v>59</v>
      </c>
      <c r="G9" s="134">
        <v>-11.2</v>
      </c>
      <c r="H9" s="134">
        <v>4.0999999999999996</v>
      </c>
      <c r="I9" s="88">
        <f t="shared" si="0"/>
        <v>0.4496407578154813</v>
      </c>
      <c r="J9" s="116">
        <f t="shared" si="1"/>
        <v>26.720637681958642</v>
      </c>
    </row>
    <row r="10" spans="2:10">
      <c r="B10" s="21" t="s">
        <v>6</v>
      </c>
      <c r="C10" s="26">
        <v>148</v>
      </c>
      <c r="F10" s="133" t="s">
        <v>60</v>
      </c>
      <c r="G10" s="134">
        <v>-13.7</v>
      </c>
      <c r="H10" s="134">
        <v>-3.2</v>
      </c>
      <c r="I10" s="88">
        <f t="shared" si="0"/>
        <v>0.55010823209590731</v>
      </c>
      <c r="J10" s="116">
        <f t="shared" si="1"/>
        <v>33.374438459439936</v>
      </c>
    </row>
    <row r="11" spans="2:10">
      <c r="B11" s="21" t="s">
        <v>9</v>
      </c>
      <c r="C11" s="26" t="s">
        <v>168</v>
      </c>
      <c r="F11" s="133" t="s">
        <v>61</v>
      </c>
      <c r="G11" s="134">
        <v>29.7</v>
      </c>
      <c r="H11" s="134">
        <v>-4</v>
      </c>
      <c r="I11" s="88">
        <f t="shared" si="0"/>
        <v>0.51733020160355991</v>
      </c>
      <c r="J11" s="116">
        <f t="shared" si="1"/>
        <v>31.153336482498624</v>
      </c>
    </row>
    <row r="12" spans="2:10">
      <c r="B12" s="21" t="s">
        <v>21</v>
      </c>
      <c r="C12" s="27">
        <v>2460458.46</v>
      </c>
      <c r="F12" s="133" t="s">
        <v>63</v>
      </c>
      <c r="G12" s="134">
        <v>-18.2</v>
      </c>
      <c r="H12" s="134">
        <v>-1.9</v>
      </c>
      <c r="I12" s="88">
        <f t="shared" si="0"/>
        <v>0.51829210818201232</v>
      </c>
      <c r="J12" s="116">
        <f t="shared" si="1"/>
        <v>31.217759064286771</v>
      </c>
    </row>
    <row r="13" spans="2:10">
      <c r="B13" s="21" t="s">
        <v>10</v>
      </c>
      <c r="C13" s="27">
        <v>8913.4599999999991</v>
      </c>
      <c r="F13" s="133" t="s">
        <v>65</v>
      </c>
      <c r="G13" s="134">
        <v>27.7</v>
      </c>
      <c r="H13" s="134">
        <v>55.5</v>
      </c>
      <c r="I13" s="88">
        <f t="shared" si="0"/>
        <v>-0.34736615905103746</v>
      </c>
      <c r="J13" s="116">
        <f t="shared" si="1"/>
        <v>-20.326302002242109</v>
      </c>
    </row>
    <row r="14" spans="2:10">
      <c r="B14" s="97" t="s">
        <v>176</v>
      </c>
      <c r="C14" s="98" t="s">
        <v>178</v>
      </c>
      <c r="D14" s="99"/>
      <c r="F14" s="133" t="s">
        <v>67</v>
      </c>
      <c r="G14" s="134">
        <v>9.6999999999999993</v>
      </c>
      <c r="H14" s="134">
        <v>-21.1</v>
      </c>
      <c r="I14" s="88">
        <f t="shared" si="0"/>
        <v>0.78836688042362291</v>
      </c>
      <c r="J14" s="116">
        <f t="shared" si="1"/>
        <v>52.033154785006374</v>
      </c>
    </row>
    <row r="15" spans="2:10">
      <c r="B15" s="100" t="s">
        <v>169</v>
      </c>
      <c r="C15" s="129">
        <f>VLOOKUP(C14,$B$21:$D$25,2,FALSE)</f>
        <v>10</v>
      </c>
      <c r="D15" s="101"/>
      <c r="F15" s="133" t="s">
        <v>69</v>
      </c>
      <c r="G15" s="134">
        <v>-13.2</v>
      </c>
      <c r="H15" s="134">
        <v>24</v>
      </c>
      <c r="I15" s="88">
        <f t="shared" si="0"/>
        <v>0.12489263127827543</v>
      </c>
      <c r="J15" s="116">
        <f t="shared" si="1"/>
        <v>7.1745554177215407</v>
      </c>
    </row>
    <row r="16" spans="2:10">
      <c r="B16" s="102" t="s">
        <v>170</v>
      </c>
      <c r="C16" s="129">
        <f>VLOOKUP(C14,$B$21:$D$25,3,FALSE)</f>
        <v>60</v>
      </c>
      <c r="D16" s="101"/>
      <c r="F16" s="133" t="s">
        <v>71</v>
      </c>
      <c r="G16" s="134">
        <v>-32.5</v>
      </c>
      <c r="H16" s="134">
        <v>-5.2</v>
      </c>
      <c r="I16" s="88">
        <f t="shared" si="0"/>
        <v>0.49407719765703978</v>
      </c>
      <c r="J16" s="116">
        <f t="shared" si="1"/>
        <v>29.608918099345285</v>
      </c>
    </row>
    <row r="17" spans="2:10">
      <c r="B17" s="103"/>
      <c r="C17" s="104"/>
      <c r="D17" s="105"/>
      <c r="F17" s="133" t="s">
        <v>73</v>
      </c>
      <c r="G17" s="134">
        <v>53.6</v>
      </c>
      <c r="H17" s="134">
        <v>56.5</v>
      </c>
      <c r="I17" s="88">
        <f t="shared" si="0"/>
        <v>-0.23137095230248619</v>
      </c>
      <c r="J17" s="116">
        <f t="shared" si="1"/>
        <v>-13.377798877852642</v>
      </c>
    </row>
    <row r="18" spans="2:10">
      <c r="B18" s="106"/>
      <c r="C18" s="107"/>
      <c r="D18" s="108"/>
      <c r="F18" s="133" t="s">
        <v>74</v>
      </c>
      <c r="G18" s="134">
        <v>14.5</v>
      </c>
      <c r="H18" s="134">
        <v>-11.3</v>
      </c>
      <c r="I18" s="88">
        <f t="shared" si="0"/>
        <v>0.66527956684061251</v>
      </c>
      <c r="J18" s="116">
        <f t="shared" si="1"/>
        <v>41.703776572694615</v>
      </c>
    </row>
    <row r="19" spans="2:10">
      <c r="B19" s="148" t="s">
        <v>171</v>
      </c>
      <c r="C19" s="148"/>
      <c r="D19" s="148"/>
      <c r="F19" s="133" t="s">
        <v>76</v>
      </c>
      <c r="G19" s="134">
        <v>44.3</v>
      </c>
      <c r="H19" s="134">
        <v>16.3</v>
      </c>
      <c r="I19" s="88">
        <f t="shared" si="0"/>
        <v>0.2050652094696957</v>
      </c>
      <c r="J19" s="116">
        <f t="shared" si="1"/>
        <v>11.833316374619709</v>
      </c>
    </row>
    <row r="20" spans="2:10">
      <c r="B20" s="109" t="s">
        <v>172</v>
      </c>
      <c r="C20" s="110" t="s">
        <v>173</v>
      </c>
      <c r="D20" s="111" t="s">
        <v>174</v>
      </c>
      <c r="F20" s="133" t="s">
        <v>79</v>
      </c>
      <c r="G20" s="134">
        <v>-42.9</v>
      </c>
      <c r="H20" s="134">
        <v>42</v>
      </c>
      <c r="I20" s="88">
        <f t="shared" si="0"/>
        <v>-0.14632350702840757</v>
      </c>
      <c r="J20" s="116">
        <f t="shared" si="1"/>
        <v>-8.4139280642392666</v>
      </c>
    </row>
    <row r="21" spans="2:10">
      <c r="B21" s="112" t="s">
        <v>177</v>
      </c>
      <c r="C21" s="128">
        <v>-0.4</v>
      </c>
      <c r="D21" s="128">
        <v>35.799999999999997</v>
      </c>
      <c r="F21" s="133" t="s">
        <v>81</v>
      </c>
      <c r="G21" s="134">
        <v>-41.8</v>
      </c>
      <c r="H21" s="134">
        <v>14</v>
      </c>
      <c r="I21" s="88">
        <f t="shared" si="0"/>
        <v>0.21153732844526951</v>
      </c>
      <c r="J21" s="116">
        <f t="shared" si="1"/>
        <v>12.212458844238176</v>
      </c>
    </row>
    <row r="22" spans="2:10">
      <c r="B22" s="112" t="s">
        <v>178</v>
      </c>
      <c r="C22" s="128">
        <v>10</v>
      </c>
      <c r="D22" s="128">
        <v>60</v>
      </c>
      <c r="F22" s="133" t="s">
        <v>83</v>
      </c>
      <c r="G22" s="134">
        <v>-1.9</v>
      </c>
      <c r="H22" s="134">
        <v>47.6</v>
      </c>
      <c r="I22" s="88">
        <f t="shared" si="0"/>
        <v>-0.27495721299737463</v>
      </c>
      <c r="J22" s="116">
        <f t="shared" si="1"/>
        <v>-15.959464353924329</v>
      </c>
    </row>
    <row r="23" spans="2:10">
      <c r="B23" s="112"/>
      <c r="C23" s="128"/>
      <c r="D23" s="128"/>
      <c r="F23" s="133" t="s">
        <v>85</v>
      </c>
      <c r="G23" s="134">
        <v>20</v>
      </c>
      <c r="H23" s="134">
        <v>-3</v>
      </c>
      <c r="I23" s="88">
        <f t="shared" si="0"/>
        <v>0.54197120892180317</v>
      </c>
      <c r="J23" s="116">
        <f t="shared" si="1"/>
        <v>32.81792865877155</v>
      </c>
    </row>
    <row r="24" spans="2:10">
      <c r="B24" s="112"/>
      <c r="C24" s="128"/>
      <c r="D24" s="128"/>
      <c r="F24" s="133" t="s">
        <v>87</v>
      </c>
      <c r="G24" s="134">
        <v>39</v>
      </c>
      <c r="H24" s="134">
        <v>8</v>
      </c>
      <c r="I24" s="88">
        <f t="shared" si="0"/>
        <v>0.32581630372257508</v>
      </c>
      <c r="J24" s="116">
        <f t="shared" si="1"/>
        <v>19.015037830676206</v>
      </c>
    </row>
    <row r="25" spans="2:10">
      <c r="B25" s="112"/>
      <c r="C25" s="128"/>
      <c r="D25" s="128"/>
      <c r="F25" s="133" t="s">
        <v>89</v>
      </c>
      <c r="G25" s="134">
        <v>-29.8</v>
      </c>
      <c r="H25" s="134">
        <v>-13.5</v>
      </c>
      <c r="I25" s="88">
        <f t="shared" si="0"/>
        <v>0.60432331306822351</v>
      </c>
      <c r="J25" s="116">
        <f t="shared" si="1"/>
        <v>37.180163704207921</v>
      </c>
    </row>
    <row r="26" spans="2:10">
      <c r="F26" s="133" t="s">
        <v>91</v>
      </c>
      <c r="G26" s="134">
        <v>-9.1999999999999993</v>
      </c>
      <c r="H26" s="134">
        <v>-1.8</v>
      </c>
      <c r="I26" s="88">
        <f t="shared" si="0"/>
        <v>0.54076399884234017</v>
      </c>
      <c r="J26" s="116">
        <f t="shared" si="1"/>
        <v>32.735662713682551</v>
      </c>
    </row>
    <row r="27" spans="2:10">
      <c r="F27" s="133" t="s">
        <v>93</v>
      </c>
      <c r="G27" s="134">
        <v>-22</v>
      </c>
      <c r="H27" s="134">
        <v>-7</v>
      </c>
      <c r="I27" s="88">
        <f t="shared" si="0"/>
        <v>0.57094813007023992</v>
      </c>
      <c r="J27" s="116">
        <f t="shared" si="1"/>
        <v>34.816368242363687</v>
      </c>
    </row>
    <row r="28" spans="2:10">
      <c r="F28" s="133" t="s">
        <v>95</v>
      </c>
      <c r="G28" s="134">
        <v>-11.4</v>
      </c>
      <c r="H28" s="134">
        <v>26.4</v>
      </c>
      <c r="I28" s="88">
        <f t="shared" si="0"/>
        <v>8.5675653061138834E-2</v>
      </c>
      <c r="J28" s="116">
        <f t="shared" si="1"/>
        <v>4.9148786749962623</v>
      </c>
    </row>
    <row r="29" spans="2:10">
      <c r="F29" s="133" t="s">
        <v>97</v>
      </c>
      <c r="G29" s="134">
        <v>-43.4</v>
      </c>
      <c r="H29" s="134">
        <v>-11.1</v>
      </c>
      <c r="I29" s="88">
        <f t="shared" si="0"/>
        <v>0.4781237158226998</v>
      </c>
      <c r="J29" s="116">
        <f t="shared" si="1"/>
        <v>28.562930480014927</v>
      </c>
    </row>
    <row r="30" spans="2:10">
      <c r="F30" s="135" t="s">
        <v>99</v>
      </c>
      <c r="G30" s="136">
        <v>-28</v>
      </c>
      <c r="H30" s="136">
        <v>3.3</v>
      </c>
      <c r="I30" s="119">
        <f t="shared" si="0"/>
        <v>0.40910454476679364</v>
      </c>
      <c r="J30" s="117">
        <f t="shared" si="1"/>
        <v>24.148596108527425</v>
      </c>
    </row>
    <row r="33" spans="2:11" s="118" customFormat="1"/>
    <row r="35" spans="2:11">
      <c r="B35" s="81" t="s">
        <v>46</v>
      </c>
    </row>
    <row r="36" spans="2:11">
      <c r="B36" s="82" t="s">
        <v>47</v>
      </c>
    </row>
    <row r="37" spans="2:11">
      <c r="B37" s="82"/>
      <c r="H37" s="83"/>
      <c r="K37" s="83"/>
    </row>
    <row r="38" spans="2:11">
      <c r="B38" s="120" t="s">
        <v>48</v>
      </c>
      <c r="C38" s="121"/>
    </row>
    <row r="39" spans="2:11">
      <c r="B39" s="122" t="s">
        <v>50</v>
      </c>
      <c r="C39" s="123">
        <f>C16</f>
        <v>60</v>
      </c>
    </row>
    <row r="40" spans="2:11">
      <c r="B40" s="122" t="s">
        <v>56</v>
      </c>
      <c r="C40" s="123">
        <f>C15</f>
        <v>10</v>
      </c>
    </row>
    <row r="41" spans="2:11">
      <c r="B41" s="124" t="s">
        <v>58</v>
      </c>
      <c r="C41" s="125">
        <f>C8</f>
        <v>0</v>
      </c>
    </row>
    <row r="43" spans="2:11">
      <c r="B43" s="120" t="s">
        <v>62</v>
      </c>
      <c r="C43" s="121"/>
    </row>
    <row r="44" spans="2:11">
      <c r="B44" s="122" t="s">
        <v>64</v>
      </c>
      <c r="C44" s="126">
        <f>YEAR(C6)</f>
        <v>2024</v>
      </c>
    </row>
    <row r="45" spans="2:11">
      <c r="B45" s="122" t="s">
        <v>66</v>
      </c>
      <c r="C45" s="127">
        <f>MONTH(C6)</f>
        <v>5</v>
      </c>
    </row>
    <row r="46" spans="2:11">
      <c r="B46" s="122" t="s">
        <v>68</v>
      </c>
      <c r="C46" s="127">
        <f>DAY(C6)</f>
        <v>27</v>
      </c>
    </row>
    <row r="47" spans="2:11">
      <c r="B47" s="122" t="s">
        <v>70</v>
      </c>
      <c r="C47" s="127">
        <f>HOUR(C7)</f>
        <v>23</v>
      </c>
      <c r="E47" s="85"/>
    </row>
    <row r="48" spans="2:11">
      <c r="B48" s="124" t="s">
        <v>72</v>
      </c>
      <c r="C48" s="125">
        <f>MINUTE(C7)</f>
        <v>0</v>
      </c>
    </row>
    <row r="50" spans="2:8">
      <c r="B50" s="86" t="s">
        <v>75</v>
      </c>
    </row>
    <row r="51" spans="2:8">
      <c r="C51" s="87" t="s">
        <v>77</v>
      </c>
      <c r="D51" s="87" t="s">
        <v>78</v>
      </c>
    </row>
    <row r="52" spans="2:8">
      <c r="B52" s="83" t="s">
        <v>80</v>
      </c>
      <c r="C52" s="88">
        <f>IF(C124&lt;90, 90-C124, 450 - C124)</f>
        <v>148.32886066628748</v>
      </c>
      <c r="D52" s="89"/>
    </row>
    <row r="53" spans="2:8">
      <c r="B53" s="83" t="s">
        <v>82</v>
      </c>
      <c r="C53" s="90">
        <f>C116</f>
        <v>6.388110646507319</v>
      </c>
      <c r="D53" s="90">
        <f>C53+C158</f>
        <v>6.9726331061029647</v>
      </c>
    </row>
    <row r="54" spans="2:8">
      <c r="B54" s="83" t="s">
        <v>84</v>
      </c>
      <c r="C54" s="90">
        <f>C114</f>
        <v>-4.1915278624642269</v>
      </c>
      <c r="D54" s="90">
        <f>C54+C157</f>
        <v>-4.0861400993451964</v>
      </c>
    </row>
    <row r="55" spans="2:8">
      <c r="B55" s="83" t="s">
        <v>86</v>
      </c>
      <c r="C55" s="90">
        <f>C124</f>
        <v>301.67113933371252</v>
      </c>
      <c r="D55" s="90"/>
    </row>
    <row r="56" spans="2:8">
      <c r="B56" s="83" t="s">
        <v>88</v>
      </c>
      <c r="C56" s="90">
        <f>C126</f>
        <v>1.2636623381928667</v>
      </c>
      <c r="D56" s="90"/>
    </row>
    <row r="57" spans="2:8">
      <c r="B57" s="83" t="s">
        <v>90</v>
      </c>
      <c r="C57" s="90">
        <f>IF(AND(C52&gt;90, C52&lt;270), 180 - C52, (IF(C52&lt;90, 0-C52, 360 - C52)))</f>
        <v>31.671139333712517</v>
      </c>
      <c r="D57" s="90"/>
    </row>
    <row r="58" spans="2:8">
      <c r="B58" s="83" t="s">
        <v>92</v>
      </c>
      <c r="C58" s="91" t="str">
        <f>IF(OR(C52&lt;90,C52&gt;270),"sunrise","sunset")</f>
        <v>sunset</v>
      </c>
      <c r="D58" s="89"/>
    </row>
    <row r="59" spans="2:8">
      <c r="B59" s="83" t="s">
        <v>94</v>
      </c>
      <c r="C59" s="89">
        <f>C135</f>
        <v>0.79225826596514981</v>
      </c>
      <c r="D59" s="89"/>
    </row>
    <row r="60" spans="2:8">
      <c r="B60" s="83" t="s">
        <v>96</v>
      </c>
      <c r="C60" s="92">
        <f>C139</f>
        <v>80.389041476571464</v>
      </c>
      <c r="D60" s="89"/>
    </row>
    <row r="61" spans="2:8">
      <c r="B61" s="83" t="s">
        <v>98</v>
      </c>
      <c r="C61" s="92">
        <f>C141</f>
        <v>-22.82577856473705</v>
      </c>
      <c r="D61" s="89"/>
    </row>
    <row r="62" spans="2:8">
      <c r="B62" s="83" t="s">
        <v>100</v>
      </c>
      <c r="C62" s="92">
        <f>C149</f>
        <v>-12.667444858466686</v>
      </c>
      <c r="D62" s="89"/>
      <c r="G62" s="90"/>
      <c r="H62" s="90"/>
    </row>
    <row r="63" spans="2:8">
      <c r="B63" s="83" t="s">
        <v>101</v>
      </c>
      <c r="C63" s="89">
        <f>C104/15</f>
        <v>20.317072002032106</v>
      </c>
      <c r="D63" s="89"/>
      <c r="F63" s="83"/>
      <c r="G63" s="90"/>
      <c r="H63" s="90"/>
    </row>
    <row r="64" spans="2:8">
      <c r="B64" s="83" t="s">
        <v>102</v>
      </c>
      <c r="C64" s="89">
        <f>C105</f>
        <v>-24.659030236978086</v>
      </c>
      <c r="D64" s="89"/>
      <c r="F64" s="83"/>
      <c r="G64" s="90"/>
      <c r="H64" s="90"/>
    </row>
    <row r="65" spans="2:8">
      <c r="B65" s="83" t="s">
        <v>54</v>
      </c>
      <c r="F65" s="83"/>
      <c r="G65" s="90"/>
      <c r="H65" s="90"/>
    </row>
    <row r="66" spans="2:8">
      <c r="B66" s="83" t="s">
        <v>103</v>
      </c>
      <c r="F66" s="83"/>
      <c r="G66" s="90"/>
      <c r="H66" s="90"/>
    </row>
    <row r="67" spans="2:8">
      <c r="B67" s="83"/>
      <c r="C67" s="89"/>
      <c r="D67" s="89"/>
      <c r="F67" s="83"/>
      <c r="G67" s="90"/>
      <c r="H67" s="90"/>
    </row>
    <row r="68" spans="2:8">
      <c r="F68" s="83"/>
      <c r="G68" s="88"/>
      <c r="H68" s="90"/>
    </row>
    <row r="69" spans="2:8">
      <c r="B69" s="83" t="s">
        <v>53</v>
      </c>
      <c r="D69" s="89">
        <f>RADIANS(C39)</f>
        <v>1.0471975511965976</v>
      </c>
      <c r="F69" s="83"/>
      <c r="G69" s="88"/>
      <c r="H69" s="90"/>
    </row>
    <row r="70" spans="2:8">
      <c r="B70" s="83" t="s">
        <v>52</v>
      </c>
      <c r="D70" s="89">
        <f>RADIANS(C40)</f>
        <v>0.17453292519943295</v>
      </c>
      <c r="F70" s="83"/>
      <c r="G70" s="88"/>
      <c r="H70" s="90"/>
    </row>
    <row r="71" spans="2:8">
      <c r="B71" s="81" t="s">
        <v>11</v>
      </c>
      <c r="H71" s="88"/>
    </row>
    <row r="72" spans="2:8">
      <c r="B72" s="83" t="s">
        <v>104</v>
      </c>
      <c r="C72" s="131">
        <f>367*C44-INT(7*(C44+INT((C45+9)/12))/4)+INT(275*C45/9)+C46+(C47+C48/60)/24-730531.5 +(-C41)/24</f>
        <v>8913.4583333333721</v>
      </c>
      <c r="D72" s="131">
        <f>C72+2451545</f>
        <v>2460458.4583333335</v>
      </c>
      <c r="E72" s="130"/>
    </row>
    <row r="73" spans="2:8">
      <c r="B73" s="83" t="s">
        <v>105</v>
      </c>
      <c r="C73" s="131">
        <f xml:space="preserve"> MOD(280.46061837 + 360.98564736629*C72+ C39, 360)</f>
        <v>290.98734916979447</v>
      </c>
      <c r="D73" s="131">
        <f>RADIANS(C73)</f>
        <v>5.078687324663302</v>
      </c>
      <c r="E73" s="130"/>
    </row>
    <row r="74" spans="2:8">
      <c r="B74" s="83" t="s">
        <v>106</v>
      </c>
      <c r="C74" s="131">
        <f>C72/36525</f>
        <v>0.24403718913985961</v>
      </c>
      <c r="D74" s="131">
        <f>C74*C74</f>
        <v>5.9554149683283611E-2</v>
      </c>
      <c r="E74" s="130">
        <f>C74*D74</f>
        <v>1.4533427290322993E-2</v>
      </c>
    </row>
    <row r="75" spans="2:8">
      <c r="C75" s="131"/>
      <c r="D75" s="131"/>
    </row>
    <row r="76" spans="2:8">
      <c r="B76" s="81" t="s">
        <v>107</v>
      </c>
      <c r="C76" s="132" t="s">
        <v>108</v>
      </c>
      <c r="D76" s="132" t="s">
        <v>109</v>
      </c>
    </row>
    <row r="77" spans="2:8">
      <c r="B77" s="83" t="s">
        <v>110</v>
      </c>
      <c r="C77" s="131">
        <f>MOD(280.466+36000.8*$C$74, 360)</f>
        <v>66.000038786258301</v>
      </c>
      <c r="D77" s="131">
        <f>RADIANS(C77)</f>
        <v>1.1519179832641693</v>
      </c>
    </row>
    <row r="78" spans="2:8">
      <c r="B78" s="83" t="s">
        <v>111</v>
      </c>
      <c r="C78" s="131">
        <f>MOD(357.529+35999*$C$74 - 0.0001536*$D$74 + $E$74/24490000, 360)</f>
        <v>142.62376269888227</v>
      </c>
      <c r="D78" s="131">
        <f>RADIANS(C78)</f>
        <v>2.4892542506785698</v>
      </c>
    </row>
    <row r="79" spans="2:8">
      <c r="B79" s="83" t="s">
        <v>112</v>
      </c>
      <c r="C79" s="131">
        <f>(1.915 - 0.004817*$C$74 - 0.000014*$D$74)*SIN(D78) + (0.01999 - 0.000101 * $C$74)*SIN(2*D78) + 0.00029 * SIN(3*D78)</f>
        <v>1.1427856789821536</v>
      </c>
      <c r="D79" s="131">
        <f>RADIANS(C79)</f>
        <v>1.994537274287754E-2</v>
      </c>
    </row>
    <row r="80" spans="2:8">
      <c r="B80" s="83" t="s">
        <v>113</v>
      </c>
      <c r="C80" s="131">
        <f>C78+C79</f>
        <v>143.76654837786444</v>
      </c>
      <c r="D80" s="131">
        <f>RADIANS(C80)</f>
        <v>2.5091996234214475</v>
      </c>
    </row>
    <row r="81" spans="2:5">
      <c r="B81" s="83" t="s">
        <v>114</v>
      </c>
      <c r="C81" s="131">
        <f>0.01671 - 0.00004204 * $C$74 - 0.0000001236*$D$74</f>
        <v>1.6699733315675657E-2</v>
      </c>
      <c r="D81" s="131"/>
      <c r="E81" s="93"/>
    </row>
    <row r="82" spans="2:5">
      <c r="B82" s="83" t="s">
        <v>115</v>
      </c>
      <c r="C82" s="131">
        <f>0.99972 / (1 + C81*COS(D80))*145980000/385000</f>
        <v>384.23845630965297</v>
      </c>
      <c r="D82" s="131"/>
      <c r="E82" s="94"/>
    </row>
    <row r="83" spans="2:5">
      <c r="B83" s="83" t="s">
        <v>116</v>
      </c>
      <c r="C83" s="131">
        <f>C77+C79</f>
        <v>67.142824465240452</v>
      </c>
      <c r="D83" s="131">
        <f>RADIANS(C83)</f>
        <v>1.1718633560070468</v>
      </c>
    </row>
    <row r="84" spans="2:5">
      <c r="B84" s="83" t="s">
        <v>117</v>
      </c>
      <c r="C84" s="131">
        <f>MOD(125.04 - 1934.1 * $C$74, 360)</f>
        <v>13.04767248459757</v>
      </c>
      <c r="D84" s="131">
        <f>RADIANS(C84)</f>
        <v>0.22772484457809672</v>
      </c>
    </row>
    <row r="85" spans="2:5">
      <c r="B85" s="83" t="s">
        <v>118</v>
      </c>
      <c r="C85" s="131">
        <f>C83- 0.00569 - 0.00478 * SIN(D84)</f>
        <v>67.136055324347794</v>
      </c>
      <c r="D85" s="131">
        <f>RADIANS(C85)</f>
        <v>1.1717452122109386</v>
      </c>
    </row>
    <row r="86" spans="2:5">
      <c r="B86" s="83" t="s">
        <v>119</v>
      </c>
      <c r="C86" s="131">
        <f>(84381.448 - 46.815*C74)/3600</f>
        <v>23.436117610830674</v>
      </c>
      <c r="D86" s="131">
        <f>RADIANS(C86)</f>
        <v>0.40903741619362233</v>
      </c>
    </row>
    <row r="87" spans="2:5">
      <c r="B87" s="83" t="s">
        <v>120</v>
      </c>
      <c r="C87" s="131">
        <f>DEGREES(E87)</f>
        <v>65.324163660441485</v>
      </c>
      <c r="D87" s="131">
        <f>ATAN2(COS(D83),SIN(D83)*COS(D86)-TAN(0)*SIN(D86))</f>
        <v>1.140121736986335</v>
      </c>
      <c r="E87" s="84">
        <f>IF(D87 &lt;0, 2*PI()+D87, D87)</f>
        <v>1.140121736986335</v>
      </c>
    </row>
    <row r="88" spans="2:5">
      <c r="B88" s="83" t="s">
        <v>121</v>
      </c>
      <c r="C88" s="131">
        <f>DEGREES(D88)</f>
        <v>21.499633243008592</v>
      </c>
      <c r="D88" s="131">
        <f>ASIN(SIN(0)*COS(D86) + COS(0)*SIN(D86)*SIN(D83))</f>
        <v>0.37523938806172608</v>
      </c>
      <c r="E88" s="84"/>
    </row>
    <row r="89" spans="2:5">
      <c r="C89" s="131"/>
      <c r="D89" s="131"/>
      <c r="E89" s="84"/>
    </row>
    <row r="90" spans="2:5">
      <c r="B90" s="81" t="s">
        <v>122</v>
      </c>
      <c r="C90" s="131"/>
      <c r="D90" s="131"/>
      <c r="E90" s="84"/>
    </row>
    <row r="91" spans="2:5">
      <c r="B91" s="83" t="s">
        <v>123</v>
      </c>
      <c r="C91" s="131">
        <f>MOD(93.2721 + 483202 * $C$74 - 0.003403 * $D$74 - $E$74/3526000,360)</f>
        <v>292.52976409155235</v>
      </c>
      <c r="D91" s="131">
        <f t="shared" ref="D91:D96" si="2">RADIANS(C91)</f>
        <v>5.1056075434798673</v>
      </c>
      <c r="E91" s="84"/>
    </row>
    <row r="92" spans="2:5">
      <c r="B92" s="83" t="s">
        <v>124</v>
      </c>
      <c r="C92" s="131">
        <f>MOD(218.316 + 481268 * $C$74,360)</f>
        <v>305.60594296196359</v>
      </c>
      <c r="D92" s="131">
        <f t="shared" si="2"/>
        <v>5.3338299183482567</v>
      </c>
      <c r="E92" s="84"/>
    </row>
    <row r="93" spans="2:5">
      <c r="B93" s="83" t="s">
        <v>125</v>
      </c>
      <c r="C93" s="131">
        <f>MOD(125.045 - 1934.14 * $C$74 + 0.002071 * $D$74 + $E$74/450000, 360)</f>
        <v>13.043034365972403</v>
      </c>
      <c r="D93" s="131">
        <f t="shared" si="2"/>
        <v>0.22764389413698949</v>
      </c>
      <c r="E93" s="84"/>
    </row>
    <row r="94" spans="2:5">
      <c r="B94" s="83" t="s">
        <v>126</v>
      </c>
      <c r="C94" s="131">
        <f>MOD(134.963 + 477199 * $C$74 + 0.008997 * $D$74 + $E$74/69700,360)</f>
        <v>309.26615636906354</v>
      </c>
      <c r="D94" s="131">
        <f t="shared" si="2"/>
        <v>5.3977126936277902</v>
      </c>
      <c r="E94" s="84"/>
    </row>
    <row r="95" spans="2:5">
      <c r="B95" s="83" t="s">
        <v>127</v>
      </c>
      <c r="C95" s="131">
        <f>MOD(297.85 + 445267 * $C$74 - 0.00163 * $D$74 + $E$74/545900,360)</f>
        <v>239.55699969123816</v>
      </c>
      <c r="D95" s="131">
        <f t="shared" si="2"/>
        <v>4.1810583908111454</v>
      </c>
      <c r="E95" s="84"/>
    </row>
    <row r="96" spans="2:5">
      <c r="B96" s="83" t="s">
        <v>128</v>
      </c>
      <c r="C96" s="131">
        <f>2*C95</f>
        <v>479.11399938247632</v>
      </c>
      <c r="D96" s="131">
        <f t="shared" si="2"/>
        <v>8.3621167816222908</v>
      </c>
      <c r="E96" s="84"/>
    </row>
    <row r="97" spans="2:5">
      <c r="B97" s="83" t="s">
        <v>129</v>
      </c>
      <c r="C97" s="131">
        <f>1 + (-20954 * COS(D94) - 3699 * COS(D96 - D94) - 2956 * COS(D96)) / 385000</f>
        <v>0.97874556140116287</v>
      </c>
      <c r="D97" s="131">
        <f>C97*60.2666</f>
        <v>58.985667250739318</v>
      </c>
      <c r="E97" s="84"/>
    </row>
    <row r="98" spans="2:5">
      <c r="B98" s="83" t="s">
        <v>130</v>
      </c>
      <c r="C98" s="131">
        <f>C97/C82</f>
        <v>2.5472347843611054E-3</v>
      </c>
      <c r="D98" s="131"/>
      <c r="E98" s="84"/>
    </row>
    <row r="99" spans="2:5">
      <c r="B99" s="83" t="s">
        <v>131</v>
      </c>
      <c r="C99" s="131">
        <f>5.128 * SIN(D91) + 0.2806 * SIN(D94+D91) + 0.2777*SIN(D94-D91) + 0.1732 * SIN(D96 - D91)</f>
        <v>-4.9238093078982548</v>
      </c>
      <c r="D99" s="131">
        <f>RADIANS(C99)</f>
        <v>-8.5936684163167784E-2</v>
      </c>
      <c r="E99" s="84"/>
    </row>
    <row r="100" spans="2:5">
      <c r="B100" s="83" t="s">
        <v>132</v>
      </c>
      <c r="C100" s="131">
        <f>6.289*SIN(D94) + 1.274 * SIN(D96-D94) + 0.6583 * SIN(D96) + 0.2136 * SIN(2*D94) - 0.1851 * SIN(D78) - 0.1143 * SIN(2*D91)+0.0588*SIN(D96 - 2*D94) + 0.0572*SIN(D96 - D78 - D94) + 0.0533*SIN(D96+D94)</f>
        <v>-4.2726757463196652</v>
      </c>
      <c r="D100" s="131">
        <f>RADIANS(C100)</f>
        <v>-7.4572259643384153E-2</v>
      </c>
      <c r="E100" s="84"/>
    </row>
    <row r="101" spans="2:5">
      <c r="B101" s="83" t="s">
        <v>133</v>
      </c>
      <c r="C101" s="131">
        <f xml:space="preserve"> C92+C100</f>
        <v>301.3332672156439</v>
      </c>
      <c r="D101" s="131">
        <f>RADIANS(C101)</f>
        <v>5.2592576587048718</v>
      </c>
      <c r="E101" s="84"/>
    </row>
    <row r="102" spans="2:5">
      <c r="B102" s="83" t="s">
        <v>134</v>
      </c>
      <c r="C102" s="131">
        <f>MOD(C85+180+ DEGREES(C98*COS(D99) * SIN(D85 - D101)),360)</f>
        <v>247.2539857211456</v>
      </c>
      <c r="D102" s="131">
        <f>RADIANS(C102)</f>
        <v>4.3153961395130365</v>
      </c>
      <c r="E102" s="84"/>
    </row>
    <row r="103" spans="2:5">
      <c r="B103" s="83" t="s">
        <v>135</v>
      </c>
      <c r="C103" s="131">
        <f>C98*C99</f>
        <v>-1.2542098340639414E-2</v>
      </c>
      <c r="D103" s="131">
        <f>RADIANS(C103)</f>
        <v>-2.1890091115307512E-4</v>
      </c>
      <c r="E103" s="84"/>
    </row>
    <row r="104" spans="2:5">
      <c r="B104" s="83" t="s">
        <v>136</v>
      </c>
      <c r="C104" s="131">
        <f>DEGREES(E104)</f>
        <v>304.7560800304816</v>
      </c>
      <c r="D104" s="131">
        <f>ATAN2(COS(D101), SIN(D101)*COS(D86) - TAN(D99)*SIN(D86))</f>
        <v>-0.96418829517634097</v>
      </c>
      <c r="E104" s="84">
        <f>IF(D104 &lt;0, 2*PI()+D104, D104)</f>
        <v>5.318997012003245</v>
      </c>
    </row>
    <row r="105" spans="2:5">
      <c r="B105" s="83" t="s">
        <v>137</v>
      </c>
      <c r="C105" s="131">
        <f>DEGREES(D105)</f>
        <v>-24.659030236978086</v>
      </c>
      <c r="D105" s="131">
        <f>ASIN(SIN(D99)*COS(D86) + COS(D99)* SIN(D86)*SIN(D101))</f>
        <v>-0.4303812679841052</v>
      </c>
    </row>
    <row r="106" spans="2:5">
      <c r="C106" s="131"/>
      <c r="D106" s="131"/>
    </row>
    <row r="107" spans="2:5">
      <c r="C107" s="131"/>
      <c r="D107" s="131"/>
    </row>
    <row r="108" spans="2:5">
      <c r="B108" s="81" t="s">
        <v>138</v>
      </c>
      <c r="C108" s="131"/>
      <c r="D108" s="131"/>
    </row>
    <row r="109" spans="2:5">
      <c r="B109" s="83" t="s">
        <v>139</v>
      </c>
      <c r="C109" s="131">
        <v>1.5424199999999999</v>
      </c>
      <c r="D109" s="131">
        <f>RADIANS(C109)</f>
        <v>2.6920307448610938E-2</v>
      </c>
    </row>
    <row r="110" spans="2:5">
      <c r="B110" s="83" t="s">
        <v>140</v>
      </c>
      <c r="C110" s="131">
        <f>MOD(C101-C93,360)</f>
        <v>288.2902328496715</v>
      </c>
      <c r="D110" s="131">
        <f>RADIANS(C110)</f>
        <v>5.0316137645678829</v>
      </c>
    </row>
    <row r="111" spans="2:5">
      <c r="B111" s="83" t="s">
        <v>141</v>
      </c>
      <c r="C111" s="131">
        <f>SIN(D110) * COS(D99) * COS(D109) - SIN(D99) * SIN(D109)</f>
        <v>-0.94332207059937467</v>
      </c>
      <c r="D111" s="131"/>
    </row>
    <row r="112" spans="2:5">
      <c r="B112" s="83" t="s">
        <v>142</v>
      </c>
      <c r="C112" s="131">
        <f>COS(D110) * COS(D99)</f>
        <v>0.31267247951855853</v>
      </c>
      <c r="D112" s="131"/>
    </row>
    <row r="113" spans="2:4">
      <c r="B113" s="83" t="s">
        <v>143</v>
      </c>
      <c r="C113" s="131">
        <f>MOD(DEGREES(D113), 360)</f>
        <v>288.33823622908812</v>
      </c>
      <c r="D113" s="131">
        <f>ATAN2(C112,C111)</f>
        <v>-1.2507337255887991</v>
      </c>
    </row>
    <row r="114" spans="2:4">
      <c r="B114" s="83" t="s">
        <v>144</v>
      </c>
      <c r="C114" s="131">
        <f>C113-C91</f>
        <v>-4.1915278624642269</v>
      </c>
      <c r="D114" s="131"/>
    </row>
    <row r="115" spans="2:4">
      <c r="B115" s="83" t="s">
        <v>55</v>
      </c>
      <c r="C115" s="131">
        <f>-SIN(D110) * COS(D99) * SIN(D109) - SIN(D99) * COS(D109)</f>
        <v>0.11126271465241575</v>
      </c>
      <c r="D115" s="131"/>
    </row>
    <row r="116" spans="2:4">
      <c r="B116" s="83" t="s">
        <v>145</v>
      </c>
      <c r="C116" s="131">
        <f>DEGREES(D116)</f>
        <v>6.388110646507319</v>
      </c>
      <c r="D116" s="131">
        <f>ASIN(C115)</f>
        <v>0.11149356376325632</v>
      </c>
    </row>
    <row r="117" spans="2:4">
      <c r="C117" s="131"/>
      <c r="D117" s="131"/>
    </row>
    <row r="118" spans="2:4">
      <c r="B118" s="81" t="s">
        <v>146</v>
      </c>
      <c r="C118" s="131"/>
      <c r="D118" s="131"/>
    </row>
    <row r="119" spans="2:4">
      <c r="C119" s="131"/>
      <c r="D119" s="131"/>
    </row>
    <row r="120" spans="2:4">
      <c r="B120" s="83" t="s">
        <v>140</v>
      </c>
      <c r="C120" s="131">
        <f>MOD(C102-C93,360)</f>
        <v>234.21095135517319</v>
      </c>
      <c r="D120" s="131">
        <f>RADIANS(C120)</f>
        <v>4.0877522453760475</v>
      </c>
    </row>
    <row r="121" spans="2:4">
      <c r="B121" s="83" t="s">
        <v>141</v>
      </c>
      <c r="C121" s="131">
        <f>SIN(D120) * COS(D103) * COS(D109) - SIN(D103) * SIN(D109)</f>
        <v>-0.81087578682268913</v>
      </c>
      <c r="D121" s="131"/>
    </row>
    <row r="122" spans="2:4">
      <c r="B122" s="83" t="s">
        <v>142</v>
      </c>
      <c r="C122" s="131">
        <f>COS(D120) * COS(D103)</f>
        <v>-0.58480262582002784</v>
      </c>
      <c r="D122" s="131"/>
    </row>
    <row r="123" spans="2:4">
      <c r="B123" s="83" t="s">
        <v>143</v>
      </c>
      <c r="C123" s="131">
        <f>MOD(DEGREES(D123), 360)</f>
        <v>234.20090342526487</v>
      </c>
      <c r="D123" s="131">
        <f>ATAN2(C122,C121)</f>
        <v>-2.195608431263449</v>
      </c>
    </row>
    <row r="124" spans="2:4">
      <c r="B124" s="83" t="s">
        <v>147</v>
      </c>
      <c r="C124" s="131">
        <f>MOD(C123-C91, 360)</f>
        <v>301.67113933371252</v>
      </c>
      <c r="D124" s="131">
        <f>RADIANS(C124)</f>
        <v>5.2651546396158562</v>
      </c>
    </row>
    <row r="125" spans="2:4">
      <c r="B125" s="83" t="s">
        <v>55</v>
      </c>
      <c r="C125" s="131">
        <f>-SIN(D120) * COS(D103) * SIN(D109) - SIN(D103) * COS(D109)</f>
        <v>2.2053280451788639E-2</v>
      </c>
      <c r="D125" s="131"/>
    </row>
    <row r="126" spans="2:4">
      <c r="B126" s="83" t="s">
        <v>148</v>
      </c>
      <c r="C126" s="131">
        <f>DEGREES(D126)</f>
        <v>1.2636623381928667</v>
      </c>
      <c r="D126" s="131">
        <f>ASIN(C125)</f>
        <v>2.2055068434915615E-2</v>
      </c>
    </row>
    <row r="127" spans="2:4">
      <c r="C127" s="131"/>
      <c r="D127" s="131"/>
    </row>
    <row r="128" spans="2:4">
      <c r="B128" s="86" t="s">
        <v>149</v>
      </c>
      <c r="C128" s="131"/>
      <c r="D128" s="131"/>
    </row>
    <row r="129" spans="2:5">
      <c r="C129" s="131"/>
      <c r="D129" s="131"/>
    </row>
    <row r="130" spans="2:5">
      <c r="B130" s="83" t="s">
        <v>55</v>
      </c>
      <c r="C130" s="131">
        <f>COS(D99)*COS(D101-D85)</f>
        <v>-0.58283833589688927</v>
      </c>
      <c r="D130" s="131"/>
    </row>
    <row r="131" spans="2:5">
      <c r="B131" s="83" t="s">
        <v>150</v>
      </c>
      <c r="C131" s="131">
        <f>DEGREES(D131)</f>
        <v>125.65042469710778</v>
      </c>
      <c r="D131" s="131">
        <f>PI()/2 - ATAN(C130/SQRT(1-C130*C130))</f>
        <v>2.1930136174937296</v>
      </c>
    </row>
    <row r="132" spans="2:5">
      <c r="B132" s="83" t="s">
        <v>141</v>
      </c>
      <c r="C132" s="131">
        <f>C82*SIN(D131)</f>
        <v>312.2276099142972</v>
      </c>
      <c r="D132" s="131"/>
    </row>
    <row r="133" spans="2:5">
      <c r="B133" s="83" t="s">
        <v>142</v>
      </c>
      <c r="C133" s="131">
        <f>C97-C82*C130</f>
        <v>224.9276480245089</v>
      </c>
      <c r="D133" s="131"/>
    </row>
    <row r="134" spans="2:5">
      <c r="B134" s="83" t="s">
        <v>139</v>
      </c>
      <c r="C134" s="131">
        <f>DEGREES(D134)</f>
        <v>54.231157450725249</v>
      </c>
      <c r="D134" s="131">
        <f>ATAN2(C133,C132)</f>
        <v>0.94651225468261013</v>
      </c>
    </row>
    <row r="135" spans="2:5">
      <c r="B135" s="83" t="s">
        <v>151</v>
      </c>
      <c r="C135" s="131">
        <f>(1+COS(D134))/2</f>
        <v>0.79225826596514981</v>
      </c>
      <c r="D135" s="131"/>
    </row>
    <row r="136" spans="2:5">
      <c r="B136" s="83"/>
      <c r="C136" s="131"/>
      <c r="D136" s="131"/>
    </row>
    <row r="137" spans="2:5">
      <c r="B137" s="86" t="s">
        <v>152</v>
      </c>
      <c r="C137" s="131"/>
      <c r="D137" s="131"/>
    </row>
    <row r="138" spans="2:5">
      <c r="B138" s="83"/>
      <c r="C138" s="131"/>
      <c r="D138" s="131"/>
    </row>
    <row r="139" spans="2:5">
      <c r="B139" s="83" t="s">
        <v>153</v>
      </c>
      <c r="C139" s="131">
        <f>DEGREES(D139)</f>
        <v>80.389041476571464</v>
      </c>
      <c r="D139" s="131">
        <f>IF(E139&lt;0, E139+ 2*PI(), E139)</f>
        <v>1.403053456288456</v>
      </c>
      <c r="E139" s="84">
        <f>ATAN2(SIN(D88)*COS(D105) - COS(D88)*SIN(D105)*COS(E87-E104), COS(D88)*SIN(E87-E104))</f>
        <v>1.403053456288456</v>
      </c>
    </row>
    <row r="140" spans="2:5">
      <c r="B140" s="83" t="s">
        <v>154</v>
      </c>
      <c r="C140" s="131">
        <f>DEGREES(D140)</f>
        <v>-13.768730860687128</v>
      </c>
      <c r="D140" s="131">
        <f>D73 - E104</f>
        <v>-0.24030968733994307</v>
      </c>
      <c r="E140" s="84"/>
    </row>
    <row r="141" spans="2:5">
      <c r="B141" s="83" t="s">
        <v>155</v>
      </c>
      <c r="C141" s="131">
        <f>DEGREES(D141)</f>
        <v>-22.82577856473705</v>
      </c>
      <c r="D141" s="131">
        <f>ATAN(SIN(D140)/(TAN(D70)*COS(D105) - SIN(D105) * COS(D140)))</f>
        <v>-0.39838499028580715</v>
      </c>
      <c r="E141" s="84"/>
    </row>
    <row r="142" spans="2:5">
      <c r="B142" s="83"/>
      <c r="C142" s="131"/>
      <c r="D142" s="131"/>
      <c r="E142" s="84"/>
    </row>
    <row r="143" spans="2:5">
      <c r="B143" s="86" t="s">
        <v>156</v>
      </c>
      <c r="C143" s="131"/>
      <c r="D143" s="131"/>
      <c r="E143" s="84"/>
    </row>
    <row r="144" spans="2:5">
      <c r="B144" s="95" t="s">
        <v>157</v>
      </c>
      <c r="C144" s="131"/>
      <c r="D144" s="131"/>
      <c r="E144" s="84"/>
    </row>
    <row r="145" spans="2:5">
      <c r="C145" s="131"/>
      <c r="D145" s="131"/>
      <c r="E145" s="84"/>
    </row>
    <row r="146" spans="2:5">
      <c r="B146" s="83" t="s">
        <v>141</v>
      </c>
      <c r="C146" s="131">
        <f>SIN(D109)*SIN(D93)</f>
        <v>6.0747174276781137E-3</v>
      </c>
      <c r="D146" s="131"/>
      <c r="E146" s="84"/>
    </row>
    <row r="147" spans="2:5">
      <c r="B147" s="83" t="s">
        <v>142</v>
      </c>
      <c r="C147" s="131">
        <f>SIN(D109)*COS(D93)*COS(D86) - COS(D109)*SIN(D86)</f>
        <v>-0.37352287011244134</v>
      </c>
      <c r="D147" s="131"/>
      <c r="E147" s="84"/>
    </row>
    <row r="148" spans="2:5">
      <c r="B148" s="83" t="s">
        <v>158</v>
      </c>
      <c r="C148" s="131">
        <f>DEGREES(D148)</f>
        <v>179.06826323979752</v>
      </c>
      <c r="D148" s="131">
        <f>IF(C147&gt;0, ATAN(C146/C147), PI()+ATAN(C146/C147))</f>
        <v>3.125330779362395</v>
      </c>
      <c r="E148" s="84"/>
    </row>
    <row r="149" spans="2:5">
      <c r="B149" s="83" t="s">
        <v>159</v>
      </c>
      <c r="C149" s="131">
        <f>DEGREES(D149)</f>
        <v>-12.667444858466686</v>
      </c>
      <c r="D149" s="131">
        <f>ASIN((SQRT(C146^2 + C147^2)*COS(D104-D148))/ COS(D116))</f>
        <v>-0.22108862059507076</v>
      </c>
      <c r="E149" s="84"/>
    </row>
    <row r="150" spans="2:5">
      <c r="B150" s="83"/>
      <c r="C150" s="131"/>
      <c r="D150" s="131"/>
      <c r="E150" s="84"/>
    </row>
    <row r="151" spans="2:5">
      <c r="B151" s="86" t="s">
        <v>160</v>
      </c>
      <c r="C151" s="131"/>
      <c r="D151" s="131"/>
    </row>
    <row r="152" spans="2:5">
      <c r="B152" s="83"/>
      <c r="C152" s="131"/>
      <c r="D152" s="131"/>
    </row>
    <row r="153" spans="2:5">
      <c r="B153" s="83" t="s">
        <v>161</v>
      </c>
      <c r="C153" s="131">
        <f>DEGREES(D153)</f>
        <v>337.17422143526295</v>
      </c>
      <c r="D153" s="131">
        <f>IF(E153&lt;0, 2*PI() + E153, E153)</f>
        <v>5.884800316893779</v>
      </c>
      <c r="E153" s="84">
        <f>ATAN2(COS(D105)*SIN(D70) - SIN(D105)*COS(D70)*COS(D140), COS(D70)*SIN(D140))</f>
        <v>-0.39838499028580721</v>
      </c>
    </row>
    <row r="154" spans="2:5">
      <c r="B154" s="83" t="s">
        <v>162</v>
      </c>
      <c r="C154" s="131">
        <f>DEGREES(D154)</f>
        <v>37.17131948206486</v>
      </c>
      <c r="D154" s="131">
        <f>ACOS(SIN(D105) * SIN(D70) + COS(D105) * COS(D70)*COS(D140))</f>
        <v>0.64876191227274504</v>
      </c>
    </row>
    <row r="155" spans="2:5">
      <c r="B155" s="83" t="s">
        <v>163</v>
      </c>
      <c r="C155" s="131">
        <f>DEGREES(D155)</f>
        <v>0.96985516941859695</v>
      </c>
      <c r="D155" s="131">
        <f>ASIN(6378.14/(385000 * C97))</f>
        <v>1.6927165973841935E-2</v>
      </c>
    </row>
    <row r="156" spans="2:5">
      <c r="B156" s="83" t="s">
        <v>164</v>
      </c>
      <c r="C156" s="131">
        <f>C155*(SIN(D154) + 0.0084*SIN(2*D154))</f>
        <v>0.59383128384702433</v>
      </c>
      <c r="D156" s="131"/>
    </row>
    <row r="157" spans="2:5">
      <c r="B157" s="83" t="s">
        <v>165</v>
      </c>
      <c r="C157" s="131">
        <f>-C156*SIN(D153-D149) / COS(D116)</f>
        <v>0.10538776311903088</v>
      </c>
      <c r="D157" s="131">
        <f>RADIANS(C157)</f>
        <v>1.8393634577389376E-3</v>
      </c>
    </row>
    <row r="158" spans="2:5">
      <c r="B158" s="83" t="s">
        <v>166</v>
      </c>
      <c r="C158" s="131">
        <f>C156*COS(D153-D149)</f>
        <v>0.58452245959564542</v>
      </c>
      <c r="D158" s="131">
        <f>RADIANS(C158)</f>
        <v>1.0201841471799535E-2</v>
      </c>
    </row>
    <row r="159" spans="2:5">
      <c r="B159" s="83" t="s">
        <v>167</v>
      </c>
      <c r="C159" s="131">
        <f>C157*SIN(D116+D158) - C156*SIN(D153)*TAN(D105)</f>
        <v>-9.2963053067480303E-2</v>
      </c>
      <c r="D159" s="131">
        <f>RADIANS(C159)</f>
        <v>-1.6225113587337457E-3</v>
      </c>
    </row>
    <row r="161" spans="2:2">
      <c r="B161" s="83" t="s">
        <v>101</v>
      </c>
    </row>
    <row r="162" spans="2:2">
      <c r="B162" s="83" t="s">
        <v>102</v>
      </c>
    </row>
  </sheetData>
  <mergeCells count="2">
    <mergeCell ref="B19:D19"/>
    <mergeCell ref="F6:J6"/>
  </mergeCells>
  <dataValidations count="1">
    <dataValidation type="list" allowBlank="1" showInputMessage="1" showErrorMessage="1" sqref="C14" xr:uid="{469BE7D6-6C9A-3246-87B4-B4B615228E06}">
      <formula1>$B$21:$B$25</formula1>
    </dataValidation>
  </dataValidations>
  <pageMargins left="0.75" right="0.75" top="1" bottom="1" header="0.5" footer="0.5"/>
  <pageSetup paperSize="9" scale="82" orientation="landscape" horizontalDpi="360" verticalDpi="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F4E2-D803-C947-B70D-E9CF850BDB7E}">
  <dimension ref="A1"/>
  <sheetViews>
    <sheetView showGridLines="0" workbookViewId="0">
      <selection activeCell="M32" sqref="M32"/>
    </sheetView>
  </sheetViews>
  <sheetFormatPr baseColWidth="10" defaultRowHeight="1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Illumination</vt:lpstr>
      <vt:lpstr>Lunar Features</vt:lpstr>
      <vt:lpstr>Background</vt:lpstr>
      <vt:lpstr>'Lunar Features'!Print_Area</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Moon Position</dc:title>
  <dc:subject/>
  <dc:creator>Anton Viola</dc:creator>
  <cp:keywords/>
  <dc:description/>
  <cp:lastModifiedBy>Anton Viola</cp:lastModifiedBy>
  <dcterms:created xsi:type="dcterms:W3CDTF">2008-11-21T13:31:34Z</dcterms:created>
  <dcterms:modified xsi:type="dcterms:W3CDTF">2024-08-09T08:01:09Z</dcterms:modified>
  <cp:category/>
</cp:coreProperties>
</file>