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0B5C2F75-2D8E-E944-AA34-AFF37469B0ED}" xr6:coauthVersionLast="47" xr6:coauthVersionMax="47" xr10:uidLastSave="{00000000-0000-0000-0000-000000000000}"/>
  <bookViews>
    <workbookView xWindow="2000" yWindow="4360" windowWidth="36000" windowHeight="16300" xr2:uid="{00000000-000D-0000-FFFF-FFFF00000000}"/>
  </bookViews>
  <sheets>
    <sheet name="Introduction" sheetId="9" r:id="rId1"/>
    <sheet name="Visibility" sheetId="16" r:id="rId2"/>
    <sheet name="Illumination" sheetId="18" r:id="rId3"/>
    <sheet name="Background" sheetId="17" r:id="rId4"/>
  </sheets>
  <definedNames>
    <definedName name="degrees">{0;90;180;270}</definedName>
    <definedName name="_xlnm.Print_Area" localSheetId="1">Visibility!$T$2:$AB$85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18" l="1"/>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 i="16"/>
  <c r="B27" i="18"/>
  <c r="B25" i="18"/>
  <c r="B26" i="18" s="1"/>
  <c r="C26" i="18" s="1"/>
  <c r="B24" i="18"/>
  <c r="C24" i="18" s="1"/>
  <c r="F10" i="18"/>
  <c r="F11" i="18" s="1"/>
  <c r="G4" i="18"/>
  <c r="C2" i="18"/>
  <c r="C14" i="16"/>
  <c r="C13" i="16"/>
  <c r="T4" i="16" s="1"/>
  <c r="T5" i="16"/>
  <c r="U7" i="16"/>
  <c r="G7" i="16"/>
  <c r="T3" i="16"/>
  <c r="AB4" i="16" l="1"/>
  <c r="F12" i="18"/>
  <c r="B28" i="18"/>
  <c r="C27" i="18"/>
  <c r="C25" i="18"/>
  <c r="Q87" i="16"/>
  <c r="C15" i="16"/>
  <c r="C7" i="16"/>
  <c r="C8" i="16" s="1"/>
  <c r="C10" i="16" s="1"/>
  <c r="D20" i="18" l="1"/>
  <c r="C3" i="18"/>
  <c r="C28" i="18"/>
  <c r="B29" i="18"/>
  <c r="F13" i="18"/>
  <c r="C9" i="16"/>
  <c r="C11" i="16"/>
  <c r="C16" i="16" s="1"/>
  <c r="C6" i="18" l="1"/>
  <c r="C4" i="18"/>
  <c r="C5" i="18"/>
  <c r="F14" i="18"/>
  <c r="B30" i="18"/>
  <c r="C29" i="18"/>
  <c r="Q85" i="16"/>
  <c r="Q69" i="16"/>
  <c r="Q53" i="16"/>
  <c r="Q37" i="16"/>
  <c r="Q21" i="16"/>
  <c r="Q72" i="16"/>
  <c r="Q56" i="16"/>
  <c r="Q40" i="16"/>
  <c r="Q24" i="16"/>
  <c r="Q15" i="16"/>
  <c r="Q59" i="16"/>
  <c r="Q43" i="16"/>
  <c r="Q78" i="16"/>
  <c r="Q62" i="16"/>
  <c r="Q20" i="16"/>
  <c r="Q14" i="16"/>
  <c r="Q77" i="16"/>
  <c r="Q18" i="16"/>
  <c r="Q75" i="16"/>
  <c r="Q46" i="16"/>
  <c r="Q9" i="16"/>
  <c r="Q84" i="16"/>
  <c r="Q52" i="16"/>
  <c r="Q38" i="16"/>
  <c r="Q73" i="16"/>
  <c r="Q13" i="16"/>
  <c r="Q47" i="16"/>
  <c r="Q10" i="16"/>
  <c r="Q27" i="16"/>
  <c r="Q65" i="16"/>
  <c r="Q55" i="16"/>
  <c r="Q39" i="16"/>
  <c r="Q23" i="16"/>
  <c r="Q70" i="16"/>
  <c r="Q41" i="16"/>
  <c r="Q60" i="16"/>
  <c r="Q82" i="16"/>
  <c r="Q30" i="16"/>
  <c r="Q12" i="16"/>
  <c r="Q49" i="16"/>
  <c r="Q33" i="16"/>
  <c r="Q11" i="16"/>
  <c r="Q81" i="16"/>
  <c r="Q36" i="16"/>
  <c r="Q42" i="16"/>
  <c r="Q26" i="16"/>
  <c r="Q79" i="16"/>
  <c r="Q66" i="16"/>
  <c r="Q68" i="16"/>
  <c r="Q19" i="16"/>
  <c r="Q44" i="16"/>
  <c r="Q71" i="16"/>
  <c r="Q83" i="16"/>
  <c r="Q74" i="16"/>
  <c r="Q58" i="16"/>
  <c r="Q17" i="16"/>
  <c r="Q8" i="16"/>
  <c r="Q54" i="16"/>
  <c r="Q25" i="16"/>
  <c r="Q76" i="16"/>
  <c r="Q28" i="16"/>
  <c r="Q50" i="16"/>
  <c r="Q61" i="16"/>
  <c r="Q45" i="16"/>
  <c r="Q29" i="16"/>
  <c r="Q80" i="16"/>
  <c r="Q57" i="16"/>
  <c r="Q16" i="16"/>
  <c r="Q63" i="16"/>
  <c r="Q64" i="16"/>
  <c r="Q48" i="16"/>
  <c r="Q32" i="16"/>
  <c r="Q51" i="16"/>
  <c r="Q31" i="16"/>
  <c r="Q34" i="16"/>
  <c r="Q67" i="16"/>
  <c r="Q35" i="16"/>
  <c r="Q22" i="16"/>
  <c r="H48" i="16" l="1"/>
  <c r="H22" i="16"/>
  <c r="H14" i="16"/>
  <c r="H76" i="16"/>
  <c r="H46" i="16"/>
  <c r="H59" i="16"/>
  <c r="C7" i="18"/>
  <c r="C8" i="18" s="1"/>
  <c r="AB3" i="16" s="1"/>
  <c r="H15" i="16"/>
  <c r="B31" i="18"/>
  <c r="C31" i="18" s="1"/>
  <c r="C30" i="18"/>
  <c r="F15" i="18"/>
  <c r="I16" i="16"/>
  <c r="H16" i="16" s="1"/>
  <c r="I60" i="16"/>
  <c r="H60" i="16" s="1"/>
  <c r="I80" i="16"/>
  <c r="H80" i="16" s="1"/>
  <c r="I22" i="16"/>
  <c r="I15" i="16"/>
  <c r="I61" i="16"/>
  <c r="H61" i="16" s="1"/>
  <c r="I9" i="16"/>
  <c r="H9" i="16" s="1"/>
  <c r="I23" i="16"/>
  <c r="H23" i="16" s="1"/>
  <c r="I39" i="16"/>
  <c r="H39" i="16" s="1"/>
  <c r="I68" i="16"/>
  <c r="H68" i="16" s="1"/>
  <c r="I43" i="16"/>
  <c r="H43" i="16" s="1"/>
  <c r="I81" i="16"/>
  <c r="H81" i="16" s="1"/>
  <c r="I41" i="16"/>
  <c r="H41" i="16" s="1"/>
  <c r="I35" i="16"/>
  <c r="H35" i="16" s="1"/>
  <c r="I84" i="16"/>
  <c r="H84" i="16" s="1"/>
  <c r="I75" i="16"/>
  <c r="H75" i="16" s="1"/>
  <c r="I28" i="16"/>
  <c r="H28" i="16" s="1"/>
  <c r="I36" i="16"/>
  <c r="H36" i="16" s="1"/>
  <c r="I57" i="16"/>
  <c r="H57" i="16" s="1"/>
  <c r="I59" i="16"/>
  <c r="I38" i="16"/>
  <c r="H38" i="16" s="1"/>
  <c r="I83" i="16"/>
  <c r="H83" i="16" s="1"/>
  <c r="I52" i="16"/>
  <c r="H52" i="16" s="1"/>
  <c r="I45" i="16"/>
  <c r="H45" i="16" s="1"/>
  <c r="I67" i="16"/>
  <c r="H67" i="16" s="1"/>
  <c r="I46" i="16"/>
  <c r="I34" i="16"/>
  <c r="H34" i="16" s="1"/>
  <c r="I44" i="16"/>
  <c r="H44" i="16" s="1"/>
  <c r="I49" i="16"/>
  <c r="H49" i="16" s="1"/>
  <c r="I74" i="16"/>
  <c r="H74" i="16" s="1"/>
  <c r="I73" i="16"/>
  <c r="H73" i="16" s="1"/>
  <c r="I29" i="16"/>
  <c r="H29" i="16" s="1"/>
  <c r="I70" i="16"/>
  <c r="H70" i="16" s="1"/>
  <c r="I71" i="16"/>
  <c r="H71" i="16" s="1"/>
  <c r="I24" i="16"/>
  <c r="H24" i="16" s="1"/>
  <c r="I40" i="16"/>
  <c r="H40" i="16" s="1"/>
  <c r="I56" i="16"/>
  <c r="H56" i="16" s="1"/>
  <c r="I11" i="16"/>
  <c r="H11" i="16" s="1"/>
  <c r="I72" i="16"/>
  <c r="H72" i="16" s="1"/>
  <c r="I31" i="16"/>
  <c r="H31" i="16" s="1"/>
  <c r="I50" i="16"/>
  <c r="H50" i="16" s="1"/>
  <c r="I19" i="16"/>
  <c r="H19" i="16" s="1"/>
  <c r="I33" i="16"/>
  <c r="H33" i="16" s="1"/>
  <c r="I55" i="16"/>
  <c r="H55" i="16" s="1"/>
  <c r="I18" i="16"/>
  <c r="H18" i="16" s="1"/>
  <c r="I51" i="16"/>
  <c r="H51" i="16" s="1"/>
  <c r="I21" i="16"/>
  <c r="H21" i="16" s="1"/>
  <c r="I32" i="16"/>
  <c r="H32" i="16" s="1"/>
  <c r="I76" i="16"/>
  <c r="I12" i="16"/>
  <c r="H12" i="16" s="1"/>
  <c r="I65" i="16"/>
  <c r="H65" i="16" s="1"/>
  <c r="I37" i="16"/>
  <c r="H37" i="16" s="1"/>
  <c r="I48" i="16"/>
  <c r="I25" i="16"/>
  <c r="H25" i="16" s="1"/>
  <c r="I66" i="16"/>
  <c r="H66" i="16" s="1"/>
  <c r="I30" i="16"/>
  <c r="H30" i="16" s="1"/>
  <c r="I27" i="16"/>
  <c r="H27" i="16" s="1"/>
  <c r="I77" i="16"/>
  <c r="H77" i="16" s="1"/>
  <c r="I53" i="16"/>
  <c r="H53" i="16" s="1"/>
  <c r="I64" i="16"/>
  <c r="H64" i="16" s="1"/>
  <c r="I54" i="16"/>
  <c r="H54" i="16" s="1"/>
  <c r="I14" i="16"/>
  <c r="I69" i="16"/>
  <c r="H69" i="16" s="1"/>
  <c r="I8" i="16"/>
  <c r="H8" i="16" s="1"/>
  <c r="I79" i="16"/>
  <c r="H79" i="16" s="1"/>
  <c r="I10" i="16"/>
  <c r="H10" i="16" s="1"/>
  <c r="I20" i="16"/>
  <c r="H20" i="16" s="1"/>
  <c r="I85" i="16"/>
  <c r="H85" i="16" s="1"/>
  <c r="I17" i="16"/>
  <c r="H17" i="16" s="1"/>
  <c r="I26" i="16"/>
  <c r="H26" i="16" s="1"/>
  <c r="I82" i="16"/>
  <c r="H82" i="16" s="1"/>
  <c r="I47" i="16"/>
  <c r="H47" i="16" s="1"/>
  <c r="I62" i="16"/>
  <c r="H62" i="16" s="1"/>
  <c r="I63" i="16"/>
  <c r="H63" i="16" s="1"/>
  <c r="I58" i="16"/>
  <c r="H58" i="16" s="1"/>
  <c r="I42" i="16"/>
  <c r="H42" i="16" s="1"/>
  <c r="I13" i="16"/>
  <c r="H13" i="16" s="1"/>
  <c r="I78" i="16"/>
  <c r="H78" i="16" s="1"/>
  <c r="C21" i="18" l="1"/>
  <c r="G2" i="18" s="1"/>
  <c r="J3" i="18" s="1"/>
  <c r="J4" i="18" s="1"/>
  <c r="J5" i="18" s="1"/>
  <c r="G15" i="18" s="1"/>
  <c r="B36" i="16"/>
  <c r="F16" i="18"/>
  <c r="J15" i="18" l="1"/>
  <c r="I15" i="18"/>
  <c r="H15" i="18"/>
  <c r="G11" i="18"/>
  <c r="G10" i="18"/>
  <c r="G12" i="18"/>
  <c r="G14" i="18"/>
  <c r="G9" i="18"/>
  <c r="G13" i="18"/>
  <c r="F17" i="18"/>
  <c r="G16" i="18"/>
  <c r="H16" i="18"/>
  <c r="I16" i="18"/>
  <c r="J16" i="18"/>
  <c r="S8" i="16" a="1"/>
  <c r="S8" i="16" l="1"/>
  <c r="AB5" i="16"/>
  <c r="J14" i="18"/>
  <c r="H14" i="18"/>
  <c r="I14" i="18"/>
  <c r="J10" i="18"/>
  <c r="I10" i="18"/>
  <c r="H10" i="18"/>
  <c r="J13" i="18"/>
  <c r="I13" i="18"/>
  <c r="H13" i="18"/>
  <c r="H9" i="18"/>
  <c r="J9" i="18"/>
  <c r="I9" i="18"/>
  <c r="J12" i="18"/>
  <c r="H12" i="18"/>
  <c r="I12" i="18"/>
  <c r="I11" i="18"/>
  <c r="J11" i="18"/>
  <c r="H11" i="18"/>
  <c r="F18" i="18"/>
  <c r="G17" i="18"/>
  <c r="J17" i="18" s="1"/>
  <c r="I17" i="18" l="1"/>
  <c r="H17" i="18"/>
  <c r="G18" i="18"/>
  <c r="J18" i="18" s="1"/>
  <c r="F19" i="18"/>
  <c r="I18" i="18" l="1"/>
  <c r="H18" i="18"/>
  <c r="F20" i="18"/>
  <c r="G19" i="18"/>
  <c r="H19" i="18" s="1"/>
  <c r="I19" i="18" l="1"/>
  <c r="J19" i="18"/>
  <c r="F21" i="18"/>
  <c r="G20" i="18"/>
  <c r="H20" i="18" s="1"/>
  <c r="J20" i="18" l="1"/>
  <c r="I20" i="18"/>
  <c r="F22" i="18"/>
  <c r="G21" i="18"/>
  <c r="H21" i="18" s="1"/>
  <c r="J21" i="18" l="1"/>
  <c r="I21" i="18"/>
  <c r="F23" i="18"/>
  <c r="G22" i="18"/>
  <c r="J22" i="18" s="1"/>
  <c r="H22" i="18"/>
  <c r="I22" i="18"/>
  <c r="G23" i="18" l="1"/>
  <c r="F24" i="18"/>
  <c r="I23" i="18"/>
  <c r="H23" i="18"/>
  <c r="J23" i="18"/>
  <c r="F25" i="18" l="1"/>
  <c r="G24" i="18"/>
  <c r="I24" i="18"/>
  <c r="H24" i="18"/>
  <c r="J24" i="18"/>
  <c r="F26" i="18" l="1"/>
  <c r="G25" i="18"/>
  <c r="J25" i="18"/>
  <c r="H25" i="18"/>
  <c r="I25" i="18"/>
  <c r="G26" i="18" l="1"/>
  <c r="F27" i="18"/>
  <c r="J26" i="18"/>
  <c r="H26" i="18"/>
  <c r="I26" i="18"/>
  <c r="F28" i="18" l="1"/>
  <c r="G27" i="18"/>
  <c r="I27" i="18"/>
  <c r="J27" i="18"/>
  <c r="H27" i="18"/>
  <c r="G28" i="18" l="1"/>
  <c r="F29" i="18"/>
  <c r="H28" i="18"/>
  <c r="I28" i="18"/>
  <c r="J28" i="18"/>
  <c r="F30" i="18" l="1"/>
  <c r="G29" i="18"/>
  <c r="H29" i="18"/>
  <c r="I29" i="18"/>
  <c r="J29" i="18"/>
  <c r="G30" i="18" l="1"/>
  <c r="F31" i="18"/>
  <c r="J30" i="18"/>
  <c r="H30" i="18"/>
  <c r="I30" i="18"/>
  <c r="F32" i="18" l="1"/>
  <c r="G31" i="18"/>
  <c r="I31" i="18"/>
  <c r="J31" i="18"/>
  <c r="H31" i="18"/>
  <c r="F33" i="18" l="1"/>
  <c r="G32" i="18"/>
  <c r="H32" i="18"/>
  <c r="J32" i="18"/>
  <c r="I32" i="18"/>
  <c r="G33" i="18" l="1"/>
  <c r="J33" i="18" s="1"/>
  <c r="F34" i="18"/>
  <c r="I33" i="18"/>
  <c r="H33" i="18"/>
  <c r="F35" i="18" l="1"/>
  <c r="G34" i="18"/>
  <c r="J34" i="18"/>
  <c r="H34" i="18"/>
  <c r="I34" i="18"/>
  <c r="F36" i="18" l="1"/>
  <c r="G35" i="18"/>
  <c r="J35" i="18"/>
  <c r="H35" i="18"/>
  <c r="I35" i="18"/>
  <c r="F37" i="18" l="1"/>
  <c r="G36" i="18"/>
  <c r="H36" i="18"/>
  <c r="I36" i="18"/>
  <c r="J36" i="18"/>
  <c r="F38" i="18" l="1"/>
  <c r="G37" i="18"/>
  <c r="H37" i="18"/>
  <c r="I37" i="18"/>
  <c r="J37" i="18"/>
  <c r="F39" i="18" l="1"/>
  <c r="G38" i="18"/>
  <c r="I38" i="18"/>
  <c r="H38" i="18"/>
  <c r="J38" i="18"/>
  <c r="F40" i="18" l="1"/>
  <c r="G39" i="18"/>
  <c r="I39" i="18"/>
  <c r="H39" i="18"/>
  <c r="J39" i="18"/>
  <c r="G40" i="18" l="1"/>
  <c r="F41" i="18"/>
  <c r="J40" i="18"/>
  <c r="H40" i="18"/>
  <c r="I40" i="18"/>
  <c r="F42" i="18" l="1"/>
  <c r="G41" i="18"/>
  <c r="I41" i="18"/>
  <c r="J41" i="18"/>
  <c r="H41" i="18"/>
  <c r="F43" i="18" l="1"/>
  <c r="G42" i="18"/>
  <c r="I42" i="18"/>
  <c r="H42" i="18"/>
  <c r="J42" i="18"/>
  <c r="G43" i="18" l="1"/>
  <c r="I43" i="18" s="1"/>
  <c r="F44" i="18"/>
  <c r="J43" i="18"/>
  <c r="H43" i="18"/>
  <c r="F45" i="18" l="1"/>
  <c r="G44" i="18"/>
  <c r="J44" i="18"/>
  <c r="I44" i="18"/>
  <c r="H44" i="18"/>
  <c r="F46" i="18" l="1"/>
  <c r="G45" i="18"/>
  <c r="J45" i="18"/>
  <c r="H45" i="18"/>
  <c r="I45" i="18"/>
  <c r="G46" i="18" l="1"/>
  <c r="F47" i="18"/>
  <c r="J46" i="18"/>
  <c r="I46" i="18"/>
  <c r="H46" i="18"/>
  <c r="F48" i="18" l="1"/>
  <c r="G47" i="18"/>
  <c r="J47" i="18"/>
  <c r="I47" i="18"/>
  <c r="H47" i="18"/>
  <c r="F49" i="18" l="1"/>
  <c r="G48" i="18"/>
  <c r="H48" i="18"/>
  <c r="J48" i="18"/>
  <c r="I48" i="18"/>
  <c r="G49" i="18" l="1"/>
  <c r="F50" i="18"/>
  <c r="I49" i="18"/>
  <c r="J49" i="18"/>
  <c r="H49" i="18"/>
  <c r="F51" i="18" l="1"/>
  <c r="G50" i="18"/>
  <c r="I50" i="18"/>
  <c r="H50" i="18"/>
  <c r="J50" i="18"/>
  <c r="F52" i="18" l="1"/>
  <c r="G51" i="18"/>
  <c r="J51" i="18"/>
  <c r="I51" i="18"/>
  <c r="H51" i="18"/>
  <c r="F53" i="18" l="1"/>
  <c r="G52" i="18"/>
  <c r="J52" i="18"/>
  <c r="I52" i="18"/>
  <c r="H52" i="18"/>
  <c r="G53" i="18" l="1"/>
  <c r="F54" i="18"/>
  <c r="I53" i="18"/>
  <c r="J53" i="18"/>
  <c r="H53" i="18"/>
  <c r="F55" i="18" l="1"/>
  <c r="G54" i="18"/>
  <c r="H54" i="18" s="1"/>
  <c r="I54" i="18"/>
  <c r="J54" i="18" l="1"/>
  <c r="F56" i="18"/>
  <c r="G55" i="18"/>
  <c r="J55" i="18" s="1"/>
  <c r="H55" i="18"/>
  <c r="I55" i="18" l="1"/>
  <c r="G56" i="18"/>
  <c r="F57" i="18"/>
  <c r="H56" i="18"/>
  <c r="J56" i="18"/>
  <c r="I56" i="18"/>
  <c r="F58" i="18" l="1"/>
  <c r="G57" i="18"/>
  <c r="H57" i="18"/>
  <c r="J57" i="18"/>
  <c r="I57" i="18"/>
  <c r="F59" i="18" l="1"/>
  <c r="G58" i="18"/>
  <c r="I58" i="18"/>
  <c r="H58" i="18"/>
  <c r="J58" i="18"/>
  <c r="G59" i="18" l="1"/>
  <c r="F60" i="18"/>
  <c r="H59" i="18"/>
  <c r="J59" i="18"/>
  <c r="I59" i="18"/>
  <c r="F61" i="18" l="1"/>
  <c r="G60" i="18"/>
  <c r="H60" i="18"/>
  <c r="I60" i="18"/>
  <c r="J60" i="18"/>
  <c r="F62" i="18" l="1"/>
  <c r="G61" i="18"/>
  <c r="I61" i="18"/>
  <c r="H61" i="18"/>
  <c r="J61" i="18"/>
  <c r="G62" i="18" l="1"/>
  <c r="F63" i="18"/>
  <c r="I62" i="18"/>
  <c r="J62" i="18"/>
  <c r="H62" i="18"/>
  <c r="F64" i="18" l="1"/>
  <c r="G63" i="18"/>
  <c r="J63" i="18"/>
  <c r="I63" i="18"/>
  <c r="H63" i="18"/>
  <c r="F65" i="18" l="1"/>
  <c r="G64" i="18"/>
  <c r="J64" i="18"/>
  <c r="H64" i="18"/>
  <c r="I64" i="18"/>
  <c r="G65" i="18" l="1"/>
  <c r="F66" i="18"/>
  <c r="H65" i="18"/>
  <c r="J65" i="18"/>
  <c r="I65" i="18"/>
  <c r="F67" i="18" l="1"/>
  <c r="G66" i="18"/>
  <c r="I66" i="18"/>
  <c r="H66" i="18"/>
  <c r="J66" i="18"/>
  <c r="F68" i="18" l="1"/>
  <c r="G67" i="18"/>
  <c r="J67" i="18"/>
  <c r="I67" i="18"/>
  <c r="H67" i="18"/>
  <c r="F69" i="18" l="1"/>
  <c r="G68" i="18"/>
  <c r="I68" i="18"/>
  <c r="H68" i="18"/>
  <c r="J68" i="18"/>
  <c r="F70" i="18" l="1"/>
  <c r="G69" i="18"/>
  <c r="J69" i="18"/>
  <c r="I69" i="18"/>
  <c r="H69" i="18"/>
  <c r="F71" i="18" l="1"/>
  <c r="G70" i="18"/>
  <c r="H70" i="18"/>
  <c r="J70" i="18"/>
  <c r="I70" i="18"/>
  <c r="F72" i="18" l="1"/>
  <c r="G71" i="18"/>
  <c r="J71" i="18"/>
  <c r="H71" i="18"/>
  <c r="I71" i="18"/>
  <c r="G72" i="18" l="1"/>
  <c r="F73" i="18"/>
  <c r="H72" i="18"/>
  <c r="I72" i="18"/>
  <c r="J72" i="18"/>
  <c r="F74" i="18" l="1"/>
  <c r="G73" i="18"/>
  <c r="H73" i="18"/>
  <c r="I73" i="18"/>
  <c r="J73" i="18"/>
  <c r="F75" i="18" l="1"/>
  <c r="G74" i="18"/>
  <c r="H74" i="18"/>
  <c r="J74" i="18"/>
  <c r="I74" i="18"/>
  <c r="G75" i="18" l="1"/>
  <c r="F76" i="18"/>
  <c r="J75" i="18"/>
  <c r="I75" i="18"/>
  <c r="H75" i="18"/>
  <c r="F77" i="18" l="1"/>
  <c r="G76" i="18"/>
  <c r="I76" i="18"/>
  <c r="H76" i="18"/>
  <c r="J76" i="18"/>
  <c r="F78" i="18" l="1"/>
  <c r="G77" i="18"/>
  <c r="H77" i="18"/>
  <c r="J77" i="18"/>
  <c r="I77" i="18"/>
  <c r="G78" i="18" l="1"/>
  <c r="F79" i="18"/>
  <c r="J78" i="18"/>
  <c r="I78" i="18"/>
  <c r="H78" i="18"/>
  <c r="F80" i="18" l="1"/>
  <c r="G79" i="18"/>
  <c r="J79" i="18"/>
  <c r="H79" i="18"/>
  <c r="I79" i="18"/>
  <c r="F81" i="18" l="1"/>
  <c r="G80" i="18"/>
  <c r="H80" i="18"/>
  <c r="J80" i="18"/>
  <c r="I80" i="18"/>
  <c r="G81" i="18" l="1"/>
  <c r="F82" i="18"/>
  <c r="H81" i="18"/>
  <c r="J81" i="18"/>
  <c r="I81" i="18"/>
  <c r="F83" i="18" l="1"/>
  <c r="G82" i="18"/>
  <c r="J82" i="18" s="1"/>
  <c r="I82" i="18"/>
  <c r="H82" i="18"/>
  <c r="F84" i="18" l="1"/>
  <c r="G83" i="18"/>
  <c r="J83" i="18"/>
  <c r="I83" i="18"/>
  <c r="H83" i="18"/>
  <c r="F85" i="18" l="1"/>
  <c r="G84" i="18"/>
  <c r="I84" i="18"/>
  <c r="H84" i="18"/>
  <c r="J84" i="18"/>
  <c r="G85" i="18" l="1"/>
  <c r="F86" i="18"/>
  <c r="H85" i="18"/>
  <c r="I85" i="18"/>
  <c r="J85" i="18"/>
  <c r="F87" i="18" l="1"/>
  <c r="G86" i="18"/>
  <c r="J86" i="18"/>
  <c r="I86" i="18"/>
  <c r="H86" i="18"/>
  <c r="F88" i="18" l="1"/>
  <c r="G87" i="18"/>
  <c r="I87" i="18"/>
  <c r="H87" i="18"/>
  <c r="J87" i="18"/>
  <c r="G88" i="18" l="1"/>
  <c r="F89" i="18"/>
  <c r="J88" i="18"/>
  <c r="H88" i="18"/>
  <c r="I88" i="18"/>
  <c r="F90" i="18" l="1"/>
  <c r="G89" i="18"/>
  <c r="H89" i="18"/>
  <c r="I89" i="18"/>
  <c r="J89" i="18"/>
  <c r="F91" i="18" l="1"/>
  <c r="G90" i="18"/>
  <c r="J90" i="18"/>
  <c r="I90" i="18"/>
  <c r="H90" i="18"/>
  <c r="G91" i="18" l="1"/>
  <c r="F92" i="18"/>
  <c r="J91" i="18"/>
  <c r="H91" i="18"/>
  <c r="I91" i="18"/>
  <c r="F93" i="18" l="1"/>
  <c r="G92" i="18"/>
  <c r="H92" i="18"/>
  <c r="J92" i="18"/>
  <c r="I92" i="18"/>
  <c r="F94" i="18" l="1"/>
  <c r="G93" i="18"/>
  <c r="H93" i="18"/>
  <c r="J93" i="18"/>
  <c r="I93" i="18"/>
  <c r="G94" i="18" l="1"/>
  <c r="F95" i="18"/>
  <c r="I94" i="18"/>
  <c r="H94" i="18"/>
  <c r="J94" i="18"/>
  <c r="F96" i="18" l="1"/>
  <c r="G95" i="18"/>
  <c r="H95" i="18"/>
  <c r="I95" i="18"/>
  <c r="J95" i="18"/>
  <c r="F97" i="18" l="1"/>
  <c r="G96" i="18"/>
  <c r="I96" i="18"/>
  <c r="H96" i="18"/>
  <c r="J96" i="18"/>
  <c r="G97" i="18" l="1"/>
  <c r="F98" i="18"/>
  <c r="I97" i="18"/>
  <c r="J97" i="18"/>
  <c r="H97" i="18"/>
  <c r="F99" i="18" l="1"/>
  <c r="G98" i="18"/>
  <c r="J98" i="18"/>
  <c r="H98" i="18"/>
  <c r="I98" i="18"/>
  <c r="F100" i="18" l="1"/>
  <c r="G99" i="18"/>
  <c r="J99" i="18"/>
  <c r="H99" i="18"/>
  <c r="I99" i="18"/>
  <c r="F101" i="18" l="1"/>
  <c r="G100" i="18"/>
  <c r="I100" i="18"/>
  <c r="H100" i="18"/>
  <c r="J100" i="18"/>
  <c r="F102" i="18" l="1"/>
  <c r="G101" i="18"/>
  <c r="I101" i="18"/>
  <c r="H101" i="18"/>
  <c r="J101" i="18"/>
  <c r="F103" i="18" l="1"/>
  <c r="G102" i="18"/>
  <c r="I102" i="18"/>
  <c r="J102" i="18"/>
  <c r="H102" i="18"/>
  <c r="F104" i="18" l="1"/>
  <c r="G103" i="18"/>
  <c r="H103" i="18"/>
  <c r="J103" i="18"/>
  <c r="I103" i="18"/>
  <c r="G104" i="18" l="1"/>
  <c r="F105" i="18"/>
  <c r="J104" i="18"/>
  <c r="H104" i="18"/>
  <c r="I104" i="18"/>
  <c r="F106" i="18" l="1"/>
  <c r="G105" i="18"/>
  <c r="I105" i="18"/>
  <c r="H105" i="18"/>
  <c r="J105" i="18"/>
  <c r="F107" i="18" l="1"/>
  <c r="G106" i="18"/>
  <c r="I106" i="18"/>
  <c r="H106" i="18"/>
  <c r="J106" i="18"/>
  <c r="G107" i="18" l="1"/>
  <c r="F108" i="18"/>
  <c r="J107" i="18"/>
  <c r="I107" i="18"/>
  <c r="H107" i="18"/>
  <c r="F109" i="18" l="1"/>
  <c r="G108" i="18"/>
  <c r="H108" i="18"/>
  <c r="J108" i="18"/>
  <c r="I108" i="18"/>
  <c r="F110" i="18" l="1"/>
  <c r="G109" i="18"/>
  <c r="J109" i="18"/>
  <c r="H109" i="18"/>
  <c r="I109" i="18"/>
  <c r="G110" i="18" l="1"/>
  <c r="F111" i="18"/>
  <c r="H110" i="18"/>
  <c r="J110" i="18"/>
  <c r="I110" i="18"/>
  <c r="F112" i="18" l="1"/>
  <c r="G111" i="18"/>
  <c r="I111" i="18" s="1"/>
  <c r="J111" i="18"/>
  <c r="H111" i="18"/>
  <c r="F113" i="18" l="1"/>
  <c r="G112" i="18"/>
  <c r="I112" i="18"/>
  <c r="H112" i="18"/>
  <c r="J112" i="18"/>
  <c r="G113" i="18" l="1"/>
  <c r="I113" i="18" s="1"/>
  <c r="F114" i="18"/>
  <c r="J113" i="18"/>
  <c r="H113" i="18" l="1"/>
  <c r="F115" i="18"/>
  <c r="G114" i="18"/>
  <c r="J114" i="18"/>
  <c r="I114" i="18"/>
  <c r="H114" i="18"/>
  <c r="F116" i="18" l="1"/>
  <c r="G115" i="18"/>
  <c r="H115" i="18"/>
  <c r="J115" i="18"/>
  <c r="I115" i="18"/>
  <c r="F117" i="18" l="1"/>
  <c r="G116" i="18"/>
  <c r="I116" i="18"/>
  <c r="J116" i="18"/>
  <c r="H116" i="18"/>
  <c r="F118" i="18" l="1"/>
  <c r="G117" i="18"/>
  <c r="J117" i="18"/>
  <c r="H117" i="18"/>
  <c r="I117" i="18"/>
  <c r="F119" i="18" l="1"/>
  <c r="G118" i="18"/>
  <c r="I118" i="18"/>
  <c r="H118" i="18"/>
  <c r="J118" i="18"/>
  <c r="F120" i="18" l="1"/>
  <c r="G119" i="18"/>
  <c r="H119" i="18"/>
  <c r="I119" i="18"/>
  <c r="J119" i="18"/>
  <c r="G120" i="18" l="1"/>
  <c r="F121" i="18"/>
  <c r="H120" i="18"/>
  <c r="I120" i="18"/>
  <c r="J120" i="18"/>
  <c r="F122" i="18" l="1"/>
  <c r="G121" i="18"/>
  <c r="H121" i="18"/>
  <c r="I121" i="18"/>
  <c r="J121" i="18"/>
  <c r="F123" i="18" l="1"/>
  <c r="G122" i="18"/>
  <c r="I122" i="18"/>
  <c r="J122" i="18"/>
  <c r="H122" i="18"/>
  <c r="G123" i="18" l="1"/>
  <c r="F124" i="18"/>
  <c r="J123" i="18"/>
  <c r="I123" i="18"/>
  <c r="H123" i="18"/>
  <c r="F125" i="18" l="1"/>
  <c r="G124" i="18"/>
  <c r="J124" i="18"/>
  <c r="H124" i="18"/>
  <c r="I124" i="18"/>
  <c r="F126" i="18" l="1"/>
  <c r="G125" i="18"/>
  <c r="H125" i="18"/>
  <c r="J125" i="18"/>
  <c r="I125" i="18"/>
  <c r="G126" i="18" l="1"/>
  <c r="F127" i="18"/>
  <c r="J126" i="18"/>
  <c r="H126" i="18"/>
  <c r="I126" i="18"/>
  <c r="F128" i="18" l="1"/>
  <c r="G127" i="18"/>
  <c r="H127" i="18"/>
  <c r="J127" i="18"/>
  <c r="I127" i="18"/>
  <c r="F129" i="18" l="1"/>
  <c r="G128" i="18"/>
  <c r="H128" i="18"/>
  <c r="J128" i="18"/>
  <c r="I128" i="18"/>
  <c r="G129" i="18" l="1"/>
  <c r="F130" i="18"/>
  <c r="I129" i="18"/>
  <c r="J129" i="18"/>
  <c r="H129" i="18"/>
  <c r="F131" i="18" l="1"/>
  <c r="G130" i="18"/>
  <c r="J130" i="18"/>
  <c r="H130" i="18"/>
  <c r="I130" i="18"/>
  <c r="F132" i="18" l="1"/>
  <c r="G131" i="18"/>
  <c r="I131" i="18"/>
  <c r="J131" i="18"/>
  <c r="H131" i="18"/>
  <c r="F133" i="18" l="1"/>
  <c r="G132" i="18"/>
  <c r="H132" i="18"/>
  <c r="I132" i="18"/>
  <c r="J132" i="18"/>
  <c r="F134" i="18" l="1"/>
  <c r="G133" i="18"/>
  <c r="J133" i="18"/>
  <c r="H133" i="18"/>
  <c r="I133" i="18"/>
  <c r="F135" i="18" l="1"/>
  <c r="G134" i="18"/>
  <c r="J134" i="18"/>
  <c r="I134" i="18"/>
  <c r="H134" i="18"/>
  <c r="F136" i="18" l="1"/>
  <c r="G135" i="18"/>
  <c r="H135" i="18"/>
  <c r="J135" i="18"/>
  <c r="I135" i="18"/>
  <c r="G136" i="18" l="1"/>
  <c r="F137" i="18"/>
  <c r="J136" i="18"/>
  <c r="H136" i="18"/>
  <c r="I136" i="18"/>
  <c r="F138" i="18" l="1"/>
  <c r="G137" i="18"/>
  <c r="H137" i="18"/>
  <c r="J137" i="18"/>
  <c r="I137" i="18"/>
  <c r="F139" i="18" l="1"/>
  <c r="G138" i="18"/>
  <c r="I138" i="18"/>
  <c r="H138" i="18"/>
  <c r="J138" i="18"/>
  <c r="G139" i="18" l="1"/>
  <c r="F140" i="18"/>
  <c r="I139" i="18"/>
  <c r="H139" i="18"/>
  <c r="J139" i="18"/>
  <c r="F141" i="18" l="1"/>
  <c r="G140" i="18"/>
  <c r="I140" i="18"/>
  <c r="H140" i="18"/>
  <c r="J140" i="18"/>
  <c r="F142" i="18" l="1"/>
  <c r="G141" i="18"/>
  <c r="H141" i="18"/>
  <c r="J141" i="18"/>
  <c r="I141" i="18"/>
  <c r="G142" i="18" l="1"/>
  <c r="F143" i="18"/>
  <c r="I142" i="18"/>
  <c r="H142" i="18"/>
  <c r="J142" i="18"/>
  <c r="F144" i="18" l="1"/>
  <c r="G143" i="18"/>
  <c r="H143" i="18"/>
  <c r="I143" i="18"/>
  <c r="J143" i="18"/>
  <c r="F145" i="18" l="1"/>
  <c r="G144" i="18"/>
  <c r="J144" i="18"/>
  <c r="H144" i="18"/>
  <c r="I144" i="18"/>
  <c r="G145" i="18" l="1"/>
  <c r="F146" i="18"/>
  <c r="J145" i="18"/>
  <c r="H145" i="18"/>
  <c r="I145" i="18"/>
  <c r="F147" i="18" l="1"/>
  <c r="G146" i="18"/>
  <c r="H146" i="18"/>
  <c r="I146" i="18"/>
  <c r="J146" i="18"/>
  <c r="F148" i="18" l="1"/>
  <c r="G147" i="18"/>
  <c r="H147" i="18"/>
  <c r="J147" i="18"/>
  <c r="I147" i="18"/>
  <c r="F149" i="18" l="1"/>
  <c r="G148" i="18"/>
  <c r="I148" i="18"/>
  <c r="J148" i="18"/>
  <c r="H148" i="18"/>
  <c r="G149" i="18" l="1"/>
  <c r="F150" i="18"/>
  <c r="J149" i="18"/>
  <c r="I149" i="18"/>
  <c r="H149" i="18"/>
  <c r="F151" i="18" l="1"/>
  <c r="G150" i="18"/>
  <c r="H150" i="18"/>
  <c r="I150" i="18"/>
  <c r="J150" i="18"/>
  <c r="F152" i="18" l="1"/>
  <c r="G151" i="18"/>
  <c r="J151" i="18"/>
  <c r="H151" i="18"/>
  <c r="I151" i="18"/>
  <c r="G152" i="18" l="1"/>
  <c r="F153" i="18"/>
  <c r="J152" i="18"/>
  <c r="H152" i="18"/>
  <c r="I152" i="18"/>
  <c r="F154" i="18" l="1"/>
  <c r="G153" i="18"/>
  <c r="J153" i="18"/>
  <c r="H153" i="18"/>
  <c r="I153" i="18"/>
  <c r="F155" i="18" l="1"/>
  <c r="G154" i="18"/>
  <c r="H154" i="18"/>
  <c r="J154" i="18"/>
  <c r="I154" i="18"/>
  <c r="G155" i="18" l="1"/>
  <c r="F156" i="18"/>
  <c r="I155" i="18"/>
  <c r="H155" i="18"/>
  <c r="J155" i="18"/>
  <c r="F157" i="18" l="1"/>
  <c r="G156" i="18"/>
  <c r="I156" i="18"/>
  <c r="H156" i="18"/>
  <c r="J156" i="18"/>
  <c r="F158" i="18" l="1"/>
  <c r="G157" i="18"/>
  <c r="I157" i="18"/>
  <c r="H157" i="18"/>
  <c r="J157" i="18"/>
  <c r="G158" i="18" l="1"/>
  <c r="F159" i="18"/>
  <c r="J158" i="18"/>
  <c r="I158" i="18"/>
  <c r="H158" i="18"/>
  <c r="F160" i="18" l="1"/>
  <c r="G159" i="18"/>
  <c r="H159" i="18"/>
  <c r="J159" i="18"/>
  <c r="I159" i="18"/>
  <c r="F161" i="18" l="1"/>
  <c r="G160" i="18"/>
  <c r="H160" i="18"/>
  <c r="I160" i="18"/>
  <c r="J160" i="18"/>
  <c r="G161" i="18" l="1"/>
  <c r="F162" i="18"/>
  <c r="H161" i="18"/>
  <c r="I161" i="18"/>
  <c r="J161" i="18"/>
  <c r="F163" i="18" l="1"/>
  <c r="G162" i="18"/>
  <c r="I162" i="18"/>
  <c r="J162" i="18"/>
  <c r="H162" i="18"/>
  <c r="F164" i="18" l="1"/>
  <c r="G163" i="18"/>
  <c r="J163" i="18"/>
  <c r="I163" i="18"/>
  <c r="H163" i="18"/>
  <c r="F165" i="18" l="1"/>
  <c r="G164" i="18"/>
  <c r="I164" i="18"/>
  <c r="H164" i="18"/>
  <c r="J164" i="18"/>
  <c r="F166" i="18" l="1"/>
  <c r="G165" i="18"/>
  <c r="J165" i="18"/>
  <c r="I165" i="18"/>
  <c r="H165" i="18"/>
  <c r="F167" i="18" l="1"/>
  <c r="G166" i="18"/>
  <c r="H166" i="18"/>
  <c r="I166" i="18"/>
  <c r="J166" i="18"/>
  <c r="F168" i="18" l="1"/>
  <c r="G167" i="18"/>
  <c r="J167" i="18"/>
  <c r="I167" i="18"/>
  <c r="H167" i="18"/>
  <c r="G168" i="18" l="1"/>
  <c r="F169" i="18"/>
  <c r="J168" i="18"/>
  <c r="I168" i="18"/>
  <c r="H168" i="18"/>
  <c r="F170" i="18" l="1"/>
  <c r="G169" i="18"/>
  <c r="H169" i="18"/>
  <c r="J169" i="18"/>
  <c r="I169" i="18"/>
  <c r="F171" i="18" l="1"/>
  <c r="G170" i="18"/>
  <c r="J170" i="18"/>
  <c r="I170" i="18"/>
  <c r="H170" i="18"/>
  <c r="G171" i="18" l="1"/>
  <c r="F172" i="18"/>
  <c r="I171" i="18"/>
  <c r="H171" i="18"/>
  <c r="J171" i="18"/>
  <c r="F173" i="18" l="1"/>
  <c r="G172" i="18"/>
  <c r="J172" i="18"/>
  <c r="I172" i="18"/>
  <c r="H172" i="18"/>
  <c r="F174" i="18" l="1"/>
  <c r="G173" i="18"/>
  <c r="H173" i="18"/>
  <c r="J173" i="18"/>
  <c r="I173" i="18"/>
  <c r="G174" i="18" l="1"/>
  <c r="F175" i="18"/>
  <c r="H174" i="18"/>
  <c r="J174" i="18"/>
  <c r="I174" i="18"/>
  <c r="F176" i="18" l="1"/>
  <c r="G175" i="18"/>
  <c r="I175" i="18"/>
  <c r="J175" i="18"/>
  <c r="H175" i="18"/>
  <c r="F177" i="18" l="1"/>
  <c r="G176" i="18"/>
  <c r="I176" i="18"/>
  <c r="J176" i="18"/>
  <c r="H176" i="18"/>
  <c r="G177" i="18" l="1"/>
  <c r="F178" i="18"/>
  <c r="J177" i="18"/>
  <c r="I177" i="18"/>
  <c r="H177" i="18"/>
  <c r="F179" i="18" l="1"/>
  <c r="G178" i="18"/>
  <c r="H178" i="18"/>
  <c r="J178" i="18"/>
  <c r="I178" i="18"/>
  <c r="F180" i="18" l="1"/>
  <c r="G179" i="18"/>
  <c r="J179" i="18"/>
  <c r="H179" i="18"/>
  <c r="I179" i="18"/>
  <c r="F181" i="18" l="1"/>
  <c r="G180" i="18"/>
  <c r="H180" i="18"/>
  <c r="I180" i="18"/>
  <c r="J180" i="18"/>
  <c r="F182" i="18" l="1"/>
  <c r="G181" i="18"/>
  <c r="H181" i="18"/>
  <c r="I181" i="18"/>
  <c r="J181" i="18"/>
  <c r="F183" i="18" l="1"/>
  <c r="G182" i="18"/>
  <c r="H182" i="18"/>
  <c r="I182" i="18"/>
  <c r="J182" i="18"/>
  <c r="F184" i="18" l="1"/>
  <c r="G183" i="18"/>
  <c r="H183" i="18"/>
  <c r="J183" i="18"/>
  <c r="I183" i="18"/>
  <c r="G184" i="18" l="1"/>
  <c r="F185" i="18"/>
  <c r="J184" i="18"/>
  <c r="H184" i="18"/>
  <c r="I184" i="18"/>
  <c r="F186" i="18" l="1"/>
  <c r="G185" i="18"/>
  <c r="J185" i="18"/>
  <c r="H185" i="18"/>
  <c r="I185" i="18"/>
  <c r="F187" i="18" l="1"/>
  <c r="G186" i="18"/>
  <c r="H186" i="18"/>
  <c r="I186" i="18"/>
  <c r="J186" i="18"/>
  <c r="G187" i="18" l="1"/>
  <c r="F188" i="18"/>
  <c r="H187" i="18"/>
  <c r="I187" i="18"/>
  <c r="J187" i="18"/>
  <c r="F189" i="18" l="1"/>
  <c r="G188" i="18"/>
  <c r="J188" i="18"/>
  <c r="I188" i="18"/>
  <c r="H188" i="18"/>
  <c r="F190" i="18" l="1"/>
  <c r="G189" i="18"/>
  <c r="H189" i="18"/>
  <c r="J189" i="18"/>
  <c r="I189" i="18"/>
  <c r="G190" i="18" l="1"/>
  <c r="F191" i="18"/>
  <c r="J190" i="18"/>
  <c r="H190" i="18"/>
  <c r="I190" i="18"/>
  <c r="F192" i="18" l="1"/>
  <c r="G191" i="18"/>
  <c r="H191" i="18"/>
  <c r="I191" i="18"/>
  <c r="J191" i="18"/>
  <c r="F193" i="18" l="1"/>
  <c r="G192" i="18"/>
  <c r="H192" i="18"/>
  <c r="J192" i="18"/>
  <c r="I192" i="18"/>
  <c r="G193" i="18" l="1"/>
  <c r="F194" i="18"/>
  <c r="I193" i="18"/>
  <c r="H193" i="18"/>
  <c r="J193" i="18"/>
  <c r="F195" i="18" l="1"/>
  <c r="G194" i="18"/>
  <c r="J194" i="18"/>
  <c r="I194" i="18"/>
  <c r="H194" i="18"/>
  <c r="F196" i="18" l="1"/>
  <c r="G195" i="18"/>
  <c r="H195" i="18"/>
  <c r="I195" i="18"/>
  <c r="J195" i="18"/>
  <c r="F197" i="18" l="1"/>
  <c r="G196" i="18"/>
  <c r="J196" i="18"/>
  <c r="I196" i="18"/>
  <c r="H196" i="18"/>
  <c r="F198" i="18" l="1"/>
  <c r="G197" i="18"/>
  <c r="I197" i="18"/>
  <c r="H197" i="18"/>
  <c r="J197" i="18"/>
  <c r="F199" i="18" l="1"/>
  <c r="G198" i="18"/>
  <c r="I198" i="18"/>
  <c r="H198" i="18"/>
  <c r="J198" i="18"/>
  <c r="F200" i="18" l="1"/>
  <c r="G199" i="18"/>
  <c r="H199" i="18"/>
  <c r="J199" i="18"/>
  <c r="I199" i="18"/>
  <c r="G200" i="18" l="1"/>
  <c r="F201" i="18"/>
  <c r="H200" i="18"/>
  <c r="J200" i="18"/>
  <c r="I200" i="18"/>
  <c r="G201" i="18" l="1"/>
  <c r="F202" i="18"/>
  <c r="J201" i="18"/>
  <c r="H201" i="18"/>
  <c r="I201" i="18"/>
  <c r="F203" i="18" l="1"/>
  <c r="G202" i="18"/>
  <c r="I202" i="18"/>
  <c r="J202" i="18"/>
  <c r="H202" i="18"/>
  <c r="G203" i="18" l="1"/>
  <c r="F204" i="18"/>
  <c r="H203" i="18"/>
  <c r="J203" i="18"/>
  <c r="I203" i="18"/>
  <c r="F205" i="18" l="1"/>
  <c r="G204" i="18"/>
  <c r="J204" i="18"/>
  <c r="H204" i="18"/>
  <c r="I204" i="18"/>
  <c r="F206" i="18" l="1"/>
  <c r="G205" i="18"/>
  <c r="J205" i="18"/>
  <c r="H205" i="18"/>
  <c r="I205" i="18"/>
  <c r="G206" i="18" l="1"/>
  <c r="F207" i="18"/>
  <c r="H206" i="18"/>
  <c r="I206" i="18"/>
  <c r="J206" i="18"/>
  <c r="F208" i="18" l="1"/>
  <c r="G207" i="18"/>
  <c r="H207" i="18"/>
  <c r="I207" i="18"/>
  <c r="J207" i="18"/>
  <c r="F209" i="18" l="1"/>
  <c r="G208" i="18"/>
  <c r="H208" i="18"/>
  <c r="J208" i="18"/>
  <c r="I208" i="18"/>
  <c r="G209" i="18" l="1"/>
  <c r="I209" i="18"/>
  <c r="J209" i="18"/>
  <c r="H209"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<sst xmlns="http://schemas.openxmlformats.org/spreadsheetml/2006/main" count="257" uniqueCount="159">
  <si>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</si>
  <si>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</si>
  <si>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</si>
  <si>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</si>
  <si>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</si>
  <si>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min</t>
  </si>
  <si>
    <t>max</t>
  </si>
  <si>
    <t>Inputs</t>
  </si>
  <si>
    <t>Azimuth</t>
  </si>
  <si>
    <t>Altitude</t>
  </si>
  <si>
    <t>RA</t>
  </si>
  <si>
    <t>Decl</t>
  </si>
  <si>
    <t>HA</t>
  </si>
  <si>
    <t>Date</t>
  </si>
  <si>
    <t>Time</t>
  </si>
  <si>
    <t>Timezone</t>
  </si>
  <si>
    <t>Leap year?</t>
  </si>
  <si>
    <t>Day nr.</t>
  </si>
  <si>
    <t>Weekday</t>
  </si>
  <si>
    <t>JDE</t>
  </si>
  <si>
    <t>Delta days</t>
  </si>
  <si>
    <t>φ    (latitude)</t>
  </si>
  <si>
    <t>L     (longitude)</t>
  </si>
  <si>
    <t>UT  (hours)</t>
  </si>
  <si>
    <t>LST (degrees)</t>
  </si>
  <si>
    <t>Date, time, location</t>
  </si>
  <si>
    <t>Field of view limits (azimuth, altitude)</t>
  </si>
  <si>
    <t>Visible objects (based on criteria)</t>
  </si>
  <si>
    <t>Location</t>
  </si>
  <si>
    <t>Home</t>
  </si>
  <si>
    <t>Marker name</t>
  </si>
  <si>
    <t>Observed?</t>
  </si>
  <si>
    <t>values</t>
  </si>
  <si>
    <t>x</t>
  </si>
  <si>
    <t>Can for instance be used to indicate whether an object is of special interest</t>
  </si>
  <si>
    <t>-</t>
  </si>
  <si>
    <t>Name</t>
  </si>
  <si>
    <t>Mag A</t>
  </si>
  <si>
    <t>Mag B</t>
  </si>
  <si>
    <t>Mag C</t>
  </si>
  <si>
    <t>Sep A-B</t>
  </si>
  <si>
    <t>Sep A-C</t>
  </si>
  <si>
    <t>STF 3053</t>
  </si>
  <si>
    <t>STF 157</t>
  </si>
  <si>
    <t>Iota Cas</t>
  </si>
  <si>
    <t>STF 270</t>
  </si>
  <si>
    <t>Pi Ari</t>
  </si>
  <si>
    <t>Tau4 Eri</t>
  </si>
  <si>
    <t>STF 430</t>
  </si>
  <si>
    <t>STT 64</t>
  </si>
  <si>
    <t>STF 479</t>
  </si>
  <si>
    <t>Mu Per</t>
  </si>
  <si>
    <t>14 Aur</t>
  </si>
  <si>
    <t>41 Lep</t>
  </si>
  <si>
    <t>STF 734</t>
  </si>
  <si>
    <t>Lambda Ori</t>
  </si>
  <si>
    <t>Iota Ori</t>
  </si>
  <si>
    <t>STF 780</t>
  </si>
  <si>
    <t>5 lyn</t>
  </si>
  <si>
    <t>10 Mon</t>
  </si>
  <si>
    <t>STF 915</t>
  </si>
  <si>
    <t>Beta Mon</t>
  </si>
  <si>
    <t>STF 939</t>
  </si>
  <si>
    <t>STF 941</t>
  </si>
  <si>
    <t>12 Lyn</t>
  </si>
  <si>
    <t>Bu 324</t>
  </si>
  <si>
    <t>HDO 198</t>
  </si>
  <si>
    <t>Bu 328</t>
  </si>
  <si>
    <t>Bu 575</t>
  </si>
  <si>
    <t>STF 1090</t>
  </si>
  <si>
    <t>STF 1126</t>
  </si>
  <si>
    <t>STF 1127</t>
  </si>
  <si>
    <t>Zeta Cnc</t>
  </si>
  <si>
    <t>Iota2 Cnc</t>
  </si>
  <si>
    <t>South 598</t>
  </si>
  <si>
    <t>7 LMi</t>
  </si>
  <si>
    <t>STF 1369</t>
  </si>
  <si>
    <t>STF 1473</t>
  </si>
  <si>
    <t>STF 1604</t>
  </si>
  <si>
    <t>STF 1619</t>
  </si>
  <si>
    <t>12 Com</t>
  </si>
  <si>
    <t>STF 1788</t>
  </si>
  <si>
    <t>Bu 225</t>
  </si>
  <si>
    <t>Xi Sco</t>
  </si>
  <si>
    <t>16/17 Dra</t>
  </si>
  <si>
    <t>STF 2087</t>
  </si>
  <si>
    <t>h 4926</t>
  </si>
  <si>
    <t>Bu 126</t>
  </si>
  <si>
    <t>H N 40</t>
  </si>
  <si>
    <t>RS Sgr</t>
  </si>
  <si>
    <t>Eta Sgr</t>
  </si>
  <si>
    <t>5 Aql</t>
  </si>
  <si>
    <t>STT 525</t>
  </si>
  <si>
    <t>h 5082</t>
  </si>
  <si>
    <t>STF 2466</t>
  </si>
  <si>
    <t>STT 371</t>
  </si>
  <si>
    <t>Theta Lyr</t>
  </si>
  <si>
    <t>h 2866</t>
  </si>
  <si>
    <t>STF 2532</t>
  </si>
  <si>
    <t>STT 388</t>
  </si>
  <si>
    <t>STT 390</t>
  </si>
  <si>
    <t>Theta Sge</t>
  </si>
  <si>
    <t>Alpha Cap</t>
  </si>
  <si>
    <t>Bu 987</t>
  </si>
  <si>
    <t>1 Aqr</t>
  </si>
  <si>
    <t>STT410</t>
  </si>
  <si>
    <t>Epsilon Equ</t>
  </si>
  <si>
    <t>STF 2790</t>
  </si>
  <si>
    <t>h 1647</t>
  </si>
  <si>
    <t>STF 2816</t>
  </si>
  <si>
    <t>h 5311</t>
  </si>
  <si>
    <t>41 Aqr</t>
  </si>
  <si>
    <t>H 119</t>
  </si>
  <si>
    <t>STT 485</t>
  </si>
  <si>
    <t>STF 3021</t>
  </si>
  <si>
    <t>Kappa And</t>
  </si>
  <si>
    <t>STF 3041</t>
  </si>
  <si>
    <t>6 Cas</t>
  </si>
  <si>
    <t>Delta Scl</t>
  </si>
  <si>
    <t>STF 3048</t>
  </si>
  <si>
    <r>
      <rPr>
        <b/>
        <sz val="14"/>
        <color theme="0"/>
        <rFont val="Calibri (Body)"/>
      </rPr>
      <t>Latest update</t>
    </r>
    <r>
      <rPr>
        <sz val="14"/>
        <color theme="0"/>
        <rFont val="Calibri (Body)"/>
      </rPr>
      <t>: 19th May, 2024</t>
    </r>
  </si>
  <si>
    <t>Many stars are binary stars with two stars orbiting their centre of mass. Solar systems can have more than two stars, but of these a triple system with three stars is the most common. An example is our nearest neighbour Alpha Centauri. This consists of a binary star system consisting of Alpha Centauri A and Alpha Centauri B. These are orbiting quite close to each other. The third star Proxima Centauri is smaller and orbits the other two at about 1'000 times the distance between the binary pair.This spreadsheet enables one to specify date/time/timezone and limits regarding the field of view (azimuth, altitude). The Triple Stars objects that are visible will be highlighted.</t>
  </si>
  <si>
    <t>Locations</t>
  </si>
  <si>
    <t>φ (latitude)</t>
  </si>
  <si>
    <t>L (longitude)</t>
  </si>
  <si>
    <t>DtoR</t>
  </si>
  <si>
    <t>Angle</t>
  </si>
  <si>
    <t>T</t>
  </si>
  <si>
    <t># points</t>
  </si>
  <si>
    <t>dgr</t>
  </si>
  <si>
    <t>D</t>
  </si>
  <si>
    <t>stepsize</t>
  </si>
  <si>
    <t>cos</t>
  </si>
  <si>
    <t>M</t>
  </si>
  <si>
    <t>minor semi axis</t>
  </si>
  <si>
    <t>M'</t>
  </si>
  <si>
    <t>major semi axis</t>
  </si>
  <si>
    <t>i</t>
  </si>
  <si>
    <t>k</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</si>
  <si>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</si>
  <si>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</si>
  <si>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</si>
  <si>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</si>
  <si>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</si>
  <si>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</si>
  <si>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</si>
  <si>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</si>
  <si>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</si>
  <si>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</si>
  <si>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</si>
  <si>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</si>
  <si>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</si>
  <si>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</si>
  <si>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</si>
  <si>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</si>
  <si>
    <t>V1.2</t>
  </si>
  <si>
    <t>include?</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</si>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</sst>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
  </numFmts>
  <fonts count="39">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theme="1"/>
      <name val="Calibri"/>
      <family val="2"/>
    </font>
    <font>
      <b/>
      <sz val="12"/>
      <color theme="1"/>
      <name val="Calibri"/>
      <family val="2"/>
    </font>
    <font>
      <sz val="12"/>
      <color rgb="FF000000"/>
      <name val="Calibri"/>
      <family val="2"/>
      <scheme val="minor"/>
    </font>
    <font>
      <sz val="12"/>
      <color rgb="FF000000"/>
      <name val="Calibri"/>
      <family val="2"/>
    </font>
    <font>
      <sz val="11"/>
      <name val="ＭＳ Ｐゴシック"/>
      <family val="2"/>
      <charset val="128"/>
    </font>
    <font>
      <sz val="12"/>
      <name val="Calibri"/>
      <family val="2"/>
    </font>
    <font>
      <b/>
      <sz val="12"/>
      <name val="Calibri"/>
      <family val="2"/>
    </font>
    <font>
      <sz val="12"/>
      <color rgb="FF202122"/>
      <name val="Calibri"/>
      <family val="2"/>
    </font>
    <font>
      <sz val="12"/>
      <color theme="0"/>
      <name val="Calibri (Body)"/>
    </font>
    <font>
      <sz val="12"/>
      <color theme="1"/>
      <name val="Calibri (Body)"/>
    </font>
    <font>
      <b/>
      <sz val="14"/>
      <color theme="1"/>
      <name val="Calibri"/>
      <family val="2"/>
      <scheme val="minor"/>
    </font>
    <font>
      <sz val="10"/>
      <color theme="1"/>
      <name val="Calibri"/>
      <family val="2"/>
      <scheme val="minor"/>
    </font>
    <font>
      <b/>
      <sz val="12"/>
      <color theme="1"/>
      <name val="Calibri"/>
      <family val="2"/>
      <scheme val="minor"/>
    </font>
    <font>
      <sz val="11"/>
      <color indexed="8"/>
      <name val="Helvetica Neue"/>
      <family val="2"/>
    </font>
    <font>
      <b/>
      <sz val="12"/>
      <color theme="0"/>
      <name val="Calibri"/>
      <family val="2"/>
    </font>
    <font>
      <sz val="10"/>
      <name val="Arial"/>
      <family val="2"/>
    </font>
    <font>
      <sz val="9"/>
      <color theme="1"/>
      <name val="Calibri"/>
      <family val="2"/>
      <scheme val="minor"/>
    </font>
    <font>
      <sz val="11"/>
      <color theme="1"/>
      <name val="Calibri"/>
      <family val="2"/>
      <charset val="238"/>
      <scheme val="minor"/>
    </font>
    <font>
      <vertAlign val="subscript"/>
      <sz val="12"/>
      <name val="Calibri"/>
      <family val="2"/>
    </font>
    <font>
      <b/>
      <sz val="12"/>
      <color rgb="FF000000"/>
      <name val="Calibri"/>
      <family val="2"/>
      <scheme val="minor"/>
    </font>
    <font>
      <sz val="12"/>
      <color rgb="FFFFFFFF"/>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rgb="FF000000"/>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indexed="64"/>
      </right>
      <top/>
      <bottom style="thin">
        <color indexed="64"/>
      </bottom>
      <diagonal/>
    </border>
  </borders>
  <cellStyleXfs count="52">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0"/>
    <xf numFmtId="0" fontId="10" fillId="0" borderId="0" applyNumberFormat="0" applyFill="0" applyBorder="0" applyAlignment="0" applyProtection="0"/>
    <xf numFmtId="0" fontId="6" fillId="0" borderId="0"/>
    <xf numFmtId="0" fontId="22" fillId="0" borderId="0"/>
    <xf numFmtId="0" fontId="5" fillId="0" borderId="0"/>
    <xf numFmtId="0" fontId="4" fillId="0" borderId="0"/>
    <xf numFmtId="0" fontId="31" fillId="0" borderId="0" applyNumberFormat="0" applyFill="0" applyBorder="0" applyProtection="0">
      <alignment vertical="top"/>
    </xf>
    <xf numFmtId="0" fontId="33" fillId="0" borderId="0"/>
    <xf numFmtId="0" fontId="34" fillId="0" borderId="0"/>
    <xf numFmtId="0" fontId="1" fillId="0" borderId="0"/>
    <xf numFmtId="0" fontId="35" fillId="0" borderId="0"/>
  </cellStyleXfs>
  <cellXfs count="174">
    <xf numFmtId="0" fontId="0" fillId="0" borderId="0" xfId="0"/>
    <xf numFmtId="0" fontId="12" fillId="2" borderId="1" xfId="41" applyFont="1" applyFill="1" applyBorder="1" applyAlignment="1">
      <alignment horizontal="left"/>
    </xf>
    <xf numFmtId="0" fontId="12" fillId="2" borderId="2" xfId="41" applyFont="1" applyFill="1" applyBorder="1" applyAlignment="1">
      <alignment horizontal="center"/>
    </xf>
    <xf numFmtId="0" fontId="12" fillId="2" borderId="2" xfId="41" applyFont="1" applyFill="1" applyBorder="1"/>
    <xf numFmtId="0" fontId="14" fillId="2" borderId="3" xfId="42" applyFont="1" applyFill="1" applyBorder="1" applyAlignment="1">
      <alignment horizontal="center"/>
    </xf>
    <xf numFmtId="0" fontId="15" fillId="2" borderId="4" xfId="42" applyFont="1" applyFill="1" applyBorder="1" applyAlignment="1">
      <alignment horizontal="left"/>
    </xf>
    <xf numFmtId="0" fontId="12" fillId="2" borderId="0" xfId="41" applyFont="1" applyFill="1" applyAlignment="1">
      <alignment horizontal="center"/>
    </xf>
    <xf numFmtId="0" fontId="12" fillId="2" borderId="0" xfId="41" applyFont="1" applyFill="1"/>
    <xf numFmtId="0" fontId="12" fillId="2" borderId="5" xfId="41" applyFont="1" applyFill="1" applyBorder="1" applyAlignment="1">
      <alignment horizontal="center"/>
    </xf>
    <xf numFmtId="0" fontId="12" fillId="2" borderId="6" xfId="42" applyFont="1" applyFill="1" applyBorder="1" applyAlignment="1">
      <alignment horizontal="left"/>
    </xf>
    <xf numFmtId="0" fontId="12" fillId="2" borderId="8" xfId="42" applyFont="1" applyFill="1" applyBorder="1" applyAlignment="1">
      <alignment horizontal="left"/>
    </xf>
    <xf numFmtId="0" fontId="12" fillId="2" borderId="8" xfId="41" applyFont="1" applyFill="1" applyBorder="1"/>
    <xf numFmtId="0" fontId="13" fillId="2" borderId="7" xfId="41" applyFont="1" applyFill="1" applyBorder="1" applyAlignment="1">
      <alignment horizontal="center"/>
    </xf>
    <xf numFmtId="0" fontId="6" fillId="0" borderId="0" xfId="43"/>
    <xf numFmtId="0" fontId="6" fillId="0" borderId="0" xfId="43" applyAlignment="1">
      <alignment horizontal="center"/>
    </xf>
    <xf numFmtId="0" fontId="18" fillId="0" borderId="0" xfId="43" applyFont="1"/>
    <xf numFmtId="0" fontId="18" fillId="0" borderId="12" xfId="43" applyFont="1" applyBorder="1" applyAlignment="1">
      <alignment horizontal="right"/>
    </xf>
    <xf numFmtId="2" fontId="19" fillId="3" borderId="12" xfId="43" applyNumberFormat="1" applyFont="1" applyFill="1" applyBorder="1" applyAlignment="1" applyProtection="1">
      <alignment horizontal="right"/>
      <protection locked="0"/>
    </xf>
    <xf numFmtId="0" fontId="18" fillId="0" borderId="12" xfId="43" applyFont="1" applyBorder="1"/>
    <xf numFmtId="0" fontId="18" fillId="0" borderId="0" xfId="43" applyFont="1" applyAlignment="1">
      <alignment horizontal="right"/>
    </xf>
    <xf numFmtId="2" fontId="6" fillId="0" borderId="12" xfId="43" applyNumberFormat="1" applyBorder="1"/>
    <xf numFmtId="0" fontId="23" fillId="0" borderId="12" xfId="44" applyFont="1" applyBorder="1" applyAlignment="1">
      <alignment vertical="center"/>
    </xf>
    <xf numFmtId="0" fontId="25" fillId="0" borderId="12" xfId="43" applyFont="1" applyBorder="1" applyAlignment="1">
      <alignment vertical="center"/>
    </xf>
    <xf numFmtId="2" fontId="6" fillId="0" borderId="12" xfId="43" applyNumberFormat="1" applyBorder="1" applyAlignment="1">
      <alignment horizontal="right"/>
    </xf>
    <xf numFmtId="14" fontId="19" fillId="3" borderId="12" xfId="43" applyNumberFormat="1" applyFont="1" applyFill="1" applyBorder="1" applyAlignment="1" applyProtection="1">
      <alignment horizontal="right"/>
      <protection locked="0"/>
    </xf>
    <xf numFmtId="21" fontId="24" fillId="3" borderId="12" xfId="44" applyNumberFormat="1" applyFont="1" applyFill="1" applyBorder="1" applyAlignment="1" applyProtection="1">
      <alignment horizontal="right" vertical="center"/>
      <protection locked="0"/>
    </xf>
    <xf numFmtId="1" fontId="24" fillId="3" borderId="12" xfId="44" applyNumberFormat="1" applyFont="1" applyFill="1" applyBorder="1" applyAlignment="1" applyProtection="1">
      <alignment horizontal="right" vertical="center"/>
      <protection locked="0"/>
    </xf>
    <xf numFmtId="1" fontId="18" fillId="0" borderId="12" xfId="43" applyNumberFormat="1" applyFont="1" applyBorder="1" applyAlignment="1">
      <alignment horizontal="right"/>
    </xf>
    <xf numFmtId="0" fontId="26" fillId="4" borderId="12" xfId="43" applyFont="1" applyFill="1" applyBorder="1" applyAlignment="1">
      <alignment horizontal="center" vertical="center"/>
    </xf>
    <xf numFmtId="0" fontId="26" fillId="4" borderId="12" xfId="43" applyFont="1" applyFill="1" applyBorder="1" applyAlignment="1">
      <alignment horizontal="right" vertical="center"/>
    </xf>
    <xf numFmtId="0" fontId="27" fillId="0" borderId="0" xfId="43" applyFont="1"/>
    <xf numFmtId="0" fontId="7" fillId="2" borderId="0" xfId="41" applyFill="1"/>
    <xf numFmtId="0" fontId="0" fillId="2" borderId="0" xfId="0" applyFill="1"/>
    <xf numFmtId="0" fontId="6" fillId="0" borderId="4" xfId="43" applyBorder="1" applyAlignment="1">
      <alignment horizontal="center"/>
    </xf>
    <xf numFmtId="0" fontId="6" fillId="0" borderId="6" xfId="43" applyBorder="1" applyAlignment="1">
      <alignment horizontal="center"/>
    </xf>
    <xf numFmtId="0" fontId="6" fillId="5" borderId="1" xfId="43" applyFill="1" applyBorder="1" applyAlignment="1">
      <alignment horizontal="center"/>
    </xf>
    <xf numFmtId="2" fontId="6" fillId="5" borderId="2" xfId="43" applyNumberFormat="1" applyFill="1" applyBorder="1"/>
    <xf numFmtId="2" fontId="6" fillId="0" borderId="0" xfId="43" applyNumberFormat="1"/>
    <xf numFmtId="2" fontId="6" fillId="0" borderId="8" xfId="43" applyNumberFormat="1" applyBorder="1"/>
    <xf numFmtId="0" fontId="6" fillId="0" borderId="4" xfId="43" applyBorder="1"/>
    <xf numFmtId="0" fontId="19" fillId="3" borderId="7" xfId="43" applyFont="1" applyFill="1" applyBorder="1" applyAlignment="1">
      <alignment horizontal="right"/>
    </xf>
    <xf numFmtId="0" fontId="6" fillId="0" borderId="8" xfId="43" applyBorder="1" applyAlignment="1">
      <alignment horizontal="center"/>
    </xf>
    <xf numFmtId="0" fontId="18" fillId="0" borderId="12" xfId="0" applyFont="1" applyBorder="1"/>
    <xf numFmtId="0" fontId="19" fillId="3" borderId="16" xfId="0" applyFont="1" applyFill="1" applyBorder="1" applyAlignment="1" applyProtection="1">
      <alignment horizontal="right"/>
      <protection locked="0"/>
    </xf>
    <xf numFmtId="0" fontId="26" fillId="4" borderId="17" xfId="43" applyFont="1" applyFill="1" applyBorder="1" applyAlignment="1">
      <alignment horizontal="center" vertical="center"/>
    </xf>
    <xf numFmtId="0" fontId="26" fillId="4" borderId="17" xfId="43" applyFont="1" applyFill="1" applyBorder="1" applyAlignment="1">
      <alignment horizontal="right" vertical="center"/>
    </xf>
    <xf numFmtId="4" fontId="18" fillId="0" borderId="12" xfId="43" applyNumberFormat="1" applyFont="1" applyBorder="1" applyAlignment="1">
      <alignment horizontal="right"/>
    </xf>
    <xf numFmtId="0" fontId="6" fillId="5" borderId="2" xfId="43" applyFill="1" applyBorder="1" applyAlignment="1">
      <alignment horizontal="center"/>
    </xf>
    <xf numFmtId="0" fontId="18" fillId="0" borderId="12" xfId="0" applyFont="1" applyBorder="1" applyAlignment="1">
      <alignment horizontal="center"/>
    </xf>
    <xf numFmtId="0" fontId="19" fillId="3" borderId="12" xfId="0" applyFont="1" applyFill="1" applyBorder="1" applyAlignment="1" applyProtection="1">
      <alignment horizontal="center"/>
      <protection locked="0"/>
    </xf>
    <xf numFmtId="0" fontId="6" fillId="7" borderId="0" xfId="43" applyFill="1" applyAlignment="1">
      <alignment horizontal="center"/>
    </xf>
    <xf numFmtId="0" fontId="6" fillId="7" borderId="6" xfId="43" applyFill="1" applyBorder="1" applyAlignment="1">
      <alignment horizontal="center"/>
    </xf>
    <xf numFmtId="0" fontId="6" fillId="7" borderId="8" xfId="43" applyFill="1" applyBorder="1" applyAlignment="1">
      <alignment horizontal="center"/>
    </xf>
    <xf numFmtId="0" fontId="6" fillId="7" borderId="8" xfId="43" applyFill="1" applyBorder="1"/>
    <xf numFmtId="0" fontId="18" fillId="7" borderId="5" xfId="43" applyFont="1" applyFill="1" applyBorder="1"/>
    <xf numFmtId="0" fontId="6" fillId="7" borderId="5" xfId="43" applyFill="1" applyBorder="1"/>
    <xf numFmtId="0" fontId="6" fillId="7" borderId="7" xfId="43" applyFill="1" applyBorder="1"/>
    <xf numFmtId="0" fontId="18" fillId="7" borderId="4" xfId="43" applyFont="1" applyFill="1" applyBorder="1" applyAlignment="1">
      <alignment horizontal="center"/>
    </xf>
    <xf numFmtId="0" fontId="3" fillId="7" borderId="4" xfId="43" applyFont="1" applyFill="1" applyBorder="1" applyAlignment="1">
      <alignment horizontal="center"/>
    </xf>
    <xf numFmtId="0" fontId="3" fillId="7" borderId="6" xfId="43" applyFont="1" applyFill="1" applyBorder="1" applyAlignment="1">
      <alignment horizontal="center"/>
    </xf>
    <xf numFmtId="0" fontId="3" fillId="0" borderId="0" xfId="43" applyFont="1" applyAlignment="1">
      <alignment horizontal="center"/>
    </xf>
    <xf numFmtId="0" fontId="20" fillId="0" borderId="16" xfId="43" applyFont="1" applyBorder="1" applyAlignment="1" applyProtection="1">
      <alignment horizontal="center"/>
      <protection locked="0"/>
    </xf>
    <xf numFmtId="0" fontId="26" fillId="4" borderId="13" xfId="43" applyFont="1" applyFill="1" applyBorder="1" applyAlignment="1">
      <alignment horizontal="center" vertical="center"/>
    </xf>
    <xf numFmtId="0" fontId="18" fillId="0" borderId="12" xfId="47" applyNumberFormat="1" applyFont="1" applyFill="1" applyBorder="1" applyAlignment="1">
      <alignment horizontal="center" vertical="top" wrapText="1"/>
    </xf>
    <xf numFmtId="2" fontId="6" fillId="0" borderId="16" xfId="43" applyNumberFormat="1" applyBorder="1"/>
    <xf numFmtId="0" fontId="26" fillId="4" borderId="13" xfId="43" applyFont="1" applyFill="1" applyBorder="1" applyAlignment="1">
      <alignment horizontal="right" vertical="center"/>
    </xf>
    <xf numFmtId="2" fontId="18" fillId="0" borderId="12" xfId="47" applyNumberFormat="1" applyFont="1" applyFill="1" applyBorder="1" applyAlignment="1">
      <alignment horizontal="right" vertical="top"/>
    </xf>
    <xf numFmtId="0" fontId="32" fillId="4" borderId="12" xfId="47" applyNumberFormat="1" applyFont="1" applyFill="1" applyBorder="1" applyAlignment="1">
      <alignment horizontal="right" vertical="top" wrapText="1"/>
    </xf>
    <xf numFmtId="0" fontId="32" fillId="4" borderId="17" xfId="47" applyNumberFormat="1" applyFont="1" applyFill="1" applyBorder="1" applyAlignment="1">
      <alignment horizontal="right" vertical="top" wrapText="1"/>
    </xf>
    <xf numFmtId="2" fontId="21" fillId="0" borderId="2" xfId="43" applyNumberFormat="1" applyFont="1" applyBorder="1" applyAlignment="1">
      <alignment horizontal="right"/>
    </xf>
    <xf numFmtId="2" fontId="6" fillId="0" borderId="2" xfId="43" applyNumberFormat="1" applyBorder="1" applyAlignment="1">
      <alignment horizontal="right"/>
    </xf>
    <xf numFmtId="2" fontId="6" fillId="0" borderId="3" xfId="43" applyNumberFormat="1" applyBorder="1" applyAlignment="1">
      <alignment horizontal="right"/>
    </xf>
    <xf numFmtId="2" fontId="21" fillId="0" borderId="0" xfId="43" applyNumberFormat="1" applyFont="1" applyAlignment="1">
      <alignment horizontal="right"/>
    </xf>
    <xf numFmtId="2" fontId="6" fillId="0" borderId="0" xfId="43" applyNumberFormat="1" applyAlignment="1">
      <alignment horizontal="right"/>
    </xf>
    <xf numFmtId="2" fontId="6" fillId="0" borderId="5" xfId="43" applyNumberFormat="1" applyBorder="1" applyAlignment="1">
      <alignment horizontal="right"/>
    </xf>
    <xf numFmtId="2" fontId="21" fillId="0" borderId="8" xfId="43" applyNumberFormat="1" applyFont="1" applyBorder="1" applyAlignment="1">
      <alignment horizontal="right"/>
    </xf>
    <xf numFmtId="2" fontId="6" fillId="0" borderId="8" xfId="43" applyNumberFormat="1" applyBorder="1" applyAlignment="1">
      <alignment horizontal="right"/>
    </xf>
    <xf numFmtId="2" fontId="6" fillId="0" borderId="7" xfId="43" applyNumberFormat="1" applyBorder="1" applyAlignment="1">
      <alignment horizontal="right"/>
    </xf>
    <xf numFmtId="0" fontId="28" fillId="0" borderId="0" xfId="43" applyFont="1" applyAlignment="1">
      <alignment horizontal="center"/>
    </xf>
    <xf numFmtId="0" fontId="19" fillId="0" borderId="0" xfId="43" applyFont="1" applyAlignment="1">
      <alignment horizontal="right"/>
    </xf>
    <xf numFmtId="14" fontId="19" fillId="0" borderId="0" xfId="43" applyNumberFormat="1" applyFont="1" applyAlignment="1" applyProtection="1">
      <alignment horizontal="right"/>
      <protection locked="0"/>
    </xf>
    <xf numFmtId="21" fontId="24" fillId="0" borderId="0" xfId="44" applyNumberFormat="1" applyFont="1" applyAlignment="1" applyProtection="1">
      <alignment horizontal="right" vertical="center"/>
      <protection locked="0"/>
    </xf>
    <xf numFmtId="1" fontId="24" fillId="0" borderId="0" xfId="44" applyNumberFormat="1" applyFont="1" applyAlignment="1" applyProtection="1">
      <alignment horizontal="right" vertical="center"/>
      <protection locked="0"/>
    </xf>
    <xf numFmtId="1" fontId="18" fillId="0" borderId="0" xfId="43" applyNumberFormat="1" applyFont="1" applyAlignment="1">
      <alignment horizontal="right"/>
    </xf>
    <xf numFmtId="4" fontId="18" fillId="0" borderId="0" xfId="43" applyNumberFormat="1" applyFont="1" applyAlignment="1">
      <alignment horizontal="right"/>
    </xf>
    <xf numFmtId="0" fontId="19" fillId="0" borderId="0" xfId="0" applyFont="1" applyAlignment="1" applyProtection="1">
      <alignment horizontal="right"/>
      <protection locked="0"/>
    </xf>
    <xf numFmtId="2" fontId="19" fillId="0" borderId="0" xfId="43" applyNumberFormat="1" applyFont="1" applyAlignment="1" applyProtection="1">
      <alignment horizontal="right"/>
      <protection locked="0"/>
    </xf>
    <xf numFmtId="0" fontId="19" fillId="0" borderId="0" xfId="0" applyFont="1" applyAlignment="1" applyProtection="1">
      <alignment horizontal="center"/>
      <protection locked="0"/>
    </xf>
    <xf numFmtId="0" fontId="2" fillId="0" borderId="12" xfId="43" applyFont="1" applyBorder="1" applyAlignment="1">
      <alignment vertical="center"/>
    </xf>
    <xf numFmtId="0" fontId="25" fillId="0" borderId="12" xfId="43" applyFont="1" applyBorder="1" applyAlignment="1">
      <alignment horizontal="right" vertical="center"/>
    </xf>
    <xf numFmtId="0" fontId="18" fillId="0" borderId="12" xfId="43" applyFont="1" applyBorder="1" applyAlignment="1">
      <alignment horizontal="right" vertical="center"/>
    </xf>
    <xf numFmtId="0" fontId="30" fillId="3" borderId="12" xfId="43" applyFont="1" applyFill="1" applyBorder="1" applyAlignment="1" applyProtection="1">
      <alignment vertical="center"/>
      <protection locked="0"/>
    </xf>
    <xf numFmtId="0" fontId="18" fillId="0" borderId="12" xfId="43" applyFont="1" applyBorder="1" applyAlignment="1">
      <alignment horizontal="center"/>
    </xf>
    <xf numFmtId="164" fontId="6" fillId="0" borderId="12" xfId="43" applyNumberFormat="1" applyBorder="1" applyAlignment="1">
      <alignment horizontal="right"/>
    </xf>
    <xf numFmtId="0" fontId="23" fillId="0" borderId="0" xfId="48" applyFont="1"/>
    <xf numFmtId="0" fontId="1" fillId="8" borderId="1" xfId="49" applyFont="1" applyFill="1" applyBorder="1"/>
    <xf numFmtId="0" fontId="1" fillId="8" borderId="3" xfId="49" applyFont="1" applyFill="1" applyBorder="1"/>
    <xf numFmtId="0" fontId="19" fillId="8" borderId="1" xfId="50" applyFont="1" applyFill="1" applyBorder="1" applyAlignment="1">
      <alignment horizontal="left"/>
    </xf>
    <xf numFmtId="165" fontId="18" fillId="8" borderId="2" xfId="50" applyNumberFormat="1" applyFont="1" applyFill="1" applyBorder="1"/>
    <xf numFmtId="0" fontId="18" fillId="8" borderId="2" xfId="51" applyFont="1" applyFill="1" applyBorder="1"/>
    <xf numFmtId="0" fontId="18" fillId="8" borderId="2" xfId="50" applyFont="1" applyFill="1" applyBorder="1"/>
    <xf numFmtId="0" fontId="18" fillId="8" borderId="3" xfId="51" applyFont="1" applyFill="1" applyBorder="1"/>
    <xf numFmtId="0" fontId="1" fillId="8" borderId="4" xfId="49" applyFont="1" applyFill="1" applyBorder="1"/>
    <xf numFmtId="0" fontId="1" fillId="8" borderId="5" xfId="49" applyFont="1" applyFill="1" applyBorder="1"/>
    <xf numFmtId="0" fontId="18" fillId="8" borderId="4" xfId="51" applyFont="1" applyFill="1" applyBorder="1"/>
    <xf numFmtId="0" fontId="18" fillId="8" borderId="0" xfId="51" applyFont="1" applyFill="1"/>
    <xf numFmtId="165" fontId="18" fillId="8" borderId="5" xfId="51" applyNumberFormat="1" applyFont="1" applyFill="1" applyBorder="1"/>
    <xf numFmtId="2" fontId="18" fillId="8" borderId="5" xfId="51" applyNumberFormat="1" applyFont="1" applyFill="1" applyBorder="1"/>
    <xf numFmtId="0" fontId="18" fillId="8" borderId="5" xfId="51" applyFont="1" applyFill="1" applyBorder="1"/>
    <xf numFmtId="0" fontId="18" fillId="8" borderId="6" xfId="51" applyFont="1" applyFill="1" applyBorder="1"/>
    <xf numFmtId="0" fontId="18" fillId="8" borderId="8" xfId="51" applyFont="1" applyFill="1" applyBorder="1"/>
    <xf numFmtId="0" fontId="18" fillId="8" borderId="7" xfId="51" applyFont="1" applyFill="1" applyBorder="1"/>
    <xf numFmtId="0" fontId="1" fillId="8" borderId="6" xfId="49" applyFont="1" applyFill="1" applyBorder="1"/>
    <xf numFmtId="0" fontId="1" fillId="8" borderId="7" xfId="49" applyFont="1" applyFill="1" applyBorder="1"/>
    <xf numFmtId="0" fontId="19" fillId="8" borderId="4" xfId="51" applyFont="1" applyFill="1" applyBorder="1" applyAlignment="1">
      <alignment horizontal="right"/>
    </xf>
    <xf numFmtId="0" fontId="19" fillId="8" borderId="0" xfId="51" applyFont="1" applyFill="1" applyAlignment="1">
      <alignment horizontal="right"/>
    </xf>
    <xf numFmtId="0" fontId="19" fillId="8" borderId="5" xfId="51" applyFont="1" applyFill="1" applyBorder="1" applyAlignment="1">
      <alignment horizontal="right"/>
    </xf>
    <xf numFmtId="2" fontId="18" fillId="8" borderId="4" xfId="51" applyNumberFormat="1" applyFont="1" applyFill="1" applyBorder="1"/>
    <xf numFmtId="2" fontId="18" fillId="8" borderId="0" xfId="51" applyNumberFormat="1" applyFont="1" applyFill="1"/>
    <xf numFmtId="0" fontId="29" fillId="0" borderId="0" xfId="0" applyFont="1"/>
    <xf numFmtId="0" fontId="23" fillId="8" borderId="1" xfId="48" applyFont="1" applyFill="1" applyBorder="1"/>
    <xf numFmtId="4" fontId="23" fillId="8" borderId="3" xfId="48" applyNumberFormat="1" applyFont="1" applyFill="1" applyBorder="1"/>
    <xf numFmtId="0" fontId="23" fillId="8" borderId="4" xfId="48" applyFont="1" applyFill="1" applyBorder="1"/>
    <xf numFmtId="0" fontId="23" fillId="8" borderId="5" xfId="48" applyFont="1" applyFill="1" applyBorder="1"/>
    <xf numFmtId="0" fontId="1" fillId="8" borderId="7" xfId="49" applyFont="1" applyFill="1" applyBorder="1" applyAlignment="1">
      <alignment horizontal="right"/>
    </xf>
    <xf numFmtId="0" fontId="1" fillId="8" borderId="1" xfId="0" applyFont="1" applyFill="1" applyBorder="1"/>
    <xf numFmtId="0" fontId="1" fillId="8" borderId="2" xfId="0" applyFont="1" applyFill="1" applyBorder="1"/>
    <xf numFmtId="0" fontId="1" fillId="8" borderId="3" xfId="0" applyFont="1" applyFill="1" applyBorder="1"/>
    <xf numFmtId="0" fontId="1" fillId="8" borderId="4" xfId="0" applyFont="1" applyFill="1" applyBorder="1"/>
    <xf numFmtId="0" fontId="1" fillId="8" borderId="0" xfId="0" applyFont="1" applyFill="1"/>
    <xf numFmtId="0" fontId="1" fillId="8" borderId="5" xfId="0" applyFont="1" applyFill="1" applyBorder="1"/>
    <xf numFmtId="0" fontId="1" fillId="8" borderId="6" xfId="0" applyFont="1" applyFill="1" applyBorder="1"/>
    <xf numFmtId="0" fontId="1" fillId="8" borderId="8" xfId="0" applyFont="1" applyFill="1" applyBorder="1"/>
    <xf numFmtId="0" fontId="1" fillId="8" borderId="7" xfId="0" applyFont="1" applyFill="1" applyBorder="1"/>
    <xf numFmtId="0" fontId="33" fillId="0" borderId="0" xfId="48"/>
    <xf numFmtId="2" fontId="18" fillId="8" borderId="6" xfId="51" applyNumberFormat="1" applyFont="1" applyFill="1" applyBorder="1"/>
    <xf numFmtId="2" fontId="18" fillId="8" borderId="8" xfId="51" applyNumberFormat="1" applyFont="1" applyFill="1" applyBorder="1"/>
    <xf numFmtId="2" fontId="18" fillId="8" borderId="7" xfId="51" applyNumberFormat="1" applyFont="1" applyFill="1" applyBorder="1"/>
    <xf numFmtId="0" fontId="30" fillId="7" borderId="5" xfId="43" applyFont="1" applyFill="1" applyBorder="1" applyAlignment="1">
      <alignment horizontal="right"/>
    </xf>
    <xf numFmtId="0" fontId="6" fillId="7" borderId="0" xfId="43" applyFill="1"/>
    <xf numFmtId="14" fontId="6" fillId="7" borderId="0" xfId="43" applyNumberFormat="1" applyFill="1"/>
    <xf numFmtId="9" fontId="6" fillId="7" borderId="0" xfId="43" applyNumberFormat="1" applyFill="1" applyAlignment="1">
      <alignment horizontal="right"/>
    </xf>
    <xf numFmtId="21" fontId="6" fillId="7" borderId="0" xfId="43" applyNumberFormat="1" applyFill="1"/>
    <xf numFmtId="2" fontId="6" fillId="7" borderId="0" xfId="43" applyNumberFormat="1" applyFill="1" applyAlignment="1">
      <alignment horizontal="center"/>
    </xf>
    <xf numFmtId="1" fontId="6" fillId="7" borderId="0" xfId="43" applyNumberFormat="1" applyFill="1"/>
    <xf numFmtId="0" fontId="18" fillId="0" borderId="6" xfId="43" applyFont="1" applyBorder="1"/>
    <xf numFmtId="0" fontId="20" fillId="7" borderId="4" xfId="0" applyFont="1" applyFill="1" applyBorder="1"/>
    <xf numFmtId="0" fontId="6" fillId="7" borderId="4" xfId="43" applyFill="1" applyBorder="1"/>
    <xf numFmtId="166" fontId="30" fillId="3" borderId="12" xfId="43" applyNumberFormat="1" applyFont="1" applyFill="1" applyBorder="1" applyAlignment="1" applyProtection="1">
      <alignment vertical="center"/>
      <protection locked="0"/>
    </xf>
    <xf numFmtId="166" fontId="18" fillId="0" borderId="12" xfId="43" applyNumberFormat="1" applyFont="1" applyBorder="1" applyAlignment="1">
      <alignment horizontal="right" vertical="center"/>
    </xf>
    <xf numFmtId="0" fontId="20" fillId="0" borderId="12" xfId="0" applyFont="1" applyBorder="1" applyAlignment="1">
      <alignment horizontal="center"/>
    </xf>
    <xf numFmtId="0" fontId="20" fillId="0" borderId="16" xfId="0" applyFont="1" applyBorder="1" applyAlignment="1" applyProtection="1">
      <alignment horizontal="center"/>
      <protection locked="0"/>
    </xf>
    <xf numFmtId="0" fontId="37" fillId="9" borderId="18" xfId="0" applyFont="1" applyFill="1" applyBorder="1" applyAlignment="1" applyProtection="1">
      <alignment horizontal="center"/>
      <protection locked="0"/>
    </xf>
    <xf numFmtId="0" fontId="37" fillId="9" borderId="7" xfId="0" applyFont="1" applyFill="1" applyBorder="1" applyAlignment="1" applyProtection="1">
      <alignment horizontal="center"/>
      <protection locked="0"/>
    </xf>
    <xf numFmtId="0" fontId="38" fillId="0" borderId="0" xfId="0" applyFont="1"/>
    <xf numFmtId="0" fontId="11" fillId="2" borderId="0" xfId="41" applyFont="1" applyFill="1" applyAlignment="1">
      <alignment horizontal="center" vertical="center" wrapText="1"/>
    </xf>
    <xf numFmtId="0" fontId="16" fillId="2" borderId="1" xfId="42" applyFont="1" applyFill="1" applyBorder="1" applyAlignment="1">
      <alignment horizontal="center"/>
    </xf>
    <xf numFmtId="0" fontId="16" fillId="2" borderId="2" xfId="42" applyFont="1" applyFill="1" applyBorder="1" applyAlignment="1">
      <alignment horizontal="center"/>
    </xf>
    <xf numFmtId="0" fontId="16" fillId="2" borderId="9" xfId="42" applyFont="1" applyFill="1" applyBorder="1" applyAlignment="1">
      <alignment horizontal="center"/>
    </xf>
    <xf numFmtId="0" fontId="17" fillId="2" borderId="4" xfId="0" applyFont="1" applyFill="1" applyBorder="1" applyAlignment="1">
      <alignment horizontal="center"/>
    </xf>
    <xf numFmtId="0" fontId="17" fillId="2" borderId="0" xfId="0" applyFont="1" applyFill="1" applyAlignment="1">
      <alignment horizontal="center"/>
    </xf>
    <xf numFmtId="0" fontId="17" fillId="2" borderId="10" xfId="0" applyFont="1" applyFill="1" applyBorder="1" applyAlignment="1">
      <alignment horizontal="center"/>
    </xf>
    <xf numFmtId="0" fontId="17" fillId="2" borderId="6" xfId="0" applyFont="1" applyFill="1" applyBorder="1" applyAlignment="1">
      <alignment horizontal="center"/>
    </xf>
    <xf numFmtId="0" fontId="17" fillId="2" borderId="8" xfId="0" applyFont="1" applyFill="1" applyBorder="1" applyAlignment="1">
      <alignment horizontal="center"/>
    </xf>
    <xf numFmtId="0" fontId="17" fillId="2" borderId="11" xfId="0" applyFont="1" applyFill="1" applyBorder="1" applyAlignment="1">
      <alignment horizontal="center"/>
    </xf>
    <xf numFmtId="0" fontId="18" fillId="0" borderId="14" xfId="43" applyFont="1" applyBorder="1" applyAlignment="1">
      <alignment horizontal="center"/>
    </xf>
    <xf numFmtId="0" fontId="18" fillId="0" borderId="15" xfId="43" applyFont="1" applyBorder="1" applyAlignment="1">
      <alignment horizontal="center"/>
    </xf>
    <xf numFmtId="0" fontId="18" fillId="0" borderId="16" xfId="43" applyFont="1" applyBorder="1" applyAlignment="1">
      <alignment horizontal="center"/>
    </xf>
    <xf numFmtId="0" fontId="28" fillId="6" borderId="14" xfId="43" applyFont="1" applyFill="1" applyBorder="1" applyAlignment="1">
      <alignment horizontal="center"/>
    </xf>
    <xf numFmtId="0" fontId="28" fillId="6" borderId="16" xfId="43" applyFont="1" applyFill="1" applyBorder="1" applyAlignment="1">
      <alignment horizontal="center"/>
    </xf>
    <xf numFmtId="0" fontId="28" fillId="6" borderId="15" xfId="43" applyFont="1" applyFill="1" applyBorder="1" applyAlignment="1">
      <alignment horizontal="center"/>
    </xf>
    <xf numFmtId="0" fontId="29" fillId="0" borderId="17" xfId="43" applyFont="1" applyBorder="1" applyAlignment="1">
      <alignment horizontal="center" vertical="center" wrapText="1"/>
    </xf>
    <xf numFmtId="0" fontId="29" fillId="0" borderId="18" xfId="43" applyFont="1" applyBorder="1" applyAlignment="1">
      <alignment horizontal="center" vertical="center" wrapText="1"/>
    </xf>
    <xf numFmtId="0" fontId="2" fillId="0" borderId="0" xfId="43" applyFont="1" applyAlignment="1">
      <alignment horizontal="center" vertical="center"/>
    </xf>
  </cellXfs>
  <cellStyles count="5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 name="Normal 3" xfId="43" xr:uid="{D0C399E2-A941-AA4F-B42F-87A7CE497740}"/>
    <cellStyle name="Normal 3 2" xfId="44" xr:uid="{053FA022-145E-5B4C-8FD3-7620CDCF3F7A}"/>
    <cellStyle name="Normal 3 3" xfId="51" xr:uid="{00A2EA3F-A79F-4543-BD85-EB61E6983942}"/>
    <cellStyle name="Normal 4" xfId="45" xr:uid="{0E1916BE-0CB3-DE44-BD3A-C9A53A0F672B}"/>
    <cellStyle name="Normal 5" xfId="46" xr:uid="{A901F684-D9BA-CF40-B9E1-7D5772B29AA8}"/>
    <cellStyle name="Normal 5 2" xfId="49" xr:uid="{FA357F65-6FBC-1E47-B895-99E6B74B47AD}"/>
    <cellStyle name="Normal 6" xfId="47" xr:uid="{DE0B0A45-6F08-9F49-9C8F-FBDBDC9EC2C8}"/>
    <cellStyle name="Normal 6 2" xfId="48" xr:uid="{D04E5134-E161-9A4A-8822-F9F18050546D}"/>
    <cellStyle name="Normal 7" xfId="50" xr:uid="{D608A99C-E95D-9D4F-8C18-64B6D0526A88}"/>
  </cellStyles>
  <dxfs count="13">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rgb="FF006100"/>
      </font>
      <fill>
        <patternFill>
          <bgColor rgb="FFC6EFCE"/>
        </patternFill>
      </fill>
    </dxf>
    <dxf>
      <font>
        <color rgb="FF006100"/>
      </font>
      <fill>
        <patternFill>
          <bgColor rgb="FFC6EFCE"/>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Illumination!$H$8</c:f>
              <c:strCache>
                <c:ptCount val="1"/>
                <c:pt idx="0">
                  <c:v>black bottom</c:v>
                </c:pt>
              </c:strCache>
            </c:strRef>
          </c:tx>
          <c:spPr>
            <a:solidFill>
              <a:schemeClr val="tx1"/>
            </a:solidFill>
            <a:ln w="9525">
              <a:solidFill>
                <a:schemeClr val="tx1"/>
              </a:solidFill>
            </a:ln>
            <a:effectLst/>
          </c:spPr>
          <c:val>
            <c:numRef>
              <c:f>Illumination!$H$9:$H$209</c:f>
              <c:numCache>
                <c:formatCode>0.00</c:formatCode>
                <c:ptCount val="201"/>
                <c:pt idx="0">
                  <c:v>1</c:v>
                </c:pt>
                <c:pt idx="1">
                  <c:v>0.87760922740914771</c:v>
                </c:pt>
                <c:pt idx="2">
                  <c:v>0.81351031344668834</c:v>
                </c:pt>
                <c:pt idx="3">
                  <c:v>0.76681273387006976</c:v>
                </c:pt>
                <c:pt idx="4">
                  <c:v>0.72838778580744701</c:v>
                </c:pt>
                <c:pt idx="5">
                  <c:v>0.6950916783178207</c:v>
                </c:pt>
                <c:pt idx="6">
                  <c:v>0.66538982340260877</c:v>
                </c:pt>
                <c:pt idx="7">
                  <c:v>0.63839544824067396</c:v>
                </c:pt>
                <c:pt idx="8">
                  <c:v>0.61354077919834715</c:v>
                </c:pt>
                <c:pt idx="9">
                  <c:v>0.5904360822152297</c:v>
                </c:pt>
                <c:pt idx="10">
                  <c:v>0.56879996280284106</c:v>
                </c:pt>
                <c:pt idx="11">
                  <c:v>0.54842128335639617</c:v>
                </c:pt>
                <c:pt idx="12">
                  <c:v>0.52913675181516973</c:v>
                </c:pt>
                <c:pt idx="13">
                  <c:v>0.51081695084980128</c:v>
                </c:pt>
                <c:pt idx="14">
                  <c:v>0.49335721797341847</c:v>
                </c:pt>
                <c:pt idx="15">
                  <c:v>0.47667146313007702</c:v>
                </c:pt>
                <c:pt idx="16">
                  <c:v>0.46068784331870805</c:v>
                </c:pt>
                <c:pt idx="17">
                  <c:v>0.4453456543890868</c:v>
                </c:pt>
                <c:pt idx="18">
                  <c:v>0.43059304554216593</c:v>
                </c:pt>
                <c:pt idx="19">
                  <c:v>0.41638530485957304</c:v>
                </c:pt>
                <c:pt idx="20">
                  <c:v>0.40268355045102533</c:v>
                </c:pt>
                <c:pt idx="21">
                  <c:v>0.3894537156457637</c:v>
                </c:pt>
                <c:pt idx="22">
                  <c:v>0.37666575122590384</c:v>
                </c:pt>
                <c:pt idx="23">
                  <c:v>0.36429299046667607</c:v>
                </c:pt>
                <c:pt idx="24">
                  <c:v>0.35231163808211896</c:v>
                </c:pt>
                <c:pt idx="25">
                  <c:v>0.34070035471193638</c:v>
                </c:pt>
                <c:pt idx="26">
                  <c:v>0.32943991595898237</c:v>
                </c:pt>
                <c:pt idx="27">
                  <c:v>0.31851293023252558</c:v>
                </c:pt>
                <c:pt idx="28">
                  <c:v>0.30790360344063905</c:v>
                </c:pt>
                <c:pt idx="29">
                  <c:v>0.29759754134849603</c:v>
                </c:pt>
                <c:pt idx="30">
                  <c:v>0.2875815824756246</c:v>
                </c:pt>
                <c:pt idx="31">
                  <c:v>0.27784365594753346</c:v>
                </c:pt>
                <c:pt idx="32">
                  <c:v>0.26837265988650649</c:v>
                </c:pt>
                <c:pt idx="33">
                  <c:v>0.25915835682185207</c:v>
                </c:pt>
                <c:pt idx="34">
                  <c:v>0.2501912832920099</c:v>
                </c:pt>
                <c:pt idx="35">
                  <c:v>0.24146267135051325</c:v>
                </c:pt>
                <c:pt idx="36">
                  <c:v>0.23296438011188314</c:v>
                </c:pt>
                <c:pt idx="37">
                  <c:v>0.22468883580937149</c:v>
                </c:pt>
                <c:pt idx="38">
                  <c:v>0.21662897910432022</c:v>
                </c:pt>
                <c:pt idx="39">
                  <c:v>0.20877821860196288</c:v>
                </c:pt>
                <c:pt idx="40">
                  <c:v>0.20113038970226271</c:v>
                </c:pt>
                <c:pt idx="41">
                  <c:v>0.19367971805561912</c:v>
                </c:pt>
                <c:pt idx="42">
                  <c:v>0.18642078700872333</c:v>
                </c:pt>
                <c:pt idx="43">
                  <c:v>0.17934850852071438</c:v>
                </c:pt>
                <c:pt idx="44">
                  <c:v>0.1724580971081412</c:v>
                </c:pt>
                <c:pt idx="45">
                  <c:v>0.16574504644226817</c:v>
                </c:pt>
                <c:pt idx="46">
                  <c:v>0.15920510827647172</c:v>
                </c:pt>
                <c:pt idx="47">
                  <c:v>0.15283427342687084</c:v>
                </c:pt>
                <c:pt idx="48">
                  <c:v>0.1466287545675049</c:v>
                </c:pt>
                <c:pt idx="49">
                  <c:v>0.14058497063358877</c:v>
                </c:pt>
                <c:pt idx="50">
                  <c:v>0.13469953265367807</c:v>
                </c:pt>
                <c:pt idx="51">
                  <c:v>0.12896923085479439</c:v>
                </c:pt>
                <c:pt idx="52">
                  <c:v>0.12339102290437054</c:v>
                </c:pt>
                <c:pt idx="53">
                  <c:v>0.11796202316984405</c:v>
                </c:pt>
                <c:pt idx="54">
                  <c:v>0.11267949289129153</c:v>
                </c:pt>
                <c:pt idx="55">
                  <c:v>0.10754083117505697</c:v>
                </c:pt>
                <c:pt idx="56">
                  <c:v>0.10254356672716824</c:v>
                </c:pt>
                <c:pt idx="57">
                  <c:v>9.7685350254741232E-2</c:v>
                </c:pt>
                <c:pt idx="58">
                  <c:v>9.2963947471735309E-2</c:v>
                </c:pt>
                <c:pt idx="59">
                  <c:v>8.8377232652542381E-2</c:v>
                </c:pt>
                <c:pt idx="60">
                  <c:v>8.3923182683106723E-2</c:v>
                </c:pt>
                <c:pt idx="61">
                  <c:v>7.9599871564713376E-2</c:v>
                </c:pt>
                <c:pt idx="62">
                  <c:v>7.5405465330360411E-2</c:v>
                </c:pt>
                <c:pt idx="63">
                  <c:v>7.1338217337832743E-2</c:v>
                </c:pt>
                <c:pt idx="64">
                  <c:v>6.7396463907297144E-2</c:v>
                </c:pt>
                <c:pt idx="65">
                  <c:v>6.3578620274513331E-2</c:v>
                </c:pt>
                <c:pt idx="66">
                  <c:v>5.9883176833651852E-2</c:v>
                </c:pt>
                <c:pt idx="67">
                  <c:v>5.630869564628227E-2</c:v>
                </c:pt>
                <c:pt idx="68">
                  <c:v>5.2853807195379576E-2</c:v>
                </c:pt>
                <c:pt idx="69">
                  <c:v>4.9517207365233129E-2</c:v>
                </c:pt>
                <c:pt idx="70">
                  <c:v>4.629765462996005E-2</c:v>
                </c:pt>
                <c:pt idx="71">
                  <c:v>4.3193967434947411E-2</c:v>
                </c:pt>
                <c:pt idx="72">
                  <c:v>4.0205021757005688E-2</c:v>
                </c:pt>
                <c:pt idx="73">
                  <c:v>3.7329748830319809E-2</c:v>
                </c:pt>
                <c:pt idx="74">
                  <c:v>3.4567133026458308E-2</c:v>
                </c:pt>
                <c:pt idx="75">
                  <c:v>3.1916209877760116E-2</c:v>
                </c:pt>
                <c:pt idx="76">
                  <c:v>2.9376064234370114E-2</c:v>
                </c:pt>
                <c:pt idx="77">
                  <c:v>2.6945828546059758E-2</c:v>
                </c:pt>
                <c:pt idx="78">
                  <c:v>2.4624681260747572E-2</c:v>
                </c:pt>
                <c:pt idx="79">
                  <c:v>2.2411845332343194E-2</c:v>
                </c:pt>
                <c:pt idx="80">
                  <c:v>2.0306586831185025E-2</c:v>
                </c:pt>
                <c:pt idx="81">
                  <c:v>1.8308213650922944E-2</c:v>
                </c:pt>
                <c:pt idx="82">
                  <c:v>1.6416074306237149E-2</c:v>
                </c:pt>
                <c:pt idx="83">
                  <c:v>1.4629556816271871E-2</c:v>
                </c:pt>
                <c:pt idx="84">
                  <c:v>1.2948087669107489E-2</c:v>
                </c:pt>
                <c:pt idx="85">
                  <c:v>1.1371130863012446E-2</c:v>
                </c:pt>
                <c:pt idx="86">
                  <c:v>9.8981870205885336E-3</c:v>
                </c:pt>
                <c:pt idx="87">
                  <c:v>8.5287925722763447E-3</c:v>
                </c:pt>
                <c:pt idx="88">
                  <c:v>7.2625190060110478E-3</c:v>
                </c:pt>
                <c:pt idx="89">
                  <c:v>6.0989721801145702E-3</c:v>
                </c:pt>
                <c:pt idx="90">
                  <c:v>5.0377916967948577E-3</c:v>
                </c:pt>
                <c:pt idx="91">
                  <c:v>4.078650333878775E-3</c:v>
                </c:pt>
                <c:pt idx="92">
                  <c:v>3.221253532651791E-3</c:v>
                </c:pt>
                <c:pt idx="93">
                  <c:v>2.4653389399045267E-3</c:v>
                </c:pt>
                <c:pt idx="94">
                  <c:v>1.8106760025067281E-3</c:v>
                </c:pt>
                <c:pt idx="95">
                  <c:v>1.2570656130288516E-3</c:v>
                </c:pt>
                <c:pt idx="96">
                  <c:v>8.0433980513383574E-4</c:v>
                </c:pt>
                <c:pt idx="97">
                  <c:v>4.5236149764071865E-4</c:v>
                </c:pt>
                <c:pt idx="98">
                  <c:v>2.0102428635004888E-4</c:v>
                </c:pt>
                <c:pt idx="99">
                  <c:v>5.0252282888019195E-5</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8065-DB4F-A8AC-F6C6752BDB8E}"/>
            </c:ext>
          </c:extLst>
        </c:ser>
        <c:ser>
          <c:idx val="0"/>
          <c:order val="1"/>
          <c:tx>
            <c:strRef>
              <c:f>Illumination!$I$8</c:f>
              <c:strCache>
                <c:ptCount val="1"/>
                <c:pt idx="0">
                  <c:v>transparent</c:v>
                </c:pt>
              </c:strCache>
            </c:strRef>
          </c:tx>
          <c:spPr>
            <a:noFill/>
            <a:ln w="25400">
              <a:noFill/>
            </a:ln>
            <a:effectLst/>
          </c:spPr>
          <c:val>
            <c:numRef>
              <c:f>Illumination!$I$9:$I$209</c:f>
              <c:numCache>
                <c:formatCode>0.00</c:formatCode>
                <c:ptCount val="201"/>
                <c:pt idx="0">
                  <c:v>0</c:v>
                </c:pt>
                <c:pt idx="1">
                  <c:v>0.24478154518170453</c:v>
                </c:pt>
                <c:pt idx="2">
                  <c:v>0.37297937310662327</c:v>
                </c:pt>
                <c:pt idx="3">
                  <c:v>0.46637453225986042</c:v>
                </c:pt>
                <c:pt idx="4">
                  <c:v>0.54322442838510587</c:v>
                </c:pt>
                <c:pt idx="5">
                  <c:v>0.6098166433643587</c:v>
                </c:pt>
                <c:pt idx="6">
                  <c:v>0.66922035319478246</c:v>
                </c:pt>
                <c:pt idx="7">
                  <c:v>0.72320910351865209</c:v>
                </c:pt>
                <c:pt idx="8">
                  <c:v>0.77291844160330581</c:v>
                </c:pt>
                <c:pt idx="9">
                  <c:v>0.81912783556954072</c:v>
                </c:pt>
                <c:pt idx="10">
                  <c:v>0.86240007439431787</c:v>
                </c:pt>
                <c:pt idx="11">
                  <c:v>0.90315743328720777</c:v>
                </c:pt>
                <c:pt idx="12">
                  <c:v>0.94172649636966055</c:v>
                </c:pt>
                <c:pt idx="13">
                  <c:v>0.97836609830039745</c:v>
                </c:pt>
                <c:pt idx="14">
                  <c:v>1.0132855640531631</c:v>
                </c:pt>
                <c:pt idx="15">
                  <c:v>1.046657073739846</c:v>
                </c:pt>
                <c:pt idx="16">
                  <c:v>1.0786243133625839</c:v>
                </c:pt>
                <c:pt idx="17">
                  <c:v>1.1093086912218264</c:v>
                </c:pt>
                <c:pt idx="18">
                  <c:v>1.1388139089156681</c:v>
                </c:pt>
                <c:pt idx="19">
                  <c:v>1.1672293902808539</c:v>
                </c:pt>
                <c:pt idx="20">
                  <c:v>1.1946328990979493</c:v>
                </c:pt>
                <c:pt idx="21">
                  <c:v>1.2210925687084726</c:v>
                </c:pt>
                <c:pt idx="22">
                  <c:v>1.2466684975481923</c:v>
                </c:pt>
                <c:pt idx="23">
                  <c:v>1.2714140190666479</c:v>
                </c:pt>
                <c:pt idx="24">
                  <c:v>1.2953767238357621</c:v>
                </c:pt>
                <c:pt idx="25">
                  <c:v>1.3185992905761272</c:v>
                </c:pt>
                <c:pt idx="26">
                  <c:v>1.3411201680820353</c:v>
                </c:pt>
                <c:pt idx="27">
                  <c:v>1.3629741395349488</c:v>
                </c:pt>
                <c:pt idx="28">
                  <c:v>1.3841927931187219</c:v>
                </c:pt>
                <c:pt idx="29">
                  <c:v>1.4048049173030079</c:v>
                </c:pt>
                <c:pt idx="30">
                  <c:v>1.4248368350487508</c:v>
                </c:pt>
                <c:pt idx="31">
                  <c:v>1.4443126881049331</c:v>
                </c:pt>
                <c:pt idx="32">
                  <c:v>1.463254680226987</c:v>
                </c:pt>
                <c:pt idx="33">
                  <c:v>1.4816832863562959</c:v>
                </c:pt>
                <c:pt idx="34">
                  <c:v>1.4996174334159802</c:v>
                </c:pt>
                <c:pt idx="35">
                  <c:v>1.5170746572989735</c:v>
                </c:pt>
                <c:pt idx="36">
                  <c:v>1.5340712397762337</c:v>
                </c:pt>
                <c:pt idx="37">
                  <c:v>1.550622328381257</c:v>
                </c:pt>
                <c:pt idx="38">
                  <c:v>1.5667420417913596</c:v>
                </c:pt>
                <c:pt idx="39">
                  <c:v>1.5824435627960742</c:v>
                </c:pt>
                <c:pt idx="40">
                  <c:v>1.5977392205954746</c:v>
                </c:pt>
                <c:pt idx="41">
                  <c:v>1.6126405638887618</c:v>
                </c:pt>
                <c:pt idx="42">
                  <c:v>1.6271584259825533</c:v>
                </c:pt>
                <c:pt idx="43">
                  <c:v>1.6413029829585712</c:v>
                </c:pt>
                <c:pt idx="44">
                  <c:v>1.6550838057837176</c:v>
                </c:pt>
                <c:pt idx="45">
                  <c:v>1.6685099071154637</c:v>
                </c:pt>
                <c:pt idx="46">
                  <c:v>1.6815897834470566</c:v>
                </c:pt>
                <c:pt idx="47">
                  <c:v>1.6943314531462583</c:v>
                </c:pt>
                <c:pt idx="48">
                  <c:v>1.7067424908649902</c:v>
                </c:pt>
                <c:pt idx="49">
                  <c:v>1.7188300587328225</c:v>
                </c:pt>
                <c:pt idx="50">
                  <c:v>1.7306009346926439</c:v>
                </c:pt>
                <c:pt idx="51">
                  <c:v>1.7420615382904112</c:v>
                </c:pt>
                <c:pt idx="52">
                  <c:v>1.7532179541912589</c:v>
                </c:pt>
                <c:pt idx="53">
                  <c:v>1.7640759536603119</c:v>
                </c:pt>
                <c:pt idx="54">
                  <c:v>1.7746410142174169</c:v>
                </c:pt>
                <c:pt idx="55">
                  <c:v>1.7849183376498861</c:v>
                </c:pt>
                <c:pt idx="56">
                  <c:v>1.7949128665456635</c:v>
                </c:pt>
                <c:pt idx="57">
                  <c:v>1.8046292994905175</c:v>
                </c:pt>
                <c:pt idx="58">
                  <c:v>1.8140721050565294</c:v>
                </c:pt>
                <c:pt idx="59">
                  <c:v>1.8232455346949152</c:v>
                </c:pt>
                <c:pt idx="60">
                  <c:v>1.8321536346337866</c:v>
                </c:pt>
                <c:pt idx="61">
                  <c:v>1.8408002568705732</c:v>
                </c:pt>
                <c:pt idx="62">
                  <c:v>1.8491890693392792</c:v>
                </c:pt>
                <c:pt idx="63">
                  <c:v>1.8573235653243345</c:v>
                </c:pt>
                <c:pt idx="64">
                  <c:v>1.8652070721854057</c:v>
                </c:pt>
                <c:pt idx="65">
                  <c:v>1.8728427594509733</c:v>
                </c:pt>
                <c:pt idx="66">
                  <c:v>1.8802336463326963</c:v>
                </c:pt>
                <c:pt idx="67">
                  <c:v>1.8873826087074355</c:v>
                </c:pt>
                <c:pt idx="68">
                  <c:v>1.8942923856092408</c:v>
                </c:pt>
                <c:pt idx="69">
                  <c:v>1.9009655852695337</c:v>
                </c:pt>
                <c:pt idx="70">
                  <c:v>1.9074046907400799</c:v>
                </c:pt>
                <c:pt idx="71">
                  <c:v>1.9136120651301052</c:v>
                </c:pt>
                <c:pt idx="72">
                  <c:v>1.9195899564859886</c:v>
                </c:pt>
                <c:pt idx="73">
                  <c:v>1.9253405023393604</c:v>
                </c:pt>
                <c:pt idx="74">
                  <c:v>1.9308657339470834</c:v>
                </c:pt>
                <c:pt idx="75">
                  <c:v>1.9361675802444798</c:v>
                </c:pt>
                <c:pt idx="76">
                  <c:v>1.9412478715312598</c:v>
                </c:pt>
                <c:pt idx="77">
                  <c:v>1.9461083429078805</c:v>
                </c:pt>
                <c:pt idx="78">
                  <c:v>1.9507506374785049</c:v>
                </c:pt>
                <c:pt idx="79">
                  <c:v>1.9551763093353136</c:v>
                </c:pt>
                <c:pt idx="80">
                  <c:v>1.9593868263376299</c:v>
                </c:pt>
                <c:pt idx="81">
                  <c:v>1.9633835726981541</c:v>
                </c:pt>
                <c:pt idx="82">
                  <c:v>1.9671678513875257</c:v>
                </c:pt>
                <c:pt idx="83">
                  <c:v>1.9707408863674563</c:v>
                </c:pt>
                <c:pt idx="84">
                  <c:v>1.974103824661785</c:v>
                </c:pt>
                <c:pt idx="85">
                  <c:v>1.9772577382739751</c:v>
                </c:pt>
                <c:pt idx="86">
                  <c:v>1.9802036259588229</c:v>
                </c:pt>
                <c:pt idx="87">
                  <c:v>1.9829424148554473</c:v>
                </c:pt>
                <c:pt idx="88">
                  <c:v>1.9854749619879779</c:v>
                </c:pt>
                <c:pt idx="89">
                  <c:v>1.9878020556397709</c:v>
                </c:pt>
                <c:pt idx="90">
                  <c:v>1.9899244166064103</c:v>
                </c:pt>
                <c:pt idx="91">
                  <c:v>1.9918426993322425</c:v>
                </c:pt>
                <c:pt idx="92">
                  <c:v>1.9935574929346964</c:v>
                </c:pt>
                <c:pt idx="93">
                  <c:v>1.9950693221201909</c:v>
                </c:pt>
                <c:pt idx="94">
                  <c:v>1.9963786479949865</c:v>
                </c:pt>
                <c:pt idx="95">
                  <c:v>1.9974858687739423</c:v>
                </c:pt>
                <c:pt idx="96">
                  <c:v>1.9983913203897323</c:v>
                </c:pt>
                <c:pt idx="97">
                  <c:v>1.9990952770047186</c:v>
                </c:pt>
                <c:pt idx="98">
                  <c:v>1.9995979514272999</c:v>
                </c:pt>
                <c:pt idx="99">
                  <c:v>1.999899495434224</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1-8065-DB4F-A8AC-F6C6752BDB8E}"/>
            </c:ext>
          </c:extLst>
        </c:ser>
        <c:ser>
          <c:idx val="3"/>
          <c:order val="2"/>
          <c:tx>
            <c:strRef>
              <c:f>Illumination!$J$8</c:f>
              <c:strCache>
                <c:ptCount val="1"/>
                <c:pt idx="0">
                  <c:v>black top</c:v>
                </c:pt>
              </c:strCache>
            </c:strRef>
          </c:tx>
          <c:spPr>
            <a:solidFill>
              <a:schemeClr val="tx1"/>
            </a:solidFill>
            <a:ln w="9525">
              <a:noFill/>
            </a:ln>
            <a:effectLst/>
          </c:spPr>
          <c:val>
            <c:numRef>
              <c:f>Illumination!$J$9:$J$209</c:f>
              <c:numCache>
                <c:formatCode>0.00</c:formatCode>
                <c:ptCount val="201"/>
                <c:pt idx="0">
                  <c:v>1</c:v>
                </c:pt>
                <c:pt idx="1">
                  <c:v>1.1223907725908522</c:v>
                </c:pt>
                <c:pt idx="2">
                  <c:v>1.1864896865533117</c:v>
                </c:pt>
                <c:pt idx="3">
                  <c:v>1.2331872661299301</c:v>
                </c:pt>
                <c:pt idx="4">
                  <c:v>1.271612214192553</c:v>
                </c:pt>
                <c:pt idx="5">
                  <c:v>1.3049083216821793</c:v>
                </c:pt>
                <c:pt idx="6">
                  <c:v>1.3346101765973912</c:v>
                </c:pt>
                <c:pt idx="7">
                  <c:v>1.361604551759326</c:v>
                </c:pt>
                <c:pt idx="8">
                  <c:v>1.3864592208016528</c:v>
                </c:pt>
                <c:pt idx="9">
                  <c:v>1.4095639177847703</c:v>
                </c:pt>
                <c:pt idx="10">
                  <c:v>1.4312000371971589</c:v>
                </c:pt>
                <c:pt idx="11">
                  <c:v>1.4515787166436038</c:v>
                </c:pt>
                <c:pt idx="12">
                  <c:v>1.4708632481848303</c:v>
                </c:pt>
                <c:pt idx="13">
                  <c:v>1.4891830491501987</c:v>
                </c:pt>
                <c:pt idx="14">
                  <c:v>1.5066427820265815</c:v>
                </c:pt>
                <c:pt idx="15">
                  <c:v>1.523328536869923</c:v>
                </c:pt>
                <c:pt idx="16">
                  <c:v>1.539312156681292</c:v>
                </c:pt>
                <c:pt idx="17">
                  <c:v>1.5546543456109132</c:v>
                </c:pt>
                <c:pt idx="18">
                  <c:v>1.569406954457834</c:v>
                </c:pt>
                <c:pt idx="19">
                  <c:v>1.5836146951404269</c:v>
                </c:pt>
                <c:pt idx="20">
                  <c:v>1.5973164495489747</c:v>
                </c:pt>
                <c:pt idx="21">
                  <c:v>1.6105462843542364</c:v>
                </c:pt>
                <c:pt idx="22">
                  <c:v>1.6233342487740963</c:v>
                </c:pt>
                <c:pt idx="23">
                  <c:v>1.6357070095333239</c:v>
                </c:pt>
                <c:pt idx="24">
                  <c:v>1.647688361917881</c:v>
                </c:pt>
                <c:pt idx="25">
                  <c:v>1.6592996452880637</c:v>
                </c:pt>
                <c:pt idx="26">
                  <c:v>1.6705600840410177</c:v>
                </c:pt>
                <c:pt idx="27">
                  <c:v>1.6814870697674744</c:v>
                </c:pt>
                <c:pt idx="28">
                  <c:v>1.6920963965593609</c:v>
                </c:pt>
                <c:pt idx="29">
                  <c:v>1.7024024586515041</c:v>
                </c:pt>
                <c:pt idx="30">
                  <c:v>1.7124184175243755</c:v>
                </c:pt>
                <c:pt idx="31">
                  <c:v>1.7221563440524665</c:v>
                </c:pt>
                <c:pt idx="32">
                  <c:v>1.7316273401134934</c:v>
                </c:pt>
                <c:pt idx="33">
                  <c:v>1.7408416431781479</c:v>
                </c:pt>
                <c:pt idx="34">
                  <c:v>1.7498087167079901</c:v>
                </c:pt>
                <c:pt idx="35">
                  <c:v>1.7585373286494868</c:v>
                </c:pt>
                <c:pt idx="36">
                  <c:v>1.7670356198881167</c:v>
                </c:pt>
                <c:pt idx="37">
                  <c:v>1.7753111641906285</c:v>
                </c:pt>
                <c:pt idx="38">
                  <c:v>1.7833710208956797</c:v>
                </c:pt>
                <c:pt idx="39">
                  <c:v>1.7912217813980371</c:v>
                </c:pt>
                <c:pt idx="40">
                  <c:v>1.7988696102977373</c:v>
                </c:pt>
                <c:pt idx="41">
                  <c:v>1.8063202819443809</c:v>
                </c:pt>
                <c:pt idx="42">
                  <c:v>1.8135792129912767</c:v>
                </c:pt>
                <c:pt idx="43">
                  <c:v>1.8206514914792855</c:v>
                </c:pt>
                <c:pt idx="44">
                  <c:v>1.8275419028918587</c:v>
                </c:pt>
                <c:pt idx="45">
                  <c:v>1.8342549535577319</c:v>
                </c:pt>
                <c:pt idx="46">
                  <c:v>1.8407948917235282</c:v>
                </c:pt>
                <c:pt idx="47">
                  <c:v>1.8471657265731292</c:v>
                </c:pt>
                <c:pt idx="48">
                  <c:v>1.8533712454324951</c:v>
                </c:pt>
                <c:pt idx="49">
                  <c:v>1.8594150293664113</c:v>
                </c:pt>
                <c:pt idx="50">
                  <c:v>1.865300467346322</c:v>
                </c:pt>
                <c:pt idx="51">
                  <c:v>1.8710307691452055</c:v>
                </c:pt>
                <c:pt idx="52">
                  <c:v>1.8766089770956293</c:v>
                </c:pt>
                <c:pt idx="53">
                  <c:v>1.8820379768301558</c:v>
                </c:pt>
                <c:pt idx="54">
                  <c:v>1.8873205071087085</c:v>
                </c:pt>
                <c:pt idx="55">
                  <c:v>1.892459168824943</c:v>
                </c:pt>
                <c:pt idx="56">
                  <c:v>1.8974564332728319</c:v>
                </c:pt>
                <c:pt idx="57">
                  <c:v>1.9023146497452588</c:v>
                </c:pt>
                <c:pt idx="58">
                  <c:v>1.9070360525282646</c:v>
                </c:pt>
                <c:pt idx="59">
                  <c:v>1.9116227673474575</c:v>
                </c:pt>
                <c:pt idx="60">
                  <c:v>1.9160768173168932</c:v>
                </c:pt>
                <c:pt idx="61">
                  <c:v>1.9204001284352867</c:v>
                </c:pt>
                <c:pt idx="62">
                  <c:v>1.9245945346696396</c:v>
                </c:pt>
                <c:pt idx="63">
                  <c:v>1.9286617826621673</c:v>
                </c:pt>
                <c:pt idx="64">
                  <c:v>1.932603536092703</c:v>
                </c:pt>
                <c:pt idx="65">
                  <c:v>1.9364213797254868</c:v>
                </c:pt>
                <c:pt idx="66">
                  <c:v>1.9401168231663481</c:v>
                </c:pt>
                <c:pt idx="67">
                  <c:v>1.9436913043537176</c:v>
                </c:pt>
                <c:pt idx="68">
                  <c:v>1.9471461928046203</c:v>
                </c:pt>
                <c:pt idx="69">
                  <c:v>1.9504827926347668</c:v>
                </c:pt>
                <c:pt idx="70">
                  <c:v>1.95370234537004</c:v>
                </c:pt>
                <c:pt idx="71">
                  <c:v>1.9568060325650527</c:v>
                </c:pt>
                <c:pt idx="72">
                  <c:v>1.9597949782429942</c:v>
                </c:pt>
                <c:pt idx="73">
                  <c:v>1.9626702511696803</c:v>
                </c:pt>
                <c:pt idx="74">
                  <c:v>1.9654328669735417</c:v>
                </c:pt>
                <c:pt idx="75">
                  <c:v>1.9680837901222399</c:v>
                </c:pt>
                <c:pt idx="76">
                  <c:v>1.9706239357656299</c:v>
                </c:pt>
                <c:pt idx="77">
                  <c:v>1.9730541714539402</c:v>
                </c:pt>
                <c:pt idx="78">
                  <c:v>1.9753753187392524</c:v>
                </c:pt>
                <c:pt idx="79">
                  <c:v>1.9775881546676568</c:v>
                </c:pt>
                <c:pt idx="80">
                  <c:v>1.9796934131688149</c:v>
                </c:pt>
                <c:pt idx="81">
                  <c:v>1.9816917863490771</c:v>
                </c:pt>
                <c:pt idx="82">
                  <c:v>1.9835839256937629</c:v>
                </c:pt>
                <c:pt idx="83">
                  <c:v>1.985370443183728</c:v>
                </c:pt>
                <c:pt idx="84">
                  <c:v>1.9870519123308925</c:v>
                </c:pt>
                <c:pt idx="85">
                  <c:v>1.9886288691369876</c:v>
                </c:pt>
                <c:pt idx="86">
                  <c:v>1.9901018129794115</c:v>
                </c:pt>
                <c:pt idx="87">
                  <c:v>1.9914712074277237</c:v>
                </c:pt>
                <c:pt idx="88">
                  <c:v>1.9927374809939891</c:v>
                </c:pt>
                <c:pt idx="89">
                  <c:v>1.9939010278198854</c:v>
                </c:pt>
                <c:pt idx="90">
                  <c:v>1.994962208303205</c:v>
                </c:pt>
                <c:pt idx="91">
                  <c:v>1.9959213496661212</c:v>
                </c:pt>
                <c:pt idx="92">
                  <c:v>1.9967787464673483</c:v>
                </c:pt>
                <c:pt idx="93">
                  <c:v>1.9975346610600955</c:v>
                </c:pt>
                <c:pt idx="94">
                  <c:v>1.9981893239974933</c:v>
                </c:pt>
                <c:pt idx="95">
                  <c:v>1.9987429343869711</c:v>
                </c:pt>
                <c:pt idx="96">
                  <c:v>1.9991956601948662</c:v>
                </c:pt>
                <c:pt idx="97">
                  <c:v>1.9995476385023592</c:v>
                </c:pt>
                <c:pt idx="98">
                  <c:v>1.9997989757136501</c:v>
                </c:pt>
                <c:pt idx="99">
                  <c:v>1.999949747717112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numCache>
            </c:numRef>
          </c:val>
          <c:extLst>
            <c:ext xmlns:c16="http://schemas.microsoft.com/office/drawing/2014/chart" uri="{C3380CC4-5D6E-409C-BE32-E72D297353CC}">
              <c16:uniqueId val="{00000002-8065-DB4F-A8AC-F6C6752BDB8E}"/>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38</xdr:row>
      <xdr:rowOff>114300</xdr:rowOff>
    </xdr:from>
    <xdr:to>
      <xdr:col>9</xdr:col>
      <xdr:colOff>215900</xdr:colOff>
      <xdr:row>48</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2</xdr:col>
      <xdr:colOff>41502</xdr:colOff>
      <xdr:row>16</xdr:row>
      <xdr:rowOff>114300</xdr:rowOff>
    </xdr:from>
    <xdr:to>
      <xdr:col>9</xdr:col>
      <xdr:colOff>596900</xdr:colOff>
      <xdr:row>32</xdr:row>
      <xdr:rowOff>60648</xdr:rowOff>
    </xdr:to>
    <xdr:pic>
      <xdr:nvPicPr>
        <xdr:cNvPr id="4" name="Picture 3" descr="Winter's Finest Triple Stars - Sky &amp; Telescope - Sky &amp; Telescope">
          <a:extLst>
            <a:ext uri="{FF2B5EF4-FFF2-40B4-BE49-F238E27FC236}">
              <a16:creationId xmlns:a16="http://schemas.microsoft.com/office/drawing/2014/main" id="{B7379E26-3745-36C5-4952-9865F524DB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92502" y="3467100"/>
          <a:ext cx="6333898" cy="3197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36</xdr:row>
      <xdr:rowOff>0</xdr:rowOff>
    </xdr:from>
    <xdr:to>
      <xdr:col>4</xdr:col>
      <xdr:colOff>0</xdr:colOff>
      <xdr:row>48</xdr:row>
      <xdr:rowOff>152400</xdr:rowOff>
    </xdr:to>
    <xdr:graphicFrame macro="">
      <xdr:nvGraphicFramePr>
        <xdr:cNvPr id="2" name="Chart 1">
          <a:extLst>
            <a:ext uri="{FF2B5EF4-FFF2-40B4-BE49-F238E27FC236}">
              <a16:creationId xmlns:a16="http://schemas.microsoft.com/office/drawing/2014/main" id="{B2CB427E-7270-1349-8FDE-5437025CC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52DA817F-1634-914F-B1FA-0FE13EC704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D6BAF13B-C213-D74C-A36B-4B11DF7849B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C0DFF641-2084-A642-81A0-F7E28185583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235F9D98-96D3-E348-A589-5CACE5BE0464}"/>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EA160253-1450-6A4F-8653-509FE51D8F4C}"/>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16933</xdr:colOff>
      <xdr:row>0</xdr:row>
      <xdr:rowOff>0</xdr:rowOff>
    </xdr:from>
    <xdr:to>
      <xdr:col>15</xdr:col>
      <xdr:colOff>8466</xdr:colOff>
      <xdr:row>45</xdr:row>
      <xdr:rowOff>88900</xdr:rowOff>
    </xdr:to>
    <xdr:pic>
      <xdr:nvPicPr>
        <xdr:cNvPr id="2" name="Picture 1" descr="Triple-star system passes near Milky Way's central black hole | ESA/Hubble">
          <a:extLst>
            <a:ext uri="{FF2B5EF4-FFF2-40B4-BE49-F238E27FC236}">
              <a16:creationId xmlns:a16="http://schemas.microsoft.com/office/drawing/2014/main" id="{1B404EAF-9571-2335-17BD-9A2E05AA8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433" y="0"/>
          <a:ext cx="11548533" cy="866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393700</xdr:colOff>
      <xdr:row>47</xdr:row>
      <xdr:rowOff>63500</xdr:rowOff>
    </xdr:from>
    <xdr:to>
      <xdr:col>12</xdr:col>
      <xdr:colOff>457200</xdr:colOff>
      <xdr:row>99</xdr:row>
      <xdr:rowOff>139700</xdr:rowOff>
    </xdr:to>
    <xdr:pic>
      <xdr:nvPicPr>
        <xdr:cNvPr id="3" name="Picture 2">
          <a:extLst>
            <a:ext uri="{FF2B5EF4-FFF2-40B4-BE49-F238E27FC236}">
              <a16:creationId xmlns:a16="http://schemas.microsoft.com/office/drawing/2014/main" id="{86D5A091-F4C9-E7C8-3EA8-7160913A36EA}"/>
            </a:ext>
          </a:extLst>
        </xdr:cNvPr>
        <xdr:cNvPicPr>
          <a:picLocks noChangeAspect="1"/>
        </xdr:cNvPicPr>
      </xdr:nvPicPr>
      <xdr:blipFill>
        <a:blip xmlns:r="http://schemas.openxmlformats.org/officeDocument/2006/relationships" r:embed="rId2"/>
        <a:stretch>
          <a:fillRect/>
        </a:stretch>
      </xdr:blipFill>
      <xdr:spPr>
        <a:xfrm>
          <a:off x="2870200" y="9017000"/>
          <a:ext cx="7493000" cy="9982200"/>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Q39"/>
  <sheetViews>
    <sheetView showGridLines="0" tabSelected="1" workbookViewId="0">
      <selection activeCell="I16" sqref="I16"/>
    </sheetView>
  </sheetViews>
  <sheetFormatPr baseColWidth="10" defaultRowHeight="16"/>
  <cols>
    <col min="1" max="16384" width="10.83203125" style="31"/>
  </cols>
  <sheetData>
    <row r="2" spans="2:11" ht="15" customHeight="1"/>
    <row r="3" spans="2:11" ht="16" customHeight="1">
      <c r="B3" s="155" t="s">
        <v>121</v>
      </c>
      <c r="C3" s="155"/>
      <c r="D3" s="155"/>
      <c r="E3" s="155"/>
      <c r="F3" s="155"/>
      <c r="G3" s="155"/>
      <c r="H3" s="155"/>
      <c r="I3" s="155"/>
      <c r="J3" s="155"/>
      <c r="K3" s="155"/>
    </row>
    <row r="4" spans="2:11" ht="16" customHeight="1">
      <c r="B4" s="155"/>
      <c r="C4" s="155"/>
      <c r="D4" s="155"/>
      <c r="E4" s="155"/>
      <c r="F4" s="155"/>
      <c r="G4" s="155"/>
      <c r="H4" s="155"/>
      <c r="I4" s="155"/>
      <c r="J4" s="155"/>
      <c r="K4" s="155"/>
    </row>
    <row r="5" spans="2:11" ht="16" customHeight="1">
      <c r="B5" s="155"/>
      <c r="C5" s="155"/>
      <c r="D5" s="155"/>
      <c r="E5" s="155"/>
      <c r="F5" s="155"/>
      <c r="G5" s="155"/>
      <c r="H5" s="155"/>
      <c r="I5" s="155"/>
      <c r="J5" s="155"/>
      <c r="K5" s="155"/>
    </row>
    <row r="6" spans="2:11" ht="16" customHeight="1">
      <c r="B6" s="155"/>
      <c r="C6" s="155"/>
      <c r="D6" s="155"/>
      <c r="E6" s="155"/>
      <c r="F6" s="155"/>
      <c r="G6" s="155"/>
      <c r="H6" s="155"/>
      <c r="I6" s="155"/>
      <c r="J6" s="155"/>
      <c r="K6" s="155"/>
    </row>
    <row r="7" spans="2:11" ht="16" customHeight="1">
      <c r="B7" s="155"/>
      <c r="C7" s="155"/>
      <c r="D7" s="155"/>
      <c r="E7" s="155"/>
      <c r="F7" s="155"/>
      <c r="G7" s="155"/>
      <c r="H7" s="155"/>
      <c r="I7" s="155"/>
      <c r="J7" s="155"/>
      <c r="K7" s="155"/>
    </row>
    <row r="8" spans="2:11" ht="16" customHeight="1">
      <c r="B8" s="155"/>
      <c r="C8" s="155"/>
      <c r="D8" s="155"/>
      <c r="E8" s="155"/>
      <c r="F8" s="155"/>
      <c r="G8" s="155"/>
      <c r="H8" s="155"/>
      <c r="I8" s="155"/>
      <c r="J8" s="155"/>
      <c r="K8" s="155"/>
    </row>
    <row r="9" spans="2:11" ht="16" customHeight="1">
      <c r="B9" s="155"/>
      <c r="C9" s="155"/>
      <c r="D9" s="155"/>
      <c r="E9" s="155"/>
      <c r="F9" s="155"/>
      <c r="G9" s="155"/>
      <c r="H9" s="155"/>
      <c r="I9" s="155"/>
      <c r="J9" s="155"/>
      <c r="K9" s="155"/>
    </row>
    <row r="13" spans="2:11" ht="19">
      <c r="D13" s="1" t="s">
        <v>4</v>
      </c>
      <c r="E13" s="2"/>
      <c r="F13" s="3"/>
      <c r="G13" s="3"/>
      <c r="H13" s="3"/>
      <c r="I13" s="4" t="s">
        <v>0</v>
      </c>
    </row>
    <row r="14" spans="2:11" ht="19">
      <c r="D14" s="5"/>
      <c r="E14" s="6"/>
      <c r="F14" s="7"/>
      <c r="G14" s="7"/>
      <c r="H14" s="7"/>
      <c r="I14" s="8"/>
    </row>
    <row r="15" spans="2:11" ht="19">
      <c r="D15" s="9" t="s">
        <v>120</v>
      </c>
      <c r="E15" s="10"/>
      <c r="F15" s="11"/>
      <c r="G15" s="11"/>
      <c r="H15" s="11"/>
      <c r="I15" s="12" t="s">
        <v>155</v>
      </c>
    </row>
    <row r="25" spans="3:4">
      <c r="C25" s="32"/>
    </row>
    <row r="28" spans="3:4">
      <c r="D28" s="32"/>
    </row>
    <row r="33" spans="1:17">
      <c r="Q33" s="32"/>
    </row>
    <row r="34" spans="1:17">
      <c r="A34" s="32"/>
    </row>
    <row r="35" spans="1:17">
      <c r="B35" s="156" t="s">
        <v>1</v>
      </c>
      <c r="C35" s="157"/>
      <c r="D35" s="157"/>
      <c r="E35" s="157"/>
      <c r="F35" s="157"/>
      <c r="G35" s="157"/>
      <c r="H35" s="157"/>
      <c r="I35" s="157"/>
      <c r="J35" s="157"/>
      <c r="K35" s="158"/>
    </row>
    <row r="36" spans="1:17">
      <c r="B36" s="159" t="s">
        <v>2</v>
      </c>
      <c r="C36" s="160"/>
      <c r="D36" s="160"/>
      <c r="E36" s="160"/>
      <c r="F36" s="160"/>
      <c r="G36" s="160"/>
      <c r="H36" s="160"/>
      <c r="I36" s="160"/>
      <c r="J36" s="160"/>
      <c r="K36" s="161"/>
    </row>
    <row r="37" spans="1:17">
      <c r="B37" s="162" t="s">
        <v>3</v>
      </c>
      <c r="C37" s="163"/>
      <c r="D37" s="163"/>
      <c r="E37" s="163"/>
      <c r="F37" s="163"/>
      <c r="G37" s="163"/>
      <c r="H37" s="163"/>
      <c r="I37" s="163"/>
      <c r="J37" s="163"/>
      <c r="K37" s="164"/>
    </row>
    <row r="39" spans="1:17">
      <c r="Q39" s="32"/>
    </row>
  </sheetData>
  <sheetProtection sheet="1" objects="1" scenarios="1"/>
  <mergeCells count="4">
    <mergeCell ref="B3:K9"/>
    <mergeCell ref="B35:K35"/>
    <mergeCell ref="B36:K36"/>
    <mergeCell ref="B37:K37"/>
  </mergeCells>
  <hyperlinks>
    <hyperlink ref="I13" r:id="rId1" xr:uid="{60E68FAD-CE54-204D-BE8F-AA8992F34899}"/>
    <hyperlink ref="B35" r:id="rId2" display="http://www.astronomy-morsels.ch/" xr:uid="{658673F1-EC19-9849-A093-CD89D563BEA6}"/>
  </hyperlinks>
  <pageMargins left="0.7" right="0.7" top="0.75" bottom="0.75" header="0.3" footer="0.3"/>
  <pageSetup paperSize="9"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5CC5-610B-8844-8C0F-9B63B3EF5C5D}">
  <sheetPr codeName="Sheet1">
    <pageSetUpPr fitToPage="1"/>
  </sheetPr>
  <dimension ref="B2:AE87"/>
  <sheetViews>
    <sheetView showGridLines="0" workbookViewId="0">
      <selection activeCell="D19" sqref="D19"/>
    </sheetView>
  </sheetViews>
  <sheetFormatPr baseColWidth="10" defaultRowHeight="16"/>
  <cols>
    <col min="1" max="1" width="10.83203125" style="13"/>
    <col min="2" max="2" width="13.33203125" style="13" customWidth="1"/>
    <col min="3" max="4" width="11.33203125" style="13" customWidth="1"/>
    <col min="5" max="5" width="5.83203125" style="13" customWidth="1"/>
    <col min="6" max="6" width="13.1640625" style="60" customWidth="1"/>
    <col min="7" max="7" width="10.83203125" style="13" customWidth="1"/>
    <col min="8" max="8" width="10.83203125" style="14" customWidth="1"/>
    <col min="9" max="9" width="10.83203125" style="13"/>
    <col min="10" max="15" width="10.83203125" style="14" customWidth="1"/>
    <col min="16" max="17" width="10.83203125" style="13"/>
    <col min="18" max="18" width="5.83203125" style="13" customWidth="1"/>
    <col min="19" max="19" width="10.83203125" style="13" hidden="1" customWidth="1"/>
    <col min="20" max="21" width="10.83203125" style="14" customWidth="1"/>
    <col min="22" max="23" width="10.83203125" style="13" customWidth="1"/>
    <col min="24" max="25" width="10.83203125" style="14" customWidth="1"/>
    <col min="26" max="28" width="10.83203125" style="13" customWidth="1"/>
    <col min="29" max="29" width="10.83203125" style="13" hidden="1" customWidth="1"/>
    <col min="30" max="31" width="0" style="13" hidden="1" customWidth="1"/>
    <col min="32" max="16384" width="10.83203125" style="13"/>
  </cols>
  <sheetData>
    <row r="2" spans="2:31" ht="19">
      <c r="B2" s="168" t="s">
        <v>25</v>
      </c>
      <c r="C2" s="169"/>
      <c r="D2" s="78"/>
      <c r="F2" s="168" t="s">
        <v>26</v>
      </c>
      <c r="G2" s="170"/>
      <c r="H2" s="170"/>
      <c r="I2" s="170"/>
      <c r="J2" s="170"/>
      <c r="K2" s="170"/>
      <c r="L2" s="170"/>
      <c r="M2" s="170"/>
      <c r="N2" s="170"/>
      <c r="O2" s="170"/>
      <c r="P2" s="170"/>
      <c r="Q2" s="169"/>
      <c r="T2" s="168" t="s">
        <v>27</v>
      </c>
      <c r="U2" s="170"/>
      <c r="V2" s="170"/>
      <c r="W2" s="170"/>
      <c r="X2" s="170"/>
      <c r="Y2" s="170"/>
      <c r="Z2" s="170"/>
      <c r="AA2" s="170"/>
      <c r="AB2" s="169"/>
    </row>
    <row r="3" spans="2:31">
      <c r="B3" s="145"/>
      <c r="C3" s="40" t="s">
        <v>7</v>
      </c>
      <c r="D3" s="79"/>
      <c r="E3" s="15"/>
      <c r="F3" s="57"/>
      <c r="G3" s="54"/>
      <c r="H3" s="16" t="s">
        <v>5</v>
      </c>
      <c r="I3" s="16" t="s">
        <v>5</v>
      </c>
      <c r="J3" s="50"/>
      <c r="K3" s="50"/>
      <c r="L3" s="50"/>
      <c r="M3" s="50"/>
      <c r="N3" s="50"/>
      <c r="O3" s="50"/>
      <c r="P3" s="50"/>
      <c r="Q3" s="55"/>
      <c r="T3" s="146" t="str">
        <f>CONCATENATE("Date: ",TEXT(C4,"DD.MM.YYYY"),",   Time: ",TEXT(C5,"HH:MM:SS"))</f>
        <v>Date: 22.05.2024,   Time: 02:00:00</v>
      </c>
      <c r="U3" s="139"/>
      <c r="V3" s="139"/>
      <c r="W3" s="140"/>
      <c r="X3" s="141"/>
      <c r="Y3" s="141"/>
      <c r="Z3" s="139"/>
      <c r="AA3" s="139"/>
      <c r="AB3" s="138" t="str">
        <f>CONCATENATE("Moon: ",TEXT(Illumination!C8*100,"0.00"),"%")</f>
        <v>Moon: 97.75%</v>
      </c>
    </row>
    <row r="4" spans="2:31">
      <c r="B4" s="18" t="s">
        <v>13</v>
      </c>
      <c r="C4" s="24">
        <v>45434</v>
      </c>
      <c r="D4" s="80"/>
      <c r="E4" s="15"/>
      <c r="F4" s="58"/>
      <c r="G4" s="55"/>
      <c r="H4" s="17">
        <v>60</v>
      </c>
      <c r="I4" s="17">
        <v>25</v>
      </c>
      <c r="J4" s="50"/>
      <c r="K4" s="50"/>
      <c r="L4" s="50"/>
      <c r="M4" s="50"/>
      <c r="N4" s="50"/>
      <c r="O4" s="50"/>
      <c r="P4" s="50"/>
      <c r="Q4" s="55"/>
      <c r="T4" s="146" t="str">
        <f>CONCATENATE("Latitude: ",TEXT(C13,"0.00"),",      Longitude: ",TEXT(C14,"0.00"),"   (",C12,")")</f>
        <v>Latitude: 46.45,      Longitude: 7.42   (Home)</v>
      </c>
      <c r="U4" s="139"/>
      <c r="V4" s="139"/>
      <c r="W4" s="142"/>
      <c r="X4" s="143"/>
      <c r="Y4" s="143"/>
      <c r="Z4" s="139"/>
      <c r="AA4" s="139"/>
      <c r="AB4" s="138" t="str">
        <f>CONCATENATE("# total:       ",TEXT(78-COUNTBLANK(($E$8:$E$85)),"0"))</f>
        <v># total:       13</v>
      </c>
    </row>
    <row r="5" spans="2:31">
      <c r="B5" s="21" t="s">
        <v>14</v>
      </c>
      <c r="C5" s="25">
        <v>8.3333333333333329E-2</v>
      </c>
      <c r="D5" s="81"/>
      <c r="E5" s="15"/>
      <c r="F5" s="58"/>
      <c r="G5" s="55"/>
      <c r="H5" s="16" t="s">
        <v>6</v>
      </c>
      <c r="I5" s="16" t="s">
        <v>6</v>
      </c>
      <c r="J5" s="50"/>
      <c r="K5" s="50"/>
      <c r="L5" s="50"/>
      <c r="M5" s="50"/>
      <c r="N5" s="50"/>
      <c r="O5" s="50"/>
      <c r="P5" s="50"/>
      <c r="Q5" s="55"/>
      <c r="T5" s="147" t="str">
        <f>CONCATENATE("Limits: ",TEXT(H4,"0")," &lt;= azimuth &lt;= ",TEXT(H6,"0"),",   ",TEXT(I4,"0")," &lt;= altitude &lt;= ",TEXT(I6,"0"))</f>
        <v>Limits: 60 &lt;= azimuth &lt;= 150,   25 &lt;= altitude &lt;= 90</v>
      </c>
      <c r="U5" s="139"/>
      <c r="V5" s="139"/>
      <c r="W5" s="144"/>
      <c r="X5" s="50"/>
      <c r="Y5" s="50"/>
      <c r="Z5" s="139"/>
      <c r="AA5" s="139"/>
      <c r="AB5" s="138" t="str">
        <f>CONCATENATE("# selected: ",TEXT(78-COUNTBLANK(($T$8:$T$85)),"0"))</f>
        <v># selected: 13</v>
      </c>
    </row>
    <row r="6" spans="2:31">
      <c r="B6" s="21" t="s">
        <v>15</v>
      </c>
      <c r="C6" s="26">
        <v>1</v>
      </c>
      <c r="D6" s="82"/>
      <c r="E6" s="15"/>
      <c r="F6" s="59"/>
      <c r="G6" s="56"/>
      <c r="H6" s="17">
        <v>150</v>
      </c>
      <c r="I6" s="17">
        <v>90</v>
      </c>
      <c r="J6" s="52"/>
      <c r="K6" s="52"/>
      <c r="L6" s="52"/>
      <c r="M6" s="52"/>
      <c r="N6" s="52"/>
      <c r="O6" s="52"/>
      <c r="P6" s="52"/>
      <c r="Q6" s="56"/>
      <c r="T6" s="51"/>
      <c r="U6" s="52"/>
      <c r="V6" s="53"/>
      <c r="W6" s="53"/>
      <c r="X6" s="52"/>
      <c r="Y6" s="52"/>
      <c r="Z6" s="53"/>
      <c r="AA6" s="53"/>
      <c r="AB6" s="56"/>
    </row>
    <row r="7" spans="2:31" ht="17">
      <c r="B7" s="18" t="s">
        <v>16</v>
      </c>
      <c r="C7" s="16" t="str">
        <f>IF(OR(MOD(YEAR(C4),400)=0,AND(MOD(YEAR(C4),4)=0,MOD(YEAR(C4),100)&lt;&gt;0)),"Y", "N")</f>
        <v>Y</v>
      </c>
      <c r="D7" s="19"/>
      <c r="E7" s="15"/>
      <c r="F7" s="62" t="s">
        <v>36</v>
      </c>
      <c r="G7" s="28" t="str">
        <f>C17</f>
        <v>Observed?</v>
      </c>
      <c r="H7" s="29" t="s">
        <v>8</v>
      </c>
      <c r="I7" s="29" t="s">
        <v>9</v>
      </c>
      <c r="J7" s="67" t="s">
        <v>37</v>
      </c>
      <c r="K7" s="67" t="s">
        <v>38</v>
      </c>
      <c r="L7" s="67" t="s">
        <v>39</v>
      </c>
      <c r="M7" s="67" t="s">
        <v>40</v>
      </c>
      <c r="N7" s="67" t="s">
        <v>41</v>
      </c>
      <c r="O7" s="65" t="s">
        <v>10</v>
      </c>
      <c r="P7" s="65" t="s">
        <v>11</v>
      </c>
      <c r="Q7" s="29" t="s">
        <v>12</v>
      </c>
      <c r="R7" s="30"/>
      <c r="S7" s="30"/>
      <c r="T7" s="44" t="s">
        <v>36</v>
      </c>
      <c r="U7" s="44" t="str">
        <f>C17</f>
        <v>Observed?</v>
      </c>
      <c r="V7" s="45" t="s">
        <v>8</v>
      </c>
      <c r="W7" s="45" t="s">
        <v>9</v>
      </c>
      <c r="X7" s="68" t="s">
        <v>37</v>
      </c>
      <c r="Y7" s="68" t="s">
        <v>38</v>
      </c>
      <c r="Z7" s="68" t="s">
        <v>39</v>
      </c>
      <c r="AA7" s="68" t="s">
        <v>40</v>
      </c>
      <c r="AB7" s="68" t="s">
        <v>41</v>
      </c>
      <c r="AC7" s="65" t="s">
        <v>10</v>
      </c>
      <c r="AD7" s="65" t="s">
        <v>11</v>
      </c>
      <c r="AE7" s="29" t="s">
        <v>12</v>
      </c>
    </row>
    <row r="8" spans="2:31" ht="17">
      <c r="B8" s="18" t="s">
        <v>17</v>
      </c>
      <c r="C8" s="27">
        <f>INT(275*MONTH(C4)/9)-IF(C7="Y",1,2)*INT((MONTH(C4)+9)/12)+DAY(C4)-30</f>
        <v>143</v>
      </c>
      <c r="D8" s="83"/>
      <c r="E8" s="19" t="str">
        <f>IF(AND(I8&gt;=$I$4,I8&lt;=$I$6,H8&gt;=$H$4,H8&lt;=$H$6),IF(VLOOKUP(G8,$C$19:$D$24,2,FALSE)="yes","*","-"),"")</f>
        <v/>
      </c>
      <c r="F8" s="63" t="s">
        <v>42</v>
      </c>
      <c r="G8" s="61" t="s">
        <v>35</v>
      </c>
      <c r="H8" s="20">
        <f>IF(SIN($Q$87*Q8)&lt;0,ACOS((SIN($Q$87*P8)-SIN($Q$87*I8)*SIN($Q$87*$C$13))/(COS($Q$87*I8)*COS($Q$87*$C$13)))/$Q$87,360-ACOS((SIN($Q$87*P8)-SIN($Q$87*I8)*SIN($Q$87*$C$13))/(COS($Q$87*I8)*COS($Q$87*$C$13)))/$Q$87)</f>
        <v>30.874727626029571</v>
      </c>
      <c r="I8" s="20">
        <f t="shared" ref="I8:I39" si="0">ASIN(SIN($Q$87*P8)*SIN($Q$87*$C$13)+COS($Q$87*P8)*COS($Q$87*$C$13)*COS($Q$87*Q8))/$Q$87</f>
        <v>38.579432204000376</v>
      </c>
      <c r="J8" s="66">
        <v>5.96</v>
      </c>
      <c r="K8" s="66">
        <v>7.17</v>
      </c>
      <c r="L8" s="66">
        <v>10.99</v>
      </c>
      <c r="M8" s="66">
        <v>15.1</v>
      </c>
      <c r="N8" s="66">
        <v>98.5</v>
      </c>
      <c r="O8" s="66">
        <v>4.3333333333333335E-2</v>
      </c>
      <c r="P8" s="66">
        <v>66.099999999999994</v>
      </c>
      <c r="Q8" s="64">
        <f t="shared" ref="Q8:Q39" si="1">$C$16-((O8/24)*360)</f>
        <v>261.96278975015196</v>
      </c>
      <c r="S8" s="13" t="str" cm="1">
        <f t="array" ref="S8:AE20">_xlfn._xlws.FILTER(E8:Q85,E8:E85="*","")</f>
        <v>*</v>
      </c>
      <c r="T8" s="35" t="str">
        <v>STT 525</v>
      </c>
      <c r="U8" s="47" t="str">
        <v>-</v>
      </c>
      <c r="V8" s="36">
        <v>120.47732085615186</v>
      </c>
      <c r="W8" s="36">
        <v>69.718904784648103</v>
      </c>
      <c r="X8" s="69">
        <v>6.14</v>
      </c>
      <c r="Y8" s="69">
        <v>7.6</v>
      </c>
      <c r="Z8" s="70">
        <v>9.1199999999999992</v>
      </c>
      <c r="AA8" s="70">
        <v>1.8</v>
      </c>
      <c r="AB8" s="71">
        <v>45.3</v>
      </c>
      <c r="AC8" s="37">
        <v>18.914999999999999</v>
      </c>
      <c r="AD8" s="37">
        <v>33.966666666666669</v>
      </c>
      <c r="AE8" s="37">
        <v>-21.112210249848033</v>
      </c>
    </row>
    <row r="9" spans="2:31" ht="17">
      <c r="B9" s="18" t="s">
        <v>18</v>
      </c>
      <c r="C9" s="27" t="str">
        <f>IF(INT(MOD(C10+1.5,7))=1,"Monday",IF(INT(MOD(C10+1.5,7))=2,"Tuesday",IF(INT(MOD(C10+1.5,7))=3,"Wednesday",IF(INT(MOD(C10+1.5,7))=4,"Thursday",IF(INT(MOD(C10+1.5,7))=5,"Friday",IF(INT(MOD(C10+1.5,7))=6,"Saturday","Sunday"))))))</f>
        <v>Wednesday</v>
      </c>
      <c r="D9" s="83"/>
      <c r="E9" s="19" t="str">
        <f t="shared" ref="E9:E72" si="2">IF(AND(I9&gt;=$I$4,I9&lt;=$I$6,H9&gt;=$H$4,H9&lt;=$H$6),IF(VLOOKUP(G9,$C$19:$D$24,2,FALSE)="yes","*","-"),"")</f>
        <v/>
      </c>
      <c r="F9" s="63" t="s">
        <v>43</v>
      </c>
      <c r="G9" s="61" t="s">
        <v>35</v>
      </c>
      <c r="H9" s="20">
        <f t="shared" ref="H9:H72" si="3">IF(SIN($Q$87*Q9)&lt;0,ACOS((SIN($Q$87*P9)-SIN($Q$87*I9)*SIN($Q$87*$C$13))/(COS($Q$87*I9)*COS($Q$87*$C$13)))/$Q$87,360-ACOS((SIN($Q$87*P9)-SIN($Q$87*I9)*SIN($Q$87*$C$13))/(COS($Q$87*I9)*COS($Q$87*$C$13)))/$Q$87)</f>
        <v>40.717461898159669</v>
      </c>
      <c r="I9" s="20">
        <f t="shared" si="0"/>
        <v>8.9329483070086901</v>
      </c>
      <c r="J9" s="66">
        <v>8.9600000000000009</v>
      </c>
      <c r="K9" s="66">
        <v>9.4</v>
      </c>
      <c r="L9" s="66">
        <v>10.6</v>
      </c>
      <c r="M9" s="66">
        <v>2.1</v>
      </c>
      <c r="N9" s="66">
        <v>12.8</v>
      </c>
      <c r="O9" s="66">
        <v>1.7783333333333333</v>
      </c>
      <c r="P9" s="66">
        <v>38.93333333333333</v>
      </c>
      <c r="Q9" s="64">
        <f t="shared" si="1"/>
        <v>235.93778975015192</v>
      </c>
      <c r="S9" s="13" t="str">
        <v>*</v>
      </c>
      <c r="T9" s="33" t="str">
        <v>STF 2466</v>
      </c>
      <c r="U9" s="14" t="str">
        <v>-</v>
      </c>
      <c r="V9" s="37">
        <v>122.78128778829523</v>
      </c>
      <c r="W9" s="37">
        <v>64.801107647890547</v>
      </c>
      <c r="X9" s="72">
        <v>8.57</v>
      </c>
      <c r="Y9" s="72">
        <v>9.02</v>
      </c>
      <c r="Z9" s="73">
        <v>10.84</v>
      </c>
      <c r="AA9" s="73">
        <v>2.4</v>
      </c>
      <c r="AB9" s="74">
        <v>98.3</v>
      </c>
      <c r="AC9" s="37">
        <v>19.131666666666668</v>
      </c>
      <c r="AD9" s="37">
        <v>29.8</v>
      </c>
      <c r="AE9" s="37">
        <v>-24.36221024984809</v>
      </c>
    </row>
    <row r="10" spans="2:31" ht="17">
      <c r="B10" s="18" t="s">
        <v>19</v>
      </c>
      <c r="C10" s="46">
        <f>367*YEAR(C4)-INT(7/4*YEAR(C4))-INT(3*(INT((YEAR(C4)-8/7)/100)+1)/4)+1721059.5-1+C8+(3600*HOUR(C5)+60*MINUTE(C5)+SECOND(C5))/(24*3600)</f>
        <v>2460452.5833333335</v>
      </c>
      <c r="D10" s="84"/>
      <c r="E10" s="19" t="str">
        <f t="shared" si="2"/>
        <v/>
      </c>
      <c r="F10" s="63" t="s">
        <v>44</v>
      </c>
      <c r="G10" s="61" t="s">
        <v>35</v>
      </c>
      <c r="H10" s="20">
        <f t="shared" si="3"/>
        <v>18.189568678762669</v>
      </c>
      <c r="I10" s="20">
        <f t="shared" si="0"/>
        <v>28.881606857430729</v>
      </c>
      <c r="J10" s="66">
        <v>4.63</v>
      </c>
      <c r="K10" s="66">
        <v>6.92</v>
      </c>
      <c r="L10" s="66">
        <v>9.0500000000000007</v>
      </c>
      <c r="M10" s="66">
        <v>2.9</v>
      </c>
      <c r="N10" s="66">
        <v>7</v>
      </c>
      <c r="O10" s="66">
        <v>2.4849999999999999</v>
      </c>
      <c r="P10" s="66">
        <v>67.400000000000006</v>
      </c>
      <c r="Q10" s="64">
        <f t="shared" si="1"/>
        <v>225.33778975015193</v>
      </c>
      <c r="S10" s="13" t="str">
        <v>*</v>
      </c>
      <c r="T10" s="33" t="str">
        <v>STT 371</v>
      </c>
      <c r="U10" s="14" t="str">
        <v>-</v>
      </c>
      <c r="V10" s="37">
        <v>123.28355645691073</v>
      </c>
      <c r="W10" s="37">
        <v>61.876572179447123</v>
      </c>
      <c r="X10" s="72">
        <v>7.03</v>
      </c>
      <c r="Y10" s="72">
        <v>7.55</v>
      </c>
      <c r="Z10" s="73">
        <v>9.77</v>
      </c>
      <c r="AA10" s="73">
        <v>0.9</v>
      </c>
      <c r="AB10" s="74">
        <v>47.4</v>
      </c>
      <c r="AC10" s="37">
        <v>19.265000000000001</v>
      </c>
      <c r="AD10" s="37">
        <v>27.45</v>
      </c>
      <c r="AE10" s="37">
        <v>-26.36221024984809</v>
      </c>
    </row>
    <row r="11" spans="2:31" ht="17">
      <c r="B11" s="18" t="s">
        <v>20</v>
      </c>
      <c r="C11" s="46">
        <f>C10-2451545</f>
        <v>8907.5833333334886</v>
      </c>
      <c r="D11" s="84"/>
      <c r="E11" s="19" t="str">
        <f t="shared" si="2"/>
        <v/>
      </c>
      <c r="F11" s="63" t="s">
        <v>45</v>
      </c>
      <c r="G11" s="61" t="s">
        <v>35</v>
      </c>
      <c r="H11" s="20">
        <f t="shared" si="3"/>
        <v>24.948710147288843</v>
      </c>
      <c r="I11" s="20">
        <f t="shared" si="0"/>
        <v>18.762616220236151</v>
      </c>
      <c r="J11" s="66">
        <v>7</v>
      </c>
      <c r="K11" s="66">
        <v>9.66</v>
      </c>
      <c r="L11" s="66">
        <v>11.37</v>
      </c>
      <c r="M11" s="66">
        <v>21.4</v>
      </c>
      <c r="N11" s="66">
        <v>46.2</v>
      </c>
      <c r="O11" s="66">
        <v>2.5133333333333332</v>
      </c>
      <c r="P11" s="66">
        <v>55.55</v>
      </c>
      <c r="Q11" s="64">
        <f t="shared" si="1"/>
        <v>224.91278975015194</v>
      </c>
      <c r="S11" s="13" t="str">
        <v>*</v>
      </c>
      <c r="T11" s="33" t="str">
        <v>Theta Lyr</v>
      </c>
      <c r="U11" s="14" t="str">
        <v>-</v>
      </c>
      <c r="V11" s="37">
        <v>103.58978882342819</v>
      </c>
      <c r="W11" s="37">
        <v>68.843544132458078</v>
      </c>
      <c r="X11" s="72">
        <v>4.4800000000000004</v>
      </c>
      <c r="Y11" s="72">
        <v>10.14</v>
      </c>
      <c r="Z11" s="73">
        <v>11.1</v>
      </c>
      <c r="AA11" s="73">
        <v>99</v>
      </c>
      <c r="AB11" s="74">
        <v>100.6</v>
      </c>
      <c r="AC11" s="37">
        <v>19.273333333333333</v>
      </c>
      <c r="AD11" s="37">
        <v>38.133333333333333</v>
      </c>
      <c r="AE11" s="37">
        <v>-26.487210249848033</v>
      </c>
    </row>
    <row r="12" spans="2:31" ht="17">
      <c r="B12" s="42" t="s">
        <v>28</v>
      </c>
      <c r="C12" s="43" t="s">
        <v>29</v>
      </c>
      <c r="D12" s="85"/>
      <c r="E12" s="19" t="str">
        <f t="shared" si="2"/>
        <v/>
      </c>
      <c r="F12" s="63" t="s">
        <v>46</v>
      </c>
      <c r="G12" s="61" t="s">
        <v>35</v>
      </c>
      <c r="H12" s="20">
        <f t="shared" si="3"/>
        <v>40.035261968738723</v>
      </c>
      <c r="I12" s="20">
        <f t="shared" si="0"/>
        <v>-16.486507542793703</v>
      </c>
      <c r="J12" s="66">
        <v>5.32</v>
      </c>
      <c r="K12" s="66">
        <v>7.95</v>
      </c>
      <c r="L12" s="66">
        <v>10.72</v>
      </c>
      <c r="M12" s="66">
        <v>3.3</v>
      </c>
      <c r="N12" s="66">
        <v>24.8</v>
      </c>
      <c r="O12" s="66">
        <v>2.8216666666666668</v>
      </c>
      <c r="P12" s="66">
        <v>17.466666666666665</v>
      </c>
      <c r="Q12" s="64">
        <f t="shared" si="1"/>
        <v>220.28778975015194</v>
      </c>
      <c r="S12" s="13" t="str">
        <v>*</v>
      </c>
      <c r="T12" s="33" t="str">
        <v>STF 2532</v>
      </c>
      <c r="U12" s="14" t="str">
        <v>-</v>
      </c>
      <c r="V12" s="37">
        <v>139.92497852406041</v>
      </c>
      <c r="W12" s="37">
        <v>39.268955514215364</v>
      </c>
      <c r="X12" s="72">
        <v>6.37</v>
      </c>
      <c r="Y12" s="72">
        <v>10.6</v>
      </c>
      <c r="Z12" s="73">
        <v>10.91</v>
      </c>
      <c r="AA12" s="73">
        <v>32.9</v>
      </c>
      <c r="AB12" s="74">
        <v>119.5</v>
      </c>
      <c r="AC12" s="37">
        <v>19.503333333333334</v>
      </c>
      <c r="AD12" s="37">
        <v>2.9</v>
      </c>
      <c r="AE12" s="37">
        <v>-29.937210249848079</v>
      </c>
    </row>
    <row r="13" spans="2:31" ht="17">
      <c r="B13" s="22" t="s">
        <v>21</v>
      </c>
      <c r="C13" s="149">
        <f>VLOOKUP(C12,$B$29:$D$33,2,FALSE)</f>
        <v>46.45</v>
      </c>
      <c r="D13" s="86"/>
      <c r="E13" s="19" t="str">
        <f t="shared" si="2"/>
        <v/>
      </c>
      <c r="F13" s="63" t="s">
        <v>47</v>
      </c>
      <c r="G13" s="61" t="s">
        <v>35</v>
      </c>
      <c r="H13" s="20">
        <f t="shared" si="3"/>
        <v>58.241272470205551</v>
      </c>
      <c r="I13" s="20">
        <f t="shared" si="0"/>
        <v>-53.789955838870185</v>
      </c>
      <c r="J13" s="66">
        <v>3.91</v>
      </c>
      <c r="K13" s="66">
        <v>9.5</v>
      </c>
      <c r="L13" s="66">
        <v>10.8</v>
      </c>
      <c r="M13" s="66">
        <v>5.9</v>
      </c>
      <c r="N13" s="66">
        <v>39.299999999999997</v>
      </c>
      <c r="O13" s="66">
        <v>3.3250000000000002</v>
      </c>
      <c r="P13" s="66">
        <v>-21.75</v>
      </c>
      <c r="Q13" s="64">
        <f t="shared" si="1"/>
        <v>212.73778975015193</v>
      </c>
      <c r="S13" s="13" t="str">
        <v>*</v>
      </c>
      <c r="T13" s="33" t="str">
        <v>STT 388</v>
      </c>
      <c r="U13" s="14" t="str">
        <v>-</v>
      </c>
      <c r="V13" s="37">
        <v>113.80361700672785</v>
      </c>
      <c r="W13" s="37">
        <v>55.18516944195428</v>
      </c>
      <c r="X13" s="72">
        <v>8.32</v>
      </c>
      <c r="Y13" s="72">
        <v>8.4499999999999993</v>
      </c>
      <c r="Z13" s="73">
        <v>9.49</v>
      </c>
      <c r="AA13" s="73">
        <v>4.9000000000000004</v>
      </c>
      <c r="AB13" s="74">
        <v>31.8</v>
      </c>
      <c r="AC13" s="37">
        <v>19.873333333333335</v>
      </c>
      <c r="AD13" s="37">
        <v>25.866666666666667</v>
      </c>
      <c r="AE13" s="37">
        <v>-35.48721024984809</v>
      </c>
    </row>
    <row r="14" spans="2:31" ht="17">
      <c r="B14" s="18" t="s">
        <v>22</v>
      </c>
      <c r="C14" s="149">
        <f>VLOOKUP(C12,$B$29:$D$33,3,FALSE)</f>
        <v>7.42</v>
      </c>
      <c r="D14" s="86"/>
      <c r="E14" s="19" t="str">
        <f t="shared" si="2"/>
        <v/>
      </c>
      <c r="F14" s="63" t="s">
        <v>48</v>
      </c>
      <c r="G14" s="61" t="s">
        <v>35</v>
      </c>
      <c r="H14" s="20">
        <f t="shared" si="3"/>
        <v>33.218219039592746</v>
      </c>
      <c r="I14" s="20">
        <f t="shared" si="0"/>
        <v>-32.950028361419974</v>
      </c>
      <c r="J14" s="66">
        <v>6.77</v>
      </c>
      <c r="K14" s="66">
        <v>9.6300000000000008</v>
      </c>
      <c r="L14" s="66">
        <v>10.5</v>
      </c>
      <c r="M14" s="66">
        <v>26.6</v>
      </c>
      <c r="N14" s="66">
        <v>34.9</v>
      </c>
      <c r="O14" s="66">
        <v>3.6749999999999998</v>
      </c>
      <c r="P14" s="66">
        <v>5.1333333333333337</v>
      </c>
      <c r="Q14" s="64">
        <f t="shared" si="1"/>
        <v>207.48778975015193</v>
      </c>
      <c r="S14" s="13" t="str">
        <v>*</v>
      </c>
      <c r="T14" s="33" t="str">
        <v>STT 390</v>
      </c>
      <c r="U14" s="14" t="str">
        <v>-</v>
      </c>
      <c r="V14" s="37">
        <v>107.33168180074917</v>
      </c>
      <c r="W14" s="37">
        <v>57.707472981419507</v>
      </c>
      <c r="X14" s="72">
        <v>6.63</v>
      </c>
      <c r="Y14" s="72">
        <v>9.5</v>
      </c>
      <c r="Z14" s="73">
        <v>11.23</v>
      </c>
      <c r="AA14" s="73">
        <v>9.6</v>
      </c>
      <c r="AB14" s="74">
        <v>15.8</v>
      </c>
      <c r="AC14" s="37">
        <v>19.918333333333333</v>
      </c>
      <c r="AD14" s="37">
        <v>30.2</v>
      </c>
      <c r="AE14" s="37">
        <v>-36.162210249848044</v>
      </c>
    </row>
    <row r="15" spans="2:31" ht="17">
      <c r="B15" s="18" t="s">
        <v>23</v>
      </c>
      <c r="C15" s="23">
        <f>MOD(HOUR(C5)+(MINUTE(C5)/60)+(SECOND(C5)/60)-C6,24)</f>
        <v>1</v>
      </c>
      <c r="D15" s="73"/>
      <c r="E15" s="19" t="str">
        <f t="shared" si="2"/>
        <v/>
      </c>
      <c r="F15" s="63" t="s">
        <v>49</v>
      </c>
      <c r="G15" s="61" t="s">
        <v>35</v>
      </c>
      <c r="H15" s="20">
        <f t="shared" si="3"/>
        <v>23.830497372218012</v>
      </c>
      <c r="I15" s="20">
        <f t="shared" si="0"/>
        <v>-16.112812402807009</v>
      </c>
      <c r="J15" s="66">
        <v>6.81</v>
      </c>
      <c r="K15" s="66">
        <v>10.15</v>
      </c>
      <c r="L15" s="66">
        <v>10.54</v>
      </c>
      <c r="M15" s="66">
        <v>3.3</v>
      </c>
      <c r="N15" s="66">
        <v>9.9</v>
      </c>
      <c r="O15" s="66">
        <v>3.8333333333333335</v>
      </c>
      <c r="P15" s="66">
        <v>23.85</v>
      </c>
      <c r="Q15" s="64">
        <f t="shared" si="1"/>
        <v>205.11278975015193</v>
      </c>
      <c r="S15" s="13" t="str">
        <v>*</v>
      </c>
      <c r="T15" s="33" t="str">
        <v>Theta Sge</v>
      </c>
      <c r="U15" s="14" t="str">
        <v>-</v>
      </c>
      <c r="V15" s="37">
        <v>114.56689861287131</v>
      </c>
      <c r="W15" s="37">
        <v>48.829867723784069</v>
      </c>
      <c r="X15" s="72">
        <v>6.56</v>
      </c>
      <c r="Y15" s="72">
        <v>7.52</v>
      </c>
      <c r="Z15" s="73">
        <v>8.85</v>
      </c>
      <c r="AA15" s="73">
        <v>12</v>
      </c>
      <c r="AB15" s="74">
        <v>90</v>
      </c>
      <c r="AC15" s="37">
        <v>20.164999999999999</v>
      </c>
      <c r="AD15" s="37">
        <v>20.916666666666668</v>
      </c>
      <c r="AE15" s="37">
        <v>-39.86221024984809</v>
      </c>
    </row>
    <row r="16" spans="2:31" ht="17">
      <c r="B16" s="18" t="s">
        <v>24</v>
      </c>
      <c r="C16" s="23">
        <f>MOD(100.46+0.985647*C11+C14+15*C15, 360)</f>
        <v>262.61278975015193</v>
      </c>
      <c r="D16" s="73"/>
      <c r="E16" s="19" t="str">
        <f t="shared" si="2"/>
        <v/>
      </c>
      <c r="F16" s="63" t="s">
        <v>50</v>
      </c>
      <c r="G16" s="61" t="s">
        <v>35</v>
      </c>
      <c r="H16" s="20">
        <f t="shared" si="3"/>
        <v>21.529494594701671</v>
      </c>
      <c r="I16" s="20">
        <f t="shared" si="0"/>
        <v>-17.458952558948212</v>
      </c>
      <c r="J16" s="66">
        <v>6.92</v>
      </c>
      <c r="K16" s="66">
        <v>7.76</v>
      </c>
      <c r="L16" s="66">
        <v>9.4499999999999993</v>
      </c>
      <c r="M16" s="66">
        <v>7.2</v>
      </c>
      <c r="N16" s="66">
        <v>58.3</v>
      </c>
      <c r="O16" s="66">
        <v>4.0149999999999997</v>
      </c>
      <c r="P16" s="66">
        <v>23.2</v>
      </c>
      <c r="Q16" s="64">
        <f t="shared" si="1"/>
        <v>202.38778975015194</v>
      </c>
      <c r="S16" s="13" t="str">
        <v>*</v>
      </c>
      <c r="T16" s="33" t="str">
        <v>Bu 987</v>
      </c>
      <c r="U16" s="14" t="str">
        <v>-</v>
      </c>
      <c r="V16" s="37">
        <v>110.93367080600235</v>
      </c>
      <c r="W16" s="37">
        <v>44.501099989158568</v>
      </c>
      <c r="X16" s="72">
        <v>6.8</v>
      </c>
      <c r="Y16" s="72">
        <v>7.3</v>
      </c>
      <c r="Z16" s="73">
        <v>11.1</v>
      </c>
      <c r="AA16" s="73">
        <v>2.6</v>
      </c>
      <c r="AB16" s="74">
        <v>106.7</v>
      </c>
      <c r="AC16" s="37">
        <v>20.503333333333334</v>
      </c>
      <c r="AD16" s="37">
        <v>19.416666666666668</v>
      </c>
      <c r="AE16" s="37">
        <v>-44.937210249848079</v>
      </c>
    </row>
    <row r="17" spans="2:31" ht="17">
      <c r="B17" s="48" t="s">
        <v>30</v>
      </c>
      <c r="C17" s="49" t="s">
        <v>31</v>
      </c>
      <c r="D17" s="87"/>
      <c r="E17" s="19" t="str">
        <f t="shared" si="2"/>
        <v/>
      </c>
      <c r="F17" s="63" t="s">
        <v>51</v>
      </c>
      <c r="G17" s="61" t="s">
        <v>35</v>
      </c>
      <c r="H17" s="20">
        <f t="shared" si="3"/>
        <v>12.483109069986112</v>
      </c>
      <c r="I17" s="20">
        <f t="shared" si="0"/>
        <v>6.2841970155857938</v>
      </c>
      <c r="J17" s="66">
        <v>4.24</v>
      </c>
      <c r="K17" s="66">
        <v>10.28</v>
      </c>
      <c r="L17" s="66">
        <v>10.39</v>
      </c>
      <c r="M17" s="66">
        <v>14.7</v>
      </c>
      <c r="N17" s="66">
        <v>83.3</v>
      </c>
      <c r="O17" s="66">
        <v>4.2483333333333331</v>
      </c>
      <c r="P17" s="66">
        <v>48.416666666666664</v>
      </c>
      <c r="Q17" s="64">
        <f t="shared" si="1"/>
        <v>198.88778975015194</v>
      </c>
      <c r="S17" s="13" t="str">
        <v>*</v>
      </c>
      <c r="T17" s="33" t="str">
        <v>1 Aqr</v>
      </c>
      <c r="U17" s="14" t="str">
        <v>-</v>
      </c>
      <c r="V17" s="37">
        <v>123.51877672959264</v>
      </c>
      <c r="W17" s="37">
        <v>28.2874493776416</v>
      </c>
      <c r="X17" s="72">
        <v>5.05</v>
      </c>
      <c r="Y17" s="72">
        <v>11.3</v>
      </c>
      <c r="Z17" s="73">
        <v>11.5</v>
      </c>
      <c r="AA17" s="73">
        <v>64.5</v>
      </c>
      <c r="AB17" s="74">
        <v>66.599999999999994</v>
      </c>
      <c r="AC17" s="37">
        <v>20.656666666666666</v>
      </c>
      <c r="AD17" s="37">
        <v>0.48333333333333334</v>
      </c>
      <c r="AE17" s="37">
        <v>-47.23721024984809</v>
      </c>
    </row>
    <row r="18" spans="2:31" ht="17">
      <c r="B18" s="39"/>
      <c r="C18" s="150" t="s">
        <v>32</v>
      </c>
      <c r="D18" s="151" t="s">
        <v>156</v>
      </c>
      <c r="E18" s="19" t="str">
        <f t="shared" si="2"/>
        <v/>
      </c>
      <c r="F18" s="63" t="s">
        <v>52</v>
      </c>
      <c r="G18" s="61" t="s">
        <v>35</v>
      </c>
      <c r="H18" s="20">
        <f t="shared" si="3"/>
        <v>3.2234434927488631</v>
      </c>
      <c r="I18" s="20">
        <f t="shared" si="0"/>
        <v>-10.793743011037925</v>
      </c>
      <c r="J18" s="66">
        <v>5.03</v>
      </c>
      <c r="K18" s="66">
        <v>7.33</v>
      </c>
      <c r="L18" s="66">
        <v>9</v>
      </c>
      <c r="M18" s="66">
        <v>10</v>
      </c>
      <c r="N18" s="66">
        <v>14.2</v>
      </c>
      <c r="O18" s="66">
        <v>5.2566666666666668</v>
      </c>
      <c r="P18" s="66">
        <v>32.68333333333333</v>
      </c>
      <c r="Q18" s="64">
        <f t="shared" si="1"/>
        <v>183.76278975015191</v>
      </c>
      <c r="S18" s="13" t="str">
        <v>*</v>
      </c>
      <c r="T18" s="33" t="str">
        <v>STT410</v>
      </c>
      <c r="U18" s="14" t="str">
        <v>-</v>
      </c>
      <c r="V18" s="37">
        <v>82.360418521436785</v>
      </c>
      <c r="W18" s="37">
        <v>55.735015074511146</v>
      </c>
      <c r="X18" s="72">
        <v>6.73</v>
      </c>
      <c r="Y18" s="72">
        <v>6.83</v>
      </c>
      <c r="Z18" s="73">
        <v>8.7200000000000006</v>
      </c>
      <c r="AA18" s="73">
        <v>0.9</v>
      </c>
      <c r="AB18" s="74">
        <v>68.099999999999994</v>
      </c>
      <c r="AC18" s="37">
        <v>20.66</v>
      </c>
      <c r="AD18" s="37">
        <v>40.583333333333336</v>
      </c>
      <c r="AE18" s="37">
        <v>-47.287210249848044</v>
      </c>
    </row>
    <row r="19" spans="2:31" ht="17">
      <c r="B19" s="171" t="s">
        <v>34</v>
      </c>
      <c r="C19" s="152" t="s">
        <v>35</v>
      </c>
      <c r="D19" s="153" t="s">
        <v>157</v>
      </c>
      <c r="E19" s="19" t="str">
        <f t="shared" si="2"/>
        <v/>
      </c>
      <c r="F19" s="63" t="s">
        <v>53</v>
      </c>
      <c r="G19" s="61" t="s">
        <v>35</v>
      </c>
      <c r="H19" s="20">
        <f t="shared" si="3"/>
        <v>5.3055213327686506</v>
      </c>
      <c r="I19" s="20">
        <f t="shared" si="0"/>
        <v>-68.247660521196877</v>
      </c>
      <c r="J19" s="66">
        <v>5.49</v>
      </c>
      <c r="K19" s="66">
        <v>6.58</v>
      </c>
      <c r="L19" s="66">
        <v>9.1999999999999993</v>
      </c>
      <c r="M19" s="66">
        <v>3.5</v>
      </c>
      <c r="N19" s="66">
        <v>61.3</v>
      </c>
      <c r="O19" s="66">
        <v>5.3633333333333333</v>
      </c>
      <c r="P19" s="66">
        <v>-24.766666666666666</v>
      </c>
      <c r="Q19" s="64">
        <f t="shared" si="1"/>
        <v>182.16278975015194</v>
      </c>
      <c r="S19" s="13" t="str">
        <v>*</v>
      </c>
      <c r="T19" s="33" t="str">
        <v>Epsilon Equ</v>
      </c>
      <c r="U19" s="14" t="str">
        <v>-</v>
      </c>
      <c r="V19" s="37">
        <v>116.44395963197483</v>
      </c>
      <c r="W19" s="37">
        <v>28.411259446828222</v>
      </c>
      <c r="X19" s="72">
        <v>5.96</v>
      </c>
      <c r="Y19" s="72">
        <v>6.31</v>
      </c>
      <c r="Z19" s="73">
        <v>7.05</v>
      </c>
      <c r="AA19" s="73">
        <v>0.6</v>
      </c>
      <c r="AB19" s="74">
        <v>10.4</v>
      </c>
      <c r="AC19" s="37">
        <v>20.984999999999999</v>
      </c>
      <c r="AD19" s="37">
        <v>4.3</v>
      </c>
      <c r="AE19" s="37">
        <v>-52.162210249848044</v>
      </c>
    </row>
    <row r="20" spans="2:31" ht="17">
      <c r="B20" s="171"/>
      <c r="C20" s="152" t="s">
        <v>33</v>
      </c>
      <c r="D20" s="153" t="s">
        <v>157</v>
      </c>
      <c r="E20" s="19" t="str">
        <f t="shared" si="2"/>
        <v/>
      </c>
      <c r="F20" s="63" t="s">
        <v>54</v>
      </c>
      <c r="G20" s="61" t="s">
        <v>35</v>
      </c>
      <c r="H20" s="20">
        <f t="shared" si="3"/>
        <v>359.05956700618464</v>
      </c>
      <c r="I20" s="20">
        <f t="shared" si="0"/>
        <v>-45.262922268578599</v>
      </c>
      <c r="J20" s="66">
        <v>6.67</v>
      </c>
      <c r="K20" s="66">
        <v>8.2200000000000006</v>
      </c>
      <c r="L20" s="66">
        <v>8.35</v>
      </c>
      <c r="M20" s="66">
        <v>1.7</v>
      </c>
      <c r="N20" s="66">
        <v>29.5</v>
      </c>
      <c r="O20" s="66">
        <v>5.5516666666666667</v>
      </c>
      <c r="P20" s="66">
        <v>-1.7166666666666668</v>
      </c>
      <c r="Q20" s="64">
        <f t="shared" si="1"/>
        <v>179.33778975015196</v>
      </c>
      <c r="S20" s="13" t="str">
        <v>*</v>
      </c>
      <c r="T20" s="33" t="str">
        <v>h 1647</v>
      </c>
      <c r="U20" s="14" t="str">
        <v>-</v>
      </c>
      <c r="V20" s="37">
        <v>95.653571465760237</v>
      </c>
      <c r="W20" s="37">
        <v>36.593954968196627</v>
      </c>
      <c r="X20" s="72">
        <v>6.08</v>
      </c>
      <c r="Y20" s="72">
        <v>10.220000000000001</v>
      </c>
      <c r="Z20" s="73">
        <v>10.6</v>
      </c>
      <c r="AA20" s="73">
        <v>40.299999999999997</v>
      </c>
      <c r="AB20" s="74">
        <v>41.5</v>
      </c>
      <c r="AC20" s="37">
        <v>21.483333333333334</v>
      </c>
      <c r="AD20" s="37">
        <v>22.183333333333334</v>
      </c>
      <c r="AE20" s="37">
        <v>-59.637210249848067</v>
      </c>
    </row>
    <row r="21" spans="2:31" ht="17">
      <c r="B21" s="171"/>
      <c r="C21" s="152"/>
      <c r="D21" s="153"/>
      <c r="E21" s="19" t="str">
        <f t="shared" si="2"/>
        <v/>
      </c>
      <c r="F21" s="63" t="s">
        <v>55</v>
      </c>
      <c r="G21" s="61" t="s">
        <v>35</v>
      </c>
      <c r="H21" s="20">
        <f t="shared" si="3"/>
        <v>358.62542491688521</v>
      </c>
      <c r="I21" s="20">
        <f t="shared" si="0"/>
        <v>-33.607061405083584</v>
      </c>
      <c r="J21" s="66">
        <v>3.51</v>
      </c>
      <c r="K21" s="66">
        <v>5.45</v>
      </c>
      <c r="L21" s="66">
        <v>10.72</v>
      </c>
      <c r="M21" s="66">
        <v>4.9000000000000004</v>
      </c>
      <c r="N21" s="66">
        <v>28.7</v>
      </c>
      <c r="O21" s="66">
        <v>5.585</v>
      </c>
      <c r="P21" s="66">
        <v>9.9333333333333336</v>
      </c>
      <c r="Q21" s="64">
        <f t="shared" si="1"/>
        <v>178.83778975015196</v>
      </c>
      <c r="T21" s="33"/>
      <c r="V21" s="37"/>
      <c r="W21" s="37"/>
      <c r="X21" s="72"/>
      <c r="Y21" s="72"/>
      <c r="Z21" s="73"/>
      <c r="AA21" s="73"/>
      <c r="AB21" s="74"/>
      <c r="AC21" s="37"/>
      <c r="AD21" s="37"/>
      <c r="AE21" s="37"/>
    </row>
    <row r="22" spans="2:31" ht="17">
      <c r="B22" s="171"/>
      <c r="C22" s="152"/>
      <c r="D22" s="153"/>
      <c r="E22" s="19" t="str">
        <f t="shared" si="2"/>
        <v/>
      </c>
      <c r="F22" s="63" t="s">
        <v>56</v>
      </c>
      <c r="G22" s="61" t="s">
        <v>35</v>
      </c>
      <c r="H22" s="20">
        <f t="shared" si="3"/>
        <v>358.10676647975828</v>
      </c>
      <c r="I22" s="20">
        <f t="shared" si="0"/>
        <v>-49.452583298353403</v>
      </c>
      <c r="J22" s="66">
        <v>2.9</v>
      </c>
      <c r="K22" s="66">
        <v>7</v>
      </c>
      <c r="L22" s="66">
        <v>9.6999999999999993</v>
      </c>
      <c r="M22" s="66">
        <v>10.8</v>
      </c>
      <c r="N22" s="66">
        <v>49.4</v>
      </c>
      <c r="O22" s="66">
        <v>5.59</v>
      </c>
      <c r="P22" s="66">
        <v>-5.916666666666667</v>
      </c>
      <c r="Q22" s="64">
        <f t="shared" si="1"/>
        <v>178.76278975015194</v>
      </c>
      <c r="T22" s="33"/>
      <c r="V22" s="37"/>
      <c r="W22" s="37"/>
      <c r="X22" s="72"/>
      <c r="Y22" s="72"/>
      <c r="Z22" s="73"/>
      <c r="AA22" s="73"/>
      <c r="AB22" s="74"/>
      <c r="AC22" s="37"/>
      <c r="AD22" s="37"/>
      <c r="AE22" s="37"/>
    </row>
    <row r="23" spans="2:31" ht="17">
      <c r="B23" s="171"/>
      <c r="C23" s="152"/>
      <c r="D23" s="153"/>
      <c r="E23" s="19" t="str">
        <f t="shared" si="2"/>
        <v/>
      </c>
      <c r="F23" s="63" t="s">
        <v>57</v>
      </c>
      <c r="G23" s="61" t="s">
        <v>35</v>
      </c>
      <c r="H23" s="20">
        <f t="shared" si="3"/>
        <v>357.72242833783969</v>
      </c>
      <c r="I23" s="20">
        <f t="shared" si="0"/>
        <v>22.270359964843895</v>
      </c>
      <c r="J23" s="66">
        <v>6.95</v>
      </c>
      <c r="K23" s="66">
        <v>8.23</v>
      </c>
      <c r="L23" s="66">
        <v>10.18</v>
      </c>
      <c r="M23" s="66">
        <v>4</v>
      </c>
      <c r="N23" s="66">
        <v>12.5</v>
      </c>
      <c r="O23" s="66">
        <v>5.85</v>
      </c>
      <c r="P23" s="66">
        <v>65.75</v>
      </c>
      <c r="Q23" s="64">
        <f t="shared" si="1"/>
        <v>174.86278975015193</v>
      </c>
      <c r="T23" s="33"/>
      <c r="V23" s="37"/>
      <c r="W23" s="37"/>
      <c r="X23" s="72"/>
      <c r="Y23" s="72"/>
      <c r="Z23" s="73"/>
      <c r="AA23" s="73"/>
      <c r="AB23" s="74"/>
      <c r="AC23" s="37"/>
      <c r="AD23" s="37"/>
      <c r="AE23" s="37"/>
    </row>
    <row r="24" spans="2:31" ht="17">
      <c r="B24" s="172"/>
      <c r="C24" s="152"/>
      <c r="D24" s="153"/>
      <c r="E24" s="19" t="str">
        <f t="shared" si="2"/>
        <v/>
      </c>
      <c r="F24" s="63" t="s">
        <v>58</v>
      </c>
      <c r="G24" s="61" t="s">
        <v>35</v>
      </c>
      <c r="H24" s="20">
        <f t="shared" si="3"/>
        <v>352.39774733724931</v>
      </c>
      <c r="I24" s="20">
        <f t="shared" si="0"/>
        <v>15.510952224311907</v>
      </c>
      <c r="J24" s="66">
        <v>5.38</v>
      </c>
      <c r="K24" s="66">
        <v>7.92</v>
      </c>
      <c r="L24" s="66">
        <v>11.9</v>
      </c>
      <c r="M24" s="66">
        <v>32.299999999999997</v>
      </c>
      <c r="N24" s="66">
        <v>92.3</v>
      </c>
      <c r="O24" s="66">
        <v>6.4466666666666663</v>
      </c>
      <c r="P24" s="66">
        <v>58.416666666666664</v>
      </c>
      <c r="Q24" s="64">
        <f t="shared" si="1"/>
        <v>165.91278975015194</v>
      </c>
      <c r="T24" s="33"/>
      <c r="V24" s="37"/>
      <c r="W24" s="37"/>
      <c r="X24" s="72"/>
      <c r="Y24" s="72"/>
      <c r="Z24" s="73"/>
      <c r="AA24" s="73"/>
      <c r="AB24" s="74"/>
      <c r="AC24" s="37"/>
      <c r="AD24" s="37"/>
      <c r="AE24" s="37"/>
    </row>
    <row r="25" spans="2:31" ht="17">
      <c r="E25" s="19" t="str">
        <f t="shared" si="2"/>
        <v/>
      </c>
      <c r="F25" s="63" t="s">
        <v>59</v>
      </c>
      <c r="G25" s="61" t="s">
        <v>35</v>
      </c>
      <c r="H25" s="20">
        <f t="shared" si="3"/>
        <v>338.91960784669436</v>
      </c>
      <c r="I25" s="20">
        <f t="shared" si="0"/>
        <v>-46.493711694420213</v>
      </c>
      <c r="J25" s="66">
        <v>5.0599999999999996</v>
      </c>
      <c r="K25" s="66">
        <v>9.1999999999999993</v>
      </c>
      <c r="L25" s="66">
        <v>9.1999999999999993</v>
      </c>
      <c r="M25" s="66">
        <v>77</v>
      </c>
      <c r="N25" s="66">
        <v>78</v>
      </c>
      <c r="O25" s="66">
        <v>6.4666666666666668</v>
      </c>
      <c r="P25" s="66">
        <v>-4.7666666666666666</v>
      </c>
      <c r="Q25" s="64">
        <f t="shared" si="1"/>
        <v>165.61278975015193</v>
      </c>
      <c r="T25" s="33"/>
      <c r="V25" s="37"/>
      <c r="W25" s="37"/>
      <c r="X25" s="72"/>
      <c r="Y25" s="72"/>
      <c r="Z25" s="73"/>
      <c r="AA25" s="73"/>
      <c r="AB25" s="74"/>
      <c r="AC25" s="37"/>
      <c r="AD25" s="37"/>
      <c r="AE25" s="37"/>
    </row>
    <row r="26" spans="2:31" ht="17">
      <c r="E26" s="19" t="str">
        <f t="shared" si="2"/>
        <v/>
      </c>
      <c r="F26" s="63" t="s">
        <v>60</v>
      </c>
      <c r="G26" s="61" t="s">
        <v>35</v>
      </c>
      <c r="H26" s="20">
        <f t="shared" si="3"/>
        <v>341.95760865458232</v>
      </c>
      <c r="I26" s="20">
        <f t="shared" si="0"/>
        <v>-36.718596942237539</v>
      </c>
      <c r="J26" s="66">
        <v>7.6</v>
      </c>
      <c r="K26" s="66">
        <v>8.52</v>
      </c>
      <c r="L26" s="66">
        <v>11.6</v>
      </c>
      <c r="M26" s="66">
        <v>5.9</v>
      </c>
      <c r="N26" s="66">
        <v>39.200000000000003</v>
      </c>
      <c r="O26" s="66">
        <v>6.47</v>
      </c>
      <c r="P26" s="66">
        <v>5.2666666666666666</v>
      </c>
      <c r="Q26" s="64">
        <f t="shared" si="1"/>
        <v>165.56278975015192</v>
      </c>
      <c r="T26" s="33"/>
      <c r="V26" s="37"/>
      <c r="W26" s="37"/>
      <c r="X26" s="72"/>
      <c r="Y26" s="72"/>
      <c r="Z26" s="73"/>
      <c r="AA26" s="73"/>
      <c r="AB26" s="74"/>
      <c r="AC26" s="37"/>
      <c r="AD26" s="37"/>
      <c r="AE26" s="37"/>
    </row>
    <row r="27" spans="2:31" ht="17">
      <c r="B27" s="173" t="s">
        <v>122</v>
      </c>
      <c r="C27" s="173"/>
      <c r="D27" s="173"/>
      <c r="E27" s="19" t="str">
        <f t="shared" si="2"/>
        <v/>
      </c>
      <c r="F27" s="63" t="s">
        <v>61</v>
      </c>
      <c r="G27" s="61" t="s">
        <v>35</v>
      </c>
      <c r="H27" s="20">
        <f t="shared" si="3"/>
        <v>337.77590702982695</v>
      </c>
      <c r="I27" s="20">
        <f t="shared" si="0"/>
        <v>-48.634298140024455</v>
      </c>
      <c r="J27" s="66">
        <v>4.62</v>
      </c>
      <c r="K27" s="66">
        <v>5</v>
      </c>
      <c r="L27" s="66">
        <v>5.39</v>
      </c>
      <c r="M27" s="66">
        <v>6.6</v>
      </c>
      <c r="N27" s="66">
        <v>9.9</v>
      </c>
      <c r="O27" s="66">
        <v>6.48</v>
      </c>
      <c r="P27" s="66">
        <v>-7.0333333333333332</v>
      </c>
      <c r="Q27" s="64">
        <f t="shared" si="1"/>
        <v>165.41278975015194</v>
      </c>
      <c r="T27" s="33"/>
      <c r="V27" s="37"/>
      <c r="W27" s="37"/>
      <c r="X27" s="72"/>
      <c r="Y27" s="72"/>
      <c r="Z27" s="73"/>
      <c r="AA27" s="73"/>
      <c r="AB27" s="74"/>
      <c r="AC27" s="37"/>
      <c r="AD27" s="37"/>
      <c r="AE27" s="37"/>
    </row>
    <row r="28" spans="2:31" ht="17">
      <c r="B28" s="88" t="s">
        <v>36</v>
      </c>
      <c r="C28" s="89" t="s">
        <v>123</v>
      </c>
      <c r="D28" s="90" t="s">
        <v>124</v>
      </c>
      <c r="E28" s="19" t="str">
        <f t="shared" si="2"/>
        <v/>
      </c>
      <c r="F28" s="63" t="s">
        <v>62</v>
      </c>
      <c r="G28" s="61" t="s">
        <v>35</v>
      </c>
      <c r="H28" s="20">
        <f t="shared" si="3"/>
        <v>339.65043685088716</v>
      </c>
      <c r="I28" s="20">
        <f t="shared" si="0"/>
        <v>-36.233794912642686</v>
      </c>
      <c r="J28" s="66">
        <v>8.39</v>
      </c>
      <c r="K28" s="66">
        <v>9.1999999999999993</v>
      </c>
      <c r="L28" s="66">
        <v>9.4</v>
      </c>
      <c r="M28" s="66">
        <v>25</v>
      </c>
      <c r="N28" s="66">
        <v>29.8</v>
      </c>
      <c r="O28" s="66">
        <v>6.5983333333333336</v>
      </c>
      <c r="P28" s="66">
        <v>5.3166666666666664</v>
      </c>
      <c r="Q28" s="64">
        <f t="shared" si="1"/>
        <v>163.63778975015191</v>
      </c>
      <c r="T28" s="33"/>
      <c r="V28" s="37"/>
      <c r="W28" s="37"/>
      <c r="X28" s="72"/>
      <c r="Y28" s="72"/>
      <c r="Z28" s="73"/>
      <c r="AA28" s="73"/>
      <c r="AB28" s="74"/>
      <c r="AC28" s="37"/>
      <c r="AD28" s="37"/>
      <c r="AE28" s="37"/>
    </row>
    <row r="29" spans="2:31" ht="17">
      <c r="B29" s="91" t="s">
        <v>29</v>
      </c>
      <c r="C29" s="148">
        <v>46.45</v>
      </c>
      <c r="D29" s="148">
        <v>7.42</v>
      </c>
      <c r="E29" s="19" t="str">
        <f t="shared" si="2"/>
        <v/>
      </c>
      <c r="F29" s="63" t="s">
        <v>63</v>
      </c>
      <c r="G29" s="61" t="s">
        <v>35</v>
      </c>
      <c r="H29" s="20">
        <f t="shared" si="3"/>
        <v>347.3213399166205</v>
      </c>
      <c r="I29" s="20">
        <f t="shared" si="0"/>
        <v>-0.66668312678462949</v>
      </c>
      <c r="J29" s="66">
        <v>7.25</v>
      </c>
      <c r="K29" s="66">
        <v>8.17</v>
      </c>
      <c r="L29" s="66">
        <v>10.48</v>
      </c>
      <c r="M29" s="66">
        <v>1.9</v>
      </c>
      <c r="N29" s="66">
        <v>83.9</v>
      </c>
      <c r="O29" s="66">
        <v>6.6449999999999996</v>
      </c>
      <c r="P29" s="66">
        <v>41.583333333333336</v>
      </c>
      <c r="Q29" s="64">
        <f t="shared" si="1"/>
        <v>162.93778975015192</v>
      </c>
      <c r="T29" s="33"/>
      <c r="V29" s="37"/>
      <c r="W29" s="37"/>
      <c r="X29" s="72"/>
      <c r="Y29" s="72"/>
      <c r="Z29" s="73"/>
      <c r="AA29" s="73"/>
      <c r="AB29" s="74"/>
      <c r="AC29" s="37"/>
      <c r="AD29" s="37"/>
      <c r="AE29" s="37"/>
    </row>
    <row r="30" spans="2:31" ht="17">
      <c r="B30" s="91"/>
      <c r="C30" s="148"/>
      <c r="D30" s="148"/>
      <c r="E30" s="19" t="str">
        <f t="shared" si="2"/>
        <v/>
      </c>
      <c r="F30" s="63" t="s">
        <v>64</v>
      </c>
      <c r="G30" s="61" t="s">
        <v>35</v>
      </c>
      <c r="H30" s="20">
        <f t="shared" si="3"/>
        <v>350.06543400769488</v>
      </c>
      <c r="I30" s="20">
        <f t="shared" si="0"/>
        <v>17.032503298829845</v>
      </c>
      <c r="J30" s="66">
        <v>5.44</v>
      </c>
      <c r="K30" s="66">
        <v>6</v>
      </c>
      <c r="L30" s="66">
        <v>7.05</v>
      </c>
      <c r="M30" s="66">
        <v>1.9</v>
      </c>
      <c r="N30" s="66">
        <v>8.9</v>
      </c>
      <c r="O30" s="66">
        <v>6.77</v>
      </c>
      <c r="P30" s="66">
        <v>59.45</v>
      </c>
      <c r="Q30" s="64">
        <f t="shared" si="1"/>
        <v>161.06278975015195</v>
      </c>
      <c r="T30" s="33"/>
      <c r="V30" s="37"/>
      <c r="W30" s="37"/>
      <c r="X30" s="72"/>
      <c r="Y30" s="72"/>
      <c r="Z30" s="73"/>
      <c r="AA30" s="73"/>
      <c r="AB30" s="74"/>
      <c r="AC30" s="37"/>
      <c r="AD30" s="37"/>
      <c r="AE30" s="37"/>
    </row>
    <row r="31" spans="2:31" ht="17">
      <c r="B31" s="91"/>
      <c r="C31" s="148"/>
      <c r="D31" s="148"/>
      <c r="E31" s="19" t="str">
        <f t="shared" si="2"/>
        <v/>
      </c>
      <c r="F31" s="63" t="s">
        <v>65</v>
      </c>
      <c r="G31" s="61" t="s">
        <v>35</v>
      </c>
      <c r="H31" s="20">
        <f t="shared" si="3"/>
        <v>317.80896661115668</v>
      </c>
      <c r="I31" s="20">
        <f t="shared" si="0"/>
        <v>-62.56516050759565</v>
      </c>
      <c r="J31" s="66">
        <v>6.56</v>
      </c>
      <c r="K31" s="66">
        <v>7.93</v>
      </c>
      <c r="L31" s="66">
        <v>8.2799999999999994</v>
      </c>
      <c r="M31" s="66">
        <v>1.7</v>
      </c>
      <c r="N31" s="66">
        <v>30.1</v>
      </c>
      <c r="O31" s="66">
        <v>6.8283333333333331</v>
      </c>
      <c r="P31" s="66">
        <v>-24.083333333333332</v>
      </c>
      <c r="Q31" s="64">
        <f t="shared" si="1"/>
        <v>160.18778975015192</v>
      </c>
      <c r="T31" s="33"/>
      <c r="V31" s="37"/>
      <c r="W31" s="37"/>
      <c r="X31" s="72"/>
      <c r="Y31" s="72"/>
      <c r="Z31" s="73"/>
      <c r="AA31" s="73"/>
      <c r="AB31" s="74"/>
      <c r="AC31" s="37"/>
      <c r="AD31" s="37"/>
      <c r="AE31" s="37"/>
    </row>
    <row r="32" spans="2:31" ht="17">
      <c r="B32" s="91"/>
      <c r="C32" s="148"/>
      <c r="D32" s="148"/>
      <c r="E32" s="19" t="str">
        <f t="shared" si="2"/>
        <v/>
      </c>
      <c r="F32" s="63" t="s">
        <v>66</v>
      </c>
      <c r="G32" s="61" t="s">
        <v>35</v>
      </c>
      <c r="H32" s="20">
        <f t="shared" si="3"/>
        <v>304.45500499950174</v>
      </c>
      <c r="I32" s="20">
        <f t="shared" si="0"/>
        <v>-67.016772185359969</v>
      </c>
      <c r="J32" s="66">
        <v>6.37</v>
      </c>
      <c r="K32" s="66">
        <v>10.17</v>
      </c>
      <c r="L32" s="66">
        <v>11.37</v>
      </c>
      <c r="M32" s="66">
        <v>40.1</v>
      </c>
      <c r="N32" s="66">
        <v>70</v>
      </c>
      <c r="O32" s="66">
        <v>6.9783333333333335</v>
      </c>
      <c r="P32" s="66">
        <v>-31</v>
      </c>
      <c r="Q32" s="64">
        <f t="shared" si="1"/>
        <v>157.93778975015192</v>
      </c>
      <c r="T32" s="33"/>
      <c r="V32" s="37"/>
      <c r="W32" s="37"/>
      <c r="X32" s="72"/>
      <c r="Y32" s="72"/>
      <c r="Z32" s="73"/>
      <c r="AA32" s="73"/>
      <c r="AB32" s="74"/>
      <c r="AC32" s="37"/>
      <c r="AD32" s="37"/>
      <c r="AE32" s="37"/>
    </row>
    <row r="33" spans="2:31" ht="17">
      <c r="B33" s="91"/>
      <c r="C33" s="148"/>
      <c r="D33" s="148"/>
      <c r="E33" s="19" t="str">
        <f t="shared" si="2"/>
        <v/>
      </c>
      <c r="F33" s="63" t="s">
        <v>67</v>
      </c>
      <c r="G33" s="61" t="s">
        <v>35</v>
      </c>
      <c r="H33" s="20">
        <f t="shared" si="3"/>
        <v>322.11959250856336</v>
      </c>
      <c r="I33" s="20">
        <f t="shared" si="0"/>
        <v>-49.370620074686599</v>
      </c>
      <c r="J33" s="66">
        <v>5.7</v>
      </c>
      <c r="K33" s="66">
        <v>6.91</v>
      </c>
      <c r="L33" s="66">
        <v>9</v>
      </c>
      <c r="M33" s="66">
        <v>0.6</v>
      </c>
      <c r="N33" s="66">
        <v>19.5</v>
      </c>
      <c r="O33" s="66">
        <v>7.1116666666666664</v>
      </c>
      <c r="P33" s="66">
        <v>-11.3</v>
      </c>
      <c r="Q33" s="64">
        <f t="shared" si="1"/>
        <v>155.93778975015195</v>
      </c>
      <c r="T33" s="33"/>
      <c r="V33" s="37"/>
      <c r="W33" s="37"/>
      <c r="X33" s="72"/>
      <c r="Y33" s="72"/>
      <c r="Z33" s="73"/>
      <c r="AA33" s="73"/>
      <c r="AB33" s="74"/>
      <c r="AC33" s="37"/>
      <c r="AD33" s="37"/>
      <c r="AE33" s="37"/>
    </row>
    <row r="34" spans="2:31" ht="17">
      <c r="E34" s="19" t="str">
        <f t="shared" si="2"/>
        <v/>
      </c>
      <c r="F34" s="63" t="s">
        <v>68</v>
      </c>
      <c r="G34" s="61" t="s">
        <v>35</v>
      </c>
      <c r="H34" s="20">
        <f t="shared" si="3"/>
        <v>316.29503099016051</v>
      </c>
      <c r="I34" s="20">
        <f t="shared" si="0"/>
        <v>-52.169072548667096</v>
      </c>
      <c r="J34" s="66">
        <v>7.88</v>
      </c>
      <c r="K34" s="66">
        <v>8.2899999999999991</v>
      </c>
      <c r="L34" s="66">
        <v>9.89</v>
      </c>
      <c r="M34" s="66">
        <v>0.5</v>
      </c>
      <c r="N34" s="66">
        <v>15.8</v>
      </c>
      <c r="O34" s="66">
        <v>7.246666666666667</v>
      </c>
      <c r="P34" s="66">
        <v>-15.483333333333333</v>
      </c>
      <c r="Q34" s="64">
        <f t="shared" si="1"/>
        <v>153.91278975015194</v>
      </c>
      <c r="T34" s="33"/>
      <c r="V34" s="37"/>
      <c r="W34" s="37"/>
      <c r="X34" s="72"/>
      <c r="Y34" s="72"/>
      <c r="Z34" s="73"/>
      <c r="AA34" s="73"/>
      <c r="AB34" s="74"/>
      <c r="AC34" s="37"/>
      <c r="AD34" s="37"/>
      <c r="AE34" s="37"/>
    </row>
    <row r="35" spans="2:31" ht="17">
      <c r="E35" s="19" t="str">
        <f t="shared" si="2"/>
        <v/>
      </c>
      <c r="F35" s="63" t="s">
        <v>69</v>
      </c>
      <c r="G35" s="61" t="s">
        <v>35</v>
      </c>
      <c r="H35" s="20">
        <f t="shared" si="3"/>
        <v>330.70928601055789</v>
      </c>
      <c r="I35" s="20">
        <f t="shared" si="0"/>
        <v>-19.947842126974351</v>
      </c>
      <c r="J35" s="66">
        <v>7.27</v>
      </c>
      <c r="K35" s="66">
        <v>8.17</v>
      </c>
      <c r="L35" s="66">
        <v>9.48</v>
      </c>
      <c r="M35" s="66">
        <v>50</v>
      </c>
      <c r="N35" s="66">
        <v>60.9</v>
      </c>
      <c r="O35" s="66">
        <v>7.4416666666666664</v>
      </c>
      <c r="P35" s="66">
        <v>18.516666666666666</v>
      </c>
      <c r="Q35" s="64">
        <f t="shared" si="1"/>
        <v>150.98778975015193</v>
      </c>
      <c r="T35" s="33"/>
      <c r="V35" s="37"/>
      <c r="W35" s="37"/>
      <c r="X35" s="72"/>
      <c r="Y35" s="72"/>
      <c r="Z35" s="73"/>
      <c r="AA35" s="73"/>
      <c r="AB35" s="74"/>
      <c r="AC35" s="37"/>
      <c r="AD35" s="37"/>
      <c r="AE35" s="37"/>
    </row>
    <row r="36" spans="2:31" ht="17">
      <c r="B36" s="165" t="str">
        <f>CONCATENATE("Moon's illuminated fraction: ",TEXT(Illumination!C8*100,"0.00"),"%")</f>
        <v>Moon's illuminated fraction: 97.75%</v>
      </c>
      <c r="C36" s="166"/>
      <c r="D36" s="167"/>
      <c r="E36" s="19" t="str">
        <f t="shared" si="2"/>
        <v/>
      </c>
      <c r="F36" s="63" t="s">
        <v>70</v>
      </c>
      <c r="G36" s="61" t="s">
        <v>35</v>
      </c>
      <c r="H36" s="20">
        <f t="shared" si="3"/>
        <v>321.54625582300707</v>
      </c>
      <c r="I36" s="20">
        <f t="shared" si="0"/>
        <v>-30.871871653549611</v>
      </c>
      <c r="J36" s="66">
        <v>6.55</v>
      </c>
      <c r="K36" s="66">
        <v>6.96</v>
      </c>
      <c r="L36" s="66">
        <v>11.4</v>
      </c>
      <c r="M36" s="66">
        <v>0.9</v>
      </c>
      <c r="N36" s="66">
        <v>42.5</v>
      </c>
      <c r="O36" s="66">
        <v>7.668333333333333</v>
      </c>
      <c r="P36" s="66">
        <v>5.2333333333333334</v>
      </c>
      <c r="Q36" s="64">
        <f t="shared" si="1"/>
        <v>147.58778975015196</v>
      </c>
      <c r="T36" s="33"/>
      <c r="V36" s="37"/>
      <c r="W36" s="37"/>
      <c r="X36" s="72"/>
      <c r="Y36" s="72"/>
      <c r="Z36" s="73"/>
      <c r="AA36" s="73"/>
      <c r="AB36" s="74"/>
      <c r="AC36" s="37"/>
      <c r="AD36" s="37"/>
      <c r="AE36" s="37"/>
    </row>
    <row r="37" spans="2:31" ht="17">
      <c r="E37" s="19" t="str">
        <f t="shared" si="2"/>
        <v/>
      </c>
      <c r="F37" s="63" t="s">
        <v>71</v>
      </c>
      <c r="G37" s="61" t="s">
        <v>35</v>
      </c>
      <c r="H37" s="20">
        <f t="shared" si="3"/>
        <v>344.44234998957393</v>
      </c>
      <c r="I37" s="20">
        <f t="shared" si="0"/>
        <v>23.713003526721565</v>
      </c>
      <c r="J37" s="66">
        <v>7.02</v>
      </c>
      <c r="K37" s="66">
        <v>8.4499999999999993</v>
      </c>
      <c r="L37" s="66">
        <v>9.7200000000000006</v>
      </c>
      <c r="M37" s="66">
        <v>5.4</v>
      </c>
      <c r="N37" s="66">
        <v>11.7</v>
      </c>
      <c r="O37" s="66">
        <v>7.7833333333333332</v>
      </c>
      <c r="P37" s="66">
        <v>64.05</v>
      </c>
      <c r="Q37" s="64">
        <f t="shared" si="1"/>
        <v>145.86278975015193</v>
      </c>
      <c r="T37" s="33"/>
      <c r="V37" s="37"/>
      <c r="W37" s="37"/>
      <c r="X37" s="72"/>
      <c r="Y37" s="72"/>
      <c r="Z37" s="73"/>
      <c r="AA37" s="73"/>
      <c r="AB37" s="74"/>
      <c r="AC37" s="37"/>
      <c r="AD37" s="37"/>
      <c r="AE37" s="37"/>
    </row>
    <row r="38" spans="2:31" ht="17">
      <c r="E38" s="19" t="str">
        <f t="shared" si="2"/>
        <v/>
      </c>
      <c r="F38" s="63" t="s">
        <v>72</v>
      </c>
      <c r="G38" s="61" t="s">
        <v>35</v>
      </c>
      <c r="H38" s="20">
        <f t="shared" si="3"/>
        <v>319.92215657139269</v>
      </c>
      <c r="I38" s="20">
        <f t="shared" si="0"/>
        <v>-16.257954367367077</v>
      </c>
      <c r="J38" s="66">
        <v>5.3</v>
      </c>
      <c r="K38" s="66">
        <v>5.85</v>
      </c>
      <c r="L38" s="66">
        <v>6.25</v>
      </c>
      <c r="M38" s="66">
        <v>1.1000000000000001</v>
      </c>
      <c r="N38" s="66">
        <v>6.7</v>
      </c>
      <c r="O38" s="66">
        <v>8.2033333333333331</v>
      </c>
      <c r="P38" s="66">
        <v>17.649999999999999</v>
      </c>
      <c r="Q38" s="64">
        <f t="shared" si="1"/>
        <v>139.56278975015192</v>
      </c>
      <c r="T38" s="33"/>
      <c r="V38" s="37"/>
      <c r="W38" s="37"/>
      <c r="X38" s="72"/>
      <c r="Y38" s="72"/>
      <c r="Z38" s="73"/>
      <c r="AA38" s="73"/>
      <c r="AB38" s="74"/>
      <c r="AC38" s="37"/>
      <c r="AD38" s="37"/>
      <c r="AE38" s="37"/>
    </row>
    <row r="39" spans="2:31" ht="17">
      <c r="E39" s="19" t="str">
        <f t="shared" si="2"/>
        <v/>
      </c>
      <c r="F39" s="63" t="s">
        <v>73</v>
      </c>
      <c r="G39" s="61" t="s">
        <v>35</v>
      </c>
      <c r="H39" s="20">
        <f t="shared" si="3"/>
        <v>318.0523335794694</v>
      </c>
      <c r="I39" s="20">
        <f t="shared" si="0"/>
        <v>-0.28781591662094014</v>
      </c>
      <c r="J39" s="66">
        <v>6.09</v>
      </c>
      <c r="K39" s="66">
        <v>6.37</v>
      </c>
      <c r="L39" s="66">
        <v>9.1999999999999993</v>
      </c>
      <c r="M39" s="66">
        <v>1.5</v>
      </c>
      <c r="N39" s="66">
        <v>54.5</v>
      </c>
      <c r="O39" s="66">
        <v>8.9033333333333342</v>
      </c>
      <c r="P39" s="66">
        <v>30.583333333333332</v>
      </c>
      <c r="Q39" s="64">
        <f t="shared" si="1"/>
        <v>129.06278975015192</v>
      </c>
      <c r="T39" s="33"/>
      <c r="V39" s="37"/>
      <c r="W39" s="37"/>
      <c r="X39" s="72"/>
      <c r="Y39" s="72"/>
      <c r="Z39" s="73"/>
      <c r="AA39" s="73"/>
      <c r="AB39" s="74"/>
      <c r="AC39" s="37"/>
      <c r="AD39" s="37"/>
      <c r="AE39" s="37"/>
    </row>
    <row r="40" spans="2:31" ht="17">
      <c r="E40" s="19" t="str">
        <f t="shared" si="2"/>
        <v/>
      </c>
      <c r="F40" s="63" t="s">
        <v>74</v>
      </c>
      <c r="G40" s="61" t="s">
        <v>35</v>
      </c>
      <c r="H40" s="20">
        <f t="shared" si="3"/>
        <v>321.15840838504664</v>
      </c>
      <c r="I40" s="20">
        <f t="shared" ref="I40:I71" si="4">ASIN(SIN($Q$87*P40)*SIN($Q$87*$C$13)+COS($Q$87*P40)*COS($Q$87*$C$13)*COS($Q$87*Q40))/$Q$87</f>
        <v>15.879696259042907</v>
      </c>
      <c r="J40" s="66">
        <v>5.5</v>
      </c>
      <c r="K40" s="66">
        <v>7.8</v>
      </c>
      <c r="L40" s="66">
        <v>9.6999999999999993</v>
      </c>
      <c r="M40" s="66">
        <v>72.2</v>
      </c>
      <c r="N40" s="66">
        <v>84.1</v>
      </c>
      <c r="O40" s="66">
        <v>9.4783333333333335</v>
      </c>
      <c r="P40" s="66">
        <v>45.6</v>
      </c>
      <c r="Q40" s="64">
        <f t="shared" ref="Q40:Q71" si="5">$C$16-((O40/24)*360)</f>
        <v>120.43778975015192</v>
      </c>
      <c r="T40" s="33"/>
      <c r="V40" s="37"/>
      <c r="W40" s="37"/>
      <c r="X40" s="72"/>
      <c r="Y40" s="72"/>
      <c r="Z40" s="73"/>
      <c r="AA40" s="73"/>
      <c r="AB40" s="74"/>
      <c r="AC40" s="37"/>
      <c r="AD40" s="37"/>
      <c r="AE40" s="37"/>
    </row>
    <row r="41" spans="2:31" ht="17">
      <c r="E41" s="19" t="str">
        <f t="shared" si="2"/>
        <v/>
      </c>
      <c r="F41" s="63" t="s">
        <v>75</v>
      </c>
      <c r="G41" s="61" t="s">
        <v>35</v>
      </c>
      <c r="H41" s="20">
        <f t="shared" si="3"/>
        <v>313.43006602043096</v>
      </c>
      <c r="I41" s="20">
        <f t="shared" si="4"/>
        <v>6.6255425135596244</v>
      </c>
      <c r="J41" s="66">
        <v>5.97</v>
      </c>
      <c r="K41" s="66">
        <v>9.66</v>
      </c>
      <c r="L41" s="66">
        <v>11.7</v>
      </c>
      <c r="M41" s="66">
        <v>63.2</v>
      </c>
      <c r="N41" s="66">
        <v>96.2</v>
      </c>
      <c r="O41" s="66">
        <v>9.5116666666666667</v>
      </c>
      <c r="P41" s="66">
        <v>33.65</v>
      </c>
      <c r="Q41" s="64">
        <f t="shared" si="5"/>
        <v>119.93778975015192</v>
      </c>
      <c r="T41" s="33"/>
      <c r="V41" s="37"/>
      <c r="W41" s="37"/>
      <c r="X41" s="72"/>
      <c r="Y41" s="72"/>
      <c r="Z41" s="73"/>
      <c r="AA41" s="73"/>
      <c r="AB41" s="74"/>
      <c r="AC41" s="37"/>
      <c r="AD41" s="37"/>
      <c r="AE41" s="37"/>
    </row>
    <row r="42" spans="2:31" ht="17">
      <c r="E42" s="19" t="str">
        <f t="shared" si="2"/>
        <v/>
      </c>
      <c r="F42" s="63" t="s">
        <v>76</v>
      </c>
      <c r="G42" s="61" t="s">
        <v>35</v>
      </c>
      <c r="H42" s="20">
        <f t="shared" si="3"/>
        <v>316.57521112634299</v>
      </c>
      <c r="I42" s="20">
        <f t="shared" si="4"/>
        <v>12.208020949106553</v>
      </c>
      <c r="J42" s="66">
        <v>6.98</v>
      </c>
      <c r="K42" s="66">
        <v>7.98</v>
      </c>
      <c r="L42" s="66">
        <v>8.42</v>
      </c>
      <c r="M42" s="66">
        <v>25</v>
      </c>
      <c r="N42" s="66">
        <v>116.5</v>
      </c>
      <c r="O42" s="66">
        <v>9.59</v>
      </c>
      <c r="P42" s="66">
        <v>39.966666666666669</v>
      </c>
      <c r="Q42" s="64">
        <f t="shared" si="5"/>
        <v>118.76278975015194</v>
      </c>
      <c r="T42" s="33"/>
      <c r="V42" s="37"/>
      <c r="W42" s="37"/>
      <c r="X42" s="72"/>
      <c r="Y42" s="72"/>
      <c r="Z42" s="73"/>
      <c r="AA42" s="73"/>
      <c r="AB42" s="74"/>
      <c r="AC42" s="37"/>
      <c r="AD42" s="37"/>
      <c r="AE42" s="37"/>
    </row>
    <row r="43" spans="2:31" ht="17">
      <c r="E43" s="19" t="str">
        <f t="shared" si="2"/>
        <v/>
      </c>
      <c r="F43" s="63" t="s">
        <v>77</v>
      </c>
      <c r="G43" s="61" t="s">
        <v>35</v>
      </c>
      <c r="H43" s="20">
        <f t="shared" si="3"/>
        <v>266.61742163794912</v>
      </c>
      <c r="I43" s="20">
        <f t="shared" si="4"/>
        <v>-18.581129650454766</v>
      </c>
      <c r="J43" s="66">
        <v>7.74</v>
      </c>
      <c r="K43" s="66">
        <v>8.86</v>
      </c>
      <c r="L43" s="66">
        <v>10.4</v>
      </c>
      <c r="M43" s="66">
        <v>30.6</v>
      </c>
      <c r="N43" s="66">
        <v>97.6</v>
      </c>
      <c r="O43" s="66">
        <v>10.793333333333333</v>
      </c>
      <c r="P43" s="66">
        <v>-15.633333333333333</v>
      </c>
      <c r="Q43" s="64">
        <f t="shared" si="5"/>
        <v>100.71278975015196</v>
      </c>
      <c r="T43" s="33"/>
      <c r="V43" s="37"/>
      <c r="W43" s="37"/>
      <c r="X43" s="72"/>
      <c r="Y43" s="72"/>
      <c r="Z43" s="73"/>
      <c r="AA43" s="73"/>
      <c r="AB43" s="74"/>
      <c r="AC43" s="37"/>
      <c r="AD43" s="37"/>
      <c r="AE43" s="37"/>
    </row>
    <row r="44" spans="2:31" ht="17">
      <c r="E44" s="19" t="str">
        <f t="shared" si="2"/>
        <v/>
      </c>
      <c r="F44" s="63" t="s">
        <v>78</v>
      </c>
      <c r="G44" s="61" t="s">
        <v>35</v>
      </c>
      <c r="H44" s="20">
        <f t="shared" si="3"/>
        <v>254.81640848942564</v>
      </c>
      <c r="I44" s="20">
        <f t="shared" si="4"/>
        <v>-1.9769641352036413</v>
      </c>
      <c r="J44" s="66">
        <v>6.56</v>
      </c>
      <c r="K44" s="66">
        <v>8.1199999999999992</v>
      </c>
      <c r="L44" s="66">
        <v>9.73</v>
      </c>
      <c r="M44" s="66">
        <v>9.1999999999999993</v>
      </c>
      <c r="N44" s="66">
        <v>19.100000000000001</v>
      </c>
      <c r="O44" s="66">
        <v>12.158333333333333</v>
      </c>
      <c r="P44" s="66">
        <v>-11.85</v>
      </c>
      <c r="Q44" s="64">
        <f t="shared" si="5"/>
        <v>80.237789750151933</v>
      </c>
      <c r="T44" s="33"/>
      <c r="V44" s="37"/>
      <c r="W44" s="37"/>
      <c r="X44" s="72"/>
      <c r="Y44" s="72"/>
      <c r="Z44" s="73"/>
      <c r="AA44" s="73"/>
      <c r="AB44" s="74"/>
      <c r="AC44" s="37"/>
      <c r="AD44" s="37"/>
      <c r="AE44" s="37"/>
    </row>
    <row r="45" spans="2:31" ht="17">
      <c r="E45" s="19" t="str">
        <f t="shared" si="2"/>
        <v/>
      </c>
      <c r="F45" s="63" t="s">
        <v>79</v>
      </c>
      <c r="G45" s="61" t="s">
        <v>35</v>
      </c>
      <c r="H45" s="20">
        <f t="shared" si="3"/>
        <v>256.91928002403267</v>
      </c>
      <c r="I45" s="20">
        <f t="shared" si="4"/>
        <v>2.3410221541955503</v>
      </c>
      <c r="J45" s="66">
        <v>8.06</v>
      </c>
      <c r="K45" s="66">
        <v>8.3000000000000007</v>
      </c>
      <c r="L45" s="66">
        <v>10.46</v>
      </c>
      <c r="M45" s="66">
        <v>6.8</v>
      </c>
      <c r="N45" s="66">
        <v>98.8</v>
      </c>
      <c r="O45" s="66">
        <v>12.251666666666667</v>
      </c>
      <c r="P45" s="66">
        <v>-7.25</v>
      </c>
      <c r="Q45" s="64">
        <f t="shared" si="5"/>
        <v>78.837789750151956</v>
      </c>
      <c r="T45" s="33"/>
      <c r="V45" s="37"/>
      <c r="W45" s="37"/>
      <c r="X45" s="72"/>
      <c r="Y45" s="72"/>
      <c r="Z45" s="73"/>
      <c r="AA45" s="73"/>
      <c r="AB45" s="74"/>
      <c r="AC45" s="37"/>
      <c r="AD45" s="37"/>
      <c r="AE45" s="37"/>
    </row>
    <row r="46" spans="2:31" ht="17">
      <c r="E46" s="19" t="str">
        <f t="shared" si="2"/>
        <v/>
      </c>
      <c r="F46" s="63" t="s">
        <v>80</v>
      </c>
      <c r="G46" s="61" t="s">
        <v>35</v>
      </c>
      <c r="H46" s="20">
        <f t="shared" si="3"/>
        <v>279.93287341791211</v>
      </c>
      <c r="I46" s="20">
        <f t="shared" si="4"/>
        <v>27.104965396165071</v>
      </c>
      <c r="J46" s="66">
        <v>4.8600000000000003</v>
      </c>
      <c r="K46" s="66">
        <v>8.9</v>
      </c>
      <c r="L46" s="66">
        <v>11.8</v>
      </c>
      <c r="M46" s="66">
        <v>36.799999999999997</v>
      </c>
      <c r="N46" s="66">
        <v>63.6</v>
      </c>
      <c r="O46" s="66">
        <v>12.375</v>
      </c>
      <c r="P46" s="66">
        <v>25.85</v>
      </c>
      <c r="Q46" s="64">
        <f t="shared" si="5"/>
        <v>76.987789750151933</v>
      </c>
      <c r="T46" s="33"/>
      <c r="V46" s="37"/>
      <c r="W46" s="37"/>
      <c r="X46" s="72"/>
      <c r="Y46" s="72"/>
      <c r="Z46" s="73"/>
      <c r="AA46" s="73"/>
      <c r="AB46" s="74"/>
      <c r="AC46" s="37"/>
      <c r="AD46" s="37"/>
      <c r="AE46" s="37"/>
    </row>
    <row r="47" spans="2:31" ht="17">
      <c r="E47" s="19" t="str">
        <f t="shared" si="2"/>
        <v/>
      </c>
      <c r="F47" s="63" t="s">
        <v>81</v>
      </c>
      <c r="G47" s="61" t="s">
        <v>35</v>
      </c>
      <c r="H47" s="20">
        <f t="shared" si="3"/>
        <v>236.97024903956429</v>
      </c>
      <c r="I47" s="20">
        <f t="shared" si="4"/>
        <v>17.492804614619825</v>
      </c>
      <c r="J47" s="66">
        <v>6.68</v>
      </c>
      <c r="K47" s="66">
        <v>7.26</v>
      </c>
      <c r="L47" s="66">
        <v>10.8</v>
      </c>
      <c r="M47" s="66">
        <v>3.5</v>
      </c>
      <c r="N47" s="66">
        <v>117.3</v>
      </c>
      <c r="O47" s="66">
        <v>13.916666666666666</v>
      </c>
      <c r="P47" s="66">
        <v>-8.0666666666666664</v>
      </c>
      <c r="Q47" s="64">
        <f t="shared" si="5"/>
        <v>53.862789750151961</v>
      </c>
      <c r="T47" s="33"/>
      <c r="V47" s="37"/>
      <c r="W47" s="37"/>
      <c r="X47" s="72"/>
      <c r="Y47" s="72"/>
      <c r="Z47" s="73"/>
      <c r="AA47" s="73"/>
      <c r="AB47" s="74"/>
      <c r="AC47" s="37"/>
      <c r="AD47" s="37"/>
      <c r="AE47" s="37"/>
    </row>
    <row r="48" spans="2:31" ht="17">
      <c r="E48" s="19" t="str">
        <f t="shared" si="2"/>
        <v/>
      </c>
      <c r="F48" s="63" t="s">
        <v>82</v>
      </c>
      <c r="G48" s="61" t="s">
        <v>35</v>
      </c>
      <c r="H48" s="20">
        <f t="shared" si="3"/>
        <v>223.8571293289252</v>
      </c>
      <c r="I48" s="20">
        <f t="shared" si="4"/>
        <v>11.561183161825646</v>
      </c>
      <c r="J48" s="66">
        <v>6.61</v>
      </c>
      <c r="K48" s="66">
        <v>7.16</v>
      </c>
      <c r="L48" s="66">
        <v>8.3699999999999992</v>
      </c>
      <c r="M48" s="66">
        <v>1.2</v>
      </c>
      <c r="N48" s="66">
        <v>34.799999999999997</v>
      </c>
      <c r="O48" s="66">
        <v>14.425000000000001</v>
      </c>
      <c r="P48" s="66">
        <v>-19.966666666666665</v>
      </c>
      <c r="Q48" s="64">
        <f t="shared" si="5"/>
        <v>46.237789750151933</v>
      </c>
      <c r="T48" s="33"/>
      <c r="V48" s="37"/>
      <c r="W48" s="37"/>
      <c r="X48" s="72"/>
      <c r="Y48" s="72"/>
      <c r="Z48" s="73"/>
      <c r="AA48" s="73"/>
      <c r="AB48" s="74"/>
      <c r="AC48" s="37"/>
      <c r="AD48" s="37"/>
      <c r="AE48" s="37"/>
    </row>
    <row r="49" spans="2:31" ht="17">
      <c r="E49" s="19" t="str">
        <f t="shared" si="2"/>
        <v/>
      </c>
      <c r="F49" s="63" t="s">
        <v>83</v>
      </c>
      <c r="G49" s="61" t="s">
        <v>35</v>
      </c>
      <c r="H49" s="20">
        <f t="shared" si="3"/>
        <v>204.28361885934288</v>
      </c>
      <c r="I49" s="20">
        <f t="shared" si="4"/>
        <v>29.050069001458347</v>
      </c>
      <c r="J49" s="66">
        <v>4.87</v>
      </c>
      <c r="K49" s="66">
        <v>5.16</v>
      </c>
      <c r="L49" s="66">
        <v>7.3</v>
      </c>
      <c r="M49" s="66">
        <v>0.9</v>
      </c>
      <c r="N49" s="66">
        <v>7.9</v>
      </c>
      <c r="O49" s="66">
        <v>16.073333333333334</v>
      </c>
      <c r="P49" s="66">
        <v>-11.366666666666667</v>
      </c>
      <c r="Q49" s="64">
        <f t="shared" si="5"/>
        <v>21.512789750151939</v>
      </c>
      <c r="T49" s="33"/>
      <c r="V49" s="37"/>
      <c r="W49" s="37"/>
      <c r="X49" s="72"/>
      <c r="Y49" s="72"/>
      <c r="Z49" s="73"/>
      <c r="AA49" s="73"/>
      <c r="AB49" s="74"/>
      <c r="AC49" s="37"/>
      <c r="AD49" s="37"/>
      <c r="AE49" s="37"/>
    </row>
    <row r="50" spans="2:31" ht="17">
      <c r="E50" s="19" t="str">
        <f t="shared" si="2"/>
        <v/>
      </c>
      <c r="F50" s="63" t="s">
        <v>84</v>
      </c>
      <c r="G50" s="61" t="s">
        <v>35</v>
      </c>
      <c r="H50" s="20">
        <f t="shared" si="3"/>
        <v>311.43358741737291</v>
      </c>
      <c r="I50" s="20">
        <f t="shared" si="4"/>
        <v>79.128394610882822</v>
      </c>
      <c r="J50" s="66">
        <v>5.38</v>
      </c>
      <c r="K50" s="66">
        <v>5.5</v>
      </c>
      <c r="L50" s="66">
        <v>6.42</v>
      </c>
      <c r="M50" s="66">
        <v>3.3</v>
      </c>
      <c r="N50" s="66">
        <v>89</v>
      </c>
      <c r="O50" s="66">
        <v>16.603333333333332</v>
      </c>
      <c r="P50" s="66">
        <v>52.916666666666664</v>
      </c>
      <c r="Q50" s="64">
        <f t="shared" si="5"/>
        <v>13.562789750151978</v>
      </c>
      <c r="T50" s="33"/>
      <c r="V50" s="37"/>
      <c r="W50" s="37"/>
      <c r="X50" s="72"/>
      <c r="Y50" s="72"/>
      <c r="Z50" s="73"/>
      <c r="AA50" s="73"/>
      <c r="AB50" s="74"/>
      <c r="AC50" s="37"/>
      <c r="AD50" s="37"/>
      <c r="AE50" s="37"/>
    </row>
    <row r="51" spans="2:31" ht="17">
      <c r="E51" s="19" t="str">
        <f t="shared" si="2"/>
        <v/>
      </c>
      <c r="F51" s="63" t="s">
        <v>85</v>
      </c>
      <c r="G51" s="61" t="s">
        <v>35</v>
      </c>
      <c r="H51" s="20">
        <f t="shared" si="3"/>
        <v>206.98497279816621</v>
      </c>
      <c r="I51" s="20">
        <f t="shared" si="4"/>
        <v>65.267520713835339</v>
      </c>
      <c r="J51" s="66">
        <v>8.84</v>
      </c>
      <c r="K51" s="66">
        <v>8.9</v>
      </c>
      <c r="L51" s="66">
        <v>12</v>
      </c>
      <c r="M51" s="66">
        <v>5.2</v>
      </c>
      <c r="N51" s="66">
        <v>119.6</v>
      </c>
      <c r="O51" s="66">
        <v>16.71</v>
      </c>
      <c r="P51" s="66">
        <v>23.666666666666668</v>
      </c>
      <c r="Q51" s="64">
        <f t="shared" si="5"/>
        <v>11.962789750151927</v>
      </c>
      <c r="T51" s="33"/>
      <c r="V51" s="37"/>
      <c r="W51" s="37"/>
      <c r="X51" s="72"/>
      <c r="Y51" s="72"/>
      <c r="Z51" s="73"/>
      <c r="AA51" s="73"/>
      <c r="AB51" s="74"/>
      <c r="AC51" s="37"/>
      <c r="AD51" s="37"/>
      <c r="AE51" s="37"/>
    </row>
    <row r="52" spans="2:31" ht="17">
      <c r="E52" s="19" t="str">
        <f t="shared" si="2"/>
        <v/>
      </c>
      <c r="F52" s="63" t="s">
        <v>86</v>
      </c>
      <c r="G52" s="61" t="s">
        <v>35</v>
      </c>
      <c r="H52" s="20">
        <f t="shared" si="3"/>
        <v>183.07066426118135</v>
      </c>
      <c r="I52" s="20">
        <f t="shared" si="4"/>
        <v>3.7097111237453508</v>
      </c>
      <c r="J52" s="66">
        <v>6.74</v>
      </c>
      <c r="K52" s="66">
        <v>10.11</v>
      </c>
      <c r="L52" s="66">
        <v>11.4</v>
      </c>
      <c r="M52" s="66">
        <v>14.2</v>
      </c>
      <c r="N52" s="66">
        <v>16.399999999999999</v>
      </c>
      <c r="O52" s="66">
        <v>17.241666666666667</v>
      </c>
      <c r="P52" s="66">
        <v>-39.766666666666666</v>
      </c>
      <c r="Q52" s="64">
        <f t="shared" si="5"/>
        <v>3.9877897501519328</v>
      </c>
      <c r="T52" s="33"/>
      <c r="V52" s="37"/>
      <c r="W52" s="37"/>
      <c r="X52" s="72"/>
      <c r="Y52" s="72"/>
      <c r="Z52" s="73"/>
      <c r="AA52" s="73"/>
      <c r="AB52" s="74"/>
      <c r="AC52" s="37"/>
      <c r="AD52" s="37"/>
      <c r="AE52" s="37"/>
    </row>
    <row r="53" spans="2:31" ht="17">
      <c r="E53" s="19" t="str">
        <f t="shared" si="2"/>
        <v/>
      </c>
      <c r="F53" s="63" t="s">
        <v>87</v>
      </c>
      <c r="G53" s="61" t="s">
        <v>35</v>
      </c>
      <c r="H53" s="20">
        <f t="shared" si="3"/>
        <v>182.78944338155074</v>
      </c>
      <c r="I53" s="20">
        <f t="shared" si="4"/>
        <v>25.755761294288053</v>
      </c>
      <c r="J53" s="66">
        <v>6.34</v>
      </c>
      <c r="K53" s="66">
        <v>7.56</v>
      </c>
      <c r="L53" s="66">
        <v>11.2</v>
      </c>
      <c r="M53" s="66">
        <v>2.2999999999999998</v>
      </c>
      <c r="N53" s="66">
        <v>12</v>
      </c>
      <c r="O53" s="66">
        <v>17.331666666666667</v>
      </c>
      <c r="P53" s="66">
        <v>-17.75</v>
      </c>
      <c r="Q53" s="64">
        <f t="shared" si="5"/>
        <v>2.6377897501519669</v>
      </c>
      <c r="T53" s="33"/>
      <c r="V53" s="37"/>
      <c r="W53" s="37"/>
      <c r="X53" s="72"/>
      <c r="Y53" s="72"/>
      <c r="Z53" s="73"/>
      <c r="AA53" s="73"/>
      <c r="AB53" s="74"/>
      <c r="AC53" s="37"/>
      <c r="AD53" s="37"/>
      <c r="AE53" s="37"/>
    </row>
    <row r="54" spans="2:31" ht="17">
      <c r="E54" s="19" t="str">
        <f t="shared" si="2"/>
        <v/>
      </c>
      <c r="F54" s="63" t="s">
        <v>88</v>
      </c>
      <c r="G54" s="61" t="s">
        <v>35</v>
      </c>
      <c r="H54" s="20">
        <f t="shared" si="3"/>
        <v>172.17178835614357</v>
      </c>
      <c r="I54" s="20">
        <f t="shared" si="4"/>
        <v>20.14083428279811</v>
      </c>
      <c r="J54" s="66">
        <v>7.59</v>
      </c>
      <c r="K54" s="66">
        <v>8.66</v>
      </c>
      <c r="L54" s="66">
        <v>10.4</v>
      </c>
      <c r="M54" s="66">
        <v>6.1</v>
      </c>
      <c r="N54" s="66">
        <v>11</v>
      </c>
      <c r="O54" s="66">
        <v>18.04</v>
      </c>
      <c r="P54" s="66">
        <v>-23.033333333333335</v>
      </c>
      <c r="Q54" s="64">
        <f t="shared" si="5"/>
        <v>-7.9872102498480331</v>
      </c>
      <c r="T54" s="33"/>
      <c r="V54" s="37"/>
      <c r="W54" s="37"/>
      <c r="X54" s="72"/>
      <c r="Y54" s="72"/>
      <c r="Z54" s="73"/>
      <c r="AA54" s="73"/>
      <c r="AB54" s="74"/>
      <c r="AC54" s="37"/>
      <c r="AD54" s="37"/>
      <c r="AE54" s="37"/>
    </row>
    <row r="55" spans="2:31" ht="17">
      <c r="B55" s="154" t="s">
        <v>157</v>
      </c>
      <c r="E55" s="19" t="str">
        <f t="shared" si="2"/>
        <v/>
      </c>
      <c r="F55" s="63" t="s">
        <v>89</v>
      </c>
      <c r="G55" s="61" t="s">
        <v>35</v>
      </c>
      <c r="H55" s="20">
        <f t="shared" si="3"/>
        <v>170.14549191727977</v>
      </c>
      <c r="I55" s="20">
        <f t="shared" si="4"/>
        <v>8.751904193617003</v>
      </c>
      <c r="J55" s="66">
        <v>6.03</v>
      </c>
      <c r="K55" s="66">
        <v>8.6999999999999993</v>
      </c>
      <c r="L55" s="66">
        <v>9.48</v>
      </c>
      <c r="M55" s="66">
        <v>38.799999999999997</v>
      </c>
      <c r="N55" s="66">
        <v>94.1</v>
      </c>
      <c r="O55" s="66">
        <v>18.293333333333333</v>
      </c>
      <c r="P55" s="66">
        <v>-34.1</v>
      </c>
      <c r="Q55" s="64">
        <f t="shared" si="5"/>
        <v>-11.787210249848101</v>
      </c>
      <c r="T55" s="33"/>
      <c r="V55" s="37"/>
      <c r="W55" s="37"/>
      <c r="X55" s="72"/>
      <c r="Y55" s="72"/>
      <c r="Z55" s="73"/>
      <c r="AA55" s="73"/>
      <c r="AB55" s="74"/>
      <c r="AC55" s="37"/>
      <c r="AD55" s="37"/>
      <c r="AE55" s="37"/>
    </row>
    <row r="56" spans="2:31" ht="17">
      <c r="B56" s="154" t="s">
        <v>158</v>
      </c>
      <c r="E56" s="19" t="str">
        <f t="shared" si="2"/>
        <v/>
      </c>
      <c r="F56" s="63" t="s">
        <v>90</v>
      </c>
      <c r="G56" s="61" t="s">
        <v>35</v>
      </c>
      <c r="H56" s="20">
        <f t="shared" si="3"/>
        <v>170.50733030130428</v>
      </c>
      <c r="I56" s="20">
        <f t="shared" si="4"/>
        <v>6.1094029897119055</v>
      </c>
      <c r="J56" s="66">
        <v>3.1</v>
      </c>
      <c r="K56" s="66">
        <v>7.8</v>
      </c>
      <c r="L56" s="66">
        <v>10</v>
      </c>
      <c r="M56" s="66">
        <v>3.6</v>
      </c>
      <c r="N56" s="66">
        <v>93.2</v>
      </c>
      <c r="O56" s="66">
        <v>18.295000000000002</v>
      </c>
      <c r="P56" s="66">
        <v>-36.766666666666666</v>
      </c>
      <c r="Q56" s="64">
        <f t="shared" si="5"/>
        <v>-11.812210249848079</v>
      </c>
      <c r="T56" s="33"/>
      <c r="V56" s="37"/>
      <c r="W56" s="37"/>
      <c r="X56" s="72"/>
      <c r="Y56" s="72"/>
      <c r="Z56" s="73"/>
      <c r="AA56" s="73"/>
      <c r="AB56" s="74"/>
      <c r="AC56" s="37"/>
      <c r="AD56" s="37"/>
      <c r="AE56" s="37"/>
    </row>
    <row r="57" spans="2:31" ht="17">
      <c r="E57" s="19" t="str">
        <f t="shared" si="2"/>
        <v/>
      </c>
      <c r="F57" s="63" t="s">
        <v>91</v>
      </c>
      <c r="G57" s="61" t="s">
        <v>35</v>
      </c>
      <c r="H57" s="20">
        <f t="shared" si="3"/>
        <v>154.1908071320066</v>
      </c>
      <c r="I57" s="20">
        <f t="shared" si="4"/>
        <v>41.570203399547005</v>
      </c>
      <c r="J57" s="66">
        <v>5.88</v>
      </c>
      <c r="K57" s="66">
        <v>7.02</v>
      </c>
      <c r="L57" s="66">
        <v>10.9</v>
      </c>
      <c r="M57" s="66">
        <v>12.7</v>
      </c>
      <c r="N57" s="66">
        <v>25</v>
      </c>
      <c r="O57" s="66">
        <v>18.774999999999999</v>
      </c>
      <c r="P57" s="66">
        <v>0.96666666666666667</v>
      </c>
      <c r="Q57" s="64">
        <f t="shared" si="5"/>
        <v>-19.012210249848067</v>
      </c>
      <c r="T57" s="33"/>
      <c r="V57" s="37"/>
      <c r="W57" s="37"/>
      <c r="X57" s="72"/>
      <c r="Y57" s="72"/>
      <c r="Z57" s="73"/>
      <c r="AA57" s="73"/>
      <c r="AB57" s="74"/>
      <c r="AC57" s="37"/>
      <c r="AD57" s="37"/>
      <c r="AE57" s="37"/>
    </row>
    <row r="58" spans="2:31" ht="17">
      <c r="E58" s="19" t="str">
        <f t="shared" si="2"/>
        <v>*</v>
      </c>
      <c r="F58" s="63" t="s">
        <v>92</v>
      </c>
      <c r="G58" s="61" t="s">
        <v>35</v>
      </c>
      <c r="H58" s="20">
        <f t="shared" si="3"/>
        <v>120.47732085615186</v>
      </c>
      <c r="I58" s="20">
        <f t="shared" si="4"/>
        <v>69.718904784648103</v>
      </c>
      <c r="J58" s="66">
        <v>6.14</v>
      </c>
      <c r="K58" s="66">
        <v>7.6</v>
      </c>
      <c r="L58" s="66">
        <v>9.1199999999999992</v>
      </c>
      <c r="M58" s="66">
        <v>1.8</v>
      </c>
      <c r="N58" s="66">
        <v>45.3</v>
      </c>
      <c r="O58" s="66">
        <v>18.914999999999999</v>
      </c>
      <c r="P58" s="66">
        <v>33.966666666666669</v>
      </c>
      <c r="Q58" s="64">
        <f t="shared" si="5"/>
        <v>-21.112210249848033</v>
      </c>
      <c r="T58" s="33"/>
      <c r="V58" s="37"/>
      <c r="W58" s="37"/>
      <c r="X58" s="72"/>
      <c r="Y58" s="72"/>
      <c r="Z58" s="73"/>
      <c r="AA58" s="73"/>
      <c r="AB58" s="74"/>
      <c r="AC58" s="37"/>
      <c r="AD58" s="37"/>
      <c r="AE58" s="37"/>
    </row>
    <row r="59" spans="2:31" ht="17">
      <c r="E59" s="19" t="str">
        <f t="shared" si="2"/>
        <v/>
      </c>
      <c r="F59" s="63" t="s">
        <v>93</v>
      </c>
      <c r="G59" s="61" t="s">
        <v>35</v>
      </c>
      <c r="H59" s="20">
        <f t="shared" si="3"/>
        <v>156.53007064511971</v>
      </c>
      <c r="I59" s="20">
        <f t="shared" si="4"/>
        <v>21.037069233879333</v>
      </c>
      <c r="J59" s="66">
        <v>6.15</v>
      </c>
      <c r="K59" s="66">
        <v>9</v>
      </c>
      <c r="L59" s="66">
        <v>10.8</v>
      </c>
      <c r="M59" s="66">
        <v>7.5</v>
      </c>
      <c r="N59" s="66">
        <v>19.899999999999999</v>
      </c>
      <c r="O59" s="66">
        <v>19.053333333333335</v>
      </c>
      <c r="P59" s="66">
        <v>-19.25</v>
      </c>
      <c r="Q59" s="64">
        <f t="shared" si="5"/>
        <v>-23.187210249848079</v>
      </c>
      <c r="T59" s="33"/>
      <c r="V59" s="37"/>
      <c r="W59" s="37"/>
      <c r="X59" s="72"/>
      <c r="Y59" s="72"/>
      <c r="Z59" s="73"/>
      <c r="AA59" s="73"/>
      <c r="AB59" s="74"/>
      <c r="AC59" s="37"/>
      <c r="AD59" s="37"/>
      <c r="AE59" s="37"/>
    </row>
    <row r="60" spans="2:31" ht="17">
      <c r="E60" s="19" t="str">
        <f t="shared" si="2"/>
        <v>*</v>
      </c>
      <c r="F60" s="63" t="s">
        <v>94</v>
      </c>
      <c r="G60" s="61" t="s">
        <v>35</v>
      </c>
      <c r="H60" s="20">
        <f t="shared" si="3"/>
        <v>122.78128778829523</v>
      </c>
      <c r="I60" s="20">
        <f t="shared" si="4"/>
        <v>64.801107647890547</v>
      </c>
      <c r="J60" s="66">
        <v>8.57</v>
      </c>
      <c r="K60" s="66">
        <v>9.02</v>
      </c>
      <c r="L60" s="66">
        <v>10.84</v>
      </c>
      <c r="M60" s="66">
        <v>2.4</v>
      </c>
      <c r="N60" s="66">
        <v>98.3</v>
      </c>
      <c r="O60" s="66">
        <v>19.131666666666668</v>
      </c>
      <c r="P60" s="66">
        <v>29.8</v>
      </c>
      <c r="Q60" s="64">
        <f t="shared" si="5"/>
        <v>-24.36221024984809</v>
      </c>
      <c r="T60" s="33"/>
      <c r="V60" s="37"/>
      <c r="W60" s="37"/>
      <c r="X60" s="72"/>
      <c r="Y60" s="72"/>
      <c r="Z60" s="73"/>
      <c r="AA60" s="73"/>
      <c r="AB60" s="74"/>
      <c r="AC60" s="37"/>
      <c r="AD60" s="37"/>
      <c r="AE60" s="37"/>
    </row>
    <row r="61" spans="2:31" ht="17">
      <c r="E61" s="19" t="str">
        <f t="shared" si="2"/>
        <v>*</v>
      </c>
      <c r="F61" s="63" t="s">
        <v>95</v>
      </c>
      <c r="G61" s="61" t="s">
        <v>35</v>
      </c>
      <c r="H61" s="20">
        <f t="shared" si="3"/>
        <v>123.28355645691073</v>
      </c>
      <c r="I61" s="20">
        <f t="shared" si="4"/>
        <v>61.876572179447123</v>
      </c>
      <c r="J61" s="66">
        <v>7.03</v>
      </c>
      <c r="K61" s="66">
        <v>7.55</v>
      </c>
      <c r="L61" s="66">
        <v>9.77</v>
      </c>
      <c r="M61" s="66">
        <v>0.9</v>
      </c>
      <c r="N61" s="66">
        <v>47.4</v>
      </c>
      <c r="O61" s="66">
        <v>19.265000000000001</v>
      </c>
      <c r="P61" s="66">
        <v>27.45</v>
      </c>
      <c r="Q61" s="64">
        <f t="shared" si="5"/>
        <v>-26.36221024984809</v>
      </c>
      <c r="T61" s="33"/>
      <c r="V61" s="37"/>
      <c r="W61" s="37"/>
      <c r="X61" s="72"/>
      <c r="Y61" s="72"/>
      <c r="Z61" s="73"/>
      <c r="AA61" s="73"/>
      <c r="AB61" s="74"/>
      <c r="AC61" s="37"/>
      <c r="AD61" s="37"/>
      <c r="AE61" s="37"/>
    </row>
    <row r="62" spans="2:31" ht="17">
      <c r="E62" s="19" t="str">
        <f t="shared" si="2"/>
        <v>*</v>
      </c>
      <c r="F62" s="63" t="s">
        <v>96</v>
      </c>
      <c r="G62" s="61" t="s">
        <v>35</v>
      </c>
      <c r="H62" s="20">
        <f t="shared" si="3"/>
        <v>103.58978882342819</v>
      </c>
      <c r="I62" s="20">
        <f t="shared" si="4"/>
        <v>68.843544132458078</v>
      </c>
      <c r="J62" s="66">
        <v>4.4800000000000004</v>
      </c>
      <c r="K62" s="66">
        <v>10.14</v>
      </c>
      <c r="L62" s="66">
        <v>11.1</v>
      </c>
      <c r="M62" s="66">
        <v>99</v>
      </c>
      <c r="N62" s="66">
        <v>100.6</v>
      </c>
      <c r="O62" s="66">
        <v>19.273333333333333</v>
      </c>
      <c r="P62" s="66">
        <v>38.133333333333333</v>
      </c>
      <c r="Q62" s="64">
        <f t="shared" si="5"/>
        <v>-26.487210249848033</v>
      </c>
      <c r="T62" s="33"/>
      <c r="V62" s="37"/>
      <c r="W62" s="37"/>
      <c r="X62" s="72"/>
      <c r="Y62" s="72"/>
      <c r="Z62" s="73"/>
      <c r="AA62" s="73"/>
      <c r="AB62" s="74"/>
      <c r="AC62" s="37"/>
      <c r="AD62" s="37"/>
      <c r="AE62" s="37"/>
    </row>
    <row r="63" spans="2:31" ht="17">
      <c r="E63" s="19" t="str">
        <f t="shared" si="2"/>
        <v/>
      </c>
      <c r="F63" s="63" t="s">
        <v>97</v>
      </c>
      <c r="G63" s="61" t="s">
        <v>35</v>
      </c>
      <c r="H63" s="20">
        <f t="shared" si="3"/>
        <v>151.24996895076634</v>
      </c>
      <c r="I63" s="20">
        <f t="shared" si="4"/>
        <v>20.690489799243306</v>
      </c>
      <c r="J63" s="66">
        <v>8.65</v>
      </c>
      <c r="K63" s="66">
        <v>8.69</v>
      </c>
      <c r="L63" s="66">
        <v>9.57</v>
      </c>
      <c r="M63" s="66">
        <v>23</v>
      </c>
      <c r="N63" s="66">
        <v>35</v>
      </c>
      <c r="O63" s="66">
        <v>19.39</v>
      </c>
      <c r="P63" s="66">
        <v>-18</v>
      </c>
      <c r="Q63" s="64">
        <f t="shared" si="5"/>
        <v>-28.23721024984809</v>
      </c>
      <c r="T63" s="33"/>
      <c r="V63" s="37"/>
      <c r="W63" s="37"/>
      <c r="X63" s="72"/>
      <c r="Y63" s="72"/>
      <c r="Z63" s="73"/>
      <c r="AA63" s="73"/>
      <c r="AB63" s="74"/>
      <c r="AC63" s="37"/>
      <c r="AD63" s="37"/>
      <c r="AE63" s="37"/>
    </row>
    <row r="64" spans="2:31" ht="17">
      <c r="E64" s="19" t="str">
        <f t="shared" si="2"/>
        <v>*</v>
      </c>
      <c r="F64" s="63" t="s">
        <v>98</v>
      </c>
      <c r="G64" s="61" t="s">
        <v>35</v>
      </c>
      <c r="H64" s="20">
        <f t="shared" si="3"/>
        <v>139.92497852406041</v>
      </c>
      <c r="I64" s="20">
        <f t="shared" si="4"/>
        <v>39.268955514215364</v>
      </c>
      <c r="J64" s="66">
        <v>6.37</v>
      </c>
      <c r="K64" s="66">
        <v>10.6</v>
      </c>
      <c r="L64" s="66">
        <v>10.91</v>
      </c>
      <c r="M64" s="66">
        <v>32.9</v>
      </c>
      <c r="N64" s="66">
        <v>119.5</v>
      </c>
      <c r="O64" s="66">
        <v>19.503333333333334</v>
      </c>
      <c r="P64" s="66">
        <v>2.9</v>
      </c>
      <c r="Q64" s="64">
        <f t="shared" si="5"/>
        <v>-29.937210249848079</v>
      </c>
      <c r="T64" s="33"/>
      <c r="V64" s="37"/>
      <c r="W64" s="37"/>
      <c r="X64" s="72"/>
      <c r="Y64" s="72"/>
      <c r="Z64" s="73"/>
      <c r="AA64" s="73"/>
      <c r="AB64" s="74"/>
      <c r="AC64" s="37"/>
      <c r="AD64" s="37"/>
      <c r="AE64" s="37"/>
    </row>
    <row r="65" spans="5:31" ht="17">
      <c r="E65" s="19" t="str">
        <f t="shared" si="2"/>
        <v>*</v>
      </c>
      <c r="F65" s="63" t="s">
        <v>99</v>
      </c>
      <c r="G65" s="61" t="s">
        <v>35</v>
      </c>
      <c r="H65" s="20">
        <f t="shared" si="3"/>
        <v>113.80361700672785</v>
      </c>
      <c r="I65" s="20">
        <f t="shared" si="4"/>
        <v>55.18516944195428</v>
      </c>
      <c r="J65" s="66">
        <v>8.32</v>
      </c>
      <c r="K65" s="66">
        <v>8.4499999999999993</v>
      </c>
      <c r="L65" s="66">
        <v>9.49</v>
      </c>
      <c r="M65" s="66">
        <v>4.9000000000000004</v>
      </c>
      <c r="N65" s="66">
        <v>31.8</v>
      </c>
      <c r="O65" s="66">
        <v>19.873333333333335</v>
      </c>
      <c r="P65" s="66">
        <v>25.866666666666667</v>
      </c>
      <c r="Q65" s="64">
        <f t="shared" si="5"/>
        <v>-35.48721024984809</v>
      </c>
      <c r="T65" s="33"/>
      <c r="V65" s="37"/>
      <c r="W65" s="37"/>
      <c r="X65" s="72"/>
      <c r="Y65" s="72"/>
      <c r="Z65" s="73"/>
      <c r="AA65" s="73"/>
      <c r="AB65" s="74"/>
      <c r="AC65" s="37"/>
      <c r="AD65" s="37"/>
      <c r="AE65" s="37"/>
    </row>
    <row r="66" spans="5:31" ht="17">
      <c r="E66" s="19" t="str">
        <f t="shared" si="2"/>
        <v>*</v>
      </c>
      <c r="F66" s="63" t="s">
        <v>100</v>
      </c>
      <c r="G66" s="61" t="s">
        <v>35</v>
      </c>
      <c r="H66" s="20">
        <f t="shared" si="3"/>
        <v>107.33168180074917</v>
      </c>
      <c r="I66" s="20">
        <f t="shared" si="4"/>
        <v>57.707472981419507</v>
      </c>
      <c r="J66" s="66">
        <v>6.63</v>
      </c>
      <c r="K66" s="66">
        <v>9.5</v>
      </c>
      <c r="L66" s="66">
        <v>11.23</v>
      </c>
      <c r="M66" s="66">
        <v>9.6</v>
      </c>
      <c r="N66" s="66">
        <v>15.8</v>
      </c>
      <c r="O66" s="66">
        <v>19.918333333333333</v>
      </c>
      <c r="P66" s="66">
        <v>30.2</v>
      </c>
      <c r="Q66" s="64">
        <f t="shared" si="5"/>
        <v>-36.162210249848044</v>
      </c>
      <c r="T66" s="33"/>
      <c r="V66" s="37"/>
      <c r="W66" s="37"/>
      <c r="X66" s="72"/>
      <c r="Y66" s="72"/>
      <c r="Z66" s="73"/>
      <c r="AA66" s="73"/>
      <c r="AB66" s="74"/>
      <c r="AC66" s="37"/>
      <c r="AD66" s="37"/>
      <c r="AE66" s="37"/>
    </row>
    <row r="67" spans="5:31" ht="17">
      <c r="E67" s="19" t="str">
        <f t="shared" si="2"/>
        <v>*</v>
      </c>
      <c r="F67" s="63" t="s">
        <v>101</v>
      </c>
      <c r="G67" s="61" t="s">
        <v>35</v>
      </c>
      <c r="H67" s="20">
        <f t="shared" si="3"/>
        <v>114.56689861287131</v>
      </c>
      <c r="I67" s="20">
        <f t="shared" si="4"/>
        <v>48.829867723784069</v>
      </c>
      <c r="J67" s="66">
        <v>6.56</v>
      </c>
      <c r="K67" s="66">
        <v>7.52</v>
      </c>
      <c r="L67" s="66">
        <v>8.85</v>
      </c>
      <c r="M67" s="66">
        <v>12</v>
      </c>
      <c r="N67" s="66">
        <v>90</v>
      </c>
      <c r="O67" s="66">
        <v>20.164999999999999</v>
      </c>
      <c r="P67" s="66">
        <v>20.916666666666668</v>
      </c>
      <c r="Q67" s="64">
        <f t="shared" si="5"/>
        <v>-39.86221024984809</v>
      </c>
      <c r="T67" s="33"/>
      <c r="V67" s="37"/>
      <c r="W67" s="37"/>
      <c r="X67" s="72"/>
      <c r="Y67" s="72"/>
      <c r="Z67" s="73"/>
      <c r="AA67" s="73"/>
      <c r="AB67" s="74"/>
      <c r="AC67" s="37"/>
      <c r="AD67" s="37"/>
      <c r="AE67" s="37"/>
    </row>
    <row r="68" spans="5:31" ht="17">
      <c r="E68" s="19" t="str">
        <f t="shared" si="2"/>
        <v/>
      </c>
      <c r="F68" s="63" t="s">
        <v>102</v>
      </c>
      <c r="G68" s="61" t="s">
        <v>35</v>
      </c>
      <c r="H68" s="20">
        <f t="shared" si="3"/>
        <v>136.04155261700259</v>
      </c>
      <c r="I68" s="20">
        <f t="shared" si="4"/>
        <v>20.058867070524844</v>
      </c>
      <c r="J68" s="66">
        <v>3.66</v>
      </c>
      <c r="K68" s="66">
        <v>11.2</v>
      </c>
      <c r="L68" s="66">
        <v>11.5</v>
      </c>
      <c r="M68" s="66">
        <v>6.6</v>
      </c>
      <c r="N68" s="66">
        <v>7.6</v>
      </c>
      <c r="O68" s="66">
        <v>20.301666666666666</v>
      </c>
      <c r="P68" s="66">
        <v>-12.55</v>
      </c>
      <c r="Q68" s="64">
        <f t="shared" si="5"/>
        <v>-41.912210249848044</v>
      </c>
      <c r="T68" s="33"/>
      <c r="V68" s="37"/>
      <c r="W68" s="37"/>
      <c r="X68" s="72"/>
      <c r="Y68" s="72"/>
      <c r="Z68" s="73"/>
      <c r="AA68" s="73"/>
      <c r="AB68" s="74"/>
      <c r="AC68" s="37"/>
      <c r="AD68" s="37"/>
      <c r="AE68" s="37"/>
    </row>
    <row r="69" spans="5:31" ht="17">
      <c r="E69" s="19" t="str">
        <f t="shared" si="2"/>
        <v>*</v>
      </c>
      <c r="F69" s="63" t="s">
        <v>103</v>
      </c>
      <c r="G69" s="61" t="s">
        <v>35</v>
      </c>
      <c r="H69" s="20">
        <f t="shared" si="3"/>
        <v>110.93367080600235</v>
      </c>
      <c r="I69" s="20">
        <f t="shared" si="4"/>
        <v>44.501099989158568</v>
      </c>
      <c r="J69" s="66">
        <v>6.8</v>
      </c>
      <c r="K69" s="66">
        <v>7.3</v>
      </c>
      <c r="L69" s="66">
        <v>11.1</v>
      </c>
      <c r="M69" s="66">
        <v>2.6</v>
      </c>
      <c r="N69" s="66">
        <v>106.7</v>
      </c>
      <c r="O69" s="66">
        <v>20.503333333333334</v>
      </c>
      <c r="P69" s="66">
        <v>19.416666666666668</v>
      </c>
      <c r="Q69" s="64">
        <f t="shared" si="5"/>
        <v>-44.937210249848079</v>
      </c>
      <c r="T69" s="33"/>
      <c r="V69" s="37"/>
      <c r="W69" s="37"/>
      <c r="X69" s="72"/>
      <c r="Y69" s="72"/>
      <c r="Z69" s="73"/>
      <c r="AA69" s="73"/>
      <c r="AB69" s="74"/>
      <c r="AC69" s="37"/>
      <c r="AD69" s="37"/>
      <c r="AE69" s="37"/>
    </row>
    <row r="70" spans="5:31" ht="17">
      <c r="E70" s="19" t="str">
        <f t="shared" si="2"/>
        <v>*</v>
      </c>
      <c r="F70" s="63" t="s">
        <v>104</v>
      </c>
      <c r="G70" s="61" t="s">
        <v>35</v>
      </c>
      <c r="H70" s="20">
        <f t="shared" si="3"/>
        <v>123.51877672959264</v>
      </c>
      <c r="I70" s="20">
        <f t="shared" si="4"/>
        <v>28.2874493776416</v>
      </c>
      <c r="J70" s="66">
        <v>5.05</v>
      </c>
      <c r="K70" s="66">
        <v>11.3</v>
      </c>
      <c r="L70" s="66">
        <v>11.5</v>
      </c>
      <c r="M70" s="66">
        <v>64.5</v>
      </c>
      <c r="N70" s="66">
        <v>66.599999999999994</v>
      </c>
      <c r="O70" s="66">
        <v>20.656666666666666</v>
      </c>
      <c r="P70" s="66">
        <v>0.48333333333333334</v>
      </c>
      <c r="Q70" s="64">
        <f t="shared" si="5"/>
        <v>-47.23721024984809</v>
      </c>
      <c r="T70" s="33"/>
      <c r="V70" s="37"/>
      <c r="W70" s="37"/>
      <c r="X70" s="72"/>
      <c r="Y70" s="72"/>
      <c r="Z70" s="73"/>
      <c r="AA70" s="73"/>
      <c r="AB70" s="74"/>
      <c r="AC70" s="37"/>
      <c r="AD70" s="37"/>
      <c r="AE70" s="37"/>
    </row>
    <row r="71" spans="5:31" ht="17">
      <c r="E71" s="19" t="str">
        <f t="shared" si="2"/>
        <v>*</v>
      </c>
      <c r="F71" s="63" t="s">
        <v>105</v>
      </c>
      <c r="G71" s="61" t="s">
        <v>35</v>
      </c>
      <c r="H71" s="20">
        <f t="shared" si="3"/>
        <v>82.360418521436785</v>
      </c>
      <c r="I71" s="20">
        <f t="shared" si="4"/>
        <v>55.735015074511146</v>
      </c>
      <c r="J71" s="66">
        <v>6.73</v>
      </c>
      <c r="K71" s="66">
        <v>6.83</v>
      </c>
      <c r="L71" s="66">
        <v>8.7200000000000006</v>
      </c>
      <c r="M71" s="66">
        <v>0.9</v>
      </c>
      <c r="N71" s="66">
        <v>68.099999999999994</v>
      </c>
      <c r="O71" s="66">
        <v>20.66</v>
      </c>
      <c r="P71" s="66">
        <v>40.583333333333336</v>
      </c>
      <c r="Q71" s="64">
        <f t="shared" si="5"/>
        <v>-47.287210249848044</v>
      </c>
      <c r="T71" s="33"/>
      <c r="V71" s="37"/>
      <c r="W71" s="37"/>
      <c r="X71" s="72"/>
      <c r="Y71" s="72"/>
      <c r="Z71" s="73"/>
      <c r="AA71" s="73"/>
      <c r="AB71" s="74"/>
      <c r="AC71" s="37"/>
      <c r="AD71" s="37"/>
      <c r="AE71" s="37"/>
    </row>
    <row r="72" spans="5:31" ht="17">
      <c r="E72" s="19" t="str">
        <f t="shared" si="2"/>
        <v>*</v>
      </c>
      <c r="F72" s="63" t="s">
        <v>106</v>
      </c>
      <c r="G72" s="61" t="s">
        <v>35</v>
      </c>
      <c r="H72" s="20">
        <f t="shared" si="3"/>
        <v>116.44395963197483</v>
      </c>
      <c r="I72" s="20">
        <f t="shared" ref="I72:I85" si="6">ASIN(SIN($Q$87*P72)*SIN($Q$87*$C$13)+COS($Q$87*P72)*COS($Q$87*$C$13)*COS($Q$87*Q72))/$Q$87</f>
        <v>28.411259446828222</v>
      </c>
      <c r="J72" s="66">
        <v>5.96</v>
      </c>
      <c r="K72" s="66">
        <v>6.31</v>
      </c>
      <c r="L72" s="66">
        <v>7.05</v>
      </c>
      <c r="M72" s="66">
        <v>0.6</v>
      </c>
      <c r="N72" s="66">
        <v>10.4</v>
      </c>
      <c r="O72" s="66">
        <v>20.984999999999999</v>
      </c>
      <c r="P72" s="66">
        <v>4.3</v>
      </c>
      <c r="Q72" s="64">
        <f t="shared" ref="Q72:Q85" si="7">$C$16-((O72/24)*360)</f>
        <v>-52.162210249848044</v>
      </c>
      <c r="T72" s="33"/>
      <c r="V72" s="37"/>
      <c r="W72" s="37"/>
      <c r="X72" s="72"/>
      <c r="Y72" s="72"/>
      <c r="Z72" s="73"/>
      <c r="AA72" s="73"/>
      <c r="AB72" s="74"/>
      <c r="AC72" s="37"/>
      <c r="AD72" s="37"/>
      <c r="AE72" s="37"/>
    </row>
    <row r="73" spans="5:31" ht="17">
      <c r="E73" s="19" t="str">
        <f t="shared" ref="E73:E85" si="8">IF(AND(I73&gt;=$I$4,I73&lt;=$I$6,H73&gt;=$H$4,H73&lt;=$H$6),IF(VLOOKUP(G73,$C$19:$D$24,2,FALSE)="yes","*","-"),"")</f>
        <v/>
      </c>
      <c r="F73" s="63" t="s">
        <v>107</v>
      </c>
      <c r="G73" s="61" t="s">
        <v>35</v>
      </c>
      <c r="H73" s="20">
        <f t="shared" ref="H73:H85" si="9">IF(SIN($Q$87*Q73)&lt;0,ACOS((SIN($Q$87*P73)-SIN($Q$87*I73)*SIN($Q$87*$C$13))/(COS($Q$87*I73)*COS($Q$87*$C$13)))/$Q$87,360-ACOS((SIN($Q$87*P73)-SIN($Q$87*I73)*SIN($Q$87*$C$13))/(COS($Q$87*I73)*COS($Q$87*$C$13)))/$Q$87)</f>
        <v>48.76013763895223</v>
      </c>
      <c r="I73" s="20">
        <f t="shared" si="6"/>
        <v>54.394043800315345</v>
      </c>
      <c r="J73" s="66">
        <v>5.85</v>
      </c>
      <c r="K73" s="66">
        <v>9.27</v>
      </c>
      <c r="L73" s="66">
        <v>10.07</v>
      </c>
      <c r="M73" s="66">
        <v>4.5</v>
      </c>
      <c r="N73" s="66">
        <v>75.099999999999994</v>
      </c>
      <c r="O73" s="66">
        <v>21.321666666666665</v>
      </c>
      <c r="P73" s="66">
        <v>58.616666666666667</v>
      </c>
      <c r="Q73" s="64">
        <f t="shared" si="7"/>
        <v>-57.212210249848056</v>
      </c>
      <c r="T73" s="33"/>
      <c r="V73" s="37"/>
      <c r="W73" s="37"/>
      <c r="X73" s="72"/>
      <c r="Y73" s="72"/>
      <c r="Z73" s="73"/>
      <c r="AA73" s="73"/>
      <c r="AB73" s="74"/>
      <c r="AC73" s="37"/>
      <c r="AD73" s="37"/>
      <c r="AE73" s="37"/>
    </row>
    <row r="74" spans="5:31" ht="17">
      <c r="E74" s="19" t="str">
        <f t="shared" si="8"/>
        <v>*</v>
      </c>
      <c r="F74" s="63" t="s">
        <v>108</v>
      </c>
      <c r="G74" s="61" t="s">
        <v>35</v>
      </c>
      <c r="H74" s="20">
        <f t="shared" si="9"/>
        <v>95.653571465760237</v>
      </c>
      <c r="I74" s="20">
        <f t="shared" si="6"/>
        <v>36.593954968196627</v>
      </c>
      <c r="J74" s="66">
        <v>6.08</v>
      </c>
      <c r="K74" s="66">
        <v>10.220000000000001</v>
      </c>
      <c r="L74" s="66">
        <v>10.6</v>
      </c>
      <c r="M74" s="66">
        <v>40.299999999999997</v>
      </c>
      <c r="N74" s="66">
        <v>41.5</v>
      </c>
      <c r="O74" s="66">
        <v>21.483333333333334</v>
      </c>
      <c r="P74" s="66">
        <v>22.183333333333334</v>
      </c>
      <c r="Q74" s="64">
        <f t="shared" si="7"/>
        <v>-59.637210249848067</v>
      </c>
      <c r="T74" s="33"/>
      <c r="V74" s="37"/>
      <c r="W74" s="37"/>
      <c r="X74" s="72"/>
      <c r="Y74" s="72"/>
      <c r="Z74" s="73"/>
      <c r="AA74" s="73"/>
      <c r="AB74" s="74"/>
      <c r="AC74" s="37"/>
      <c r="AD74" s="37"/>
      <c r="AE74" s="37"/>
    </row>
    <row r="75" spans="5:31" ht="17">
      <c r="E75" s="19" t="str">
        <f t="shared" si="8"/>
        <v/>
      </c>
      <c r="F75" s="63" t="s">
        <v>109</v>
      </c>
      <c r="G75" s="61" t="s">
        <v>35</v>
      </c>
      <c r="H75" s="20">
        <f t="shared" si="9"/>
        <v>49.990483069838099</v>
      </c>
      <c r="I75" s="20">
        <f t="shared" si="6"/>
        <v>51.650905558543229</v>
      </c>
      <c r="J75" s="66">
        <v>5.73</v>
      </c>
      <c r="K75" s="66">
        <v>7.48</v>
      </c>
      <c r="L75" s="66">
        <v>7.53</v>
      </c>
      <c r="M75" s="66">
        <v>12</v>
      </c>
      <c r="N75" s="66">
        <v>20.2</v>
      </c>
      <c r="O75" s="66">
        <v>21.65</v>
      </c>
      <c r="P75" s="66">
        <v>57.483333333333334</v>
      </c>
      <c r="Q75" s="64">
        <f t="shared" si="7"/>
        <v>-62.13721024984801</v>
      </c>
      <c r="T75" s="33"/>
      <c r="V75" s="37"/>
      <c r="W75" s="37"/>
      <c r="X75" s="72"/>
      <c r="Y75" s="72"/>
      <c r="Z75" s="73"/>
      <c r="AA75" s="73"/>
      <c r="AB75" s="74"/>
      <c r="AC75" s="37"/>
      <c r="AD75" s="37"/>
      <c r="AE75" s="37"/>
    </row>
    <row r="76" spans="5:31" ht="17">
      <c r="E76" s="19" t="str">
        <f t="shared" si="8"/>
        <v/>
      </c>
      <c r="F76" s="63" t="s">
        <v>110</v>
      </c>
      <c r="G76" s="61" t="s">
        <v>35</v>
      </c>
      <c r="H76" s="20">
        <f t="shared" si="9"/>
        <v>125.70433550400507</v>
      </c>
      <c r="I76" s="20">
        <f t="shared" si="6"/>
        <v>-6.8418140339494711</v>
      </c>
      <c r="J76" s="66">
        <v>7.1</v>
      </c>
      <c r="K76" s="66">
        <v>10.6</v>
      </c>
      <c r="L76" s="66">
        <v>10.9</v>
      </c>
      <c r="M76" s="66">
        <v>40.299999999999997</v>
      </c>
      <c r="N76" s="66">
        <v>44.8</v>
      </c>
      <c r="O76" s="66">
        <v>21.991666666666667</v>
      </c>
      <c r="P76" s="66">
        <v>-29.05</v>
      </c>
      <c r="Q76" s="64">
        <f t="shared" si="7"/>
        <v>-67.262210249848067</v>
      </c>
      <c r="T76" s="33"/>
      <c r="V76" s="37"/>
      <c r="W76" s="37"/>
      <c r="X76" s="72"/>
      <c r="Y76" s="72"/>
      <c r="Z76" s="73"/>
      <c r="AA76" s="73"/>
      <c r="AB76" s="74"/>
      <c r="AC76" s="37"/>
      <c r="AD76" s="37"/>
      <c r="AE76" s="37"/>
    </row>
    <row r="77" spans="5:31" ht="17">
      <c r="E77" s="19" t="str">
        <f t="shared" si="8"/>
        <v/>
      </c>
      <c r="F77" s="63" t="s">
        <v>111</v>
      </c>
      <c r="G77" s="61" t="s">
        <v>35</v>
      </c>
      <c r="H77" s="20">
        <f t="shared" si="9"/>
        <v>117.96151709753167</v>
      </c>
      <c r="I77" s="20">
        <f t="shared" si="6"/>
        <v>-2.9119849411587002</v>
      </c>
      <c r="J77" s="66">
        <v>5.63</v>
      </c>
      <c r="K77" s="66">
        <v>6.72</v>
      </c>
      <c r="L77" s="66">
        <v>11.6</v>
      </c>
      <c r="M77" s="66">
        <v>5.2</v>
      </c>
      <c r="N77" s="66">
        <v>12.5</v>
      </c>
      <c r="O77" s="66">
        <v>22.238333333333333</v>
      </c>
      <c r="P77" s="66">
        <v>-21.066666666666666</v>
      </c>
      <c r="Q77" s="64">
        <f t="shared" si="7"/>
        <v>-70.962210249848056</v>
      </c>
      <c r="T77" s="33"/>
      <c r="V77" s="37"/>
      <c r="W77" s="37"/>
      <c r="X77" s="72"/>
      <c r="Y77" s="72"/>
      <c r="Z77" s="73"/>
      <c r="AA77" s="73"/>
      <c r="AB77" s="74"/>
      <c r="AC77" s="37"/>
      <c r="AD77" s="37"/>
      <c r="AE77" s="37"/>
    </row>
    <row r="78" spans="5:31" ht="17">
      <c r="E78" s="19" t="str">
        <f t="shared" si="8"/>
        <v/>
      </c>
      <c r="F78" s="63" t="s">
        <v>112</v>
      </c>
      <c r="G78" s="61" t="s">
        <v>35</v>
      </c>
      <c r="H78" s="20">
        <f t="shared" si="9"/>
        <v>118.54484893803395</v>
      </c>
      <c r="I78" s="20">
        <f t="shared" si="6"/>
        <v>-12.167983949053562</v>
      </c>
      <c r="J78" s="66">
        <v>6.43</v>
      </c>
      <c r="K78" s="66">
        <v>7.5</v>
      </c>
      <c r="L78" s="66">
        <v>8.61</v>
      </c>
      <c r="M78" s="66">
        <v>3.1</v>
      </c>
      <c r="N78" s="66">
        <v>86.5</v>
      </c>
      <c r="O78" s="66">
        <v>22.661666666666665</v>
      </c>
      <c r="P78" s="66">
        <v>-28.333333333333332</v>
      </c>
      <c r="Q78" s="64">
        <f t="shared" si="7"/>
        <v>-77.312210249848022</v>
      </c>
      <c r="T78" s="33"/>
      <c r="V78" s="37"/>
      <c r="W78" s="37"/>
      <c r="X78" s="72"/>
      <c r="Y78" s="72"/>
      <c r="Z78" s="73"/>
      <c r="AA78" s="73"/>
      <c r="AB78" s="74"/>
      <c r="AC78" s="37"/>
      <c r="AD78" s="37"/>
      <c r="AE78" s="37"/>
    </row>
    <row r="79" spans="5:31" ht="17">
      <c r="E79" s="19" t="str">
        <f t="shared" si="8"/>
        <v/>
      </c>
      <c r="F79" s="63" t="s">
        <v>113</v>
      </c>
      <c r="G79" s="61" t="s">
        <v>35</v>
      </c>
      <c r="H79" s="20">
        <f t="shared" si="9"/>
        <v>47.645088360165168</v>
      </c>
      <c r="I79" s="20">
        <f t="shared" si="6"/>
        <v>40.004282907305161</v>
      </c>
      <c r="J79" s="66">
        <v>6.51</v>
      </c>
      <c r="K79" s="66">
        <v>10.15</v>
      </c>
      <c r="L79" s="66">
        <v>10.48</v>
      </c>
      <c r="M79" s="66">
        <v>18.8</v>
      </c>
      <c r="N79" s="66">
        <v>56.3</v>
      </c>
      <c r="O79" s="66">
        <v>23.045000000000002</v>
      </c>
      <c r="P79" s="66">
        <v>55.233333333333334</v>
      </c>
      <c r="Q79" s="64">
        <f t="shared" si="7"/>
        <v>-83.062210249848079</v>
      </c>
      <c r="T79" s="33"/>
      <c r="V79" s="37"/>
      <c r="W79" s="37"/>
      <c r="X79" s="72"/>
      <c r="Y79" s="72"/>
      <c r="Z79" s="73"/>
      <c r="AA79" s="73"/>
      <c r="AB79" s="74"/>
      <c r="AC79" s="37"/>
      <c r="AD79" s="37"/>
      <c r="AE79" s="37"/>
    </row>
    <row r="80" spans="5:31" ht="17">
      <c r="E80" s="19" t="str">
        <f t="shared" si="8"/>
        <v/>
      </c>
      <c r="F80" s="63" t="s">
        <v>114</v>
      </c>
      <c r="G80" s="61" t="s">
        <v>35</v>
      </c>
      <c r="H80" s="20">
        <f t="shared" si="9"/>
        <v>78.503480316837425</v>
      </c>
      <c r="I80" s="20">
        <f t="shared" si="6"/>
        <v>11.517592208371578</v>
      </c>
      <c r="J80" s="66">
        <v>8.06</v>
      </c>
      <c r="K80" s="66">
        <v>9.26</v>
      </c>
      <c r="L80" s="66">
        <v>10.79</v>
      </c>
      <c r="M80" s="66">
        <v>8.6999999999999993</v>
      </c>
      <c r="N80" s="66">
        <v>118</v>
      </c>
      <c r="O80" s="66">
        <v>23.523333333333333</v>
      </c>
      <c r="P80" s="66">
        <v>16.216666666666665</v>
      </c>
      <c r="Q80" s="64">
        <f t="shared" si="7"/>
        <v>-90.23721024984809</v>
      </c>
      <c r="T80" s="33"/>
      <c r="V80" s="37"/>
      <c r="W80" s="37"/>
      <c r="X80" s="72"/>
      <c r="Y80" s="72"/>
      <c r="Z80" s="73"/>
      <c r="AA80" s="73"/>
      <c r="AB80" s="74"/>
      <c r="AC80" s="37"/>
      <c r="AD80" s="37"/>
      <c r="AE80" s="37"/>
    </row>
    <row r="81" spans="5:31" ht="17">
      <c r="E81" s="19" t="str">
        <f t="shared" si="8"/>
        <v/>
      </c>
      <c r="F81" s="63" t="s">
        <v>115</v>
      </c>
      <c r="G81" s="61" t="s">
        <v>35</v>
      </c>
      <c r="H81" s="20">
        <f t="shared" si="9"/>
        <v>54.806424084577728</v>
      </c>
      <c r="I81" s="20">
        <f t="shared" si="6"/>
        <v>29.019533187565901</v>
      </c>
      <c r="J81" s="66">
        <v>4.1399999999999997</v>
      </c>
      <c r="K81" s="66">
        <v>11.3</v>
      </c>
      <c r="L81" s="66">
        <v>11.3</v>
      </c>
      <c r="M81" s="66">
        <v>47.8</v>
      </c>
      <c r="N81" s="66">
        <v>113.3</v>
      </c>
      <c r="O81" s="66">
        <v>23.673333333333332</v>
      </c>
      <c r="P81" s="66">
        <v>44.333333333333336</v>
      </c>
      <c r="Q81" s="64">
        <f t="shared" si="7"/>
        <v>-92.487210249848033</v>
      </c>
      <c r="T81" s="33"/>
      <c r="V81" s="37"/>
      <c r="W81" s="37"/>
      <c r="X81" s="72"/>
      <c r="Y81" s="72"/>
      <c r="Z81" s="73"/>
      <c r="AA81" s="73"/>
      <c r="AB81" s="74"/>
      <c r="AC81" s="37"/>
      <c r="AD81" s="37"/>
      <c r="AE81" s="37"/>
    </row>
    <row r="82" spans="5:31" ht="17">
      <c r="E82" s="19" t="str">
        <f t="shared" si="8"/>
        <v/>
      </c>
      <c r="F82" s="63" t="s">
        <v>116</v>
      </c>
      <c r="G82" s="61" t="s">
        <v>35</v>
      </c>
      <c r="H82" s="20">
        <f t="shared" si="9"/>
        <v>75.039869079552389</v>
      </c>
      <c r="I82" s="20">
        <f t="shared" si="6"/>
        <v>9.3465716889259216</v>
      </c>
      <c r="J82" s="66">
        <v>8.35</v>
      </c>
      <c r="K82" s="66">
        <v>9.0500000000000007</v>
      </c>
      <c r="L82" s="66">
        <v>9.18</v>
      </c>
      <c r="M82" s="66">
        <v>4.0999999999999996</v>
      </c>
      <c r="N82" s="66">
        <v>57</v>
      </c>
      <c r="O82" s="66">
        <v>23.798333333333332</v>
      </c>
      <c r="P82" s="66">
        <v>17.05</v>
      </c>
      <c r="Q82" s="64">
        <f t="shared" si="7"/>
        <v>-94.362210249848033</v>
      </c>
      <c r="T82" s="33"/>
      <c r="V82" s="37"/>
      <c r="W82" s="37"/>
      <c r="X82" s="72"/>
      <c r="Y82" s="72"/>
      <c r="Z82" s="73"/>
      <c r="AA82" s="73"/>
      <c r="AB82" s="74"/>
      <c r="AC82" s="37"/>
      <c r="AD82" s="37"/>
      <c r="AE82" s="37"/>
    </row>
    <row r="83" spans="5:31" ht="17">
      <c r="E83" s="19" t="str">
        <f t="shared" si="8"/>
        <v/>
      </c>
      <c r="F83" s="63" t="s">
        <v>117</v>
      </c>
      <c r="G83" s="61" t="s">
        <v>35</v>
      </c>
      <c r="H83" s="20">
        <f t="shared" si="9"/>
        <v>36.125599676006402</v>
      </c>
      <c r="I83" s="20">
        <f t="shared" si="6"/>
        <v>37.990735801808114</v>
      </c>
      <c r="J83" s="66">
        <v>5.66</v>
      </c>
      <c r="K83" s="66">
        <v>7.95</v>
      </c>
      <c r="L83" s="66">
        <v>10.19</v>
      </c>
      <c r="M83" s="66">
        <v>1.5</v>
      </c>
      <c r="N83" s="66">
        <v>62.3</v>
      </c>
      <c r="O83" s="66">
        <v>23.813333333333333</v>
      </c>
      <c r="P83" s="66">
        <v>62.216666666666669</v>
      </c>
      <c r="Q83" s="64">
        <f t="shared" si="7"/>
        <v>-94.587210249848056</v>
      </c>
      <c r="T83" s="33"/>
      <c r="V83" s="37"/>
      <c r="W83" s="37"/>
      <c r="X83" s="72"/>
      <c r="Y83" s="72"/>
      <c r="Z83" s="73"/>
      <c r="AA83" s="73"/>
      <c r="AB83" s="74"/>
      <c r="AC83" s="37"/>
      <c r="AD83" s="37"/>
      <c r="AE83" s="37"/>
    </row>
    <row r="84" spans="5:31" ht="17">
      <c r="E84" s="19" t="str">
        <f t="shared" si="8"/>
        <v/>
      </c>
      <c r="F84" s="63" t="s">
        <v>118</v>
      </c>
      <c r="G84" s="61" t="s">
        <v>35</v>
      </c>
      <c r="H84" s="20">
        <f t="shared" si="9"/>
        <v>107.28236740689454</v>
      </c>
      <c r="I84" s="20">
        <f t="shared" si="6"/>
        <v>-22.992182401814656</v>
      </c>
      <c r="J84" s="66">
        <v>4.57</v>
      </c>
      <c r="K84" s="66">
        <v>9.3699999999999992</v>
      </c>
      <c r="L84" s="66">
        <v>11.6</v>
      </c>
      <c r="M84" s="66">
        <v>3.4</v>
      </c>
      <c r="N84" s="66">
        <v>80</v>
      </c>
      <c r="O84" s="66">
        <v>23.815000000000001</v>
      </c>
      <c r="P84" s="66">
        <v>-28.133333333333333</v>
      </c>
      <c r="Q84" s="64">
        <f t="shared" si="7"/>
        <v>-94.61221024984809</v>
      </c>
      <c r="T84" s="33"/>
      <c r="V84" s="37"/>
      <c r="W84" s="37"/>
      <c r="X84" s="72"/>
      <c r="Y84" s="72"/>
      <c r="Z84" s="73"/>
      <c r="AA84" s="73"/>
      <c r="AB84" s="74"/>
      <c r="AC84" s="37"/>
      <c r="AD84" s="37"/>
      <c r="AE84" s="37"/>
    </row>
    <row r="85" spans="5:31" ht="17">
      <c r="E85" s="19" t="str">
        <f t="shared" si="8"/>
        <v/>
      </c>
      <c r="F85" s="63" t="s">
        <v>119</v>
      </c>
      <c r="G85" s="61" t="s">
        <v>35</v>
      </c>
      <c r="H85" s="20">
        <f t="shared" si="9"/>
        <v>68.097158060731189</v>
      </c>
      <c r="I85" s="20">
        <f t="shared" si="6"/>
        <v>12.874403974478883</v>
      </c>
      <c r="J85" s="66">
        <v>7.94</v>
      </c>
      <c r="K85" s="66">
        <v>10.17</v>
      </c>
      <c r="L85" s="66">
        <v>11.33</v>
      </c>
      <c r="M85" s="66">
        <v>8.5</v>
      </c>
      <c r="N85" s="66">
        <v>37.5</v>
      </c>
      <c r="O85" s="66">
        <v>23.97</v>
      </c>
      <c r="P85" s="66">
        <v>24.333333333333332</v>
      </c>
      <c r="Q85" s="64">
        <f t="shared" si="7"/>
        <v>-96.937210249848022</v>
      </c>
      <c r="T85" s="34"/>
      <c r="U85" s="41"/>
      <c r="V85" s="38"/>
      <c r="W85" s="38"/>
      <c r="X85" s="75"/>
      <c r="Y85" s="75"/>
      <c r="Z85" s="76"/>
      <c r="AA85" s="76"/>
      <c r="AB85" s="77"/>
      <c r="AC85" s="37"/>
      <c r="AD85" s="37"/>
      <c r="AE85" s="37"/>
    </row>
    <row r="87" spans="5:31">
      <c r="P87" s="92" t="s">
        <v>125</v>
      </c>
      <c r="Q87" s="93">
        <f>PI()/180</f>
        <v>1.7453292519943295E-2</v>
      </c>
    </row>
  </sheetData>
  <sheetProtection sheet="1" objects="1" scenarios="1"/>
  <mergeCells count="6">
    <mergeCell ref="B36:D36"/>
    <mergeCell ref="B2:C2"/>
    <mergeCell ref="F2:Q2"/>
    <mergeCell ref="B19:B24"/>
    <mergeCell ref="T2:AB2"/>
    <mergeCell ref="B27:D27"/>
  </mergeCells>
  <conditionalFormatting sqref="F8:F85">
    <cfRule type="expression" dxfId="12" priority="18">
      <formula>AND($I8&gt;=$I$4,$I8&lt;=$I$6,$H8&gt;=$H$4,$H8&lt;=$H$6)</formula>
    </cfRule>
  </conditionalFormatting>
  <conditionalFormatting sqref="H8:H85">
    <cfRule type="expression" dxfId="11" priority="17">
      <formula>AND($H8&gt;=$H$4,$H8&lt;=$H$6)</formula>
    </cfRule>
  </conditionalFormatting>
  <conditionalFormatting sqref="I8:I85">
    <cfRule type="expression" dxfId="10" priority="16">
      <formula>AND($I8&gt;=$I$4,$I8&lt;=$I$6)</formula>
    </cfRule>
  </conditionalFormatting>
  <conditionalFormatting sqref="N8:N85">
    <cfRule type="cellIs" dxfId="9" priority="11" operator="equal">
      <formula>"Very Easy"</formula>
    </cfRule>
    <cfRule type="cellIs" dxfId="8" priority="12" operator="equal">
      <formula>"Easy"</formula>
    </cfRule>
    <cfRule type="cellIs" dxfId="7" priority="13" operator="equal">
      <formula>"Moderate"</formula>
    </cfRule>
    <cfRule type="cellIs" dxfId="6" priority="14" operator="equal">
      <formula>"Hard"</formula>
    </cfRule>
    <cfRule type="cellIs" dxfId="5" priority="15" operator="equal">
      <formula>"Very Hard"</formula>
    </cfRule>
  </conditionalFormatting>
  <conditionalFormatting sqref="X8:X85">
    <cfRule type="colorScale" priority="5">
      <colorScale>
        <cfvo type="min"/>
        <cfvo type="percentile" val="50"/>
        <cfvo type="max"/>
        <color rgb="FF63BE7B"/>
        <color rgb="FFFFEB84"/>
        <color rgb="FFF8696B"/>
      </colorScale>
    </cfRule>
  </conditionalFormatting>
  <conditionalFormatting sqref="X8:Y85">
    <cfRule type="cellIs" dxfId="4" priority="6" operator="equal">
      <formula>"Very Easy"</formula>
    </cfRule>
    <cfRule type="cellIs" dxfId="3" priority="7" operator="equal">
      <formula>"Easy"</formula>
    </cfRule>
    <cfRule type="cellIs" dxfId="2" priority="8" operator="equal">
      <formula>"Moderate"</formula>
    </cfRule>
    <cfRule type="cellIs" dxfId="1" priority="9" operator="equal">
      <formula>"Hard"</formula>
    </cfRule>
    <cfRule type="cellIs" dxfId="0" priority="10" operator="equal">
      <formula>"Very Hard"</formula>
    </cfRule>
  </conditionalFormatting>
  <conditionalFormatting sqref="Y8:Y85">
    <cfRule type="colorScale" priority="4">
      <colorScale>
        <cfvo type="min"/>
        <cfvo type="percentile" val="50"/>
        <cfvo type="max"/>
        <color rgb="FF63BE7B"/>
        <color rgb="FFFFEB84"/>
        <color rgb="FFF8696B"/>
      </colorScale>
    </cfRule>
  </conditionalFormatting>
  <conditionalFormatting sqref="Z8:Z85">
    <cfRule type="colorScale" priority="3">
      <colorScale>
        <cfvo type="min"/>
        <cfvo type="percentile" val="50"/>
        <cfvo type="max"/>
        <color rgb="FF63BE7B"/>
        <color rgb="FFFFEB84"/>
        <color rgb="FFF8696B"/>
      </colorScale>
    </cfRule>
  </conditionalFormatting>
  <conditionalFormatting sqref="AA8:AA85">
    <cfRule type="colorScale" priority="2">
      <colorScale>
        <cfvo type="min"/>
        <cfvo type="percentile" val="50"/>
        <cfvo type="max"/>
        <color rgb="FF63BE7B"/>
        <color rgb="FFFFEB84"/>
        <color rgb="FFF8696B"/>
      </colorScale>
    </cfRule>
  </conditionalFormatting>
  <conditionalFormatting sqref="AB8:AB85">
    <cfRule type="colorScale" priority="1">
      <colorScale>
        <cfvo type="min"/>
        <cfvo type="percentile" val="50"/>
        <cfvo type="max"/>
        <color rgb="FF63BE7B"/>
        <color rgb="FFFFEB84"/>
        <color rgb="FFF8696B"/>
      </colorScale>
    </cfRule>
  </conditionalFormatting>
  <dataValidations count="3">
    <dataValidation type="list" allowBlank="1" showInputMessage="1" showErrorMessage="1" sqref="G8:G85" xr:uid="{4EA6E2A8-4CBC-364C-8820-F741AFA35364}">
      <formula1>$C$19:$C$24</formula1>
    </dataValidation>
    <dataValidation type="list" allowBlank="1" showInputMessage="1" showErrorMessage="1" sqref="C12" xr:uid="{C9991457-9F7B-3E49-9FAA-6DE71CA12049}">
      <formula1>$B$29:$B$33</formula1>
    </dataValidation>
    <dataValidation type="list" allowBlank="1" showInputMessage="1" showErrorMessage="1" sqref="D19:D24" xr:uid="{EAB0766E-46CF-7F40-AF60-F1AA2612B790}">
      <formula1>$B$55:$B$56</formula1>
    </dataValidation>
  </dataValidations>
  <pageMargins left="0.7" right="0.7" top="0.75" bottom="0.75" header="0.3" footer="0.3"/>
  <pageSetup paperSize="9" scale="57"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9A7A-7832-B747-B395-92E5216CE1A0}">
  <dimension ref="B1:J209"/>
  <sheetViews>
    <sheetView showGridLines="0" workbookViewId="0">
      <selection activeCell="C20" sqref="C20"/>
    </sheetView>
  </sheetViews>
  <sheetFormatPr baseColWidth="10" defaultRowHeight="13"/>
  <cols>
    <col min="1" max="1" width="10.83203125" style="134" customWidth="1"/>
    <col min="2" max="2" width="15.83203125" style="134" customWidth="1"/>
    <col min="3" max="3" width="13.33203125" style="134" customWidth="1"/>
    <col min="4" max="4" width="15.83203125" style="134" customWidth="1"/>
    <col min="5" max="7" width="10.83203125" style="134" customWidth="1"/>
    <col min="8" max="10" width="12.1640625" style="134" customWidth="1"/>
    <col min="11" max="22" width="10.83203125" style="134" customWidth="1"/>
    <col min="23" max="23" width="10.1640625" style="134" bestFit="1" customWidth="1"/>
    <col min="24" max="247" width="8.83203125" style="134" customWidth="1"/>
    <col min="248" max="248" width="7.83203125" style="134" customWidth="1"/>
    <col min="249" max="249" width="7.5" style="134" customWidth="1"/>
    <col min="250" max="250" width="9" style="134" customWidth="1"/>
    <col min="251" max="251" width="8.33203125" style="134" customWidth="1"/>
    <col min="252" max="254" width="8.5" style="134" bestFit="1" customWidth="1"/>
    <col min="255" max="255" width="10" style="134" bestFit="1" customWidth="1"/>
    <col min="256" max="256" width="8.1640625" style="134" bestFit="1" customWidth="1"/>
    <col min="257" max="258" width="8.5" style="134" bestFit="1" customWidth="1"/>
    <col min="259" max="259" width="6" style="134" bestFit="1" customWidth="1"/>
    <col min="260" max="260" width="8.83203125" style="134" customWidth="1"/>
    <col min="261" max="261" width="8.5" style="134" bestFit="1" customWidth="1"/>
    <col min="262" max="262" width="7.1640625" style="134" bestFit="1" customWidth="1"/>
    <col min="263" max="263" width="4.5" style="134" bestFit="1" customWidth="1"/>
    <col min="264" max="264" width="5.5" style="134" bestFit="1" customWidth="1"/>
    <col min="265" max="267" width="6.1640625" style="134" bestFit="1" customWidth="1"/>
    <col min="268" max="268" width="7.1640625" style="134" bestFit="1" customWidth="1"/>
    <col min="269" max="278" width="8.83203125" style="134" customWidth="1"/>
    <col min="279" max="279" width="10" style="134" bestFit="1" customWidth="1"/>
    <col min="280" max="503" width="8.83203125" style="134" customWidth="1"/>
    <col min="504" max="504" width="7.83203125" style="134" customWidth="1"/>
    <col min="505" max="505" width="7.5" style="134" customWidth="1"/>
    <col min="506" max="506" width="9" style="134" customWidth="1"/>
    <col min="507" max="507" width="8.33203125" style="134" customWidth="1"/>
    <col min="508" max="510" width="8.5" style="134" bestFit="1" customWidth="1"/>
    <col min="511" max="511" width="10" style="134" bestFit="1" customWidth="1"/>
    <col min="512" max="512" width="8.1640625" style="134" bestFit="1" customWidth="1"/>
    <col min="513" max="514" width="8.5" style="134" bestFit="1" customWidth="1"/>
    <col min="515" max="515" width="6" style="134" bestFit="1" customWidth="1"/>
    <col min="516" max="516" width="8.83203125" style="134" customWidth="1"/>
    <col min="517" max="517" width="8.5" style="134" bestFit="1" customWidth="1"/>
    <col min="518" max="518" width="7.1640625" style="134" bestFit="1" customWidth="1"/>
    <col min="519" max="519" width="4.5" style="134" bestFit="1" customWidth="1"/>
    <col min="520" max="520" width="5.5" style="134" bestFit="1" customWidth="1"/>
    <col min="521" max="523" width="6.1640625" style="134" bestFit="1" customWidth="1"/>
    <col min="524" max="524" width="7.1640625" style="134" bestFit="1" customWidth="1"/>
    <col min="525" max="534" width="8.83203125" style="134" customWidth="1"/>
    <col min="535" max="535" width="10" style="134" bestFit="1" customWidth="1"/>
    <col min="536" max="759" width="8.83203125" style="134" customWidth="1"/>
    <col min="760" max="760" width="7.83203125" style="134" customWidth="1"/>
    <col min="761" max="761" width="7.5" style="134" customWidth="1"/>
    <col min="762" max="762" width="9" style="134" customWidth="1"/>
    <col min="763" max="763" width="8.33203125" style="134" customWidth="1"/>
    <col min="764" max="766" width="8.5" style="134" bestFit="1" customWidth="1"/>
    <col min="767" max="767" width="10" style="134" bestFit="1" customWidth="1"/>
    <col min="768" max="768" width="8.1640625" style="134" bestFit="1" customWidth="1"/>
    <col min="769" max="770" width="8.5" style="134" bestFit="1" customWidth="1"/>
    <col min="771" max="771" width="6" style="134" bestFit="1" customWidth="1"/>
    <col min="772" max="772" width="8.83203125" style="134" customWidth="1"/>
    <col min="773" max="773" width="8.5" style="134" bestFit="1" customWidth="1"/>
    <col min="774" max="774" width="7.1640625" style="134" bestFit="1" customWidth="1"/>
    <col min="775" max="775" width="4.5" style="134" bestFit="1" customWidth="1"/>
    <col min="776" max="776" width="5.5" style="134" bestFit="1" customWidth="1"/>
    <col min="777" max="779" width="6.1640625" style="134" bestFit="1" customWidth="1"/>
    <col min="780" max="780" width="7.1640625" style="134" bestFit="1" customWidth="1"/>
    <col min="781" max="790" width="8.83203125" style="134" customWidth="1"/>
    <col min="791" max="791" width="10" style="134" bestFit="1" customWidth="1"/>
    <col min="792" max="1015" width="8.83203125" style="134" customWidth="1"/>
    <col min="1016" max="1016" width="7.83203125" style="134" customWidth="1"/>
    <col min="1017" max="1017" width="7.5" style="134" customWidth="1"/>
    <col min="1018" max="1018" width="9" style="134" customWidth="1"/>
    <col min="1019" max="1019" width="8.33203125" style="134" customWidth="1"/>
    <col min="1020" max="1022" width="8.5" style="134" bestFit="1" customWidth="1"/>
    <col min="1023" max="1023" width="10" style="134" bestFit="1" customWidth="1"/>
    <col min="1024" max="1024" width="8.1640625" style="134" bestFit="1" customWidth="1"/>
    <col min="1025" max="1026" width="8.5" style="134" bestFit="1" customWidth="1"/>
    <col min="1027" max="1027" width="6" style="134" bestFit="1" customWidth="1"/>
    <col min="1028" max="1028" width="8.83203125" style="134" customWidth="1"/>
    <col min="1029" max="1029" width="8.5" style="134" bestFit="1" customWidth="1"/>
    <col min="1030" max="1030" width="7.1640625" style="134" bestFit="1" customWidth="1"/>
    <col min="1031" max="1031" width="4.5" style="134" bestFit="1" customWidth="1"/>
    <col min="1032" max="1032" width="5.5" style="134" bestFit="1" customWidth="1"/>
    <col min="1033" max="1035" width="6.1640625" style="134" bestFit="1" customWidth="1"/>
    <col min="1036" max="1036" width="7.1640625" style="134" bestFit="1" customWidth="1"/>
    <col min="1037" max="1046" width="8.83203125" style="134" customWidth="1"/>
    <col min="1047" max="1047" width="10" style="134" bestFit="1" customWidth="1"/>
    <col min="1048" max="1271" width="8.83203125" style="134" customWidth="1"/>
    <col min="1272" max="1272" width="7.83203125" style="134" customWidth="1"/>
    <col min="1273" max="1273" width="7.5" style="134" customWidth="1"/>
    <col min="1274" max="1274" width="9" style="134" customWidth="1"/>
    <col min="1275" max="1275" width="8.33203125" style="134" customWidth="1"/>
    <col min="1276" max="1278" width="8.5" style="134" bestFit="1" customWidth="1"/>
    <col min="1279" max="1279" width="10" style="134" bestFit="1" customWidth="1"/>
    <col min="1280" max="1280" width="8.1640625" style="134" bestFit="1" customWidth="1"/>
    <col min="1281" max="1282" width="8.5" style="134" bestFit="1" customWidth="1"/>
    <col min="1283" max="1283" width="6" style="134" bestFit="1" customWidth="1"/>
    <col min="1284" max="1284" width="8.83203125" style="134" customWidth="1"/>
    <col min="1285" max="1285" width="8.5" style="134" bestFit="1" customWidth="1"/>
    <col min="1286" max="1286" width="7.1640625" style="134" bestFit="1" customWidth="1"/>
    <col min="1287" max="1287" width="4.5" style="134" bestFit="1" customWidth="1"/>
    <col min="1288" max="1288" width="5.5" style="134" bestFit="1" customWidth="1"/>
    <col min="1289" max="1291" width="6.1640625" style="134" bestFit="1" customWidth="1"/>
    <col min="1292" max="1292" width="7.1640625" style="134" bestFit="1" customWidth="1"/>
    <col min="1293" max="1302" width="8.83203125" style="134" customWidth="1"/>
    <col min="1303" max="1303" width="10" style="134" bestFit="1" customWidth="1"/>
    <col min="1304" max="1527" width="8.83203125" style="134" customWidth="1"/>
    <col min="1528" max="1528" width="7.83203125" style="134" customWidth="1"/>
    <col min="1529" max="1529" width="7.5" style="134" customWidth="1"/>
    <col min="1530" max="1530" width="9" style="134" customWidth="1"/>
    <col min="1531" max="1531" width="8.33203125" style="134" customWidth="1"/>
    <col min="1532" max="1534" width="8.5" style="134" bestFit="1" customWidth="1"/>
    <col min="1535" max="1535" width="10" style="134" bestFit="1" customWidth="1"/>
    <col min="1536" max="1536" width="8.1640625" style="134" bestFit="1" customWidth="1"/>
    <col min="1537" max="1538" width="8.5" style="134" bestFit="1" customWidth="1"/>
    <col min="1539" max="1539" width="6" style="134" bestFit="1" customWidth="1"/>
    <col min="1540" max="1540" width="8.83203125" style="134" customWidth="1"/>
    <col min="1541" max="1541" width="8.5" style="134" bestFit="1" customWidth="1"/>
    <col min="1542" max="1542" width="7.1640625" style="134" bestFit="1" customWidth="1"/>
    <col min="1543" max="1543" width="4.5" style="134" bestFit="1" customWidth="1"/>
    <col min="1544" max="1544" width="5.5" style="134" bestFit="1" customWidth="1"/>
    <col min="1545" max="1547" width="6.1640625" style="134" bestFit="1" customWidth="1"/>
    <col min="1548" max="1548" width="7.1640625" style="134" bestFit="1" customWidth="1"/>
    <col min="1549" max="1558" width="8.83203125" style="134" customWidth="1"/>
    <col min="1559" max="1559" width="10" style="134" bestFit="1" customWidth="1"/>
    <col min="1560" max="1783" width="8.83203125" style="134" customWidth="1"/>
    <col min="1784" max="1784" width="7.83203125" style="134" customWidth="1"/>
    <col min="1785" max="1785" width="7.5" style="134" customWidth="1"/>
    <col min="1786" max="1786" width="9" style="134" customWidth="1"/>
    <col min="1787" max="1787" width="8.33203125" style="134" customWidth="1"/>
    <col min="1788" max="1790" width="8.5" style="134" bestFit="1" customWidth="1"/>
    <col min="1791" max="1791" width="10" style="134" bestFit="1" customWidth="1"/>
    <col min="1792" max="1792" width="8.1640625" style="134" bestFit="1" customWidth="1"/>
    <col min="1793" max="1794" width="8.5" style="134" bestFit="1" customWidth="1"/>
    <col min="1795" max="1795" width="6" style="134" bestFit="1" customWidth="1"/>
    <col min="1796" max="1796" width="8.83203125" style="134" customWidth="1"/>
    <col min="1797" max="1797" width="8.5" style="134" bestFit="1" customWidth="1"/>
    <col min="1798" max="1798" width="7.1640625" style="134" bestFit="1" customWidth="1"/>
    <col min="1799" max="1799" width="4.5" style="134" bestFit="1" customWidth="1"/>
    <col min="1800" max="1800" width="5.5" style="134" bestFit="1" customWidth="1"/>
    <col min="1801" max="1803" width="6.1640625" style="134" bestFit="1" customWidth="1"/>
    <col min="1804" max="1804" width="7.1640625" style="134" bestFit="1" customWidth="1"/>
    <col min="1805" max="1814" width="8.83203125" style="134" customWidth="1"/>
    <col min="1815" max="1815" width="10" style="134" bestFit="1" customWidth="1"/>
    <col min="1816" max="2039" width="8.83203125" style="134" customWidth="1"/>
    <col min="2040" max="2040" width="7.83203125" style="134" customWidth="1"/>
    <col min="2041" max="2041" width="7.5" style="134" customWidth="1"/>
    <col min="2042" max="2042" width="9" style="134" customWidth="1"/>
    <col min="2043" max="2043" width="8.33203125" style="134" customWidth="1"/>
    <col min="2044" max="2046" width="8.5" style="134" bestFit="1" customWidth="1"/>
    <col min="2047" max="2047" width="10" style="134" bestFit="1" customWidth="1"/>
    <col min="2048" max="2048" width="8.1640625" style="134" bestFit="1" customWidth="1"/>
    <col min="2049" max="2050" width="8.5" style="134" bestFit="1" customWidth="1"/>
    <col min="2051" max="2051" width="6" style="134" bestFit="1" customWidth="1"/>
    <col min="2052" max="2052" width="8.83203125" style="134" customWidth="1"/>
    <col min="2053" max="2053" width="8.5" style="134" bestFit="1" customWidth="1"/>
    <col min="2054" max="2054" width="7.1640625" style="134" bestFit="1" customWidth="1"/>
    <col min="2055" max="2055" width="4.5" style="134" bestFit="1" customWidth="1"/>
    <col min="2056" max="2056" width="5.5" style="134" bestFit="1" customWidth="1"/>
    <col min="2057" max="2059" width="6.1640625" style="134" bestFit="1" customWidth="1"/>
    <col min="2060" max="2060" width="7.1640625" style="134" bestFit="1" customWidth="1"/>
    <col min="2061" max="2070" width="8.83203125" style="134" customWidth="1"/>
    <col min="2071" max="2071" width="10" style="134" bestFit="1" customWidth="1"/>
    <col min="2072" max="2295" width="8.83203125" style="134" customWidth="1"/>
    <col min="2296" max="2296" width="7.83203125" style="134" customWidth="1"/>
    <col min="2297" max="2297" width="7.5" style="134" customWidth="1"/>
    <col min="2298" max="2298" width="9" style="134" customWidth="1"/>
    <col min="2299" max="2299" width="8.33203125" style="134" customWidth="1"/>
    <col min="2300" max="2302" width="8.5" style="134" bestFit="1" customWidth="1"/>
    <col min="2303" max="2303" width="10" style="134" bestFit="1" customWidth="1"/>
    <col min="2304" max="2304" width="8.1640625" style="134" bestFit="1" customWidth="1"/>
    <col min="2305" max="2306" width="8.5" style="134" bestFit="1" customWidth="1"/>
    <col min="2307" max="2307" width="6" style="134" bestFit="1" customWidth="1"/>
    <col min="2308" max="2308" width="8.83203125" style="134" customWidth="1"/>
    <col min="2309" max="2309" width="8.5" style="134" bestFit="1" customWidth="1"/>
    <col min="2310" max="2310" width="7.1640625" style="134" bestFit="1" customWidth="1"/>
    <col min="2311" max="2311" width="4.5" style="134" bestFit="1" customWidth="1"/>
    <col min="2312" max="2312" width="5.5" style="134" bestFit="1" customWidth="1"/>
    <col min="2313" max="2315" width="6.1640625" style="134" bestFit="1" customWidth="1"/>
    <col min="2316" max="2316" width="7.1640625" style="134" bestFit="1" customWidth="1"/>
    <col min="2317" max="2326" width="8.83203125" style="134" customWidth="1"/>
    <col min="2327" max="2327" width="10" style="134" bestFit="1" customWidth="1"/>
    <col min="2328" max="2551" width="8.83203125" style="134" customWidth="1"/>
    <col min="2552" max="2552" width="7.83203125" style="134" customWidth="1"/>
    <col min="2553" max="2553" width="7.5" style="134" customWidth="1"/>
    <col min="2554" max="2554" width="9" style="134" customWidth="1"/>
    <col min="2555" max="2555" width="8.33203125" style="134" customWidth="1"/>
    <col min="2556" max="2558" width="8.5" style="134" bestFit="1" customWidth="1"/>
    <col min="2559" max="2559" width="10" style="134" bestFit="1" customWidth="1"/>
    <col min="2560" max="2560" width="8.1640625" style="134" bestFit="1" customWidth="1"/>
    <col min="2561" max="2562" width="8.5" style="134" bestFit="1" customWidth="1"/>
    <col min="2563" max="2563" width="6" style="134" bestFit="1" customWidth="1"/>
    <col min="2564" max="2564" width="8.83203125" style="134" customWidth="1"/>
    <col min="2565" max="2565" width="8.5" style="134" bestFit="1" customWidth="1"/>
    <col min="2566" max="2566" width="7.1640625" style="134" bestFit="1" customWidth="1"/>
    <col min="2567" max="2567" width="4.5" style="134" bestFit="1" customWidth="1"/>
    <col min="2568" max="2568" width="5.5" style="134" bestFit="1" customWidth="1"/>
    <col min="2569" max="2571" width="6.1640625" style="134" bestFit="1" customWidth="1"/>
    <col min="2572" max="2572" width="7.1640625" style="134" bestFit="1" customWidth="1"/>
    <col min="2573" max="2582" width="8.83203125" style="134" customWidth="1"/>
    <col min="2583" max="2583" width="10" style="134" bestFit="1" customWidth="1"/>
    <col min="2584" max="2807" width="8.83203125" style="134" customWidth="1"/>
    <col min="2808" max="2808" width="7.83203125" style="134" customWidth="1"/>
    <col min="2809" max="2809" width="7.5" style="134" customWidth="1"/>
    <col min="2810" max="2810" width="9" style="134" customWidth="1"/>
    <col min="2811" max="2811" width="8.33203125" style="134" customWidth="1"/>
    <col min="2812" max="2814" width="8.5" style="134" bestFit="1" customWidth="1"/>
    <col min="2815" max="2815" width="10" style="134" bestFit="1" customWidth="1"/>
    <col min="2816" max="2816" width="8.1640625" style="134" bestFit="1" customWidth="1"/>
    <col min="2817" max="2818" width="8.5" style="134" bestFit="1" customWidth="1"/>
    <col min="2819" max="2819" width="6" style="134" bestFit="1" customWidth="1"/>
    <col min="2820" max="2820" width="8.83203125" style="134" customWidth="1"/>
    <col min="2821" max="2821" width="8.5" style="134" bestFit="1" customWidth="1"/>
    <col min="2822" max="2822" width="7.1640625" style="134" bestFit="1" customWidth="1"/>
    <col min="2823" max="2823" width="4.5" style="134" bestFit="1" customWidth="1"/>
    <col min="2824" max="2824" width="5.5" style="134" bestFit="1" customWidth="1"/>
    <col min="2825" max="2827" width="6.1640625" style="134" bestFit="1" customWidth="1"/>
    <col min="2828" max="2828" width="7.1640625" style="134" bestFit="1" customWidth="1"/>
    <col min="2829" max="2838" width="8.83203125" style="134" customWidth="1"/>
    <col min="2839" max="2839" width="10" style="134" bestFit="1" customWidth="1"/>
    <col min="2840" max="3063" width="8.83203125" style="134" customWidth="1"/>
    <col min="3064" max="3064" width="7.83203125" style="134" customWidth="1"/>
    <col min="3065" max="3065" width="7.5" style="134" customWidth="1"/>
    <col min="3066" max="3066" width="9" style="134" customWidth="1"/>
    <col min="3067" max="3067" width="8.33203125" style="134" customWidth="1"/>
    <col min="3068" max="3070" width="8.5" style="134" bestFit="1" customWidth="1"/>
    <col min="3071" max="3071" width="10" style="134" bestFit="1" customWidth="1"/>
    <col min="3072" max="3072" width="8.1640625" style="134" bestFit="1" customWidth="1"/>
    <col min="3073" max="3074" width="8.5" style="134" bestFit="1" customWidth="1"/>
    <col min="3075" max="3075" width="6" style="134" bestFit="1" customWidth="1"/>
    <col min="3076" max="3076" width="8.83203125" style="134" customWidth="1"/>
    <col min="3077" max="3077" width="8.5" style="134" bestFit="1" customWidth="1"/>
    <col min="3078" max="3078" width="7.1640625" style="134" bestFit="1" customWidth="1"/>
    <col min="3079" max="3079" width="4.5" style="134" bestFit="1" customWidth="1"/>
    <col min="3080" max="3080" width="5.5" style="134" bestFit="1" customWidth="1"/>
    <col min="3081" max="3083" width="6.1640625" style="134" bestFit="1" customWidth="1"/>
    <col min="3084" max="3084" width="7.1640625" style="134" bestFit="1" customWidth="1"/>
    <col min="3085" max="3094" width="8.83203125" style="134" customWidth="1"/>
    <col min="3095" max="3095" width="10" style="134" bestFit="1" customWidth="1"/>
    <col min="3096" max="3319" width="8.83203125" style="134" customWidth="1"/>
    <col min="3320" max="3320" width="7.83203125" style="134" customWidth="1"/>
    <col min="3321" max="3321" width="7.5" style="134" customWidth="1"/>
    <col min="3322" max="3322" width="9" style="134" customWidth="1"/>
    <col min="3323" max="3323" width="8.33203125" style="134" customWidth="1"/>
    <col min="3324" max="3326" width="8.5" style="134" bestFit="1" customWidth="1"/>
    <col min="3327" max="3327" width="10" style="134" bestFit="1" customWidth="1"/>
    <col min="3328" max="3328" width="8.1640625" style="134" bestFit="1" customWidth="1"/>
    <col min="3329" max="3330" width="8.5" style="134" bestFit="1" customWidth="1"/>
    <col min="3331" max="3331" width="6" style="134" bestFit="1" customWidth="1"/>
    <col min="3332" max="3332" width="8.83203125" style="134" customWidth="1"/>
    <col min="3333" max="3333" width="8.5" style="134" bestFit="1" customWidth="1"/>
    <col min="3334" max="3334" width="7.1640625" style="134" bestFit="1" customWidth="1"/>
    <col min="3335" max="3335" width="4.5" style="134" bestFit="1" customWidth="1"/>
    <col min="3336" max="3336" width="5.5" style="134" bestFit="1" customWidth="1"/>
    <col min="3337" max="3339" width="6.1640625" style="134" bestFit="1" customWidth="1"/>
    <col min="3340" max="3340" width="7.1640625" style="134" bestFit="1" customWidth="1"/>
    <col min="3341" max="3350" width="8.83203125" style="134" customWidth="1"/>
    <col min="3351" max="3351" width="10" style="134" bestFit="1" customWidth="1"/>
    <col min="3352" max="3575" width="8.83203125" style="134" customWidth="1"/>
    <col min="3576" max="3576" width="7.83203125" style="134" customWidth="1"/>
    <col min="3577" max="3577" width="7.5" style="134" customWidth="1"/>
    <col min="3578" max="3578" width="9" style="134" customWidth="1"/>
    <col min="3579" max="3579" width="8.33203125" style="134" customWidth="1"/>
    <col min="3580" max="3582" width="8.5" style="134" bestFit="1" customWidth="1"/>
    <col min="3583" max="3583" width="10" style="134" bestFit="1" customWidth="1"/>
    <col min="3584" max="3584" width="8.1640625" style="134" bestFit="1" customWidth="1"/>
    <col min="3585" max="3586" width="8.5" style="134" bestFit="1" customWidth="1"/>
    <col min="3587" max="3587" width="6" style="134" bestFit="1" customWidth="1"/>
    <col min="3588" max="3588" width="8.83203125" style="134" customWidth="1"/>
    <col min="3589" max="3589" width="8.5" style="134" bestFit="1" customWidth="1"/>
    <col min="3590" max="3590" width="7.1640625" style="134" bestFit="1" customWidth="1"/>
    <col min="3591" max="3591" width="4.5" style="134" bestFit="1" customWidth="1"/>
    <col min="3592" max="3592" width="5.5" style="134" bestFit="1" customWidth="1"/>
    <col min="3593" max="3595" width="6.1640625" style="134" bestFit="1" customWidth="1"/>
    <col min="3596" max="3596" width="7.1640625" style="134" bestFit="1" customWidth="1"/>
    <col min="3597" max="3606" width="8.83203125" style="134" customWidth="1"/>
    <col min="3607" max="3607" width="10" style="134" bestFit="1" customWidth="1"/>
    <col min="3608" max="3831" width="8.83203125" style="134" customWidth="1"/>
    <col min="3832" max="3832" width="7.83203125" style="134" customWidth="1"/>
    <col min="3833" max="3833" width="7.5" style="134" customWidth="1"/>
    <col min="3834" max="3834" width="9" style="134" customWidth="1"/>
    <col min="3835" max="3835" width="8.33203125" style="134" customWidth="1"/>
    <col min="3836" max="3838" width="8.5" style="134" bestFit="1" customWidth="1"/>
    <col min="3839" max="3839" width="10" style="134" bestFit="1" customWidth="1"/>
    <col min="3840" max="3840" width="8.1640625" style="134" bestFit="1" customWidth="1"/>
    <col min="3841" max="3842" width="8.5" style="134" bestFit="1" customWidth="1"/>
    <col min="3843" max="3843" width="6" style="134" bestFit="1" customWidth="1"/>
    <col min="3844" max="3844" width="8.83203125" style="134" customWidth="1"/>
    <col min="3845" max="3845" width="8.5" style="134" bestFit="1" customWidth="1"/>
    <col min="3846" max="3846" width="7.1640625" style="134" bestFit="1" customWidth="1"/>
    <col min="3847" max="3847" width="4.5" style="134" bestFit="1" customWidth="1"/>
    <col min="3848" max="3848" width="5.5" style="134" bestFit="1" customWidth="1"/>
    <col min="3849" max="3851" width="6.1640625" style="134" bestFit="1" customWidth="1"/>
    <col min="3852" max="3852" width="7.1640625" style="134" bestFit="1" customWidth="1"/>
    <col min="3853" max="3862" width="8.83203125" style="134" customWidth="1"/>
    <col min="3863" max="3863" width="10" style="134" bestFit="1" customWidth="1"/>
    <col min="3864" max="4087" width="8.83203125" style="134" customWidth="1"/>
    <col min="4088" max="4088" width="7.83203125" style="134" customWidth="1"/>
    <col min="4089" max="4089" width="7.5" style="134" customWidth="1"/>
    <col min="4090" max="4090" width="9" style="134" customWidth="1"/>
    <col min="4091" max="4091" width="8.33203125" style="134" customWidth="1"/>
    <col min="4092" max="4094" width="8.5" style="134" bestFit="1" customWidth="1"/>
    <col min="4095" max="4095" width="10" style="134" bestFit="1" customWidth="1"/>
    <col min="4096" max="4096" width="8.1640625" style="134" bestFit="1" customWidth="1"/>
    <col min="4097" max="4098" width="8.5" style="134" bestFit="1" customWidth="1"/>
    <col min="4099" max="4099" width="6" style="134" bestFit="1" customWidth="1"/>
    <col min="4100" max="4100" width="8.83203125" style="134" customWidth="1"/>
    <col min="4101" max="4101" width="8.5" style="134" bestFit="1" customWidth="1"/>
    <col min="4102" max="4102" width="7.1640625" style="134" bestFit="1" customWidth="1"/>
    <col min="4103" max="4103" width="4.5" style="134" bestFit="1" customWidth="1"/>
    <col min="4104" max="4104" width="5.5" style="134" bestFit="1" customWidth="1"/>
    <col min="4105" max="4107" width="6.1640625" style="134" bestFit="1" customWidth="1"/>
    <col min="4108" max="4108" width="7.1640625" style="134" bestFit="1" customWidth="1"/>
    <col min="4109" max="4118" width="8.83203125" style="134" customWidth="1"/>
    <col min="4119" max="4119" width="10" style="134" bestFit="1" customWidth="1"/>
    <col min="4120" max="4343" width="8.83203125" style="134" customWidth="1"/>
    <col min="4344" max="4344" width="7.83203125" style="134" customWidth="1"/>
    <col min="4345" max="4345" width="7.5" style="134" customWidth="1"/>
    <col min="4346" max="4346" width="9" style="134" customWidth="1"/>
    <col min="4347" max="4347" width="8.33203125" style="134" customWidth="1"/>
    <col min="4348" max="4350" width="8.5" style="134" bestFit="1" customWidth="1"/>
    <col min="4351" max="4351" width="10" style="134" bestFit="1" customWidth="1"/>
    <col min="4352" max="4352" width="8.1640625" style="134" bestFit="1" customWidth="1"/>
    <col min="4353" max="4354" width="8.5" style="134" bestFit="1" customWidth="1"/>
    <col min="4355" max="4355" width="6" style="134" bestFit="1" customWidth="1"/>
    <col min="4356" max="4356" width="8.83203125" style="134" customWidth="1"/>
    <col min="4357" max="4357" width="8.5" style="134" bestFit="1" customWidth="1"/>
    <col min="4358" max="4358" width="7.1640625" style="134" bestFit="1" customWidth="1"/>
    <col min="4359" max="4359" width="4.5" style="134" bestFit="1" customWidth="1"/>
    <col min="4360" max="4360" width="5.5" style="134" bestFit="1" customWidth="1"/>
    <col min="4361" max="4363" width="6.1640625" style="134" bestFit="1" customWidth="1"/>
    <col min="4364" max="4364" width="7.1640625" style="134" bestFit="1" customWidth="1"/>
    <col min="4365" max="4374" width="8.83203125" style="134" customWidth="1"/>
    <col min="4375" max="4375" width="10" style="134" bestFit="1" customWidth="1"/>
    <col min="4376" max="4599" width="8.83203125" style="134" customWidth="1"/>
    <col min="4600" max="4600" width="7.83203125" style="134" customWidth="1"/>
    <col min="4601" max="4601" width="7.5" style="134" customWidth="1"/>
    <col min="4602" max="4602" width="9" style="134" customWidth="1"/>
    <col min="4603" max="4603" width="8.33203125" style="134" customWidth="1"/>
    <col min="4604" max="4606" width="8.5" style="134" bestFit="1" customWidth="1"/>
    <col min="4607" max="4607" width="10" style="134" bestFit="1" customWidth="1"/>
    <col min="4608" max="4608" width="8.1640625" style="134" bestFit="1" customWidth="1"/>
    <col min="4609" max="4610" width="8.5" style="134" bestFit="1" customWidth="1"/>
    <col min="4611" max="4611" width="6" style="134" bestFit="1" customWidth="1"/>
    <col min="4612" max="4612" width="8.83203125" style="134" customWidth="1"/>
    <col min="4613" max="4613" width="8.5" style="134" bestFit="1" customWidth="1"/>
    <col min="4614" max="4614" width="7.1640625" style="134" bestFit="1" customWidth="1"/>
    <col min="4615" max="4615" width="4.5" style="134" bestFit="1" customWidth="1"/>
    <col min="4616" max="4616" width="5.5" style="134" bestFit="1" customWidth="1"/>
    <col min="4617" max="4619" width="6.1640625" style="134" bestFit="1" customWidth="1"/>
    <col min="4620" max="4620" width="7.1640625" style="134" bestFit="1" customWidth="1"/>
    <col min="4621" max="4630" width="8.83203125" style="134" customWidth="1"/>
    <col min="4631" max="4631" width="10" style="134" bestFit="1" customWidth="1"/>
    <col min="4632" max="4855" width="8.83203125" style="134" customWidth="1"/>
    <col min="4856" max="4856" width="7.83203125" style="134" customWidth="1"/>
    <col min="4857" max="4857" width="7.5" style="134" customWidth="1"/>
    <col min="4858" max="4858" width="9" style="134" customWidth="1"/>
    <col min="4859" max="4859" width="8.33203125" style="134" customWidth="1"/>
    <col min="4860" max="4862" width="8.5" style="134" bestFit="1" customWidth="1"/>
    <col min="4863" max="4863" width="10" style="134" bestFit="1" customWidth="1"/>
    <col min="4864" max="4864" width="8.1640625" style="134" bestFit="1" customWidth="1"/>
    <col min="4865" max="4866" width="8.5" style="134" bestFit="1" customWidth="1"/>
    <col min="4867" max="4867" width="6" style="134" bestFit="1" customWidth="1"/>
    <col min="4868" max="4868" width="8.83203125" style="134" customWidth="1"/>
    <col min="4869" max="4869" width="8.5" style="134" bestFit="1" customWidth="1"/>
    <col min="4870" max="4870" width="7.1640625" style="134" bestFit="1" customWidth="1"/>
    <col min="4871" max="4871" width="4.5" style="134" bestFit="1" customWidth="1"/>
    <col min="4872" max="4872" width="5.5" style="134" bestFit="1" customWidth="1"/>
    <col min="4873" max="4875" width="6.1640625" style="134" bestFit="1" customWidth="1"/>
    <col min="4876" max="4876" width="7.1640625" style="134" bestFit="1" customWidth="1"/>
    <col min="4877" max="4886" width="8.83203125" style="134" customWidth="1"/>
    <col min="4887" max="4887" width="10" style="134" bestFit="1" customWidth="1"/>
    <col min="4888" max="5111" width="8.83203125" style="134" customWidth="1"/>
    <col min="5112" max="5112" width="7.83203125" style="134" customWidth="1"/>
    <col min="5113" max="5113" width="7.5" style="134" customWidth="1"/>
    <col min="5114" max="5114" width="9" style="134" customWidth="1"/>
    <col min="5115" max="5115" width="8.33203125" style="134" customWidth="1"/>
    <col min="5116" max="5118" width="8.5" style="134" bestFit="1" customWidth="1"/>
    <col min="5119" max="5119" width="10" style="134" bestFit="1" customWidth="1"/>
    <col min="5120" max="5120" width="8.1640625" style="134" bestFit="1" customWidth="1"/>
    <col min="5121" max="5122" width="8.5" style="134" bestFit="1" customWidth="1"/>
    <col min="5123" max="5123" width="6" style="134" bestFit="1" customWidth="1"/>
    <col min="5124" max="5124" width="8.83203125" style="134" customWidth="1"/>
    <col min="5125" max="5125" width="8.5" style="134" bestFit="1" customWidth="1"/>
    <col min="5126" max="5126" width="7.1640625" style="134" bestFit="1" customWidth="1"/>
    <col min="5127" max="5127" width="4.5" style="134" bestFit="1" customWidth="1"/>
    <col min="5128" max="5128" width="5.5" style="134" bestFit="1" customWidth="1"/>
    <col min="5129" max="5131" width="6.1640625" style="134" bestFit="1" customWidth="1"/>
    <col min="5132" max="5132" width="7.1640625" style="134" bestFit="1" customWidth="1"/>
    <col min="5133" max="5142" width="8.83203125" style="134" customWidth="1"/>
    <col min="5143" max="5143" width="10" style="134" bestFit="1" customWidth="1"/>
    <col min="5144" max="5367" width="8.83203125" style="134" customWidth="1"/>
    <col min="5368" max="5368" width="7.83203125" style="134" customWidth="1"/>
    <col min="5369" max="5369" width="7.5" style="134" customWidth="1"/>
    <col min="5370" max="5370" width="9" style="134" customWidth="1"/>
    <col min="5371" max="5371" width="8.33203125" style="134" customWidth="1"/>
    <col min="5372" max="5374" width="8.5" style="134" bestFit="1" customWidth="1"/>
    <col min="5375" max="5375" width="10" style="134" bestFit="1" customWidth="1"/>
    <col min="5376" max="5376" width="8.1640625" style="134" bestFit="1" customWidth="1"/>
    <col min="5377" max="5378" width="8.5" style="134" bestFit="1" customWidth="1"/>
    <col min="5379" max="5379" width="6" style="134" bestFit="1" customWidth="1"/>
    <col min="5380" max="5380" width="8.83203125" style="134" customWidth="1"/>
    <col min="5381" max="5381" width="8.5" style="134" bestFit="1" customWidth="1"/>
    <col min="5382" max="5382" width="7.1640625" style="134" bestFit="1" customWidth="1"/>
    <col min="5383" max="5383" width="4.5" style="134" bestFit="1" customWidth="1"/>
    <col min="5384" max="5384" width="5.5" style="134" bestFit="1" customWidth="1"/>
    <col min="5385" max="5387" width="6.1640625" style="134" bestFit="1" customWidth="1"/>
    <col min="5388" max="5388" width="7.1640625" style="134" bestFit="1" customWidth="1"/>
    <col min="5389" max="5398" width="8.83203125" style="134" customWidth="1"/>
    <col min="5399" max="5399" width="10" style="134" bestFit="1" customWidth="1"/>
    <col min="5400" max="5623" width="8.83203125" style="134" customWidth="1"/>
    <col min="5624" max="5624" width="7.83203125" style="134" customWidth="1"/>
    <col min="5625" max="5625" width="7.5" style="134" customWidth="1"/>
    <col min="5626" max="5626" width="9" style="134" customWidth="1"/>
    <col min="5627" max="5627" width="8.33203125" style="134" customWidth="1"/>
    <col min="5628" max="5630" width="8.5" style="134" bestFit="1" customWidth="1"/>
    <col min="5631" max="5631" width="10" style="134" bestFit="1" customWidth="1"/>
    <col min="5632" max="5632" width="8.1640625" style="134" bestFit="1" customWidth="1"/>
    <col min="5633" max="5634" width="8.5" style="134" bestFit="1" customWidth="1"/>
    <col min="5635" max="5635" width="6" style="134" bestFit="1" customWidth="1"/>
    <col min="5636" max="5636" width="8.83203125" style="134" customWidth="1"/>
    <col min="5637" max="5637" width="8.5" style="134" bestFit="1" customWidth="1"/>
    <col min="5638" max="5638" width="7.1640625" style="134" bestFit="1" customWidth="1"/>
    <col min="5639" max="5639" width="4.5" style="134" bestFit="1" customWidth="1"/>
    <col min="5640" max="5640" width="5.5" style="134" bestFit="1" customWidth="1"/>
    <col min="5641" max="5643" width="6.1640625" style="134" bestFit="1" customWidth="1"/>
    <col min="5644" max="5644" width="7.1640625" style="134" bestFit="1" customWidth="1"/>
    <col min="5645" max="5654" width="8.83203125" style="134" customWidth="1"/>
    <col min="5655" max="5655" width="10" style="134" bestFit="1" customWidth="1"/>
    <col min="5656" max="5879" width="8.83203125" style="134" customWidth="1"/>
    <col min="5880" max="5880" width="7.83203125" style="134" customWidth="1"/>
    <col min="5881" max="5881" width="7.5" style="134" customWidth="1"/>
    <col min="5882" max="5882" width="9" style="134" customWidth="1"/>
    <col min="5883" max="5883" width="8.33203125" style="134" customWidth="1"/>
    <col min="5884" max="5886" width="8.5" style="134" bestFit="1" customWidth="1"/>
    <col min="5887" max="5887" width="10" style="134" bestFit="1" customWidth="1"/>
    <col min="5888" max="5888" width="8.1640625" style="134" bestFit="1" customWidth="1"/>
    <col min="5889" max="5890" width="8.5" style="134" bestFit="1" customWidth="1"/>
    <col min="5891" max="5891" width="6" style="134" bestFit="1" customWidth="1"/>
    <col min="5892" max="5892" width="8.83203125" style="134" customWidth="1"/>
    <col min="5893" max="5893" width="8.5" style="134" bestFit="1" customWidth="1"/>
    <col min="5894" max="5894" width="7.1640625" style="134" bestFit="1" customWidth="1"/>
    <col min="5895" max="5895" width="4.5" style="134" bestFit="1" customWidth="1"/>
    <col min="5896" max="5896" width="5.5" style="134" bestFit="1" customWidth="1"/>
    <col min="5897" max="5899" width="6.1640625" style="134" bestFit="1" customWidth="1"/>
    <col min="5900" max="5900" width="7.1640625" style="134" bestFit="1" customWidth="1"/>
    <col min="5901" max="5910" width="8.83203125" style="134" customWidth="1"/>
    <col min="5911" max="5911" width="10" style="134" bestFit="1" customWidth="1"/>
    <col min="5912" max="6135" width="8.83203125" style="134" customWidth="1"/>
    <col min="6136" max="6136" width="7.83203125" style="134" customWidth="1"/>
    <col min="6137" max="6137" width="7.5" style="134" customWidth="1"/>
    <col min="6138" max="6138" width="9" style="134" customWidth="1"/>
    <col min="6139" max="6139" width="8.33203125" style="134" customWidth="1"/>
    <col min="6140" max="6142" width="8.5" style="134" bestFit="1" customWidth="1"/>
    <col min="6143" max="6143" width="10" style="134" bestFit="1" customWidth="1"/>
    <col min="6144" max="6144" width="8.1640625" style="134" bestFit="1" customWidth="1"/>
    <col min="6145" max="6146" width="8.5" style="134" bestFit="1" customWidth="1"/>
    <col min="6147" max="6147" width="6" style="134" bestFit="1" customWidth="1"/>
    <col min="6148" max="6148" width="8.83203125" style="134" customWidth="1"/>
    <col min="6149" max="6149" width="8.5" style="134" bestFit="1" customWidth="1"/>
    <col min="6150" max="6150" width="7.1640625" style="134" bestFit="1" customWidth="1"/>
    <col min="6151" max="6151" width="4.5" style="134" bestFit="1" customWidth="1"/>
    <col min="6152" max="6152" width="5.5" style="134" bestFit="1" customWidth="1"/>
    <col min="6153" max="6155" width="6.1640625" style="134" bestFit="1" customWidth="1"/>
    <col min="6156" max="6156" width="7.1640625" style="134" bestFit="1" customWidth="1"/>
    <col min="6157" max="6166" width="8.83203125" style="134" customWidth="1"/>
    <col min="6167" max="6167" width="10" style="134" bestFit="1" customWidth="1"/>
    <col min="6168" max="6391" width="8.83203125" style="134" customWidth="1"/>
    <col min="6392" max="6392" width="7.83203125" style="134" customWidth="1"/>
    <col min="6393" max="6393" width="7.5" style="134" customWidth="1"/>
    <col min="6394" max="6394" width="9" style="134" customWidth="1"/>
    <col min="6395" max="6395" width="8.33203125" style="134" customWidth="1"/>
    <col min="6396" max="6398" width="8.5" style="134" bestFit="1" customWidth="1"/>
    <col min="6399" max="6399" width="10" style="134" bestFit="1" customWidth="1"/>
    <col min="6400" max="6400" width="8.1640625" style="134" bestFit="1" customWidth="1"/>
    <col min="6401" max="6402" width="8.5" style="134" bestFit="1" customWidth="1"/>
    <col min="6403" max="6403" width="6" style="134" bestFit="1" customWidth="1"/>
    <col min="6404" max="6404" width="8.83203125" style="134" customWidth="1"/>
    <col min="6405" max="6405" width="8.5" style="134" bestFit="1" customWidth="1"/>
    <col min="6406" max="6406" width="7.1640625" style="134" bestFit="1" customWidth="1"/>
    <col min="6407" max="6407" width="4.5" style="134" bestFit="1" customWidth="1"/>
    <col min="6408" max="6408" width="5.5" style="134" bestFit="1" customWidth="1"/>
    <col min="6409" max="6411" width="6.1640625" style="134" bestFit="1" customWidth="1"/>
    <col min="6412" max="6412" width="7.1640625" style="134" bestFit="1" customWidth="1"/>
    <col min="6413" max="6422" width="8.83203125" style="134" customWidth="1"/>
    <col min="6423" max="6423" width="10" style="134" bestFit="1" customWidth="1"/>
    <col min="6424" max="6647" width="8.83203125" style="134" customWidth="1"/>
    <col min="6648" max="6648" width="7.83203125" style="134" customWidth="1"/>
    <col min="6649" max="6649" width="7.5" style="134" customWidth="1"/>
    <col min="6650" max="6650" width="9" style="134" customWidth="1"/>
    <col min="6651" max="6651" width="8.33203125" style="134" customWidth="1"/>
    <col min="6652" max="6654" width="8.5" style="134" bestFit="1" customWidth="1"/>
    <col min="6655" max="6655" width="10" style="134" bestFit="1" customWidth="1"/>
    <col min="6656" max="6656" width="8.1640625" style="134" bestFit="1" customWidth="1"/>
    <col min="6657" max="6658" width="8.5" style="134" bestFit="1" customWidth="1"/>
    <col min="6659" max="6659" width="6" style="134" bestFit="1" customWidth="1"/>
    <col min="6660" max="6660" width="8.83203125" style="134" customWidth="1"/>
    <col min="6661" max="6661" width="8.5" style="134" bestFit="1" customWidth="1"/>
    <col min="6662" max="6662" width="7.1640625" style="134" bestFit="1" customWidth="1"/>
    <col min="6663" max="6663" width="4.5" style="134" bestFit="1" customWidth="1"/>
    <col min="6664" max="6664" width="5.5" style="134" bestFit="1" customWidth="1"/>
    <col min="6665" max="6667" width="6.1640625" style="134" bestFit="1" customWidth="1"/>
    <col min="6668" max="6668" width="7.1640625" style="134" bestFit="1" customWidth="1"/>
    <col min="6669" max="6678" width="8.83203125" style="134" customWidth="1"/>
    <col min="6679" max="6679" width="10" style="134" bestFit="1" customWidth="1"/>
    <col min="6680" max="6903" width="8.83203125" style="134" customWidth="1"/>
    <col min="6904" max="6904" width="7.83203125" style="134" customWidth="1"/>
    <col min="6905" max="6905" width="7.5" style="134" customWidth="1"/>
    <col min="6906" max="6906" width="9" style="134" customWidth="1"/>
    <col min="6907" max="6907" width="8.33203125" style="134" customWidth="1"/>
    <col min="6908" max="6910" width="8.5" style="134" bestFit="1" customWidth="1"/>
    <col min="6911" max="6911" width="10" style="134" bestFit="1" customWidth="1"/>
    <col min="6912" max="6912" width="8.1640625" style="134" bestFit="1" customWidth="1"/>
    <col min="6913" max="6914" width="8.5" style="134" bestFit="1" customWidth="1"/>
    <col min="6915" max="6915" width="6" style="134" bestFit="1" customWidth="1"/>
    <col min="6916" max="6916" width="8.83203125" style="134" customWidth="1"/>
    <col min="6917" max="6917" width="8.5" style="134" bestFit="1" customWidth="1"/>
    <col min="6918" max="6918" width="7.1640625" style="134" bestFit="1" customWidth="1"/>
    <col min="6919" max="6919" width="4.5" style="134" bestFit="1" customWidth="1"/>
    <col min="6920" max="6920" width="5.5" style="134" bestFit="1" customWidth="1"/>
    <col min="6921" max="6923" width="6.1640625" style="134" bestFit="1" customWidth="1"/>
    <col min="6924" max="6924" width="7.1640625" style="134" bestFit="1" customWidth="1"/>
    <col min="6925" max="6934" width="8.83203125" style="134" customWidth="1"/>
    <col min="6935" max="6935" width="10" style="134" bestFit="1" customWidth="1"/>
    <col min="6936" max="7159" width="8.83203125" style="134" customWidth="1"/>
    <col min="7160" max="7160" width="7.83203125" style="134" customWidth="1"/>
    <col min="7161" max="7161" width="7.5" style="134" customWidth="1"/>
    <col min="7162" max="7162" width="9" style="134" customWidth="1"/>
    <col min="7163" max="7163" width="8.33203125" style="134" customWidth="1"/>
    <col min="7164" max="7166" width="8.5" style="134" bestFit="1" customWidth="1"/>
    <col min="7167" max="7167" width="10" style="134" bestFit="1" customWidth="1"/>
    <col min="7168" max="7168" width="8.1640625" style="134" bestFit="1" customWidth="1"/>
    <col min="7169" max="7170" width="8.5" style="134" bestFit="1" customWidth="1"/>
    <col min="7171" max="7171" width="6" style="134" bestFit="1" customWidth="1"/>
    <col min="7172" max="7172" width="8.83203125" style="134" customWidth="1"/>
    <col min="7173" max="7173" width="8.5" style="134" bestFit="1" customWidth="1"/>
    <col min="7174" max="7174" width="7.1640625" style="134" bestFit="1" customWidth="1"/>
    <col min="7175" max="7175" width="4.5" style="134" bestFit="1" customWidth="1"/>
    <col min="7176" max="7176" width="5.5" style="134" bestFit="1" customWidth="1"/>
    <col min="7177" max="7179" width="6.1640625" style="134" bestFit="1" customWidth="1"/>
    <col min="7180" max="7180" width="7.1640625" style="134" bestFit="1" customWidth="1"/>
    <col min="7181" max="7190" width="8.83203125" style="134" customWidth="1"/>
    <col min="7191" max="7191" width="10" style="134" bestFit="1" customWidth="1"/>
    <col min="7192" max="7415" width="8.83203125" style="134" customWidth="1"/>
    <col min="7416" max="7416" width="7.83203125" style="134" customWidth="1"/>
    <col min="7417" max="7417" width="7.5" style="134" customWidth="1"/>
    <col min="7418" max="7418" width="9" style="134" customWidth="1"/>
    <col min="7419" max="7419" width="8.33203125" style="134" customWidth="1"/>
    <col min="7420" max="7422" width="8.5" style="134" bestFit="1" customWidth="1"/>
    <col min="7423" max="7423" width="10" style="134" bestFit="1" customWidth="1"/>
    <col min="7424" max="7424" width="8.1640625" style="134" bestFit="1" customWidth="1"/>
    <col min="7425" max="7426" width="8.5" style="134" bestFit="1" customWidth="1"/>
    <col min="7427" max="7427" width="6" style="134" bestFit="1" customWidth="1"/>
    <col min="7428" max="7428" width="8.83203125" style="134" customWidth="1"/>
    <col min="7429" max="7429" width="8.5" style="134" bestFit="1" customWidth="1"/>
    <col min="7430" max="7430" width="7.1640625" style="134" bestFit="1" customWidth="1"/>
    <col min="7431" max="7431" width="4.5" style="134" bestFit="1" customWidth="1"/>
    <col min="7432" max="7432" width="5.5" style="134" bestFit="1" customWidth="1"/>
    <col min="7433" max="7435" width="6.1640625" style="134" bestFit="1" customWidth="1"/>
    <col min="7436" max="7436" width="7.1640625" style="134" bestFit="1" customWidth="1"/>
    <col min="7437" max="7446" width="8.83203125" style="134" customWidth="1"/>
    <col min="7447" max="7447" width="10" style="134" bestFit="1" customWidth="1"/>
    <col min="7448" max="7671" width="8.83203125" style="134" customWidth="1"/>
    <col min="7672" max="7672" width="7.83203125" style="134" customWidth="1"/>
    <col min="7673" max="7673" width="7.5" style="134" customWidth="1"/>
    <col min="7674" max="7674" width="9" style="134" customWidth="1"/>
    <col min="7675" max="7675" width="8.33203125" style="134" customWidth="1"/>
    <col min="7676" max="7678" width="8.5" style="134" bestFit="1" customWidth="1"/>
    <col min="7679" max="7679" width="10" style="134" bestFit="1" customWidth="1"/>
    <col min="7680" max="7680" width="8.1640625" style="134" bestFit="1" customWidth="1"/>
    <col min="7681" max="7682" width="8.5" style="134" bestFit="1" customWidth="1"/>
    <col min="7683" max="7683" width="6" style="134" bestFit="1" customWidth="1"/>
    <col min="7684" max="7684" width="8.83203125" style="134" customWidth="1"/>
    <col min="7685" max="7685" width="8.5" style="134" bestFit="1" customWidth="1"/>
    <col min="7686" max="7686" width="7.1640625" style="134" bestFit="1" customWidth="1"/>
    <col min="7687" max="7687" width="4.5" style="134" bestFit="1" customWidth="1"/>
    <col min="7688" max="7688" width="5.5" style="134" bestFit="1" customWidth="1"/>
    <col min="7689" max="7691" width="6.1640625" style="134" bestFit="1" customWidth="1"/>
    <col min="7692" max="7692" width="7.1640625" style="134" bestFit="1" customWidth="1"/>
    <col min="7693" max="7702" width="8.83203125" style="134" customWidth="1"/>
    <col min="7703" max="7703" width="10" style="134" bestFit="1" customWidth="1"/>
    <col min="7704" max="7927" width="8.83203125" style="134" customWidth="1"/>
    <col min="7928" max="7928" width="7.83203125" style="134" customWidth="1"/>
    <col min="7929" max="7929" width="7.5" style="134" customWidth="1"/>
    <col min="7930" max="7930" width="9" style="134" customWidth="1"/>
    <col min="7931" max="7931" width="8.33203125" style="134" customWidth="1"/>
    <col min="7932" max="7934" width="8.5" style="134" bestFit="1" customWidth="1"/>
    <col min="7935" max="7935" width="10" style="134" bestFit="1" customWidth="1"/>
    <col min="7936" max="7936" width="8.1640625" style="134" bestFit="1" customWidth="1"/>
    <col min="7937" max="7938" width="8.5" style="134" bestFit="1" customWidth="1"/>
    <col min="7939" max="7939" width="6" style="134" bestFit="1" customWidth="1"/>
    <col min="7940" max="7940" width="8.83203125" style="134" customWidth="1"/>
    <col min="7941" max="7941" width="8.5" style="134" bestFit="1" customWidth="1"/>
    <col min="7942" max="7942" width="7.1640625" style="134" bestFit="1" customWidth="1"/>
    <col min="7943" max="7943" width="4.5" style="134" bestFit="1" customWidth="1"/>
    <col min="7944" max="7944" width="5.5" style="134" bestFit="1" customWidth="1"/>
    <col min="7945" max="7947" width="6.1640625" style="134" bestFit="1" customWidth="1"/>
    <col min="7948" max="7948" width="7.1640625" style="134" bestFit="1" customWidth="1"/>
    <col min="7949" max="7958" width="8.83203125" style="134" customWidth="1"/>
    <col min="7959" max="7959" width="10" style="134" bestFit="1" customWidth="1"/>
    <col min="7960" max="8183" width="8.83203125" style="134" customWidth="1"/>
    <col min="8184" max="8184" width="7.83203125" style="134" customWidth="1"/>
    <col min="8185" max="8185" width="7.5" style="134" customWidth="1"/>
    <col min="8186" max="8186" width="9" style="134" customWidth="1"/>
    <col min="8187" max="8187" width="8.33203125" style="134" customWidth="1"/>
    <col min="8188" max="8190" width="8.5" style="134" bestFit="1" customWidth="1"/>
    <col min="8191" max="8191" width="10" style="134" bestFit="1" customWidth="1"/>
    <col min="8192" max="8192" width="8.1640625" style="134" bestFit="1" customWidth="1"/>
    <col min="8193" max="8194" width="8.5" style="134" bestFit="1" customWidth="1"/>
    <col min="8195" max="8195" width="6" style="134" bestFit="1" customWidth="1"/>
    <col min="8196" max="8196" width="8.83203125" style="134" customWidth="1"/>
    <col min="8197" max="8197" width="8.5" style="134" bestFit="1" customWidth="1"/>
    <col min="8198" max="8198" width="7.1640625" style="134" bestFit="1" customWidth="1"/>
    <col min="8199" max="8199" width="4.5" style="134" bestFit="1" customWidth="1"/>
    <col min="8200" max="8200" width="5.5" style="134" bestFit="1" customWidth="1"/>
    <col min="8201" max="8203" width="6.1640625" style="134" bestFit="1" customWidth="1"/>
    <col min="8204" max="8204" width="7.1640625" style="134" bestFit="1" customWidth="1"/>
    <col min="8205" max="8214" width="8.83203125" style="134" customWidth="1"/>
    <col min="8215" max="8215" width="10" style="134" bestFit="1" customWidth="1"/>
    <col min="8216" max="8439" width="8.83203125" style="134" customWidth="1"/>
    <col min="8440" max="8440" width="7.83203125" style="134" customWidth="1"/>
    <col min="8441" max="8441" width="7.5" style="134" customWidth="1"/>
    <col min="8442" max="8442" width="9" style="134" customWidth="1"/>
    <col min="8443" max="8443" width="8.33203125" style="134" customWidth="1"/>
    <col min="8444" max="8446" width="8.5" style="134" bestFit="1" customWidth="1"/>
    <col min="8447" max="8447" width="10" style="134" bestFit="1" customWidth="1"/>
    <col min="8448" max="8448" width="8.1640625" style="134" bestFit="1" customWidth="1"/>
    <col min="8449" max="8450" width="8.5" style="134" bestFit="1" customWidth="1"/>
    <col min="8451" max="8451" width="6" style="134" bestFit="1" customWidth="1"/>
    <col min="8452" max="8452" width="8.83203125" style="134" customWidth="1"/>
    <col min="8453" max="8453" width="8.5" style="134" bestFit="1" customWidth="1"/>
    <col min="8454" max="8454" width="7.1640625" style="134" bestFit="1" customWidth="1"/>
    <col min="8455" max="8455" width="4.5" style="134" bestFit="1" customWidth="1"/>
    <col min="8456" max="8456" width="5.5" style="134" bestFit="1" customWidth="1"/>
    <col min="8457" max="8459" width="6.1640625" style="134" bestFit="1" customWidth="1"/>
    <col min="8460" max="8460" width="7.1640625" style="134" bestFit="1" customWidth="1"/>
    <col min="8461" max="8470" width="8.83203125" style="134" customWidth="1"/>
    <col min="8471" max="8471" width="10" style="134" bestFit="1" customWidth="1"/>
    <col min="8472" max="8695" width="8.83203125" style="134" customWidth="1"/>
    <col min="8696" max="8696" width="7.83203125" style="134" customWidth="1"/>
    <col min="8697" max="8697" width="7.5" style="134" customWidth="1"/>
    <col min="8698" max="8698" width="9" style="134" customWidth="1"/>
    <col min="8699" max="8699" width="8.33203125" style="134" customWidth="1"/>
    <col min="8700" max="8702" width="8.5" style="134" bestFit="1" customWidth="1"/>
    <col min="8703" max="8703" width="10" style="134" bestFit="1" customWidth="1"/>
    <col min="8704" max="8704" width="8.1640625" style="134" bestFit="1" customWidth="1"/>
    <col min="8705" max="8706" width="8.5" style="134" bestFit="1" customWidth="1"/>
    <col min="8707" max="8707" width="6" style="134" bestFit="1" customWidth="1"/>
    <col min="8708" max="8708" width="8.83203125" style="134" customWidth="1"/>
    <col min="8709" max="8709" width="8.5" style="134" bestFit="1" customWidth="1"/>
    <col min="8710" max="8710" width="7.1640625" style="134" bestFit="1" customWidth="1"/>
    <col min="8711" max="8711" width="4.5" style="134" bestFit="1" customWidth="1"/>
    <col min="8712" max="8712" width="5.5" style="134" bestFit="1" customWidth="1"/>
    <col min="8713" max="8715" width="6.1640625" style="134" bestFit="1" customWidth="1"/>
    <col min="8716" max="8716" width="7.1640625" style="134" bestFit="1" customWidth="1"/>
    <col min="8717" max="8726" width="8.83203125" style="134" customWidth="1"/>
    <col min="8727" max="8727" width="10" style="134" bestFit="1" customWidth="1"/>
    <col min="8728" max="8951" width="8.83203125" style="134" customWidth="1"/>
    <col min="8952" max="8952" width="7.83203125" style="134" customWidth="1"/>
    <col min="8953" max="8953" width="7.5" style="134" customWidth="1"/>
    <col min="8954" max="8954" width="9" style="134" customWidth="1"/>
    <col min="8955" max="8955" width="8.33203125" style="134" customWidth="1"/>
    <col min="8956" max="8958" width="8.5" style="134" bestFit="1" customWidth="1"/>
    <col min="8959" max="8959" width="10" style="134" bestFit="1" customWidth="1"/>
    <col min="8960" max="8960" width="8.1640625" style="134" bestFit="1" customWidth="1"/>
    <col min="8961" max="8962" width="8.5" style="134" bestFit="1" customWidth="1"/>
    <col min="8963" max="8963" width="6" style="134" bestFit="1" customWidth="1"/>
    <col min="8964" max="8964" width="8.83203125" style="134" customWidth="1"/>
    <col min="8965" max="8965" width="8.5" style="134" bestFit="1" customWidth="1"/>
    <col min="8966" max="8966" width="7.1640625" style="134" bestFit="1" customWidth="1"/>
    <col min="8967" max="8967" width="4.5" style="134" bestFit="1" customWidth="1"/>
    <col min="8968" max="8968" width="5.5" style="134" bestFit="1" customWidth="1"/>
    <col min="8969" max="8971" width="6.1640625" style="134" bestFit="1" customWidth="1"/>
    <col min="8972" max="8972" width="7.1640625" style="134" bestFit="1" customWidth="1"/>
    <col min="8973" max="8982" width="8.83203125" style="134" customWidth="1"/>
    <col min="8983" max="8983" width="10" style="134" bestFit="1" customWidth="1"/>
    <col min="8984" max="9207" width="8.83203125" style="134" customWidth="1"/>
    <col min="9208" max="9208" width="7.83203125" style="134" customWidth="1"/>
    <col min="9209" max="9209" width="7.5" style="134" customWidth="1"/>
    <col min="9210" max="9210" width="9" style="134" customWidth="1"/>
    <col min="9211" max="9211" width="8.33203125" style="134" customWidth="1"/>
    <col min="9212" max="9214" width="8.5" style="134" bestFit="1" customWidth="1"/>
    <col min="9215" max="9215" width="10" style="134" bestFit="1" customWidth="1"/>
    <col min="9216" max="9216" width="8.1640625" style="134" bestFit="1" customWidth="1"/>
    <col min="9217" max="9218" width="8.5" style="134" bestFit="1" customWidth="1"/>
    <col min="9219" max="9219" width="6" style="134" bestFit="1" customWidth="1"/>
    <col min="9220" max="9220" width="8.83203125" style="134" customWidth="1"/>
    <col min="9221" max="9221" width="8.5" style="134" bestFit="1" customWidth="1"/>
    <col min="9222" max="9222" width="7.1640625" style="134" bestFit="1" customWidth="1"/>
    <col min="9223" max="9223" width="4.5" style="134" bestFit="1" customWidth="1"/>
    <col min="9224" max="9224" width="5.5" style="134" bestFit="1" customWidth="1"/>
    <col min="9225" max="9227" width="6.1640625" style="134" bestFit="1" customWidth="1"/>
    <col min="9228" max="9228" width="7.1640625" style="134" bestFit="1" customWidth="1"/>
    <col min="9229" max="9238" width="8.83203125" style="134" customWidth="1"/>
    <col min="9239" max="9239" width="10" style="134" bestFit="1" customWidth="1"/>
    <col min="9240" max="9463" width="8.83203125" style="134" customWidth="1"/>
    <col min="9464" max="9464" width="7.83203125" style="134" customWidth="1"/>
    <col min="9465" max="9465" width="7.5" style="134" customWidth="1"/>
    <col min="9466" max="9466" width="9" style="134" customWidth="1"/>
    <col min="9467" max="9467" width="8.33203125" style="134" customWidth="1"/>
    <col min="9468" max="9470" width="8.5" style="134" bestFit="1" customWidth="1"/>
    <col min="9471" max="9471" width="10" style="134" bestFit="1" customWidth="1"/>
    <col min="9472" max="9472" width="8.1640625" style="134" bestFit="1" customWidth="1"/>
    <col min="9473" max="9474" width="8.5" style="134" bestFit="1" customWidth="1"/>
    <col min="9475" max="9475" width="6" style="134" bestFit="1" customWidth="1"/>
    <col min="9476" max="9476" width="8.83203125" style="134" customWidth="1"/>
    <col min="9477" max="9477" width="8.5" style="134" bestFit="1" customWidth="1"/>
    <col min="9478" max="9478" width="7.1640625" style="134" bestFit="1" customWidth="1"/>
    <col min="9479" max="9479" width="4.5" style="134" bestFit="1" customWidth="1"/>
    <col min="9480" max="9480" width="5.5" style="134" bestFit="1" customWidth="1"/>
    <col min="9481" max="9483" width="6.1640625" style="134" bestFit="1" customWidth="1"/>
    <col min="9484" max="9484" width="7.1640625" style="134" bestFit="1" customWidth="1"/>
    <col min="9485" max="9494" width="8.83203125" style="134" customWidth="1"/>
    <col min="9495" max="9495" width="10" style="134" bestFit="1" customWidth="1"/>
    <col min="9496" max="9719" width="8.83203125" style="134" customWidth="1"/>
    <col min="9720" max="9720" width="7.83203125" style="134" customWidth="1"/>
    <col min="9721" max="9721" width="7.5" style="134" customWidth="1"/>
    <col min="9722" max="9722" width="9" style="134" customWidth="1"/>
    <col min="9723" max="9723" width="8.33203125" style="134" customWidth="1"/>
    <col min="9724" max="9726" width="8.5" style="134" bestFit="1" customWidth="1"/>
    <col min="9727" max="9727" width="10" style="134" bestFit="1" customWidth="1"/>
    <col min="9728" max="9728" width="8.1640625" style="134" bestFit="1" customWidth="1"/>
    <col min="9729" max="9730" width="8.5" style="134" bestFit="1" customWidth="1"/>
    <col min="9731" max="9731" width="6" style="134" bestFit="1" customWidth="1"/>
    <col min="9732" max="9732" width="8.83203125" style="134" customWidth="1"/>
    <col min="9733" max="9733" width="8.5" style="134" bestFit="1" customWidth="1"/>
    <col min="9734" max="9734" width="7.1640625" style="134" bestFit="1" customWidth="1"/>
    <col min="9735" max="9735" width="4.5" style="134" bestFit="1" customWidth="1"/>
    <col min="9736" max="9736" width="5.5" style="134" bestFit="1" customWidth="1"/>
    <col min="9737" max="9739" width="6.1640625" style="134" bestFit="1" customWidth="1"/>
    <col min="9740" max="9740" width="7.1640625" style="134" bestFit="1" customWidth="1"/>
    <col min="9741" max="9750" width="8.83203125" style="134" customWidth="1"/>
    <col min="9751" max="9751" width="10" style="134" bestFit="1" customWidth="1"/>
    <col min="9752" max="9975" width="8.83203125" style="134" customWidth="1"/>
    <col min="9976" max="9976" width="7.83203125" style="134" customWidth="1"/>
    <col min="9977" max="9977" width="7.5" style="134" customWidth="1"/>
    <col min="9978" max="9978" width="9" style="134" customWidth="1"/>
    <col min="9979" max="9979" width="8.33203125" style="134" customWidth="1"/>
    <col min="9980" max="9982" width="8.5" style="134" bestFit="1" customWidth="1"/>
    <col min="9983" max="9983" width="10" style="134" bestFit="1" customWidth="1"/>
    <col min="9984" max="9984" width="8.1640625" style="134" bestFit="1" customWidth="1"/>
    <col min="9985" max="9986" width="8.5" style="134" bestFit="1" customWidth="1"/>
    <col min="9987" max="9987" width="6" style="134" bestFit="1" customWidth="1"/>
    <col min="9988" max="9988" width="8.83203125" style="134" customWidth="1"/>
    <col min="9989" max="9989" width="8.5" style="134" bestFit="1" customWidth="1"/>
    <col min="9990" max="9990" width="7.1640625" style="134" bestFit="1" customWidth="1"/>
    <col min="9991" max="9991" width="4.5" style="134" bestFit="1" customWidth="1"/>
    <col min="9992" max="9992" width="5.5" style="134" bestFit="1" customWidth="1"/>
    <col min="9993" max="9995" width="6.1640625" style="134" bestFit="1" customWidth="1"/>
    <col min="9996" max="9996" width="7.1640625" style="134" bestFit="1" customWidth="1"/>
    <col min="9997" max="10006" width="8.83203125" style="134" customWidth="1"/>
    <col min="10007" max="10007" width="10" style="134" bestFit="1" customWidth="1"/>
    <col min="10008" max="10231" width="8.83203125" style="134" customWidth="1"/>
    <col min="10232" max="10232" width="7.83203125" style="134" customWidth="1"/>
    <col min="10233" max="10233" width="7.5" style="134" customWidth="1"/>
    <col min="10234" max="10234" width="9" style="134" customWidth="1"/>
    <col min="10235" max="10235" width="8.33203125" style="134" customWidth="1"/>
    <col min="10236" max="10238" width="8.5" style="134" bestFit="1" customWidth="1"/>
    <col min="10239" max="10239" width="10" style="134" bestFit="1" customWidth="1"/>
    <col min="10240" max="10240" width="8.1640625" style="134" bestFit="1" customWidth="1"/>
    <col min="10241" max="10242" width="8.5" style="134" bestFit="1" customWidth="1"/>
    <col min="10243" max="10243" width="6" style="134" bestFit="1" customWidth="1"/>
    <col min="10244" max="10244" width="8.83203125" style="134" customWidth="1"/>
    <col min="10245" max="10245" width="8.5" style="134" bestFit="1" customWidth="1"/>
    <col min="10246" max="10246" width="7.1640625" style="134" bestFit="1" customWidth="1"/>
    <col min="10247" max="10247" width="4.5" style="134" bestFit="1" customWidth="1"/>
    <col min="10248" max="10248" width="5.5" style="134" bestFit="1" customWidth="1"/>
    <col min="10249" max="10251" width="6.1640625" style="134" bestFit="1" customWidth="1"/>
    <col min="10252" max="10252" width="7.1640625" style="134" bestFit="1" customWidth="1"/>
    <col min="10253" max="10262" width="8.83203125" style="134" customWidth="1"/>
    <col min="10263" max="10263" width="10" style="134" bestFit="1" customWidth="1"/>
    <col min="10264" max="10487" width="8.83203125" style="134" customWidth="1"/>
    <col min="10488" max="10488" width="7.83203125" style="134" customWidth="1"/>
    <col min="10489" max="10489" width="7.5" style="134" customWidth="1"/>
    <col min="10490" max="10490" width="9" style="134" customWidth="1"/>
    <col min="10491" max="10491" width="8.33203125" style="134" customWidth="1"/>
    <col min="10492" max="10494" width="8.5" style="134" bestFit="1" customWidth="1"/>
    <col min="10495" max="10495" width="10" style="134" bestFit="1" customWidth="1"/>
    <col min="10496" max="10496" width="8.1640625" style="134" bestFit="1" customWidth="1"/>
    <col min="10497" max="10498" width="8.5" style="134" bestFit="1" customWidth="1"/>
    <col min="10499" max="10499" width="6" style="134" bestFit="1" customWidth="1"/>
    <col min="10500" max="10500" width="8.83203125" style="134" customWidth="1"/>
    <col min="10501" max="10501" width="8.5" style="134" bestFit="1" customWidth="1"/>
    <col min="10502" max="10502" width="7.1640625" style="134" bestFit="1" customWidth="1"/>
    <col min="10503" max="10503" width="4.5" style="134" bestFit="1" customWidth="1"/>
    <col min="10504" max="10504" width="5.5" style="134" bestFit="1" customWidth="1"/>
    <col min="10505" max="10507" width="6.1640625" style="134" bestFit="1" customWidth="1"/>
    <col min="10508" max="10508" width="7.1640625" style="134" bestFit="1" customWidth="1"/>
    <col min="10509" max="10518" width="8.83203125" style="134" customWidth="1"/>
    <col min="10519" max="10519" width="10" style="134" bestFit="1" customWidth="1"/>
    <col min="10520" max="10743" width="8.83203125" style="134" customWidth="1"/>
    <col min="10744" max="10744" width="7.83203125" style="134" customWidth="1"/>
    <col min="10745" max="10745" width="7.5" style="134" customWidth="1"/>
    <col min="10746" max="10746" width="9" style="134" customWidth="1"/>
    <col min="10747" max="10747" width="8.33203125" style="134" customWidth="1"/>
    <col min="10748" max="10750" width="8.5" style="134" bestFit="1" customWidth="1"/>
    <col min="10751" max="10751" width="10" style="134" bestFit="1" customWidth="1"/>
    <col min="10752" max="10752" width="8.1640625" style="134" bestFit="1" customWidth="1"/>
    <col min="10753" max="10754" width="8.5" style="134" bestFit="1" customWidth="1"/>
    <col min="10755" max="10755" width="6" style="134" bestFit="1" customWidth="1"/>
    <col min="10756" max="10756" width="8.83203125" style="134" customWidth="1"/>
    <col min="10757" max="10757" width="8.5" style="134" bestFit="1" customWidth="1"/>
    <col min="10758" max="10758" width="7.1640625" style="134" bestFit="1" customWidth="1"/>
    <col min="10759" max="10759" width="4.5" style="134" bestFit="1" customWidth="1"/>
    <col min="10760" max="10760" width="5.5" style="134" bestFit="1" customWidth="1"/>
    <col min="10761" max="10763" width="6.1640625" style="134" bestFit="1" customWidth="1"/>
    <col min="10764" max="10764" width="7.1640625" style="134" bestFit="1" customWidth="1"/>
    <col min="10765" max="10774" width="8.83203125" style="134" customWidth="1"/>
    <col min="10775" max="10775" width="10" style="134" bestFit="1" customWidth="1"/>
    <col min="10776" max="10999" width="8.83203125" style="134" customWidth="1"/>
    <col min="11000" max="11000" width="7.83203125" style="134" customWidth="1"/>
    <col min="11001" max="11001" width="7.5" style="134" customWidth="1"/>
    <col min="11002" max="11002" width="9" style="134" customWidth="1"/>
    <col min="11003" max="11003" width="8.33203125" style="134" customWidth="1"/>
    <col min="11004" max="11006" width="8.5" style="134" bestFit="1" customWidth="1"/>
    <col min="11007" max="11007" width="10" style="134" bestFit="1" customWidth="1"/>
    <col min="11008" max="11008" width="8.1640625" style="134" bestFit="1" customWidth="1"/>
    <col min="11009" max="11010" width="8.5" style="134" bestFit="1" customWidth="1"/>
    <col min="11011" max="11011" width="6" style="134" bestFit="1" customWidth="1"/>
    <col min="11012" max="11012" width="8.83203125" style="134" customWidth="1"/>
    <col min="11013" max="11013" width="8.5" style="134" bestFit="1" customWidth="1"/>
    <col min="11014" max="11014" width="7.1640625" style="134" bestFit="1" customWidth="1"/>
    <col min="11015" max="11015" width="4.5" style="134" bestFit="1" customWidth="1"/>
    <col min="11016" max="11016" width="5.5" style="134" bestFit="1" customWidth="1"/>
    <col min="11017" max="11019" width="6.1640625" style="134" bestFit="1" customWidth="1"/>
    <col min="11020" max="11020" width="7.1640625" style="134" bestFit="1" customWidth="1"/>
    <col min="11021" max="11030" width="8.83203125" style="134" customWidth="1"/>
    <col min="11031" max="11031" width="10" style="134" bestFit="1" customWidth="1"/>
    <col min="11032" max="11255" width="8.83203125" style="134" customWidth="1"/>
    <col min="11256" max="11256" width="7.83203125" style="134" customWidth="1"/>
    <col min="11257" max="11257" width="7.5" style="134" customWidth="1"/>
    <col min="11258" max="11258" width="9" style="134" customWidth="1"/>
    <col min="11259" max="11259" width="8.33203125" style="134" customWidth="1"/>
    <col min="11260" max="11262" width="8.5" style="134" bestFit="1" customWidth="1"/>
    <col min="11263" max="11263" width="10" style="134" bestFit="1" customWidth="1"/>
    <col min="11264" max="11264" width="8.1640625" style="134" bestFit="1" customWidth="1"/>
    <col min="11265" max="11266" width="8.5" style="134" bestFit="1" customWidth="1"/>
    <col min="11267" max="11267" width="6" style="134" bestFit="1" customWidth="1"/>
    <col min="11268" max="11268" width="8.83203125" style="134" customWidth="1"/>
    <col min="11269" max="11269" width="8.5" style="134" bestFit="1" customWidth="1"/>
    <col min="11270" max="11270" width="7.1640625" style="134" bestFit="1" customWidth="1"/>
    <col min="11271" max="11271" width="4.5" style="134" bestFit="1" customWidth="1"/>
    <col min="11272" max="11272" width="5.5" style="134" bestFit="1" customWidth="1"/>
    <col min="11273" max="11275" width="6.1640625" style="134" bestFit="1" customWidth="1"/>
    <col min="11276" max="11276" width="7.1640625" style="134" bestFit="1" customWidth="1"/>
    <col min="11277" max="11286" width="8.83203125" style="134" customWidth="1"/>
    <col min="11287" max="11287" width="10" style="134" bestFit="1" customWidth="1"/>
    <col min="11288" max="11511" width="8.83203125" style="134" customWidth="1"/>
    <col min="11512" max="11512" width="7.83203125" style="134" customWidth="1"/>
    <col min="11513" max="11513" width="7.5" style="134" customWidth="1"/>
    <col min="11514" max="11514" width="9" style="134" customWidth="1"/>
    <col min="11515" max="11515" width="8.33203125" style="134" customWidth="1"/>
    <col min="11516" max="11518" width="8.5" style="134" bestFit="1" customWidth="1"/>
    <col min="11519" max="11519" width="10" style="134" bestFit="1" customWidth="1"/>
    <col min="11520" max="11520" width="8.1640625" style="134" bestFit="1" customWidth="1"/>
    <col min="11521" max="11522" width="8.5" style="134" bestFit="1" customWidth="1"/>
    <col min="11523" max="11523" width="6" style="134" bestFit="1" customWidth="1"/>
    <col min="11524" max="11524" width="8.83203125" style="134" customWidth="1"/>
    <col min="11525" max="11525" width="8.5" style="134" bestFit="1" customWidth="1"/>
    <col min="11526" max="11526" width="7.1640625" style="134" bestFit="1" customWidth="1"/>
    <col min="11527" max="11527" width="4.5" style="134" bestFit="1" customWidth="1"/>
    <col min="11528" max="11528" width="5.5" style="134" bestFit="1" customWidth="1"/>
    <col min="11529" max="11531" width="6.1640625" style="134" bestFit="1" customWidth="1"/>
    <col min="11532" max="11532" width="7.1640625" style="134" bestFit="1" customWidth="1"/>
    <col min="11533" max="11542" width="8.83203125" style="134" customWidth="1"/>
    <col min="11543" max="11543" width="10" style="134" bestFit="1" customWidth="1"/>
    <col min="11544" max="11767" width="8.83203125" style="134" customWidth="1"/>
    <col min="11768" max="11768" width="7.83203125" style="134" customWidth="1"/>
    <col min="11769" max="11769" width="7.5" style="134" customWidth="1"/>
    <col min="11770" max="11770" width="9" style="134" customWidth="1"/>
    <col min="11771" max="11771" width="8.33203125" style="134" customWidth="1"/>
    <col min="11772" max="11774" width="8.5" style="134" bestFit="1" customWidth="1"/>
    <col min="11775" max="11775" width="10" style="134" bestFit="1" customWidth="1"/>
    <col min="11776" max="11776" width="8.1640625" style="134" bestFit="1" customWidth="1"/>
    <col min="11777" max="11778" width="8.5" style="134" bestFit="1" customWidth="1"/>
    <col min="11779" max="11779" width="6" style="134" bestFit="1" customWidth="1"/>
    <col min="11780" max="11780" width="8.83203125" style="134" customWidth="1"/>
    <col min="11781" max="11781" width="8.5" style="134" bestFit="1" customWidth="1"/>
    <col min="11782" max="11782" width="7.1640625" style="134" bestFit="1" customWidth="1"/>
    <col min="11783" max="11783" width="4.5" style="134" bestFit="1" customWidth="1"/>
    <col min="11784" max="11784" width="5.5" style="134" bestFit="1" customWidth="1"/>
    <col min="11785" max="11787" width="6.1640625" style="134" bestFit="1" customWidth="1"/>
    <col min="11788" max="11788" width="7.1640625" style="134" bestFit="1" customWidth="1"/>
    <col min="11789" max="11798" width="8.83203125" style="134" customWidth="1"/>
    <col min="11799" max="11799" width="10" style="134" bestFit="1" customWidth="1"/>
    <col min="11800" max="12023" width="8.83203125" style="134" customWidth="1"/>
    <col min="12024" max="12024" width="7.83203125" style="134" customWidth="1"/>
    <col min="12025" max="12025" width="7.5" style="134" customWidth="1"/>
    <col min="12026" max="12026" width="9" style="134" customWidth="1"/>
    <col min="12027" max="12027" width="8.33203125" style="134" customWidth="1"/>
    <col min="12028" max="12030" width="8.5" style="134" bestFit="1" customWidth="1"/>
    <col min="12031" max="12031" width="10" style="134" bestFit="1" customWidth="1"/>
    <col min="12032" max="12032" width="8.1640625" style="134" bestFit="1" customWidth="1"/>
    <col min="12033" max="12034" width="8.5" style="134" bestFit="1" customWidth="1"/>
    <col min="12035" max="12035" width="6" style="134" bestFit="1" customWidth="1"/>
    <col min="12036" max="12036" width="8.83203125" style="134" customWidth="1"/>
    <col min="12037" max="12037" width="8.5" style="134" bestFit="1" customWidth="1"/>
    <col min="12038" max="12038" width="7.1640625" style="134" bestFit="1" customWidth="1"/>
    <col min="12039" max="12039" width="4.5" style="134" bestFit="1" customWidth="1"/>
    <col min="12040" max="12040" width="5.5" style="134" bestFit="1" customWidth="1"/>
    <col min="12041" max="12043" width="6.1640625" style="134" bestFit="1" customWidth="1"/>
    <col min="12044" max="12044" width="7.1640625" style="134" bestFit="1" customWidth="1"/>
    <col min="12045" max="12054" width="8.83203125" style="134" customWidth="1"/>
    <col min="12055" max="12055" width="10" style="134" bestFit="1" customWidth="1"/>
    <col min="12056" max="12279" width="8.83203125" style="134" customWidth="1"/>
    <col min="12280" max="12280" width="7.83203125" style="134" customWidth="1"/>
    <col min="12281" max="12281" width="7.5" style="134" customWidth="1"/>
    <col min="12282" max="12282" width="9" style="134" customWidth="1"/>
    <col min="12283" max="12283" width="8.33203125" style="134" customWidth="1"/>
    <col min="12284" max="12286" width="8.5" style="134" bestFit="1" customWidth="1"/>
    <col min="12287" max="12287" width="10" style="134" bestFit="1" customWidth="1"/>
    <col min="12288" max="12288" width="8.1640625" style="134" bestFit="1" customWidth="1"/>
    <col min="12289" max="12290" width="8.5" style="134" bestFit="1" customWidth="1"/>
    <col min="12291" max="12291" width="6" style="134" bestFit="1" customWidth="1"/>
    <col min="12292" max="12292" width="8.83203125" style="134" customWidth="1"/>
    <col min="12293" max="12293" width="8.5" style="134" bestFit="1" customWidth="1"/>
    <col min="12294" max="12294" width="7.1640625" style="134" bestFit="1" customWidth="1"/>
    <col min="12295" max="12295" width="4.5" style="134" bestFit="1" customWidth="1"/>
    <col min="12296" max="12296" width="5.5" style="134" bestFit="1" customWidth="1"/>
    <col min="12297" max="12299" width="6.1640625" style="134" bestFit="1" customWidth="1"/>
    <col min="12300" max="12300" width="7.1640625" style="134" bestFit="1" customWidth="1"/>
    <col min="12301" max="12310" width="8.83203125" style="134" customWidth="1"/>
    <col min="12311" max="12311" width="10" style="134" bestFit="1" customWidth="1"/>
    <col min="12312" max="12535" width="8.83203125" style="134" customWidth="1"/>
    <col min="12536" max="12536" width="7.83203125" style="134" customWidth="1"/>
    <col min="12537" max="12537" width="7.5" style="134" customWidth="1"/>
    <col min="12538" max="12538" width="9" style="134" customWidth="1"/>
    <col min="12539" max="12539" width="8.33203125" style="134" customWidth="1"/>
    <col min="12540" max="12542" width="8.5" style="134" bestFit="1" customWidth="1"/>
    <col min="12543" max="12543" width="10" style="134" bestFit="1" customWidth="1"/>
    <col min="12544" max="12544" width="8.1640625" style="134" bestFit="1" customWidth="1"/>
    <col min="12545" max="12546" width="8.5" style="134" bestFit="1" customWidth="1"/>
    <col min="12547" max="12547" width="6" style="134" bestFit="1" customWidth="1"/>
    <col min="12548" max="12548" width="8.83203125" style="134" customWidth="1"/>
    <col min="12549" max="12549" width="8.5" style="134" bestFit="1" customWidth="1"/>
    <col min="12550" max="12550" width="7.1640625" style="134" bestFit="1" customWidth="1"/>
    <col min="12551" max="12551" width="4.5" style="134" bestFit="1" customWidth="1"/>
    <col min="12552" max="12552" width="5.5" style="134" bestFit="1" customWidth="1"/>
    <col min="12553" max="12555" width="6.1640625" style="134" bestFit="1" customWidth="1"/>
    <col min="12556" max="12556" width="7.1640625" style="134" bestFit="1" customWidth="1"/>
    <col min="12557" max="12566" width="8.83203125" style="134" customWidth="1"/>
    <col min="12567" max="12567" width="10" style="134" bestFit="1" customWidth="1"/>
    <col min="12568" max="12791" width="8.83203125" style="134" customWidth="1"/>
    <col min="12792" max="12792" width="7.83203125" style="134" customWidth="1"/>
    <col min="12793" max="12793" width="7.5" style="134" customWidth="1"/>
    <col min="12794" max="12794" width="9" style="134" customWidth="1"/>
    <col min="12795" max="12795" width="8.33203125" style="134" customWidth="1"/>
    <col min="12796" max="12798" width="8.5" style="134" bestFit="1" customWidth="1"/>
    <col min="12799" max="12799" width="10" style="134" bestFit="1" customWidth="1"/>
    <col min="12800" max="12800" width="8.1640625" style="134" bestFit="1" customWidth="1"/>
    <col min="12801" max="12802" width="8.5" style="134" bestFit="1" customWidth="1"/>
    <col min="12803" max="12803" width="6" style="134" bestFit="1" customWidth="1"/>
    <col min="12804" max="12804" width="8.83203125" style="134" customWidth="1"/>
    <col min="12805" max="12805" width="8.5" style="134" bestFit="1" customWidth="1"/>
    <col min="12806" max="12806" width="7.1640625" style="134" bestFit="1" customWidth="1"/>
    <col min="12807" max="12807" width="4.5" style="134" bestFit="1" customWidth="1"/>
    <col min="12808" max="12808" width="5.5" style="134" bestFit="1" customWidth="1"/>
    <col min="12809" max="12811" width="6.1640625" style="134" bestFit="1" customWidth="1"/>
    <col min="12812" max="12812" width="7.1640625" style="134" bestFit="1" customWidth="1"/>
    <col min="12813" max="12822" width="8.83203125" style="134" customWidth="1"/>
    <col min="12823" max="12823" width="10" style="134" bestFit="1" customWidth="1"/>
    <col min="12824" max="13047" width="8.83203125" style="134" customWidth="1"/>
    <col min="13048" max="13048" width="7.83203125" style="134" customWidth="1"/>
    <col min="13049" max="13049" width="7.5" style="134" customWidth="1"/>
    <col min="13050" max="13050" width="9" style="134" customWidth="1"/>
    <col min="13051" max="13051" width="8.33203125" style="134" customWidth="1"/>
    <col min="13052" max="13054" width="8.5" style="134" bestFit="1" customWidth="1"/>
    <col min="13055" max="13055" width="10" style="134" bestFit="1" customWidth="1"/>
    <col min="13056" max="13056" width="8.1640625" style="134" bestFit="1" customWidth="1"/>
    <col min="13057" max="13058" width="8.5" style="134" bestFit="1" customWidth="1"/>
    <col min="13059" max="13059" width="6" style="134" bestFit="1" customWidth="1"/>
    <col min="13060" max="13060" width="8.83203125" style="134" customWidth="1"/>
    <col min="13061" max="13061" width="8.5" style="134" bestFit="1" customWidth="1"/>
    <col min="13062" max="13062" width="7.1640625" style="134" bestFit="1" customWidth="1"/>
    <col min="13063" max="13063" width="4.5" style="134" bestFit="1" customWidth="1"/>
    <col min="13064" max="13064" width="5.5" style="134" bestFit="1" customWidth="1"/>
    <col min="13065" max="13067" width="6.1640625" style="134" bestFit="1" customWidth="1"/>
    <col min="13068" max="13068" width="7.1640625" style="134" bestFit="1" customWidth="1"/>
    <col min="13069" max="13078" width="8.83203125" style="134" customWidth="1"/>
    <col min="13079" max="13079" width="10" style="134" bestFit="1" customWidth="1"/>
    <col min="13080" max="13303" width="8.83203125" style="134" customWidth="1"/>
    <col min="13304" max="13304" width="7.83203125" style="134" customWidth="1"/>
    <col min="13305" max="13305" width="7.5" style="134" customWidth="1"/>
    <col min="13306" max="13306" width="9" style="134" customWidth="1"/>
    <col min="13307" max="13307" width="8.33203125" style="134" customWidth="1"/>
    <col min="13308" max="13310" width="8.5" style="134" bestFit="1" customWidth="1"/>
    <col min="13311" max="13311" width="10" style="134" bestFit="1" customWidth="1"/>
    <col min="13312" max="13312" width="8.1640625" style="134" bestFit="1" customWidth="1"/>
    <col min="13313" max="13314" width="8.5" style="134" bestFit="1" customWidth="1"/>
    <col min="13315" max="13315" width="6" style="134" bestFit="1" customWidth="1"/>
    <col min="13316" max="13316" width="8.83203125" style="134" customWidth="1"/>
    <col min="13317" max="13317" width="8.5" style="134" bestFit="1" customWidth="1"/>
    <col min="13318" max="13318" width="7.1640625" style="134" bestFit="1" customWidth="1"/>
    <col min="13319" max="13319" width="4.5" style="134" bestFit="1" customWidth="1"/>
    <col min="13320" max="13320" width="5.5" style="134" bestFit="1" customWidth="1"/>
    <col min="13321" max="13323" width="6.1640625" style="134" bestFit="1" customWidth="1"/>
    <col min="13324" max="13324" width="7.1640625" style="134" bestFit="1" customWidth="1"/>
    <col min="13325" max="13334" width="8.83203125" style="134" customWidth="1"/>
    <col min="13335" max="13335" width="10" style="134" bestFit="1" customWidth="1"/>
    <col min="13336" max="13559" width="8.83203125" style="134" customWidth="1"/>
    <col min="13560" max="13560" width="7.83203125" style="134" customWidth="1"/>
    <col min="13561" max="13561" width="7.5" style="134" customWidth="1"/>
    <col min="13562" max="13562" width="9" style="134" customWidth="1"/>
    <col min="13563" max="13563" width="8.33203125" style="134" customWidth="1"/>
    <col min="13564" max="13566" width="8.5" style="134" bestFit="1" customWidth="1"/>
    <col min="13567" max="13567" width="10" style="134" bestFit="1" customWidth="1"/>
    <col min="13568" max="13568" width="8.1640625" style="134" bestFit="1" customWidth="1"/>
    <col min="13569" max="13570" width="8.5" style="134" bestFit="1" customWidth="1"/>
    <col min="13571" max="13571" width="6" style="134" bestFit="1" customWidth="1"/>
    <col min="13572" max="13572" width="8.83203125" style="134" customWidth="1"/>
    <col min="13573" max="13573" width="8.5" style="134" bestFit="1" customWidth="1"/>
    <col min="13574" max="13574" width="7.1640625" style="134" bestFit="1" customWidth="1"/>
    <col min="13575" max="13575" width="4.5" style="134" bestFit="1" customWidth="1"/>
    <col min="13576" max="13576" width="5.5" style="134" bestFit="1" customWidth="1"/>
    <col min="13577" max="13579" width="6.1640625" style="134" bestFit="1" customWidth="1"/>
    <col min="13580" max="13580" width="7.1640625" style="134" bestFit="1" customWidth="1"/>
    <col min="13581" max="13590" width="8.83203125" style="134" customWidth="1"/>
    <col min="13591" max="13591" width="10" style="134" bestFit="1" customWidth="1"/>
    <col min="13592" max="13815" width="8.83203125" style="134" customWidth="1"/>
    <col min="13816" max="13816" width="7.83203125" style="134" customWidth="1"/>
    <col min="13817" max="13817" width="7.5" style="134" customWidth="1"/>
    <col min="13818" max="13818" width="9" style="134" customWidth="1"/>
    <col min="13819" max="13819" width="8.33203125" style="134" customWidth="1"/>
    <col min="13820" max="13822" width="8.5" style="134" bestFit="1" customWidth="1"/>
    <col min="13823" max="13823" width="10" style="134" bestFit="1" customWidth="1"/>
    <col min="13824" max="13824" width="8.1640625" style="134" bestFit="1" customWidth="1"/>
    <col min="13825" max="13826" width="8.5" style="134" bestFit="1" customWidth="1"/>
    <col min="13827" max="13827" width="6" style="134" bestFit="1" customWidth="1"/>
    <col min="13828" max="13828" width="8.83203125" style="134" customWidth="1"/>
    <col min="13829" max="13829" width="8.5" style="134" bestFit="1" customWidth="1"/>
    <col min="13830" max="13830" width="7.1640625" style="134" bestFit="1" customWidth="1"/>
    <col min="13831" max="13831" width="4.5" style="134" bestFit="1" customWidth="1"/>
    <col min="13832" max="13832" width="5.5" style="134" bestFit="1" customWidth="1"/>
    <col min="13833" max="13835" width="6.1640625" style="134" bestFit="1" customWidth="1"/>
    <col min="13836" max="13836" width="7.1640625" style="134" bestFit="1" customWidth="1"/>
    <col min="13837" max="13846" width="8.83203125" style="134" customWidth="1"/>
    <col min="13847" max="13847" width="10" style="134" bestFit="1" customWidth="1"/>
    <col min="13848" max="14071" width="8.83203125" style="134" customWidth="1"/>
    <col min="14072" max="14072" width="7.83203125" style="134" customWidth="1"/>
    <col min="14073" max="14073" width="7.5" style="134" customWidth="1"/>
    <col min="14074" max="14074" width="9" style="134" customWidth="1"/>
    <col min="14075" max="14075" width="8.33203125" style="134" customWidth="1"/>
    <col min="14076" max="14078" width="8.5" style="134" bestFit="1" customWidth="1"/>
    <col min="14079" max="14079" width="10" style="134" bestFit="1" customWidth="1"/>
    <col min="14080" max="14080" width="8.1640625" style="134" bestFit="1" customWidth="1"/>
    <col min="14081" max="14082" width="8.5" style="134" bestFit="1" customWidth="1"/>
    <col min="14083" max="14083" width="6" style="134" bestFit="1" customWidth="1"/>
    <col min="14084" max="14084" width="8.83203125" style="134" customWidth="1"/>
    <col min="14085" max="14085" width="8.5" style="134" bestFit="1" customWidth="1"/>
    <col min="14086" max="14086" width="7.1640625" style="134" bestFit="1" customWidth="1"/>
    <col min="14087" max="14087" width="4.5" style="134" bestFit="1" customWidth="1"/>
    <col min="14088" max="14088" width="5.5" style="134" bestFit="1" customWidth="1"/>
    <col min="14089" max="14091" width="6.1640625" style="134" bestFit="1" customWidth="1"/>
    <col min="14092" max="14092" width="7.1640625" style="134" bestFit="1" customWidth="1"/>
    <col min="14093" max="14102" width="8.83203125" style="134" customWidth="1"/>
    <col min="14103" max="14103" width="10" style="134" bestFit="1" customWidth="1"/>
    <col min="14104" max="14327" width="8.83203125" style="134" customWidth="1"/>
    <col min="14328" max="14328" width="7.83203125" style="134" customWidth="1"/>
    <col min="14329" max="14329" width="7.5" style="134" customWidth="1"/>
    <col min="14330" max="14330" width="9" style="134" customWidth="1"/>
    <col min="14331" max="14331" width="8.33203125" style="134" customWidth="1"/>
    <col min="14332" max="14334" width="8.5" style="134" bestFit="1" customWidth="1"/>
    <col min="14335" max="14335" width="10" style="134" bestFit="1" customWidth="1"/>
    <col min="14336" max="14336" width="8.1640625" style="134" bestFit="1" customWidth="1"/>
    <col min="14337" max="14338" width="8.5" style="134" bestFit="1" customWidth="1"/>
    <col min="14339" max="14339" width="6" style="134" bestFit="1" customWidth="1"/>
    <col min="14340" max="14340" width="8.83203125" style="134" customWidth="1"/>
    <col min="14341" max="14341" width="8.5" style="134" bestFit="1" customWidth="1"/>
    <col min="14342" max="14342" width="7.1640625" style="134" bestFit="1" customWidth="1"/>
    <col min="14343" max="14343" width="4.5" style="134" bestFit="1" customWidth="1"/>
    <col min="14344" max="14344" width="5.5" style="134" bestFit="1" customWidth="1"/>
    <col min="14345" max="14347" width="6.1640625" style="134" bestFit="1" customWidth="1"/>
    <col min="14348" max="14348" width="7.1640625" style="134" bestFit="1" customWidth="1"/>
    <col min="14349" max="14358" width="8.83203125" style="134" customWidth="1"/>
    <col min="14359" max="14359" width="10" style="134" bestFit="1" customWidth="1"/>
    <col min="14360" max="14583" width="8.83203125" style="134" customWidth="1"/>
    <col min="14584" max="14584" width="7.83203125" style="134" customWidth="1"/>
    <col min="14585" max="14585" width="7.5" style="134" customWidth="1"/>
    <col min="14586" max="14586" width="9" style="134" customWidth="1"/>
    <col min="14587" max="14587" width="8.33203125" style="134" customWidth="1"/>
    <col min="14588" max="14590" width="8.5" style="134" bestFit="1" customWidth="1"/>
    <col min="14591" max="14591" width="10" style="134" bestFit="1" customWidth="1"/>
    <col min="14592" max="14592" width="8.1640625" style="134" bestFit="1" customWidth="1"/>
    <col min="14593" max="14594" width="8.5" style="134" bestFit="1" customWidth="1"/>
    <col min="14595" max="14595" width="6" style="134" bestFit="1" customWidth="1"/>
    <col min="14596" max="14596" width="8.83203125" style="134" customWidth="1"/>
    <col min="14597" max="14597" width="8.5" style="134" bestFit="1" customWidth="1"/>
    <col min="14598" max="14598" width="7.1640625" style="134" bestFit="1" customWidth="1"/>
    <col min="14599" max="14599" width="4.5" style="134" bestFit="1" customWidth="1"/>
    <col min="14600" max="14600" width="5.5" style="134" bestFit="1" customWidth="1"/>
    <col min="14601" max="14603" width="6.1640625" style="134" bestFit="1" customWidth="1"/>
    <col min="14604" max="14604" width="7.1640625" style="134" bestFit="1" customWidth="1"/>
    <col min="14605" max="14614" width="8.83203125" style="134" customWidth="1"/>
    <col min="14615" max="14615" width="10" style="134" bestFit="1" customWidth="1"/>
    <col min="14616" max="14839" width="8.83203125" style="134" customWidth="1"/>
    <col min="14840" max="14840" width="7.83203125" style="134" customWidth="1"/>
    <col min="14841" max="14841" width="7.5" style="134" customWidth="1"/>
    <col min="14842" max="14842" width="9" style="134" customWidth="1"/>
    <col min="14843" max="14843" width="8.33203125" style="134" customWidth="1"/>
    <col min="14844" max="14846" width="8.5" style="134" bestFit="1" customWidth="1"/>
    <col min="14847" max="14847" width="10" style="134" bestFit="1" customWidth="1"/>
    <col min="14848" max="14848" width="8.1640625" style="134" bestFit="1" customWidth="1"/>
    <col min="14849" max="14850" width="8.5" style="134" bestFit="1" customWidth="1"/>
    <col min="14851" max="14851" width="6" style="134" bestFit="1" customWidth="1"/>
    <col min="14852" max="14852" width="8.83203125" style="134" customWidth="1"/>
    <col min="14853" max="14853" width="8.5" style="134" bestFit="1" customWidth="1"/>
    <col min="14854" max="14854" width="7.1640625" style="134" bestFit="1" customWidth="1"/>
    <col min="14855" max="14855" width="4.5" style="134" bestFit="1" customWidth="1"/>
    <col min="14856" max="14856" width="5.5" style="134" bestFit="1" customWidth="1"/>
    <col min="14857" max="14859" width="6.1640625" style="134" bestFit="1" customWidth="1"/>
    <col min="14860" max="14860" width="7.1640625" style="134" bestFit="1" customWidth="1"/>
    <col min="14861" max="14870" width="8.83203125" style="134" customWidth="1"/>
    <col min="14871" max="14871" width="10" style="134" bestFit="1" customWidth="1"/>
    <col min="14872" max="15095" width="8.83203125" style="134" customWidth="1"/>
    <col min="15096" max="15096" width="7.83203125" style="134" customWidth="1"/>
    <col min="15097" max="15097" width="7.5" style="134" customWidth="1"/>
    <col min="15098" max="15098" width="9" style="134" customWidth="1"/>
    <col min="15099" max="15099" width="8.33203125" style="134" customWidth="1"/>
    <col min="15100" max="15102" width="8.5" style="134" bestFit="1" customWidth="1"/>
    <col min="15103" max="15103" width="10" style="134" bestFit="1" customWidth="1"/>
    <col min="15104" max="15104" width="8.1640625" style="134" bestFit="1" customWidth="1"/>
    <col min="15105" max="15106" width="8.5" style="134" bestFit="1" customWidth="1"/>
    <col min="15107" max="15107" width="6" style="134" bestFit="1" customWidth="1"/>
    <col min="15108" max="15108" width="8.83203125" style="134" customWidth="1"/>
    <col min="15109" max="15109" width="8.5" style="134" bestFit="1" customWidth="1"/>
    <col min="15110" max="15110" width="7.1640625" style="134" bestFit="1" customWidth="1"/>
    <col min="15111" max="15111" width="4.5" style="134" bestFit="1" customWidth="1"/>
    <col min="15112" max="15112" width="5.5" style="134" bestFit="1" customWidth="1"/>
    <col min="15113" max="15115" width="6.1640625" style="134" bestFit="1" customWidth="1"/>
    <col min="15116" max="15116" width="7.1640625" style="134" bestFit="1" customWidth="1"/>
    <col min="15117" max="15126" width="8.83203125" style="134" customWidth="1"/>
    <col min="15127" max="15127" width="10" style="134" bestFit="1" customWidth="1"/>
    <col min="15128" max="15351" width="8.83203125" style="134" customWidth="1"/>
    <col min="15352" max="15352" width="7.83203125" style="134" customWidth="1"/>
    <col min="15353" max="15353" width="7.5" style="134" customWidth="1"/>
    <col min="15354" max="15354" width="9" style="134" customWidth="1"/>
    <col min="15355" max="15355" width="8.33203125" style="134" customWidth="1"/>
    <col min="15356" max="15358" width="8.5" style="134" bestFit="1" customWidth="1"/>
    <col min="15359" max="15359" width="10" style="134" bestFit="1" customWidth="1"/>
    <col min="15360" max="15360" width="8.1640625" style="134" bestFit="1" customWidth="1"/>
    <col min="15361" max="15362" width="8.5" style="134" bestFit="1" customWidth="1"/>
    <col min="15363" max="15363" width="6" style="134" bestFit="1" customWidth="1"/>
    <col min="15364" max="15364" width="8.83203125" style="134" customWidth="1"/>
    <col min="15365" max="15365" width="8.5" style="134" bestFit="1" customWidth="1"/>
    <col min="15366" max="15366" width="7.1640625" style="134" bestFit="1" customWidth="1"/>
    <col min="15367" max="15367" width="4.5" style="134" bestFit="1" customWidth="1"/>
    <col min="15368" max="15368" width="5.5" style="134" bestFit="1" customWidth="1"/>
    <col min="15369" max="15371" width="6.1640625" style="134" bestFit="1" customWidth="1"/>
    <col min="15372" max="15372" width="7.1640625" style="134" bestFit="1" customWidth="1"/>
    <col min="15373" max="15382" width="8.83203125" style="134" customWidth="1"/>
    <col min="15383" max="15383" width="10" style="134" bestFit="1" customWidth="1"/>
    <col min="15384" max="15607" width="8.83203125" style="134" customWidth="1"/>
    <col min="15608" max="15608" width="7.83203125" style="134" customWidth="1"/>
    <col min="15609" max="15609" width="7.5" style="134" customWidth="1"/>
    <col min="15610" max="15610" width="9" style="134" customWidth="1"/>
    <col min="15611" max="15611" width="8.33203125" style="134" customWidth="1"/>
    <col min="15612" max="15614" width="8.5" style="134" bestFit="1" customWidth="1"/>
    <col min="15615" max="15615" width="10" style="134" bestFit="1" customWidth="1"/>
    <col min="15616" max="15616" width="8.1640625" style="134" bestFit="1" customWidth="1"/>
    <col min="15617" max="15618" width="8.5" style="134" bestFit="1" customWidth="1"/>
    <col min="15619" max="15619" width="6" style="134" bestFit="1" customWidth="1"/>
    <col min="15620" max="15620" width="8.83203125" style="134" customWidth="1"/>
    <col min="15621" max="15621" width="8.5" style="134" bestFit="1" customWidth="1"/>
    <col min="15622" max="15622" width="7.1640625" style="134" bestFit="1" customWidth="1"/>
    <col min="15623" max="15623" width="4.5" style="134" bestFit="1" customWidth="1"/>
    <col min="15624" max="15624" width="5.5" style="134" bestFit="1" customWidth="1"/>
    <col min="15625" max="15627" width="6.1640625" style="134" bestFit="1" customWidth="1"/>
    <col min="15628" max="15628" width="7.1640625" style="134" bestFit="1" customWidth="1"/>
    <col min="15629" max="15638" width="8.83203125" style="134" customWidth="1"/>
    <col min="15639" max="15639" width="10" style="134" bestFit="1" customWidth="1"/>
    <col min="15640" max="15863" width="8.83203125" style="134" customWidth="1"/>
    <col min="15864" max="15864" width="7.83203125" style="134" customWidth="1"/>
    <col min="15865" max="15865" width="7.5" style="134" customWidth="1"/>
    <col min="15866" max="15866" width="9" style="134" customWidth="1"/>
    <col min="15867" max="15867" width="8.33203125" style="134" customWidth="1"/>
    <col min="15868" max="15870" width="8.5" style="134" bestFit="1" customWidth="1"/>
    <col min="15871" max="15871" width="10" style="134" bestFit="1" customWidth="1"/>
    <col min="15872" max="15872" width="8.1640625" style="134" bestFit="1" customWidth="1"/>
    <col min="15873" max="15874" width="8.5" style="134" bestFit="1" customWidth="1"/>
    <col min="15875" max="15875" width="6" style="134" bestFit="1" customWidth="1"/>
    <col min="15876" max="15876" width="8.83203125" style="134" customWidth="1"/>
    <col min="15877" max="15877" width="8.5" style="134" bestFit="1" customWidth="1"/>
    <col min="15878" max="15878" width="7.1640625" style="134" bestFit="1" customWidth="1"/>
    <col min="15879" max="15879" width="4.5" style="134" bestFit="1" customWidth="1"/>
    <col min="15880" max="15880" width="5.5" style="134" bestFit="1" customWidth="1"/>
    <col min="15881" max="15883" width="6.1640625" style="134" bestFit="1" customWidth="1"/>
    <col min="15884" max="15884" width="7.1640625" style="134" bestFit="1" customWidth="1"/>
    <col min="15885" max="15894" width="8.83203125" style="134" customWidth="1"/>
    <col min="15895" max="15895" width="10" style="134" bestFit="1" customWidth="1"/>
    <col min="15896" max="16119" width="8.83203125" style="134" customWidth="1"/>
    <col min="16120" max="16120" width="7.83203125" style="134" customWidth="1"/>
    <col min="16121" max="16121" width="7.5" style="134" customWidth="1"/>
    <col min="16122" max="16122" width="9" style="134" customWidth="1"/>
    <col min="16123" max="16123" width="8.33203125" style="134" customWidth="1"/>
    <col min="16124" max="16126" width="8.5" style="134" bestFit="1" customWidth="1"/>
    <col min="16127" max="16127" width="10" style="134" bestFit="1" customWidth="1"/>
    <col min="16128" max="16128" width="8.1640625" style="134" bestFit="1" customWidth="1"/>
    <col min="16129" max="16130" width="8.5" style="134" bestFit="1" customWidth="1"/>
    <col min="16131" max="16131" width="6" style="134" bestFit="1" customWidth="1"/>
    <col min="16132" max="16132" width="8.83203125" style="134" customWidth="1"/>
    <col min="16133" max="16133" width="8.5" style="134" bestFit="1" customWidth="1"/>
    <col min="16134" max="16134" width="7.1640625" style="134" bestFit="1" customWidth="1"/>
    <col min="16135" max="16135" width="4.5" style="134" bestFit="1" customWidth="1"/>
    <col min="16136" max="16136" width="5.5" style="134" bestFit="1" customWidth="1"/>
    <col min="16137" max="16139" width="6.1640625" style="134" bestFit="1" customWidth="1"/>
    <col min="16140" max="16140" width="7.1640625" style="134" bestFit="1" customWidth="1"/>
    <col min="16141" max="16150" width="8.83203125" style="134" customWidth="1"/>
    <col min="16151" max="16151" width="10" style="134" bestFit="1" customWidth="1"/>
    <col min="16152" max="16384" width="8.83203125" style="134" customWidth="1"/>
  </cols>
  <sheetData>
    <row r="1" spans="2:10" s="94" customFormat="1" ht="14" customHeight="1"/>
    <row r="2" spans="2:10" s="94" customFormat="1" ht="14" customHeight="1">
      <c r="B2" s="95" t="s">
        <v>125</v>
      </c>
      <c r="C2" s="96">
        <f>PI()/180</f>
        <v>1.7453292519943295E-2</v>
      </c>
      <c r="F2" s="97" t="s">
        <v>126</v>
      </c>
      <c r="G2" s="98">
        <f>Illumination!C21</f>
        <v>175.94709148679169</v>
      </c>
      <c r="H2" s="99"/>
      <c r="I2" s="100"/>
      <c r="J2" s="101"/>
    </row>
    <row r="3" spans="2:10" s="94" customFormat="1" ht="14" customHeight="1">
      <c r="B3" s="102" t="s">
        <v>127</v>
      </c>
      <c r="C3" s="103">
        <f>(Visibility!C10-2451545)/36525</f>
        <v>0.24387634040611877</v>
      </c>
      <c r="F3" s="104" t="s">
        <v>128</v>
      </c>
      <c r="G3" s="105">
        <v>200</v>
      </c>
      <c r="H3" s="105"/>
      <c r="I3" s="105" t="s">
        <v>129</v>
      </c>
      <c r="J3" s="106">
        <f>MOD(360-Illumination!G2+180,360)</f>
        <v>4.0529085132083082</v>
      </c>
    </row>
    <row r="4" spans="2:10" s="94" customFormat="1" ht="14" customHeight="1">
      <c r="B4" s="102" t="s">
        <v>130</v>
      </c>
      <c r="C4" s="103">
        <f>MOD(297.8502042+445267.1115168*$C$3-0.00163*POWER($C$3,2)+(POWER($C$3,3)/545868)-(POWER($C$3,4)/113065000),360)</f>
        <v>167.9637672015815</v>
      </c>
      <c r="F4" s="104" t="s">
        <v>131</v>
      </c>
      <c r="G4" s="105">
        <f>2/G3</f>
        <v>0.01</v>
      </c>
      <c r="H4" s="105"/>
      <c r="I4" s="105" t="s">
        <v>132</v>
      </c>
      <c r="J4" s="107">
        <f>COS(RADIANS(J3))</f>
        <v>0.99749920988404428</v>
      </c>
    </row>
    <row r="5" spans="2:10" s="94" customFormat="1" ht="14" customHeight="1">
      <c r="B5" s="102" t="s">
        <v>133</v>
      </c>
      <c r="C5" s="103">
        <f>MOD(357.5291092+35999.0502909*$C$3-0.0001536*POWER($C$3,2)+(POWER($C$3,3)/24490000),360)</f>
        <v>136.84574310564858</v>
      </c>
      <c r="F5" s="104"/>
      <c r="G5" s="105"/>
      <c r="H5" s="105"/>
      <c r="I5" s="105" t="s">
        <v>134</v>
      </c>
      <c r="J5" s="108">
        <f>ABS(J4)</f>
        <v>0.99749920988404428</v>
      </c>
    </row>
    <row r="6" spans="2:10" s="94" customFormat="1" ht="14" customHeight="1">
      <c r="B6" s="102" t="s">
        <v>135</v>
      </c>
      <c r="C6" s="103">
        <f>MOD(134.9634114+477198.8676313*$C$3+0.008997*POWER($C$3,2)+(POWER($C$3,3)/69699)-(POWER($C$3,4)/14712000),360)</f>
        <v>232.47743057578919</v>
      </c>
      <c r="F6" s="109"/>
      <c r="G6" s="110"/>
      <c r="H6" s="110"/>
      <c r="I6" s="110" t="s">
        <v>136</v>
      </c>
      <c r="J6" s="111">
        <v>1</v>
      </c>
    </row>
    <row r="7" spans="2:10" s="94" customFormat="1" ht="14" customHeight="1">
      <c r="B7" s="102" t="s">
        <v>137</v>
      </c>
      <c r="C7" s="103">
        <f>180-C4-6.289*SIN($C$2*C6)+2.1*SIN($C$2*C5)-1.274*SIN($C$2*(2*C4-C6))-0.658*SIN($C$2*2*C4)-0.214*SIN($C$2*2*C6)-0.11*SIN($C$2*C4)</f>
        <v>17.260094709251376</v>
      </c>
      <c r="F7" s="104"/>
      <c r="G7" s="105"/>
      <c r="H7" s="105"/>
      <c r="I7" s="105"/>
      <c r="J7" s="108"/>
    </row>
    <row r="8" spans="2:10" s="94" customFormat="1" ht="14" customHeight="1">
      <c r="B8" s="112" t="s">
        <v>138</v>
      </c>
      <c r="C8" s="113">
        <f>(1+COS($C$2*C7))/2</f>
        <v>0.97748384159328716</v>
      </c>
      <c r="F8" s="114" t="s">
        <v>33</v>
      </c>
      <c r="G8" s="115" t="s">
        <v>139</v>
      </c>
      <c r="H8" s="115" t="s">
        <v>140</v>
      </c>
      <c r="I8" s="115" t="s">
        <v>141</v>
      </c>
      <c r="J8" s="116" t="s">
        <v>142</v>
      </c>
    </row>
    <row r="9" spans="2:10" s="94" customFormat="1" ht="14" customHeight="1">
      <c r="F9" s="117">
        <v>-1</v>
      </c>
      <c r="G9" s="118">
        <f t="shared" ref="G9:G72" si="0">IFERROR(IF(SQRT(1-(F9*F9)/($J$5*$J$5))&lt;0.05,0,SQRT(1-(F9*F9)/($J$5*$J$5))),0)</f>
        <v>0</v>
      </c>
      <c r="H9" s="118">
        <f t="shared" ref="H9:H72" si="1">CHOOSE(MATCH($J$3,degrees),IF(F9&lt;0,IFERROR(1-G9,1),0),0,0,IF(F9&gt;0,IFERROR(1-G9,1),0))</f>
        <v>1</v>
      </c>
      <c r="I9" s="118">
        <f t="shared" ref="I9:I72" si="2">CHOOSE(MATCH($J$3,degrees),IF(F9&lt;0,2*G9,2),IF(F9&lt;0,0,1-G9),IF(F9&gt;0,0,1-G9),IF(F9&gt;0,2*G9,2))</f>
        <v>0</v>
      </c>
      <c r="J9" s="107">
        <f t="shared" ref="J9:J72" si="3">CHOOSE(MATCH($J$3,degrees),IF(F9&lt;0,G9+1,2),IF(F9&lt;0,2,2*G9),IF(F9&gt;0,2,2*G9),IF(F9&gt;0,G9+1,2))</f>
        <v>1</v>
      </c>
    </row>
    <row r="10" spans="2:10" s="94" customFormat="1" ht="14" customHeight="1">
      <c r="F10" s="117">
        <f t="shared" ref="F10:F73" si="4">F9+$G$4</f>
        <v>-0.99</v>
      </c>
      <c r="G10" s="118">
        <f t="shared" si="0"/>
        <v>0.12239077259085226</v>
      </c>
      <c r="H10" s="118">
        <f t="shared" si="1"/>
        <v>0.87760922740914771</v>
      </c>
      <c r="I10" s="118">
        <f t="shared" si="2"/>
        <v>0.24478154518170453</v>
      </c>
      <c r="J10" s="107">
        <f t="shared" si="3"/>
        <v>1.1223907725908522</v>
      </c>
    </row>
    <row r="11" spans="2:10" s="94" customFormat="1" ht="16" customHeight="1">
      <c r="F11" s="117">
        <f t="shared" si="4"/>
        <v>-0.98</v>
      </c>
      <c r="G11" s="118">
        <f t="shared" si="0"/>
        <v>0.18648968655331163</v>
      </c>
      <c r="H11" s="118">
        <f t="shared" si="1"/>
        <v>0.81351031344668834</v>
      </c>
      <c r="I11" s="118">
        <f t="shared" si="2"/>
        <v>0.37297937310662327</v>
      </c>
      <c r="J11" s="107">
        <f t="shared" si="3"/>
        <v>1.1864896865533117</v>
      </c>
    </row>
    <row r="12" spans="2:10" s="94" customFormat="1" ht="16" customHeight="1">
      <c r="F12" s="117">
        <f t="shared" si="4"/>
        <v>-0.97</v>
      </c>
      <c r="G12" s="118">
        <f t="shared" si="0"/>
        <v>0.23318726612993021</v>
      </c>
      <c r="H12" s="118">
        <f t="shared" si="1"/>
        <v>0.76681273387006976</v>
      </c>
      <c r="I12" s="118">
        <f t="shared" si="2"/>
        <v>0.46637453225986042</v>
      </c>
      <c r="J12" s="107">
        <f t="shared" si="3"/>
        <v>1.2331872661299301</v>
      </c>
    </row>
    <row r="13" spans="2:10" s="94" customFormat="1" ht="16" customHeight="1">
      <c r="F13" s="117">
        <f t="shared" si="4"/>
        <v>-0.96</v>
      </c>
      <c r="G13" s="118">
        <f t="shared" si="0"/>
        <v>0.27161221419255294</v>
      </c>
      <c r="H13" s="118">
        <f t="shared" si="1"/>
        <v>0.72838778580744701</v>
      </c>
      <c r="I13" s="118">
        <f t="shared" si="2"/>
        <v>0.54322442838510587</v>
      </c>
      <c r="J13" s="107">
        <f t="shared" si="3"/>
        <v>1.271612214192553</v>
      </c>
    </row>
    <row r="14" spans="2:10" s="94" customFormat="1" ht="16" customHeight="1">
      <c r="E14" s="119"/>
      <c r="F14" s="117">
        <f t="shared" si="4"/>
        <v>-0.95</v>
      </c>
      <c r="G14" s="118">
        <f t="shared" si="0"/>
        <v>0.30490832168217935</v>
      </c>
      <c r="H14" s="118">
        <f t="shared" si="1"/>
        <v>0.6950916783178207</v>
      </c>
      <c r="I14" s="118">
        <f t="shared" si="2"/>
        <v>0.6098166433643587</v>
      </c>
      <c r="J14" s="107">
        <f t="shared" si="3"/>
        <v>1.3049083216821793</v>
      </c>
    </row>
    <row r="15" spans="2:10" s="94" customFormat="1" ht="16" customHeight="1">
      <c r="E15" s="119"/>
      <c r="F15" s="117">
        <f t="shared" si="4"/>
        <v>-0.94</v>
      </c>
      <c r="G15" s="118">
        <f t="shared" si="0"/>
        <v>0.33461017659739123</v>
      </c>
      <c r="H15" s="118">
        <f t="shared" si="1"/>
        <v>0.66538982340260877</v>
      </c>
      <c r="I15" s="118">
        <f t="shared" si="2"/>
        <v>0.66922035319478246</v>
      </c>
      <c r="J15" s="107">
        <f t="shared" si="3"/>
        <v>1.3346101765973912</v>
      </c>
    </row>
    <row r="16" spans="2:10" s="94" customFormat="1" ht="16" customHeight="1">
      <c r="E16" s="119"/>
      <c r="F16" s="117">
        <f t="shared" si="4"/>
        <v>-0.92999999999999994</v>
      </c>
      <c r="G16" s="118">
        <f t="shared" si="0"/>
        <v>0.36160455175932604</v>
      </c>
      <c r="H16" s="118">
        <f t="shared" si="1"/>
        <v>0.63839544824067396</v>
      </c>
      <c r="I16" s="118">
        <f t="shared" si="2"/>
        <v>0.72320910351865209</v>
      </c>
      <c r="J16" s="107">
        <f t="shared" si="3"/>
        <v>1.361604551759326</v>
      </c>
    </row>
    <row r="17" spans="2:10" s="94" customFormat="1" ht="16" customHeight="1">
      <c r="E17" s="119"/>
      <c r="F17" s="117">
        <f t="shared" si="4"/>
        <v>-0.91999999999999993</v>
      </c>
      <c r="G17" s="118">
        <f t="shared" si="0"/>
        <v>0.3864592208016529</v>
      </c>
      <c r="H17" s="118">
        <f t="shared" si="1"/>
        <v>0.61354077919834715</v>
      </c>
      <c r="I17" s="118">
        <f t="shared" si="2"/>
        <v>0.77291844160330581</v>
      </c>
      <c r="J17" s="107">
        <f t="shared" si="3"/>
        <v>1.3864592208016528</v>
      </c>
    </row>
    <row r="18" spans="2:10" s="94" customFormat="1" ht="16" customHeight="1">
      <c r="E18" s="119"/>
      <c r="F18" s="117">
        <f t="shared" si="4"/>
        <v>-0.90999999999999992</v>
      </c>
      <c r="G18" s="118">
        <f t="shared" si="0"/>
        <v>0.40956391778477036</v>
      </c>
      <c r="H18" s="118">
        <f t="shared" si="1"/>
        <v>0.5904360822152297</v>
      </c>
      <c r="I18" s="118">
        <f t="shared" si="2"/>
        <v>0.81912783556954072</v>
      </c>
      <c r="J18" s="107">
        <f t="shared" si="3"/>
        <v>1.4095639177847703</v>
      </c>
    </row>
    <row r="19" spans="2:10" s="94" customFormat="1" ht="16" customHeight="1">
      <c r="B19" s="120" t="s">
        <v>143</v>
      </c>
      <c r="C19" s="121">
        <v>2460438.64</v>
      </c>
      <c r="D19" s="94" t="s">
        <v>144</v>
      </c>
      <c r="E19" s="119"/>
      <c r="F19" s="117">
        <f t="shared" si="4"/>
        <v>-0.89999999999999991</v>
      </c>
      <c r="G19" s="118">
        <f t="shared" si="0"/>
        <v>0.43120003719715894</v>
      </c>
      <c r="H19" s="118">
        <f t="shared" si="1"/>
        <v>0.56879996280284106</v>
      </c>
      <c r="I19" s="118">
        <f t="shared" si="2"/>
        <v>0.86240007439431787</v>
      </c>
      <c r="J19" s="107">
        <f t="shared" si="3"/>
        <v>1.4312000371971589</v>
      </c>
    </row>
    <row r="20" spans="2:10" s="94" customFormat="1" ht="16" customHeight="1">
      <c r="B20" s="122" t="s">
        <v>145</v>
      </c>
      <c r="C20" s="123">
        <f>((Visibility!C10-C19)/29.530588853)-INT((Visibility!C10-C19)/29.530588853)</f>
        <v>0.47216577369203633</v>
      </c>
      <c r="D20" s="94" t="str">
        <f>IF(C20&lt;0.5,"(before FM)","(after FM)")</f>
        <v>(before FM)</v>
      </c>
      <c r="E20" s="119"/>
      <c r="F20" s="117">
        <f t="shared" si="4"/>
        <v>-0.8899999999999999</v>
      </c>
      <c r="G20" s="118">
        <f t="shared" si="0"/>
        <v>0.45157871664360388</v>
      </c>
      <c r="H20" s="118">
        <f t="shared" si="1"/>
        <v>0.54842128335639617</v>
      </c>
      <c r="I20" s="118">
        <f t="shared" si="2"/>
        <v>0.90315743328720777</v>
      </c>
      <c r="J20" s="107">
        <f t="shared" si="3"/>
        <v>1.4515787166436038</v>
      </c>
    </row>
    <row r="21" spans="2:10" s="94" customFormat="1" ht="16" customHeight="1">
      <c r="B21" s="112" t="s">
        <v>146</v>
      </c>
      <c r="C21" s="124">
        <f>IF(C20&lt;0.5,180*C8,360-180*C8)</f>
        <v>175.94709148679169</v>
      </c>
      <c r="E21" s="119"/>
      <c r="F21" s="117">
        <f t="shared" si="4"/>
        <v>-0.87999999999999989</v>
      </c>
      <c r="G21" s="118">
        <f t="shared" si="0"/>
        <v>0.47086324818483027</v>
      </c>
      <c r="H21" s="118">
        <f t="shared" si="1"/>
        <v>0.52913675181516973</v>
      </c>
      <c r="I21" s="118">
        <f t="shared" si="2"/>
        <v>0.94172649636966055</v>
      </c>
      <c r="J21" s="107">
        <f t="shared" si="3"/>
        <v>1.4708632481848303</v>
      </c>
    </row>
    <row r="22" spans="2:10" s="94" customFormat="1" ht="16" customHeight="1">
      <c r="E22" s="119"/>
      <c r="F22" s="117">
        <f t="shared" si="4"/>
        <v>-0.86999999999999988</v>
      </c>
      <c r="G22" s="118">
        <f t="shared" si="0"/>
        <v>0.48918304915019872</v>
      </c>
      <c r="H22" s="118">
        <f t="shared" si="1"/>
        <v>0.51081695084980128</v>
      </c>
      <c r="I22" s="118">
        <f t="shared" si="2"/>
        <v>0.97836609830039745</v>
      </c>
      <c r="J22" s="107">
        <f t="shared" si="3"/>
        <v>1.4891830491501987</v>
      </c>
    </row>
    <row r="23" spans="2:10" s="94" customFormat="1" ht="16" customHeight="1">
      <c r="B23" s="125">
        <v>0</v>
      </c>
      <c r="C23" s="126">
        <v>0</v>
      </c>
      <c r="D23" s="127" t="s">
        <v>147</v>
      </c>
      <c r="F23" s="117">
        <f t="shared" si="4"/>
        <v>-0.85999999999999988</v>
      </c>
      <c r="G23" s="118">
        <f t="shared" si="0"/>
        <v>0.50664278202658153</v>
      </c>
      <c r="H23" s="118">
        <f t="shared" si="1"/>
        <v>0.49335721797341847</v>
      </c>
      <c r="I23" s="118">
        <f t="shared" si="2"/>
        <v>1.0132855640531631</v>
      </c>
      <c r="J23" s="107">
        <f t="shared" si="3"/>
        <v>1.5066427820265815</v>
      </c>
    </row>
    <row r="24" spans="2:10" s="94" customFormat="1" ht="16" customHeight="1">
      <c r="B24" s="128">
        <f t="shared" ref="B24:B31" si="5">B23+45</f>
        <v>45</v>
      </c>
      <c r="C24" s="129">
        <f t="shared" ref="C24:C31" si="6">B24-22.5</f>
        <v>22.5</v>
      </c>
      <c r="D24" s="130" t="s">
        <v>148</v>
      </c>
      <c r="F24" s="117">
        <f t="shared" si="4"/>
        <v>-0.84999999999999987</v>
      </c>
      <c r="G24" s="118">
        <f t="shared" si="0"/>
        <v>0.52332853686992298</v>
      </c>
      <c r="H24" s="118">
        <f t="shared" si="1"/>
        <v>0.47667146313007702</v>
      </c>
      <c r="I24" s="118">
        <f t="shared" si="2"/>
        <v>1.046657073739846</v>
      </c>
      <c r="J24" s="107">
        <f t="shared" si="3"/>
        <v>1.523328536869923</v>
      </c>
    </row>
    <row r="25" spans="2:10" s="94" customFormat="1" ht="16" customHeight="1">
      <c r="B25" s="128">
        <f t="shared" si="5"/>
        <v>90</v>
      </c>
      <c r="C25" s="129">
        <f t="shared" si="6"/>
        <v>67.5</v>
      </c>
      <c r="D25" s="130" t="s">
        <v>149</v>
      </c>
      <c r="F25" s="117">
        <f t="shared" si="4"/>
        <v>-0.83999999999999986</v>
      </c>
      <c r="G25" s="118">
        <f t="shared" si="0"/>
        <v>0.53931215668129195</v>
      </c>
      <c r="H25" s="118">
        <f t="shared" si="1"/>
        <v>0.46068784331870805</v>
      </c>
      <c r="I25" s="118">
        <f t="shared" si="2"/>
        <v>1.0786243133625839</v>
      </c>
      <c r="J25" s="107">
        <f t="shared" si="3"/>
        <v>1.539312156681292</v>
      </c>
    </row>
    <row r="26" spans="2:10" s="94" customFormat="1" ht="16" customHeight="1">
      <c r="B26" s="128">
        <f t="shared" si="5"/>
        <v>135</v>
      </c>
      <c r="C26" s="129">
        <f t="shared" si="6"/>
        <v>112.5</v>
      </c>
      <c r="D26" s="130" t="s">
        <v>150</v>
      </c>
      <c r="F26" s="117">
        <f t="shared" si="4"/>
        <v>-0.82999999999999985</v>
      </c>
      <c r="G26" s="118">
        <f t="shared" si="0"/>
        <v>0.5546543456109132</v>
      </c>
      <c r="H26" s="118">
        <f t="shared" si="1"/>
        <v>0.4453456543890868</v>
      </c>
      <c r="I26" s="118">
        <f t="shared" si="2"/>
        <v>1.1093086912218264</v>
      </c>
      <c r="J26" s="107">
        <f t="shared" si="3"/>
        <v>1.5546543456109132</v>
      </c>
    </row>
    <row r="27" spans="2:10" s="94" customFormat="1" ht="16" customHeight="1">
      <c r="B27" s="128">
        <f t="shared" si="5"/>
        <v>180</v>
      </c>
      <c r="C27" s="129">
        <f t="shared" si="6"/>
        <v>157.5</v>
      </c>
      <c r="D27" s="130" t="s">
        <v>151</v>
      </c>
      <c r="F27" s="117">
        <f t="shared" si="4"/>
        <v>-0.81999999999999984</v>
      </c>
      <c r="G27" s="118">
        <f t="shared" si="0"/>
        <v>0.56940695445783407</v>
      </c>
      <c r="H27" s="118">
        <f t="shared" si="1"/>
        <v>0.43059304554216593</v>
      </c>
      <c r="I27" s="118">
        <f t="shared" si="2"/>
        <v>1.1388139089156681</v>
      </c>
      <c r="J27" s="107">
        <f t="shared" si="3"/>
        <v>1.569406954457834</v>
      </c>
    </row>
    <row r="28" spans="2:10" s="94" customFormat="1" ht="16" customHeight="1">
      <c r="B28" s="128">
        <f t="shared" si="5"/>
        <v>225</v>
      </c>
      <c r="C28" s="129">
        <f t="shared" si="6"/>
        <v>202.5</v>
      </c>
      <c r="D28" s="130" t="s">
        <v>152</v>
      </c>
      <c r="F28" s="117">
        <f t="shared" si="4"/>
        <v>-0.80999999999999983</v>
      </c>
      <c r="G28" s="118">
        <f t="shared" si="0"/>
        <v>0.58361469514042696</v>
      </c>
      <c r="H28" s="118">
        <f t="shared" si="1"/>
        <v>0.41638530485957304</v>
      </c>
      <c r="I28" s="118">
        <f t="shared" si="2"/>
        <v>1.1672293902808539</v>
      </c>
      <c r="J28" s="107">
        <f t="shared" si="3"/>
        <v>1.5836146951404269</v>
      </c>
    </row>
    <row r="29" spans="2:10" s="94" customFormat="1" ht="16" customHeight="1">
      <c r="B29" s="128">
        <f t="shared" si="5"/>
        <v>270</v>
      </c>
      <c r="C29" s="129">
        <f t="shared" si="6"/>
        <v>247.5</v>
      </c>
      <c r="D29" s="130" t="s">
        <v>153</v>
      </c>
      <c r="F29" s="117">
        <f t="shared" si="4"/>
        <v>-0.79999999999999982</v>
      </c>
      <c r="G29" s="118">
        <f t="shared" si="0"/>
        <v>0.59731644954897467</v>
      </c>
      <c r="H29" s="118">
        <f t="shared" si="1"/>
        <v>0.40268355045102533</v>
      </c>
      <c r="I29" s="118">
        <f t="shared" si="2"/>
        <v>1.1946328990979493</v>
      </c>
      <c r="J29" s="107">
        <f t="shared" si="3"/>
        <v>1.5973164495489747</v>
      </c>
    </row>
    <row r="30" spans="2:10" s="94" customFormat="1" ht="16" customHeight="1">
      <c r="B30" s="128">
        <f t="shared" si="5"/>
        <v>315</v>
      </c>
      <c r="C30" s="129">
        <f t="shared" si="6"/>
        <v>292.5</v>
      </c>
      <c r="D30" s="130" t="s">
        <v>154</v>
      </c>
      <c r="F30" s="117">
        <f t="shared" si="4"/>
        <v>-0.78999999999999981</v>
      </c>
      <c r="G30" s="118">
        <f t="shared" si="0"/>
        <v>0.6105462843542363</v>
      </c>
      <c r="H30" s="118">
        <f t="shared" si="1"/>
        <v>0.3894537156457637</v>
      </c>
      <c r="I30" s="118">
        <f t="shared" si="2"/>
        <v>1.2210925687084726</v>
      </c>
      <c r="J30" s="107">
        <f t="shared" si="3"/>
        <v>1.6105462843542364</v>
      </c>
    </row>
    <row r="31" spans="2:10" s="94" customFormat="1" ht="16" customHeight="1">
      <c r="B31" s="131">
        <f t="shared" si="5"/>
        <v>360</v>
      </c>
      <c r="C31" s="132">
        <f t="shared" si="6"/>
        <v>337.5</v>
      </c>
      <c r="D31" s="133" t="s">
        <v>147</v>
      </c>
      <c r="F31" s="117">
        <f t="shared" si="4"/>
        <v>-0.7799999999999998</v>
      </c>
      <c r="G31" s="118">
        <f t="shared" si="0"/>
        <v>0.62333424877409616</v>
      </c>
      <c r="H31" s="118">
        <f t="shared" si="1"/>
        <v>0.37666575122590384</v>
      </c>
      <c r="I31" s="118">
        <f t="shared" si="2"/>
        <v>1.2466684975481923</v>
      </c>
      <c r="J31" s="107">
        <f t="shared" si="3"/>
        <v>1.6233342487740963</v>
      </c>
    </row>
    <row r="32" spans="2:10" s="94" customFormat="1" ht="16" customHeight="1">
      <c r="F32" s="117">
        <f t="shared" si="4"/>
        <v>-0.7699999999999998</v>
      </c>
      <c r="G32" s="118">
        <f t="shared" si="0"/>
        <v>0.63570700953332393</v>
      </c>
      <c r="H32" s="118">
        <f t="shared" si="1"/>
        <v>0.36429299046667607</v>
      </c>
      <c r="I32" s="118">
        <f t="shared" si="2"/>
        <v>1.2714140190666479</v>
      </c>
      <c r="J32" s="107">
        <f t="shared" si="3"/>
        <v>1.6357070095333239</v>
      </c>
    </row>
    <row r="33" spans="6:10" s="94" customFormat="1" ht="16" customHeight="1">
      <c r="F33" s="117">
        <f t="shared" si="4"/>
        <v>-0.75999999999999979</v>
      </c>
      <c r="G33" s="118">
        <f t="shared" si="0"/>
        <v>0.64768836191788104</v>
      </c>
      <c r="H33" s="118">
        <f t="shared" si="1"/>
        <v>0.35231163808211896</v>
      </c>
      <c r="I33" s="118">
        <f t="shared" si="2"/>
        <v>1.2953767238357621</v>
      </c>
      <c r="J33" s="107">
        <f t="shared" si="3"/>
        <v>1.647688361917881</v>
      </c>
    </row>
    <row r="34" spans="6:10" s="94" customFormat="1" ht="16" customHeight="1">
      <c r="F34" s="117">
        <f t="shared" si="4"/>
        <v>-0.74999999999999978</v>
      </c>
      <c r="G34" s="118">
        <f t="shared" si="0"/>
        <v>0.65929964528806362</v>
      </c>
      <c r="H34" s="118">
        <f t="shared" si="1"/>
        <v>0.34070035471193638</v>
      </c>
      <c r="I34" s="118">
        <f t="shared" si="2"/>
        <v>1.3185992905761272</v>
      </c>
      <c r="J34" s="107">
        <f t="shared" si="3"/>
        <v>1.6592996452880637</v>
      </c>
    </row>
    <row r="35" spans="6:10" s="94" customFormat="1" ht="16" customHeight="1">
      <c r="F35" s="117">
        <f t="shared" si="4"/>
        <v>-0.73999999999999977</v>
      </c>
      <c r="G35" s="118">
        <f t="shared" si="0"/>
        <v>0.67056008404101763</v>
      </c>
      <c r="H35" s="118">
        <f t="shared" si="1"/>
        <v>0.32943991595898237</v>
      </c>
      <c r="I35" s="118">
        <f t="shared" si="2"/>
        <v>1.3411201680820353</v>
      </c>
      <c r="J35" s="107">
        <f t="shared" si="3"/>
        <v>1.6705600840410177</v>
      </c>
    </row>
    <row r="36" spans="6:10" s="94" customFormat="1" ht="16" customHeight="1">
      <c r="F36" s="117">
        <f t="shared" si="4"/>
        <v>-0.72999999999999976</v>
      </c>
      <c r="G36" s="118">
        <f t="shared" si="0"/>
        <v>0.68148706976747442</v>
      </c>
      <c r="H36" s="118">
        <f t="shared" si="1"/>
        <v>0.31851293023252558</v>
      </c>
      <c r="I36" s="118">
        <f t="shared" si="2"/>
        <v>1.3629741395349488</v>
      </c>
      <c r="J36" s="107">
        <f t="shared" si="3"/>
        <v>1.6814870697674744</v>
      </c>
    </row>
    <row r="37" spans="6:10" s="94" customFormat="1" ht="16" customHeight="1">
      <c r="F37" s="117">
        <f t="shared" si="4"/>
        <v>-0.71999999999999975</v>
      </c>
      <c r="G37" s="118">
        <f t="shared" si="0"/>
        <v>0.69209639655936095</v>
      </c>
      <c r="H37" s="118">
        <f t="shared" si="1"/>
        <v>0.30790360344063905</v>
      </c>
      <c r="I37" s="118">
        <f t="shared" si="2"/>
        <v>1.3841927931187219</v>
      </c>
      <c r="J37" s="107">
        <f t="shared" si="3"/>
        <v>1.6920963965593609</v>
      </c>
    </row>
    <row r="38" spans="6:10" s="94" customFormat="1" ht="16" customHeight="1">
      <c r="F38" s="117">
        <f t="shared" si="4"/>
        <v>-0.70999999999999974</v>
      </c>
      <c r="G38" s="118">
        <f t="shared" si="0"/>
        <v>0.70240245865150397</v>
      </c>
      <c r="H38" s="118">
        <f t="shared" si="1"/>
        <v>0.29759754134849603</v>
      </c>
      <c r="I38" s="118">
        <f t="shared" si="2"/>
        <v>1.4048049173030079</v>
      </c>
      <c r="J38" s="107">
        <f t="shared" si="3"/>
        <v>1.7024024586515041</v>
      </c>
    </row>
    <row r="39" spans="6:10" s="94" customFormat="1" ht="16" customHeight="1">
      <c r="F39" s="117">
        <f t="shared" si="4"/>
        <v>-0.69999999999999973</v>
      </c>
      <c r="G39" s="118">
        <f t="shared" si="0"/>
        <v>0.7124184175243754</v>
      </c>
      <c r="H39" s="118">
        <f t="shared" si="1"/>
        <v>0.2875815824756246</v>
      </c>
      <c r="I39" s="118">
        <f t="shared" si="2"/>
        <v>1.4248368350487508</v>
      </c>
      <c r="J39" s="107">
        <f t="shared" si="3"/>
        <v>1.7124184175243755</v>
      </c>
    </row>
    <row r="40" spans="6:10" s="94" customFormat="1" ht="16" customHeight="1">
      <c r="F40" s="117">
        <f t="shared" si="4"/>
        <v>-0.68999999999999972</v>
      </c>
      <c r="G40" s="118">
        <f t="shared" si="0"/>
        <v>0.72215634405246654</v>
      </c>
      <c r="H40" s="118">
        <f t="shared" si="1"/>
        <v>0.27784365594753346</v>
      </c>
      <c r="I40" s="118">
        <f t="shared" si="2"/>
        <v>1.4443126881049331</v>
      </c>
      <c r="J40" s="107">
        <f t="shared" si="3"/>
        <v>1.7221563440524665</v>
      </c>
    </row>
    <row r="41" spans="6:10" s="94" customFormat="1" ht="16" customHeight="1">
      <c r="F41" s="117">
        <f t="shared" si="4"/>
        <v>-0.67999999999999972</v>
      </c>
      <c r="G41" s="118">
        <f t="shared" si="0"/>
        <v>0.73162734011349351</v>
      </c>
      <c r="H41" s="118">
        <f t="shared" si="1"/>
        <v>0.26837265988650649</v>
      </c>
      <c r="I41" s="118">
        <f t="shared" si="2"/>
        <v>1.463254680226987</v>
      </c>
      <c r="J41" s="107">
        <f t="shared" si="3"/>
        <v>1.7316273401134934</v>
      </c>
    </row>
    <row r="42" spans="6:10" s="94" customFormat="1" ht="16" customHeight="1">
      <c r="F42" s="117">
        <f t="shared" si="4"/>
        <v>-0.66999999999999971</v>
      </c>
      <c r="G42" s="118">
        <f t="shared" si="0"/>
        <v>0.74084164317814793</v>
      </c>
      <c r="H42" s="118">
        <f t="shared" si="1"/>
        <v>0.25915835682185207</v>
      </c>
      <c r="I42" s="118">
        <f t="shared" si="2"/>
        <v>1.4816832863562959</v>
      </c>
      <c r="J42" s="107">
        <f t="shared" si="3"/>
        <v>1.7408416431781479</v>
      </c>
    </row>
    <row r="43" spans="6:10" s="94" customFormat="1" ht="16" customHeight="1">
      <c r="F43" s="117">
        <f t="shared" si="4"/>
        <v>-0.6599999999999997</v>
      </c>
      <c r="G43" s="118">
        <f t="shared" si="0"/>
        <v>0.7498087167079901</v>
      </c>
      <c r="H43" s="118">
        <f t="shared" si="1"/>
        <v>0.2501912832920099</v>
      </c>
      <c r="I43" s="118">
        <f t="shared" si="2"/>
        <v>1.4996174334159802</v>
      </c>
      <c r="J43" s="107">
        <f t="shared" si="3"/>
        <v>1.7498087167079901</v>
      </c>
    </row>
    <row r="44" spans="6:10" s="94" customFormat="1" ht="16" customHeight="1">
      <c r="F44" s="117">
        <f t="shared" si="4"/>
        <v>-0.64999999999999969</v>
      </c>
      <c r="G44" s="118">
        <f t="shared" si="0"/>
        <v>0.75853732864948675</v>
      </c>
      <c r="H44" s="118">
        <f t="shared" si="1"/>
        <v>0.24146267135051325</v>
      </c>
      <c r="I44" s="118">
        <f t="shared" si="2"/>
        <v>1.5170746572989735</v>
      </c>
      <c r="J44" s="107">
        <f t="shared" si="3"/>
        <v>1.7585373286494868</v>
      </c>
    </row>
    <row r="45" spans="6:10" s="94" customFormat="1" ht="16" customHeight="1">
      <c r="F45" s="117">
        <f t="shared" si="4"/>
        <v>-0.63999999999999968</v>
      </c>
      <c r="G45" s="118">
        <f t="shared" si="0"/>
        <v>0.76703561988811686</v>
      </c>
      <c r="H45" s="118">
        <f t="shared" si="1"/>
        <v>0.23296438011188314</v>
      </c>
      <c r="I45" s="118">
        <f t="shared" si="2"/>
        <v>1.5340712397762337</v>
      </c>
      <c r="J45" s="107">
        <f t="shared" si="3"/>
        <v>1.7670356198881167</v>
      </c>
    </row>
    <row r="46" spans="6:10" s="94" customFormat="1" ht="16" customHeight="1">
      <c r="F46" s="117">
        <f t="shared" si="4"/>
        <v>-0.62999999999999967</v>
      </c>
      <c r="G46" s="118">
        <f t="shared" si="0"/>
        <v>0.77531116419062851</v>
      </c>
      <c r="H46" s="118">
        <f t="shared" si="1"/>
        <v>0.22468883580937149</v>
      </c>
      <c r="I46" s="118">
        <f t="shared" si="2"/>
        <v>1.550622328381257</v>
      </c>
      <c r="J46" s="107">
        <f t="shared" si="3"/>
        <v>1.7753111641906285</v>
      </c>
    </row>
    <row r="47" spans="6:10" s="94" customFormat="1" ht="16" customHeight="1">
      <c r="F47" s="117">
        <f t="shared" si="4"/>
        <v>-0.61999999999999966</v>
      </c>
      <c r="G47" s="118">
        <f t="shared" si="0"/>
        <v>0.78337102089567978</v>
      </c>
      <c r="H47" s="118">
        <f t="shared" si="1"/>
        <v>0.21662897910432022</v>
      </c>
      <c r="I47" s="118">
        <f t="shared" si="2"/>
        <v>1.5667420417913596</v>
      </c>
      <c r="J47" s="107">
        <f t="shared" si="3"/>
        <v>1.7833710208956797</v>
      </c>
    </row>
    <row r="48" spans="6:10" s="94" customFormat="1" ht="16" customHeight="1">
      <c r="F48" s="117">
        <f t="shared" si="4"/>
        <v>-0.60999999999999965</v>
      </c>
      <c r="G48" s="118">
        <f t="shared" si="0"/>
        <v>0.79122178139803712</v>
      </c>
      <c r="H48" s="118">
        <f t="shared" si="1"/>
        <v>0.20877821860196288</v>
      </c>
      <c r="I48" s="118">
        <f t="shared" si="2"/>
        <v>1.5824435627960742</v>
      </c>
      <c r="J48" s="107">
        <f t="shared" si="3"/>
        <v>1.7912217813980371</v>
      </c>
    </row>
    <row r="49" spans="6:10" s="94" customFormat="1" ht="16" customHeight="1">
      <c r="F49" s="117">
        <f t="shared" si="4"/>
        <v>-0.59999999999999964</v>
      </c>
      <c r="G49" s="118">
        <f t="shared" si="0"/>
        <v>0.79886961029773729</v>
      </c>
      <c r="H49" s="118">
        <f t="shared" si="1"/>
        <v>0.20113038970226271</v>
      </c>
      <c r="I49" s="118">
        <f t="shared" si="2"/>
        <v>1.5977392205954746</v>
      </c>
      <c r="J49" s="107">
        <f t="shared" si="3"/>
        <v>1.7988696102977373</v>
      </c>
    </row>
    <row r="50" spans="6:10" s="94" customFormat="1" ht="16" customHeight="1">
      <c r="F50" s="117">
        <f t="shared" si="4"/>
        <v>-0.58999999999999964</v>
      </c>
      <c r="G50" s="118">
        <f t="shared" si="0"/>
        <v>0.80632028194438088</v>
      </c>
      <c r="H50" s="118">
        <f t="shared" si="1"/>
        <v>0.19367971805561912</v>
      </c>
      <c r="I50" s="118">
        <f t="shared" si="2"/>
        <v>1.6126405638887618</v>
      </c>
      <c r="J50" s="107">
        <f t="shared" si="3"/>
        <v>1.8063202819443809</v>
      </c>
    </row>
    <row r="51" spans="6:10" s="94" customFormat="1" ht="16" customHeight="1">
      <c r="F51" s="117">
        <f t="shared" si="4"/>
        <v>-0.57999999999999963</v>
      </c>
      <c r="G51" s="118">
        <f t="shared" si="0"/>
        <v>0.81357921299127667</v>
      </c>
      <c r="H51" s="118">
        <f t="shared" si="1"/>
        <v>0.18642078700872333</v>
      </c>
      <c r="I51" s="118">
        <f t="shared" si="2"/>
        <v>1.6271584259825533</v>
      </c>
      <c r="J51" s="107">
        <f t="shared" si="3"/>
        <v>1.8135792129912767</v>
      </c>
    </row>
    <row r="52" spans="6:10" s="94" customFormat="1" ht="16" customHeight="1">
      <c r="F52" s="117">
        <f t="shared" si="4"/>
        <v>-0.56999999999999962</v>
      </c>
      <c r="G52" s="118">
        <f t="shared" si="0"/>
        <v>0.82065149147928562</v>
      </c>
      <c r="H52" s="118">
        <f t="shared" si="1"/>
        <v>0.17934850852071438</v>
      </c>
      <c r="I52" s="118">
        <f t="shared" si="2"/>
        <v>1.6413029829585712</v>
      </c>
      <c r="J52" s="107">
        <f t="shared" si="3"/>
        <v>1.8206514914792855</v>
      </c>
    </row>
    <row r="53" spans="6:10" s="94" customFormat="1" ht="16" customHeight="1">
      <c r="F53" s="117">
        <f t="shared" si="4"/>
        <v>-0.55999999999999961</v>
      </c>
      <c r="G53" s="118">
        <f t="shared" si="0"/>
        <v>0.8275419028918588</v>
      </c>
      <c r="H53" s="118">
        <f t="shared" si="1"/>
        <v>0.1724580971081412</v>
      </c>
      <c r="I53" s="118">
        <f t="shared" si="2"/>
        <v>1.6550838057837176</v>
      </c>
      <c r="J53" s="107">
        <f t="shared" si="3"/>
        <v>1.8275419028918587</v>
      </c>
    </row>
    <row r="54" spans="6:10" s="94" customFormat="1" ht="16" customHeight="1">
      <c r="F54" s="117">
        <f t="shared" si="4"/>
        <v>-0.5499999999999996</v>
      </c>
      <c r="G54" s="118">
        <f t="shared" si="0"/>
        <v>0.83425495355773183</v>
      </c>
      <c r="H54" s="118">
        <f t="shared" si="1"/>
        <v>0.16574504644226817</v>
      </c>
      <c r="I54" s="118">
        <f t="shared" si="2"/>
        <v>1.6685099071154637</v>
      </c>
      <c r="J54" s="107">
        <f t="shared" si="3"/>
        <v>1.8342549535577319</v>
      </c>
    </row>
    <row r="55" spans="6:10" s="94" customFormat="1" ht="16" customHeight="1">
      <c r="F55" s="117">
        <f t="shared" si="4"/>
        <v>-0.53999999999999959</v>
      </c>
      <c r="G55" s="118">
        <f t="shared" si="0"/>
        <v>0.84079489172352828</v>
      </c>
      <c r="H55" s="118">
        <f t="shared" si="1"/>
        <v>0.15920510827647172</v>
      </c>
      <c r="I55" s="118">
        <f t="shared" si="2"/>
        <v>1.6815897834470566</v>
      </c>
      <c r="J55" s="107">
        <f t="shared" si="3"/>
        <v>1.8407948917235282</v>
      </c>
    </row>
    <row r="56" spans="6:10" s="94" customFormat="1" ht="16" customHeight="1">
      <c r="F56" s="117">
        <f t="shared" si="4"/>
        <v>-0.52999999999999958</v>
      </c>
      <c r="G56" s="118">
        <f t="shared" si="0"/>
        <v>0.84716572657312916</v>
      </c>
      <c r="H56" s="118">
        <f t="shared" si="1"/>
        <v>0.15283427342687084</v>
      </c>
      <c r="I56" s="118">
        <f t="shared" si="2"/>
        <v>1.6943314531462583</v>
      </c>
      <c r="J56" s="107">
        <f t="shared" si="3"/>
        <v>1.8471657265731292</v>
      </c>
    </row>
    <row r="57" spans="6:10" s="94" customFormat="1" ht="16" customHeight="1">
      <c r="F57" s="117">
        <f t="shared" si="4"/>
        <v>-0.51999999999999957</v>
      </c>
      <c r="G57" s="118">
        <f t="shared" si="0"/>
        <v>0.8533712454324951</v>
      </c>
      <c r="H57" s="118">
        <f t="shared" si="1"/>
        <v>0.1466287545675049</v>
      </c>
      <c r="I57" s="118">
        <f t="shared" si="2"/>
        <v>1.7067424908649902</v>
      </c>
      <c r="J57" s="107">
        <f t="shared" si="3"/>
        <v>1.8533712454324951</v>
      </c>
    </row>
    <row r="58" spans="6:10" s="94" customFormat="1" ht="16" customHeight="1">
      <c r="F58" s="117">
        <f t="shared" si="4"/>
        <v>-0.50999999999999956</v>
      </c>
      <c r="G58" s="118">
        <f t="shared" si="0"/>
        <v>0.85941502936641123</v>
      </c>
      <c r="H58" s="118">
        <f t="shared" si="1"/>
        <v>0.14058497063358877</v>
      </c>
      <c r="I58" s="118">
        <f t="shared" si="2"/>
        <v>1.7188300587328225</v>
      </c>
      <c r="J58" s="107">
        <f t="shared" si="3"/>
        <v>1.8594150293664113</v>
      </c>
    </row>
    <row r="59" spans="6:10" s="94" customFormat="1" ht="16" customHeight="1">
      <c r="F59" s="117">
        <f t="shared" si="4"/>
        <v>-0.49999999999999956</v>
      </c>
      <c r="G59" s="118">
        <f t="shared" si="0"/>
        <v>0.86530046734632193</v>
      </c>
      <c r="H59" s="118">
        <f t="shared" si="1"/>
        <v>0.13469953265367807</v>
      </c>
      <c r="I59" s="118">
        <f t="shared" si="2"/>
        <v>1.7306009346926439</v>
      </c>
      <c r="J59" s="107">
        <f t="shared" si="3"/>
        <v>1.865300467346322</v>
      </c>
    </row>
    <row r="60" spans="6:10" s="94" customFormat="1" ht="16" customHeight="1">
      <c r="F60" s="117">
        <f t="shared" si="4"/>
        <v>-0.48999999999999955</v>
      </c>
      <c r="G60" s="118">
        <f t="shared" si="0"/>
        <v>0.87103076914520561</v>
      </c>
      <c r="H60" s="118">
        <f t="shared" si="1"/>
        <v>0.12896923085479439</v>
      </c>
      <c r="I60" s="118">
        <f t="shared" si="2"/>
        <v>1.7420615382904112</v>
      </c>
      <c r="J60" s="107">
        <f t="shared" si="3"/>
        <v>1.8710307691452055</v>
      </c>
    </row>
    <row r="61" spans="6:10" s="94" customFormat="1" ht="16" customHeight="1">
      <c r="F61" s="117">
        <f t="shared" si="4"/>
        <v>-0.47999999999999954</v>
      </c>
      <c r="G61" s="118">
        <f t="shared" si="0"/>
        <v>0.87660897709562946</v>
      </c>
      <c r="H61" s="118">
        <f t="shared" si="1"/>
        <v>0.12339102290437054</v>
      </c>
      <c r="I61" s="118">
        <f t="shared" si="2"/>
        <v>1.7532179541912589</v>
      </c>
      <c r="J61" s="107">
        <f t="shared" si="3"/>
        <v>1.8766089770956293</v>
      </c>
    </row>
    <row r="62" spans="6:10" s="94" customFormat="1" ht="16" customHeight="1">
      <c r="F62" s="117">
        <f t="shared" si="4"/>
        <v>-0.46999999999999953</v>
      </c>
      <c r="G62" s="118">
        <f t="shared" si="0"/>
        <v>0.88203797683015595</v>
      </c>
      <c r="H62" s="118">
        <f t="shared" si="1"/>
        <v>0.11796202316984405</v>
      </c>
      <c r="I62" s="118">
        <f t="shared" si="2"/>
        <v>1.7640759536603119</v>
      </c>
      <c r="J62" s="107">
        <f t="shared" si="3"/>
        <v>1.8820379768301558</v>
      </c>
    </row>
    <row r="63" spans="6:10" s="94" customFormat="1" ht="16" customHeight="1">
      <c r="F63" s="117">
        <f t="shared" si="4"/>
        <v>-0.45999999999999952</v>
      </c>
      <c r="G63" s="118">
        <f t="shared" si="0"/>
        <v>0.88732050710870847</v>
      </c>
      <c r="H63" s="118">
        <f t="shared" si="1"/>
        <v>0.11267949289129153</v>
      </c>
      <c r="I63" s="118">
        <f t="shared" si="2"/>
        <v>1.7746410142174169</v>
      </c>
      <c r="J63" s="107">
        <f t="shared" si="3"/>
        <v>1.8873205071087085</v>
      </c>
    </row>
    <row r="64" spans="6:10" ht="16">
      <c r="F64" s="117">
        <f t="shared" si="4"/>
        <v>-0.44999999999999951</v>
      </c>
      <c r="G64" s="118">
        <f t="shared" si="0"/>
        <v>0.89245916882494303</v>
      </c>
      <c r="H64" s="118">
        <f t="shared" si="1"/>
        <v>0.10754083117505697</v>
      </c>
      <c r="I64" s="118">
        <f t="shared" si="2"/>
        <v>1.7849183376498861</v>
      </c>
      <c r="J64" s="107">
        <f t="shared" si="3"/>
        <v>1.892459168824943</v>
      </c>
    </row>
    <row r="65" spans="6:10" ht="16">
      <c r="F65" s="117">
        <f t="shared" si="4"/>
        <v>-0.4399999999999995</v>
      </c>
      <c r="G65" s="118">
        <f t="shared" si="0"/>
        <v>0.89745643327283176</v>
      </c>
      <c r="H65" s="118">
        <f t="shared" si="1"/>
        <v>0.10254356672716824</v>
      </c>
      <c r="I65" s="118">
        <f t="shared" si="2"/>
        <v>1.7949128665456635</v>
      </c>
      <c r="J65" s="107">
        <f t="shared" si="3"/>
        <v>1.8974564332728319</v>
      </c>
    </row>
    <row r="66" spans="6:10" ht="16">
      <c r="F66" s="117">
        <f t="shared" si="4"/>
        <v>-0.42999999999999949</v>
      </c>
      <c r="G66" s="118">
        <f t="shared" si="0"/>
        <v>0.90231464974525877</v>
      </c>
      <c r="H66" s="118">
        <f t="shared" si="1"/>
        <v>9.7685350254741232E-2</v>
      </c>
      <c r="I66" s="118">
        <f t="shared" si="2"/>
        <v>1.8046292994905175</v>
      </c>
      <c r="J66" s="107">
        <f t="shared" si="3"/>
        <v>1.9023146497452588</v>
      </c>
    </row>
    <row r="67" spans="6:10" ht="16">
      <c r="F67" s="117">
        <f t="shared" si="4"/>
        <v>-0.41999999999999948</v>
      </c>
      <c r="G67" s="118">
        <f t="shared" si="0"/>
        <v>0.90703605252826469</v>
      </c>
      <c r="H67" s="118">
        <f t="shared" si="1"/>
        <v>9.2963947471735309E-2</v>
      </c>
      <c r="I67" s="118">
        <f t="shared" si="2"/>
        <v>1.8140721050565294</v>
      </c>
      <c r="J67" s="107">
        <f t="shared" si="3"/>
        <v>1.9070360525282646</v>
      </c>
    </row>
    <row r="68" spans="6:10" ht="16">
      <c r="F68" s="117">
        <f t="shared" si="4"/>
        <v>-0.40999999999999948</v>
      </c>
      <c r="G68" s="118">
        <f t="shared" si="0"/>
        <v>0.91162276734745762</v>
      </c>
      <c r="H68" s="118">
        <f t="shared" si="1"/>
        <v>8.8377232652542381E-2</v>
      </c>
      <c r="I68" s="118">
        <f t="shared" si="2"/>
        <v>1.8232455346949152</v>
      </c>
      <c r="J68" s="107">
        <f t="shared" si="3"/>
        <v>1.9116227673474575</v>
      </c>
    </row>
    <row r="69" spans="6:10" ht="16">
      <c r="F69" s="117">
        <f t="shared" si="4"/>
        <v>-0.39999999999999947</v>
      </c>
      <c r="G69" s="118">
        <f t="shared" si="0"/>
        <v>0.91607681731689328</v>
      </c>
      <c r="H69" s="118">
        <f t="shared" si="1"/>
        <v>8.3923182683106723E-2</v>
      </c>
      <c r="I69" s="118">
        <f t="shared" si="2"/>
        <v>1.8321536346337866</v>
      </c>
      <c r="J69" s="107">
        <f t="shared" si="3"/>
        <v>1.9160768173168932</v>
      </c>
    </row>
    <row r="70" spans="6:10" ht="16">
      <c r="F70" s="117">
        <f t="shared" si="4"/>
        <v>-0.38999999999999946</v>
      </c>
      <c r="G70" s="118">
        <f t="shared" si="0"/>
        <v>0.92040012843528662</v>
      </c>
      <c r="H70" s="118">
        <f t="shared" si="1"/>
        <v>7.9599871564713376E-2</v>
      </c>
      <c r="I70" s="118">
        <f t="shared" si="2"/>
        <v>1.8408002568705732</v>
      </c>
      <c r="J70" s="107">
        <f t="shared" si="3"/>
        <v>1.9204001284352867</v>
      </c>
    </row>
    <row r="71" spans="6:10" ht="16">
      <c r="F71" s="117">
        <f t="shared" si="4"/>
        <v>-0.37999999999999945</v>
      </c>
      <c r="G71" s="118">
        <f t="shared" si="0"/>
        <v>0.92459453466963959</v>
      </c>
      <c r="H71" s="118">
        <f t="shared" si="1"/>
        <v>7.5405465330360411E-2</v>
      </c>
      <c r="I71" s="118">
        <f t="shared" si="2"/>
        <v>1.8491890693392792</v>
      </c>
      <c r="J71" s="107">
        <f t="shared" si="3"/>
        <v>1.9245945346696396</v>
      </c>
    </row>
    <row r="72" spans="6:10" ht="16">
      <c r="F72" s="117">
        <f t="shared" si="4"/>
        <v>-0.36999999999999944</v>
      </c>
      <c r="G72" s="118">
        <f t="shared" si="0"/>
        <v>0.92866178266216726</v>
      </c>
      <c r="H72" s="118">
        <f t="shared" si="1"/>
        <v>7.1338217337832743E-2</v>
      </c>
      <c r="I72" s="118">
        <f t="shared" si="2"/>
        <v>1.8573235653243345</v>
      </c>
      <c r="J72" s="107">
        <f t="shared" si="3"/>
        <v>1.9286617826621673</v>
      </c>
    </row>
    <row r="73" spans="6:10" ht="16">
      <c r="F73" s="117">
        <f t="shared" si="4"/>
        <v>-0.35999999999999943</v>
      </c>
      <c r="G73" s="118">
        <f t="shared" ref="G73:G136" si="7">IFERROR(IF(SQRT(1-(F73*F73)/($J$5*$J$5))&lt;0.05,0,SQRT(1-(F73*F73)/($J$5*$J$5))),0)</f>
        <v>0.93260353609270286</v>
      </c>
      <c r="H73" s="118">
        <f t="shared" ref="H73:H136" si="8">CHOOSE(MATCH($J$3,degrees),IF(F73&lt;0,IFERROR(1-G73,1),0),0,0,IF(F73&gt;0,IFERROR(1-G73,1),0))</f>
        <v>6.7396463907297144E-2</v>
      </c>
      <c r="I73" s="118">
        <f t="shared" ref="I73:I136" si="9">CHOOSE(MATCH($J$3,degrees),IF(F73&lt;0,2*G73,2),IF(F73&lt;0,0,1-G73),IF(F73&gt;0,0,1-G73),IF(F73&gt;0,2*G73,2))</f>
        <v>1.8652070721854057</v>
      </c>
      <c r="J73" s="107">
        <f t="shared" ref="J73:J136" si="10">CHOOSE(MATCH($J$3,degrees),IF(F73&lt;0,G73+1,2),IF(F73&lt;0,2,2*G73),IF(F73&gt;0,2,2*G73),IF(F73&gt;0,G73+1,2))</f>
        <v>1.932603536092703</v>
      </c>
    </row>
    <row r="74" spans="6:10" ht="16">
      <c r="F74" s="117">
        <f t="shared" ref="F74:F137" si="11">F73+$G$4</f>
        <v>-0.34999999999999942</v>
      </c>
      <c r="G74" s="118">
        <f t="shared" si="7"/>
        <v>0.93642137972548667</v>
      </c>
      <c r="H74" s="118">
        <f t="shared" si="8"/>
        <v>6.3578620274513331E-2</v>
      </c>
      <c r="I74" s="118">
        <f t="shared" si="9"/>
        <v>1.8728427594509733</v>
      </c>
      <c r="J74" s="107">
        <f t="shared" si="10"/>
        <v>1.9364213797254868</v>
      </c>
    </row>
    <row r="75" spans="6:10" ht="16">
      <c r="F75" s="117">
        <f t="shared" si="11"/>
        <v>-0.33999999999999941</v>
      </c>
      <c r="G75" s="118">
        <f t="shared" si="7"/>
        <v>0.94011682316634815</v>
      </c>
      <c r="H75" s="118">
        <f t="shared" si="8"/>
        <v>5.9883176833651852E-2</v>
      </c>
      <c r="I75" s="118">
        <f t="shared" si="9"/>
        <v>1.8802336463326963</v>
      </c>
      <c r="J75" s="107">
        <f t="shared" si="10"/>
        <v>1.9401168231663481</v>
      </c>
    </row>
    <row r="76" spans="6:10" ht="16">
      <c r="F76" s="117">
        <f t="shared" si="11"/>
        <v>-0.3299999999999994</v>
      </c>
      <c r="G76" s="118">
        <f t="shared" si="7"/>
        <v>0.94369130435371773</v>
      </c>
      <c r="H76" s="118">
        <f t="shared" si="8"/>
        <v>5.630869564628227E-2</v>
      </c>
      <c r="I76" s="118">
        <f t="shared" si="9"/>
        <v>1.8873826087074355</v>
      </c>
      <c r="J76" s="107">
        <f t="shared" si="10"/>
        <v>1.9436913043537176</v>
      </c>
    </row>
    <row r="77" spans="6:10" ht="16">
      <c r="F77" s="117">
        <f t="shared" si="11"/>
        <v>-0.3199999999999994</v>
      </c>
      <c r="G77" s="118">
        <f t="shared" si="7"/>
        <v>0.94714619280462042</v>
      </c>
      <c r="H77" s="118">
        <f t="shared" si="8"/>
        <v>5.2853807195379576E-2</v>
      </c>
      <c r="I77" s="118">
        <f t="shared" si="9"/>
        <v>1.8942923856092408</v>
      </c>
      <c r="J77" s="107">
        <f t="shared" si="10"/>
        <v>1.9471461928046203</v>
      </c>
    </row>
    <row r="78" spans="6:10" ht="16">
      <c r="F78" s="117">
        <f t="shared" si="11"/>
        <v>-0.30999999999999939</v>
      </c>
      <c r="G78" s="118">
        <f t="shared" si="7"/>
        <v>0.95048279263476687</v>
      </c>
      <c r="H78" s="118">
        <f t="shared" si="8"/>
        <v>4.9517207365233129E-2</v>
      </c>
      <c r="I78" s="118">
        <f t="shared" si="9"/>
        <v>1.9009655852695337</v>
      </c>
      <c r="J78" s="107">
        <f t="shared" si="10"/>
        <v>1.9504827926347668</v>
      </c>
    </row>
    <row r="79" spans="6:10" ht="16">
      <c r="F79" s="117">
        <f t="shared" si="11"/>
        <v>-0.29999999999999938</v>
      </c>
      <c r="G79" s="118">
        <f t="shared" si="7"/>
        <v>0.95370234537003995</v>
      </c>
      <c r="H79" s="118">
        <f t="shared" si="8"/>
        <v>4.629765462996005E-2</v>
      </c>
      <c r="I79" s="118">
        <f t="shared" si="9"/>
        <v>1.9074046907400799</v>
      </c>
      <c r="J79" s="107">
        <f t="shared" si="10"/>
        <v>1.95370234537004</v>
      </c>
    </row>
    <row r="80" spans="6:10" ht="16">
      <c r="F80" s="117">
        <f t="shared" si="11"/>
        <v>-0.28999999999999937</v>
      </c>
      <c r="G80" s="118">
        <f t="shared" si="7"/>
        <v>0.95680603256505259</v>
      </c>
      <c r="H80" s="118">
        <f t="shared" si="8"/>
        <v>4.3193967434947411E-2</v>
      </c>
      <c r="I80" s="118">
        <f t="shared" si="9"/>
        <v>1.9136120651301052</v>
      </c>
      <c r="J80" s="107">
        <f t="shared" si="10"/>
        <v>1.9568060325650527</v>
      </c>
    </row>
    <row r="81" spans="6:10" ht="16">
      <c r="F81" s="117">
        <f t="shared" si="11"/>
        <v>-0.27999999999999936</v>
      </c>
      <c r="G81" s="118">
        <f t="shared" si="7"/>
        <v>0.95979497824299431</v>
      </c>
      <c r="H81" s="118">
        <f t="shared" si="8"/>
        <v>4.0205021757005688E-2</v>
      </c>
      <c r="I81" s="118">
        <f t="shared" si="9"/>
        <v>1.9195899564859886</v>
      </c>
      <c r="J81" s="107">
        <f t="shared" si="10"/>
        <v>1.9597949782429942</v>
      </c>
    </row>
    <row r="82" spans="6:10" ht="16">
      <c r="F82" s="117">
        <f t="shared" si="11"/>
        <v>-0.26999999999999935</v>
      </c>
      <c r="G82" s="118">
        <f t="shared" si="7"/>
        <v>0.96267025116968019</v>
      </c>
      <c r="H82" s="118">
        <f t="shared" si="8"/>
        <v>3.7329748830319809E-2</v>
      </c>
      <c r="I82" s="118">
        <f t="shared" si="9"/>
        <v>1.9253405023393604</v>
      </c>
      <c r="J82" s="107">
        <f t="shared" si="10"/>
        <v>1.9626702511696803</v>
      </c>
    </row>
    <row r="83" spans="6:10" ht="16">
      <c r="F83" s="117">
        <f t="shared" si="11"/>
        <v>-0.25999999999999934</v>
      </c>
      <c r="G83" s="118">
        <f t="shared" si="7"/>
        <v>0.96543286697354169</v>
      </c>
      <c r="H83" s="118">
        <f t="shared" si="8"/>
        <v>3.4567133026458308E-2</v>
      </c>
      <c r="I83" s="118">
        <f t="shared" si="9"/>
        <v>1.9308657339470834</v>
      </c>
      <c r="J83" s="107">
        <f t="shared" si="10"/>
        <v>1.9654328669735417</v>
      </c>
    </row>
    <row r="84" spans="6:10" ht="16">
      <c r="F84" s="117">
        <f t="shared" si="11"/>
        <v>-0.24999999999999933</v>
      </c>
      <c r="G84" s="118">
        <f t="shared" si="7"/>
        <v>0.96808379012223988</v>
      </c>
      <c r="H84" s="118">
        <f t="shared" si="8"/>
        <v>3.1916209877760116E-2</v>
      </c>
      <c r="I84" s="118">
        <f t="shared" si="9"/>
        <v>1.9361675802444798</v>
      </c>
      <c r="J84" s="107">
        <f t="shared" si="10"/>
        <v>1.9680837901222399</v>
      </c>
    </row>
    <row r="85" spans="6:10" ht="16">
      <c r="F85" s="117">
        <f t="shared" si="11"/>
        <v>-0.23999999999999932</v>
      </c>
      <c r="G85" s="118">
        <f t="shared" si="7"/>
        <v>0.97062393576562989</v>
      </c>
      <c r="H85" s="118">
        <f t="shared" si="8"/>
        <v>2.9376064234370114E-2</v>
      </c>
      <c r="I85" s="118">
        <f t="shared" si="9"/>
        <v>1.9412478715312598</v>
      </c>
      <c r="J85" s="107">
        <f t="shared" si="10"/>
        <v>1.9706239357656299</v>
      </c>
    </row>
    <row r="86" spans="6:10" ht="16">
      <c r="F86" s="117">
        <f t="shared" si="11"/>
        <v>-0.22999999999999932</v>
      </c>
      <c r="G86" s="118">
        <f t="shared" si="7"/>
        <v>0.97305417145394024</v>
      </c>
      <c r="H86" s="118">
        <f t="shared" si="8"/>
        <v>2.6945828546059758E-2</v>
      </c>
      <c r="I86" s="118">
        <f t="shared" si="9"/>
        <v>1.9461083429078805</v>
      </c>
      <c r="J86" s="107">
        <f t="shared" si="10"/>
        <v>1.9730541714539402</v>
      </c>
    </row>
    <row r="87" spans="6:10" ht="16">
      <c r="F87" s="117">
        <f t="shared" si="11"/>
        <v>-0.21999999999999931</v>
      </c>
      <c r="G87" s="118">
        <f t="shared" si="7"/>
        <v>0.97537531873925243</v>
      </c>
      <c r="H87" s="118">
        <f t="shared" si="8"/>
        <v>2.4624681260747572E-2</v>
      </c>
      <c r="I87" s="118">
        <f t="shared" si="9"/>
        <v>1.9507506374785049</v>
      </c>
      <c r="J87" s="107">
        <f t="shared" si="10"/>
        <v>1.9753753187392524</v>
      </c>
    </row>
    <row r="88" spans="6:10" ht="16">
      <c r="F88" s="117">
        <f t="shared" si="11"/>
        <v>-0.2099999999999993</v>
      </c>
      <c r="G88" s="118">
        <f t="shared" si="7"/>
        <v>0.97758815466765681</v>
      </c>
      <c r="H88" s="118">
        <f t="shared" si="8"/>
        <v>2.2411845332343194E-2</v>
      </c>
      <c r="I88" s="118">
        <f t="shared" si="9"/>
        <v>1.9551763093353136</v>
      </c>
      <c r="J88" s="107">
        <f t="shared" si="10"/>
        <v>1.9775881546676568</v>
      </c>
    </row>
    <row r="89" spans="6:10" ht="16">
      <c r="F89" s="117">
        <f t="shared" si="11"/>
        <v>-0.19999999999999929</v>
      </c>
      <c r="G89" s="118">
        <f t="shared" si="7"/>
        <v>0.97969341316881497</v>
      </c>
      <c r="H89" s="118">
        <f t="shared" si="8"/>
        <v>2.0306586831185025E-2</v>
      </c>
      <c r="I89" s="118">
        <f t="shared" si="9"/>
        <v>1.9593868263376299</v>
      </c>
      <c r="J89" s="107">
        <f t="shared" si="10"/>
        <v>1.9796934131688149</v>
      </c>
    </row>
    <row r="90" spans="6:10" ht="16">
      <c r="F90" s="117">
        <f t="shared" si="11"/>
        <v>-0.18999999999999928</v>
      </c>
      <c r="G90" s="118">
        <f t="shared" si="7"/>
        <v>0.98169178634907706</v>
      </c>
      <c r="H90" s="118">
        <f t="shared" si="8"/>
        <v>1.8308213650922944E-2</v>
      </c>
      <c r="I90" s="118">
        <f t="shared" si="9"/>
        <v>1.9633835726981541</v>
      </c>
      <c r="J90" s="107">
        <f t="shared" si="10"/>
        <v>1.9816917863490771</v>
      </c>
    </row>
    <row r="91" spans="6:10" ht="16">
      <c r="F91" s="117">
        <f t="shared" si="11"/>
        <v>-0.17999999999999927</v>
      </c>
      <c r="G91" s="118">
        <f t="shared" si="7"/>
        <v>0.98358392569376285</v>
      </c>
      <c r="H91" s="118">
        <f t="shared" si="8"/>
        <v>1.6416074306237149E-2</v>
      </c>
      <c r="I91" s="118">
        <f t="shared" si="9"/>
        <v>1.9671678513875257</v>
      </c>
      <c r="J91" s="107">
        <f t="shared" si="10"/>
        <v>1.9835839256937629</v>
      </c>
    </row>
    <row r="92" spans="6:10" ht="16">
      <c r="F92" s="117">
        <f t="shared" si="11"/>
        <v>-0.16999999999999926</v>
      </c>
      <c r="G92" s="118">
        <f t="shared" si="7"/>
        <v>0.98537044318372813</v>
      </c>
      <c r="H92" s="118">
        <f t="shared" si="8"/>
        <v>1.4629556816271871E-2</v>
      </c>
      <c r="I92" s="118">
        <f t="shared" si="9"/>
        <v>1.9707408863674563</v>
      </c>
      <c r="J92" s="107">
        <f t="shared" si="10"/>
        <v>1.985370443183728</v>
      </c>
    </row>
    <row r="93" spans="6:10" ht="16">
      <c r="F93" s="117">
        <f t="shared" si="11"/>
        <v>-0.15999999999999925</v>
      </c>
      <c r="G93" s="118">
        <f t="shared" si="7"/>
        <v>0.98705191233089251</v>
      </c>
      <c r="H93" s="118">
        <f t="shared" si="8"/>
        <v>1.2948087669107489E-2</v>
      </c>
      <c r="I93" s="118">
        <f t="shared" si="9"/>
        <v>1.974103824661785</v>
      </c>
      <c r="J93" s="107">
        <f t="shared" si="10"/>
        <v>1.9870519123308925</v>
      </c>
    </row>
    <row r="94" spans="6:10" ht="16">
      <c r="F94" s="117">
        <f t="shared" si="11"/>
        <v>-0.14999999999999925</v>
      </c>
      <c r="G94" s="118">
        <f t="shared" si="7"/>
        <v>0.98862886913698755</v>
      </c>
      <c r="H94" s="118">
        <f t="shared" si="8"/>
        <v>1.1371130863012446E-2</v>
      </c>
      <c r="I94" s="118">
        <f t="shared" si="9"/>
        <v>1.9772577382739751</v>
      </c>
      <c r="J94" s="107">
        <f t="shared" si="10"/>
        <v>1.9886288691369876</v>
      </c>
    </row>
    <row r="95" spans="6:10" ht="16">
      <c r="F95" s="117">
        <f t="shared" si="11"/>
        <v>-0.13999999999999924</v>
      </c>
      <c r="G95" s="118">
        <f t="shared" si="7"/>
        <v>0.99010181297941147</v>
      </c>
      <c r="H95" s="118">
        <f t="shared" si="8"/>
        <v>9.8981870205885336E-3</v>
      </c>
      <c r="I95" s="118">
        <f t="shared" si="9"/>
        <v>1.9802036259588229</v>
      </c>
      <c r="J95" s="107">
        <f t="shared" si="10"/>
        <v>1.9901018129794115</v>
      </c>
    </row>
    <row r="96" spans="6:10" ht="16">
      <c r="F96" s="117">
        <f t="shared" si="11"/>
        <v>-0.12999999999999923</v>
      </c>
      <c r="G96" s="118">
        <f t="shared" si="7"/>
        <v>0.99147120742772366</v>
      </c>
      <c r="H96" s="118">
        <f t="shared" si="8"/>
        <v>8.5287925722763447E-3</v>
      </c>
      <c r="I96" s="118">
        <f t="shared" si="9"/>
        <v>1.9829424148554473</v>
      </c>
      <c r="J96" s="107">
        <f t="shared" si="10"/>
        <v>1.9914712074277237</v>
      </c>
    </row>
    <row r="97" spans="6:10" ht="16">
      <c r="F97" s="117">
        <f t="shared" si="11"/>
        <v>-0.11999999999999923</v>
      </c>
      <c r="G97" s="118">
        <f t="shared" si="7"/>
        <v>0.99273748099398895</v>
      </c>
      <c r="H97" s="118">
        <f t="shared" si="8"/>
        <v>7.2625190060110478E-3</v>
      </c>
      <c r="I97" s="118">
        <f t="shared" si="9"/>
        <v>1.9854749619879779</v>
      </c>
      <c r="J97" s="107">
        <f t="shared" si="10"/>
        <v>1.9927374809939891</v>
      </c>
    </row>
    <row r="98" spans="6:10" ht="16">
      <c r="F98" s="117">
        <f t="shared" si="11"/>
        <v>-0.10999999999999924</v>
      </c>
      <c r="G98" s="118">
        <f t="shared" si="7"/>
        <v>0.99390102781988543</v>
      </c>
      <c r="H98" s="118">
        <f t="shared" si="8"/>
        <v>6.0989721801145702E-3</v>
      </c>
      <c r="I98" s="118">
        <f t="shared" si="9"/>
        <v>1.9878020556397709</v>
      </c>
      <c r="J98" s="107">
        <f t="shared" si="10"/>
        <v>1.9939010278198854</v>
      </c>
    </row>
    <row r="99" spans="6:10" ht="16">
      <c r="F99" s="117">
        <f t="shared" si="11"/>
        <v>-9.9999999999999242E-2</v>
      </c>
      <c r="G99" s="118">
        <f t="shared" si="7"/>
        <v>0.99496220830320514</v>
      </c>
      <c r="H99" s="118">
        <f t="shared" si="8"/>
        <v>5.0377916967948577E-3</v>
      </c>
      <c r="I99" s="118">
        <f t="shared" si="9"/>
        <v>1.9899244166064103</v>
      </c>
      <c r="J99" s="107">
        <f t="shared" si="10"/>
        <v>1.994962208303205</v>
      </c>
    </row>
    <row r="100" spans="6:10" ht="16">
      <c r="F100" s="117">
        <f t="shared" si="11"/>
        <v>-8.9999999999999247E-2</v>
      </c>
      <c r="G100" s="118">
        <f t="shared" si="7"/>
        <v>0.99592134966612123</v>
      </c>
      <c r="H100" s="118">
        <f t="shared" si="8"/>
        <v>4.078650333878775E-3</v>
      </c>
      <c r="I100" s="118">
        <f t="shared" si="9"/>
        <v>1.9918426993322425</v>
      </c>
      <c r="J100" s="107">
        <f t="shared" si="10"/>
        <v>1.9959213496661212</v>
      </c>
    </row>
    <row r="101" spans="6:10" ht="16">
      <c r="F101" s="117">
        <f t="shared" si="11"/>
        <v>-7.9999999999999252E-2</v>
      </c>
      <c r="G101" s="118">
        <f t="shared" si="7"/>
        <v>0.99677874646734821</v>
      </c>
      <c r="H101" s="118">
        <f t="shared" si="8"/>
        <v>3.221253532651791E-3</v>
      </c>
      <c r="I101" s="118">
        <f t="shared" si="9"/>
        <v>1.9935574929346964</v>
      </c>
      <c r="J101" s="107">
        <f t="shared" si="10"/>
        <v>1.9967787464673483</v>
      </c>
    </row>
    <row r="102" spans="6:10" ht="16">
      <c r="F102" s="117">
        <f t="shared" si="11"/>
        <v>-6.9999999999999257E-2</v>
      </c>
      <c r="G102" s="118">
        <f t="shared" si="7"/>
        <v>0.99753466106009547</v>
      </c>
      <c r="H102" s="118">
        <f t="shared" si="8"/>
        <v>2.4653389399045267E-3</v>
      </c>
      <c r="I102" s="118">
        <f t="shared" si="9"/>
        <v>1.9950693221201909</v>
      </c>
      <c r="J102" s="107">
        <f t="shared" si="10"/>
        <v>1.9975346610600955</v>
      </c>
    </row>
    <row r="103" spans="6:10" ht="16">
      <c r="F103" s="117">
        <f t="shared" si="11"/>
        <v>-5.9999999999999255E-2</v>
      </c>
      <c r="G103" s="118">
        <f t="shared" si="7"/>
        <v>0.99818932399749327</v>
      </c>
      <c r="H103" s="118">
        <f t="shared" si="8"/>
        <v>1.8106760025067281E-3</v>
      </c>
      <c r="I103" s="118">
        <f t="shared" si="9"/>
        <v>1.9963786479949865</v>
      </c>
      <c r="J103" s="107">
        <f t="shared" si="10"/>
        <v>1.9981893239974933</v>
      </c>
    </row>
    <row r="104" spans="6:10" ht="16">
      <c r="F104" s="117">
        <f t="shared" si="11"/>
        <v>-4.9999999999999253E-2</v>
      </c>
      <c r="G104" s="118">
        <f t="shared" si="7"/>
        <v>0.99874293438697115</v>
      </c>
      <c r="H104" s="118">
        <f t="shared" si="8"/>
        <v>1.2570656130288516E-3</v>
      </c>
      <c r="I104" s="118">
        <f t="shared" si="9"/>
        <v>1.9974858687739423</v>
      </c>
      <c r="J104" s="107">
        <f t="shared" si="10"/>
        <v>1.9987429343869711</v>
      </c>
    </row>
    <row r="105" spans="6:10" ht="16">
      <c r="F105" s="117">
        <f t="shared" si="11"/>
        <v>-3.9999999999999251E-2</v>
      </c>
      <c r="G105" s="118">
        <f t="shared" si="7"/>
        <v>0.99919566019486616</v>
      </c>
      <c r="H105" s="118">
        <f t="shared" si="8"/>
        <v>8.0433980513383574E-4</v>
      </c>
      <c r="I105" s="118">
        <f t="shared" si="9"/>
        <v>1.9983913203897323</v>
      </c>
      <c r="J105" s="107">
        <f t="shared" si="10"/>
        <v>1.9991956601948662</v>
      </c>
    </row>
    <row r="106" spans="6:10" ht="16">
      <c r="F106" s="117">
        <f t="shared" si="11"/>
        <v>-2.9999999999999249E-2</v>
      </c>
      <c r="G106" s="118">
        <f t="shared" si="7"/>
        <v>0.99954763850235928</v>
      </c>
      <c r="H106" s="118">
        <f t="shared" si="8"/>
        <v>4.5236149764071865E-4</v>
      </c>
      <c r="I106" s="118">
        <f t="shared" si="9"/>
        <v>1.9990952770047186</v>
      </c>
      <c r="J106" s="107">
        <f t="shared" si="10"/>
        <v>1.9995476385023592</v>
      </c>
    </row>
    <row r="107" spans="6:10" ht="16">
      <c r="F107" s="117">
        <f t="shared" si="11"/>
        <v>-1.9999999999999248E-2</v>
      </c>
      <c r="G107" s="118">
        <f t="shared" si="7"/>
        <v>0.99979897571364995</v>
      </c>
      <c r="H107" s="118">
        <f t="shared" si="8"/>
        <v>2.0102428635004888E-4</v>
      </c>
      <c r="I107" s="118">
        <f t="shared" si="9"/>
        <v>1.9995979514272999</v>
      </c>
      <c r="J107" s="107">
        <f t="shared" si="10"/>
        <v>1.9997989757136501</v>
      </c>
    </row>
    <row r="108" spans="6:10" ht="16">
      <c r="F108" s="117">
        <f t="shared" si="11"/>
        <v>-9.9999999999992473E-3</v>
      </c>
      <c r="G108" s="118">
        <f t="shared" si="7"/>
        <v>0.99994974771711198</v>
      </c>
      <c r="H108" s="118">
        <f t="shared" si="8"/>
        <v>5.0252282888019195E-5</v>
      </c>
      <c r="I108" s="118">
        <f t="shared" si="9"/>
        <v>1.999899495434224</v>
      </c>
      <c r="J108" s="107">
        <f t="shared" si="10"/>
        <v>1.999949747717112</v>
      </c>
    </row>
    <row r="109" spans="6:10" ht="16">
      <c r="F109" s="117">
        <f t="shared" si="11"/>
        <v>7.5286998857393428E-16</v>
      </c>
      <c r="G109" s="118">
        <f t="shared" si="7"/>
        <v>1</v>
      </c>
      <c r="H109" s="118">
        <f t="shared" si="8"/>
        <v>0</v>
      </c>
      <c r="I109" s="118">
        <f t="shared" si="9"/>
        <v>2</v>
      </c>
      <c r="J109" s="107">
        <f t="shared" si="10"/>
        <v>2</v>
      </c>
    </row>
    <row r="110" spans="6:10" ht="16">
      <c r="F110" s="117">
        <f t="shared" si="11"/>
        <v>1.0000000000000753E-2</v>
      </c>
      <c r="G110" s="118">
        <f t="shared" si="7"/>
        <v>0.99994974771711198</v>
      </c>
      <c r="H110" s="118">
        <f t="shared" si="8"/>
        <v>0</v>
      </c>
      <c r="I110" s="118">
        <f t="shared" si="9"/>
        <v>2</v>
      </c>
      <c r="J110" s="107">
        <f t="shared" si="10"/>
        <v>2</v>
      </c>
    </row>
    <row r="111" spans="6:10" ht="16">
      <c r="F111" s="117">
        <f t="shared" si="11"/>
        <v>2.0000000000000753E-2</v>
      </c>
      <c r="G111" s="118">
        <f t="shared" si="7"/>
        <v>0.99979897571364995</v>
      </c>
      <c r="H111" s="118">
        <f t="shared" si="8"/>
        <v>0</v>
      </c>
      <c r="I111" s="118">
        <f t="shared" si="9"/>
        <v>2</v>
      </c>
      <c r="J111" s="107">
        <f t="shared" si="10"/>
        <v>2</v>
      </c>
    </row>
    <row r="112" spans="6:10" ht="16">
      <c r="F112" s="117">
        <f t="shared" si="11"/>
        <v>3.0000000000000755E-2</v>
      </c>
      <c r="G112" s="118">
        <f t="shared" si="7"/>
        <v>0.99954763850235928</v>
      </c>
      <c r="H112" s="118">
        <f t="shared" si="8"/>
        <v>0</v>
      </c>
      <c r="I112" s="118">
        <f t="shared" si="9"/>
        <v>2</v>
      </c>
      <c r="J112" s="107">
        <f t="shared" si="10"/>
        <v>2</v>
      </c>
    </row>
    <row r="113" spans="6:10" ht="16">
      <c r="F113" s="117">
        <f t="shared" si="11"/>
        <v>4.0000000000000757E-2</v>
      </c>
      <c r="G113" s="118">
        <f t="shared" si="7"/>
        <v>0.99919566019486616</v>
      </c>
      <c r="H113" s="118">
        <f t="shared" si="8"/>
        <v>0</v>
      </c>
      <c r="I113" s="118">
        <f t="shared" si="9"/>
        <v>2</v>
      </c>
      <c r="J113" s="107">
        <f t="shared" si="10"/>
        <v>2</v>
      </c>
    </row>
    <row r="114" spans="6:10" ht="16">
      <c r="F114" s="117">
        <f t="shared" si="11"/>
        <v>5.0000000000000759E-2</v>
      </c>
      <c r="G114" s="118">
        <f t="shared" si="7"/>
        <v>0.99874293438697104</v>
      </c>
      <c r="H114" s="118">
        <f t="shared" si="8"/>
        <v>0</v>
      </c>
      <c r="I114" s="118">
        <f t="shared" si="9"/>
        <v>2</v>
      </c>
      <c r="J114" s="107">
        <f t="shared" si="10"/>
        <v>2</v>
      </c>
    </row>
    <row r="115" spans="6:10" ht="16">
      <c r="F115" s="117">
        <f t="shared" si="11"/>
        <v>6.0000000000000761E-2</v>
      </c>
      <c r="G115" s="118">
        <f t="shared" si="7"/>
        <v>0.99818932399749327</v>
      </c>
      <c r="H115" s="118">
        <f t="shared" si="8"/>
        <v>0</v>
      </c>
      <c r="I115" s="118">
        <f t="shared" si="9"/>
        <v>2</v>
      </c>
      <c r="J115" s="107">
        <f t="shared" si="10"/>
        <v>2</v>
      </c>
    </row>
    <row r="116" spans="6:10" ht="16">
      <c r="F116" s="117">
        <f t="shared" si="11"/>
        <v>7.0000000000000756E-2</v>
      </c>
      <c r="G116" s="118">
        <f t="shared" si="7"/>
        <v>0.99753466106009536</v>
      </c>
      <c r="H116" s="118">
        <f t="shared" si="8"/>
        <v>0</v>
      </c>
      <c r="I116" s="118">
        <f t="shared" si="9"/>
        <v>2</v>
      </c>
      <c r="J116" s="107">
        <f t="shared" si="10"/>
        <v>2</v>
      </c>
    </row>
    <row r="117" spans="6:10" ht="16">
      <c r="F117" s="117">
        <f t="shared" si="11"/>
        <v>8.0000000000000751E-2</v>
      </c>
      <c r="G117" s="118">
        <f t="shared" si="7"/>
        <v>0.9967787464673481</v>
      </c>
      <c r="H117" s="118">
        <f t="shared" si="8"/>
        <v>0</v>
      </c>
      <c r="I117" s="118">
        <f t="shared" si="9"/>
        <v>2</v>
      </c>
      <c r="J117" s="107">
        <f t="shared" si="10"/>
        <v>2</v>
      </c>
    </row>
    <row r="118" spans="6:10" ht="16">
      <c r="F118" s="117">
        <f t="shared" si="11"/>
        <v>9.0000000000000746E-2</v>
      </c>
      <c r="G118" s="118">
        <f t="shared" si="7"/>
        <v>0.995921349666121</v>
      </c>
      <c r="H118" s="118">
        <f t="shared" si="8"/>
        <v>0</v>
      </c>
      <c r="I118" s="118">
        <f t="shared" si="9"/>
        <v>2</v>
      </c>
      <c r="J118" s="107">
        <f t="shared" si="10"/>
        <v>2</v>
      </c>
    </row>
    <row r="119" spans="6:10" ht="16">
      <c r="F119" s="117">
        <f t="shared" si="11"/>
        <v>0.10000000000000074</v>
      </c>
      <c r="G119" s="118">
        <f t="shared" si="7"/>
        <v>0.99496220830320503</v>
      </c>
      <c r="H119" s="118">
        <f t="shared" si="8"/>
        <v>0</v>
      </c>
      <c r="I119" s="118">
        <f t="shared" si="9"/>
        <v>2</v>
      </c>
      <c r="J119" s="107">
        <f t="shared" si="10"/>
        <v>2</v>
      </c>
    </row>
    <row r="120" spans="6:10" ht="16">
      <c r="F120" s="117">
        <f t="shared" si="11"/>
        <v>0.11000000000000074</v>
      </c>
      <c r="G120" s="118">
        <f t="shared" si="7"/>
        <v>0.99390102781988532</v>
      </c>
      <c r="H120" s="118">
        <f t="shared" si="8"/>
        <v>0</v>
      </c>
      <c r="I120" s="118">
        <f t="shared" si="9"/>
        <v>2</v>
      </c>
      <c r="J120" s="107">
        <f t="shared" si="10"/>
        <v>2</v>
      </c>
    </row>
    <row r="121" spans="6:10" ht="16">
      <c r="F121" s="117">
        <f t="shared" si="11"/>
        <v>0.12000000000000073</v>
      </c>
      <c r="G121" s="118">
        <f t="shared" si="7"/>
        <v>0.99273748099398873</v>
      </c>
      <c r="H121" s="118">
        <f t="shared" si="8"/>
        <v>0</v>
      </c>
      <c r="I121" s="118">
        <f t="shared" si="9"/>
        <v>2</v>
      </c>
      <c r="J121" s="107">
        <f t="shared" si="10"/>
        <v>2</v>
      </c>
    </row>
    <row r="122" spans="6:10" ht="16">
      <c r="F122" s="117">
        <f t="shared" si="11"/>
        <v>0.13000000000000073</v>
      </c>
      <c r="G122" s="118">
        <f t="shared" si="7"/>
        <v>0.99147120742772343</v>
      </c>
      <c r="H122" s="118">
        <f t="shared" si="8"/>
        <v>0</v>
      </c>
      <c r="I122" s="118">
        <f t="shared" si="9"/>
        <v>2</v>
      </c>
      <c r="J122" s="107">
        <f t="shared" si="10"/>
        <v>2</v>
      </c>
    </row>
    <row r="123" spans="6:10" ht="16">
      <c r="F123" s="117">
        <f t="shared" si="11"/>
        <v>0.14000000000000073</v>
      </c>
      <c r="G123" s="118">
        <f t="shared" si="7"/>
        <v>0.99010181297941136</v>
      </c>
      <c r="H123" s="118">
        <f t="shared" si="8"/>
        <v>0</v>
      </c>
      <c r="I123" s="118">
        <f t="shared" si="9"/>
        <v>2</v>
      </c>
      <c r="J123" s="107">
        <f t="shared" si="10"/>
        <v>2</v>
      </c>
    </row>
    <row r="124" spans="6:10" ht="16">
      <c r="F124" s="117">
        <f t="shared" si="11"/>
        <v>0.15000000000000074</v>
      </c>
      <c r="G124" s="118">
        <f t="shared" si="7"/>
        <v>0.98862886913698733</v>
      </c>
      <c r="H124" s="118">
        <f t="shared" si="8"/>
        <v>0</v>
      </c>
      <c r="I124" s="118">
        <f t="shared" si="9"/>
        <v>2</v>
      </c>
      <c r="J124" s="107">
        <f t="shared" si="10"/>
        <v>2</v>
      </c>
    </row>
    <row r="125" spans="6:10" ht="16">
      <c r="F125" s="117">
        <f t="shared" si="11"/>
        <v>0.16000000000000075</v>
      </c>
      <c r="G125" s="118">
        <f t="shared" si="7"/>
        <v>0.98705191233089229</v>
      </c>
      <c r="H125" s="118">
        <f t="shared" si="8"/>
        <v>0</v>
      </c>
      <c r="I125" s="118">
        <f t="shared" si="9"/>
        <v>2</v>
      </c>
      <c r="J125" s="107">
        <f t="shared" si="10"/>
        <v>2</v>
      </c>
    </row>
    <row r="126" spans="6:10" ht="16">
      <c r="F126" s="117">
        <f t="shared" si="11"/>
        <v>0.17000000000000076</v>
      </c>
      <c r="G126" s="118">
        <f t="shared" si="7"/>
        <v>0.98537044318372791</v>
      </c>
      <c r="H126" s="118">
        <f t="shared" si="8"/>
        <v>0</v>
      </c>
      <c r="I126" s="118">
        <f t="shared" si="9"/>
        <v>2</v>
      </c>
      <c r="J126" s="107">
        <f t="shared" si="10"/>
        <v>2</v>
      </c>
    </row>
    <row r="127" spans="6:10" ht="16">
      <c r="F127" s="117">
        <f t="shared" si="11"/>
        <v>0.18000000000000077</v>
      </c>
      <c r="G127" s="118">
        <f t="shared" si="7"/>
        <v>0.98358392569376252</v>
      </c>
      <c r="H127" s="118">
        <f t="shared" si="8"/>
        <v>0</v>
      </c>
      <c r="I127" s="118">
        <f t="shared" si="9"/>
        <v>2</v>
      </c>
      <c r="J127" s="107">
        <f t="shared" si="10"/>
        <v>2</v>
      </c>
    </row>
    <row r="128" spans="6:10" ht="16">
      <c r="F128" s="117">
        <f t="shared" si="11"/>
        <v>0.19000000000000078</v>
      </c>
      <c r="G128" s="118">
        <f t="shared" si="7"/>
        <v>0.98169178634907683</v>
      </c>
      <c r="H128" s="118">
        <f t="shared" si="8"/>
        <v>0</v>
      </c>
      <c r="I128" s="118">
        <f t="shared" si="9"/>
        <v>2</v>
      </c>
      <c r="J128" s="107">
        <f t="shared" si="10"/>
        <v>2</v>
      </c>
    </row>
    <row r="129" spans="6:10" ht="16">
      <c r="F129" s="117">
        <f t="shared" si="11"/>
        <v>0.20000000000000079</v>
      </c>
      <c r="G129" s="118">
        <f t="shared" si="7"/>
        <v>0.97969341316881464</v>
      </c>
      <c r="H129" s="118">
        <f t="shared" si="8"/>
        <v>0</v>
      </c>
      <c r="I129" s="118">
        <f t="shared" si="9"/>
        <v>2</v>
      </c>
      <c r="J129" s="107">
        <f t="shared" si="10"/>
        <v>2</v>
      </c>
    </row>
    <row r="130" spans="6:10" ht="16">
      <c r="F130" s="117">
        <f t="shared" si="11"/>
        <v>0.2100000000000008</v>
      </c>
      <c r="G130" s="118">
        <f t="shared" si="7"/>
        <v>0.97758815466765647</v>
      </c>
      <c r="H130" s="118">
        <f t="shared" si="8"/>
        <v>0</v>
      </c>
      <c r="I130" s="118">
        <f t="shared" si="9"/>
        <v>2</v>
      </c>
      <c r="J130" s="107">
        <f t="shared" si="10"/>
        <v>2</v>
      </c>
    </row>
    <row r="131" spans="6:10" ht="16">
      <c r="F131" s="117">
        <f t="shared" si="11"/>
        <v>0.22000000000000081</v>
      </c>
      <c r="G131" s="118">
        <f t="shared" si="7"/>
        <v>0.9753753187392521</v>
      </c>
      <c r="H131" s="118">
        <f t="shared" si="8"/>
        <v>0</v>
      </c>
      <c r="I131" s="118">
        <f t="shared" si="9"/>
        <v>2</v>
      </c>
      <c r="J131" s="107">
        <f t="shared" si="10"/>
        <v>2</v>
      </c>
    </row>
    <row r="132" spans="6:10" ht="16">
      <c r="F132" s="117">
        <f t="shared" si="11"/>
        <v>0.23000000000000081</v>
      </c>
      <c r="G132" s="118">
        <f t="shared" si="7"/>
        <v>0.97305417145393991</v>
      </c>
      <c r="H132" s="118">
        <f t="shared" si="8"/>
        <v>0</v>
      </c>
      <c r="I132" s="118">
        <f t="shared" si="9"/>
        <v>2</v>
      </c>
      <c r="J132" s="107">
        <f t="shared" si="10"/>
        <v>2</v>
      </c>
    </row>
    <row r="133" spans="6:10" ht="16">
      <c r="F133" s="117">
        <f t="shared" si="11"/>
        <v>0.24000000000000082</v>
      </c>
      <c r="G133" s="118">
        <f t="shared" si="7"/>
        <v>0.97062393576562955</v>
      </c>
      <c r="H133" s="118">
        <f t="shared" si="8"/>
        <v>0</v>
      </c>
      <c r="I133" s="118">
        <f t="shared" si="9"/>
        <v>2</v>
      </c>
      <c r="J133" s="107">
        <f t="shared" si="10"/>
        <v>2</v>
      </c>
    </row>
    <row r="134" spans="6:10" ht="16">
      <c r="F134" s="117">
        <f t="shared" si="11"/>
        <v>0.25000000000000083</v>
      </c>
      <c r="G134" s="118">
        <f t="shared" si="7"/>
        <v>0.96808379012223955</v>
      </c>
      <c r="H134" s="118">
        <f t="shared" si="8"/>
        <v>0</v>
      </c>
      <c r="I134" s="118">
        <f t="shared" si="9"/>
        <v>2</v>
      </c>
      <c r="J134" s="107">
        <f t="shared" si="10"/>
        <v>2</v>
      </c>
    </row>
    <row r="135" spans="6:10" ht="16">
      <c r="F135" s="117">
        <f t="shared" si="11"/>
        <v>0.26000000000000084</v>
      </c>
      <c r="G135" s="118">
        <f t="shared" si="7"/>
        <v>0.96543286697354125</v>
      </c>
      <c r="H135" s="118">
        <f t="shared" si="8"/>
        <v>0</v>
      </c>
      <c r="I135" s="118">
        <f t="shared" si="9"/>
        <v>2</v>
      </c>
      <c r="J135" s="107">
        <f t="shared" si="10"/>
        <v>2</v>
      </c>
    </row>
    <row r="136" spans="6:10" ht="16">
      <c r="F136" s="117">
        <f t="shared" si="11"/>
        <v>0.27000000000000085</v>
      </c>
      <c r="G136" s="118">
        <f t="shared" si="7"/>
        <v>0.96267025116967975</v>
      </c>
      <c r="H136" s="118">
        <f t="shared" si="8"/>
        <v>0</v>
      </c>
      <c r="I136" s="118">
        <f t="shared" si="9"/>
        <v>2</v>
      </c>
      <c r="J136" s="107">
        <f t="shared" si="10"/>
        <v>2</v>
      </c>
    </row>
    <row r="137" spans="6:10" ht="16">
      <c r="F137" s="117">
        <f t="shared" si="11"/>
        <v>0.28000000000000086</v>
      </c>
      <c r="G137" s="118">
        <f t="shared" ref="G137:G200" si="12">IFERROR(IF(SQRT(1-(F137*F137)/($J$5*$J$5))&lt;0.05,0,SQRT(1-(F137*F137)/($J$5*$J$5))),0)</f>
        <v>0.95979497824299387</v>
      </c>
      <c r="H137" s="118">
        <f t="shared" ref="H137:H200" si="13">CHOOSE(MATCH($J$3,degrees),IF(F137&lt;0,IFERROR(1-G137,1),0),0,0,IF(F137&gt;0,IFERROR(1-G137,1),0))</f>
        <v>0</v>
      </c>
      <c r="I137" s="118">
        <f t="shared" ref="I137:I200" si="14">CHOOSE(MATCH($J$3,degrees),IF(F137&lt;0,2*G137,2),IF(F137&lt;0,0,1-G137),IF(F137&gt;0,0,1-G137),IF(F137&gt;0,2*G137,2))</f>
        <v>2</v>
      </c>
      <c r="J137" s="107">
        <f t="shared" ref="J137:J200" si="15">CHOOSE(MATCH($J$3,degrees),IF(F137&lt;0,G137+1,2),IF(F137&lt;0,2,2*G137),IF(F137&gt;0,2,2*G137),IF(F137&gt;0,G137+1,2))</f>
        <v>2</v>
      </c>
    </row>
    <row r="138" spans="6:10" ht="16">
      <c r="F138" s="117">
        <f t="shared" ref="F138:F201" si="16">F137+$G$4</f>
        <v>0.29000000000000087</v>
      </c>
      <c r="G138" s="118">
        <f t="shared" si="12"/>
        <v>0.95680603256505214</v>
      </c>
      <c r="H138" s="118">
        <f t="shared" si="13"/>
        <v>0</v>
      </c>
      <c r="I138" s="118">
        <f t="shared" si="14"/>
        <v>2</v>
      </c>
      <c r="J138" s="107">
        <f t="shared" si="15"/>
        <v>2</v>
      </c>
    </row>
    <row r="139" spans="6:10" ht="16">
      <c r="F139" s="117">
        <f t="shared" si="16"/>
        <v>0.30000000000000088</v>
      </c>
      <c r="G139" s="118">
        <f t="shared" si="12"/>
        <v>0.95370234537003939</v>
      </c>
      <c r="H139" s="118">
        <f t="shared" si="13"/>
        <v>0</v>
      </c>
      <c r="I139" s="118">
        <f t="shared" si="14"/>
        <v>2</v>
      </c>
      <c r="J139" s="107">
        <f t="shared" si="15"/>
        <v>2</v>
      </c>
    </row>
    <row r="140" spans="6:10" ht="16">
      <c r="F140" s="117">
        <f t="shared" si="16"/>
        <v>0.31000000000000089</v>
      </c>
      <c r="G140" s="118">
        <f t="shared" si="12"/>
        <v>0.95048279263476632</v>
      </c>
      <c r="H140" s="118">
        <f t="shared" si="13"/>
        <v>0</v>
      </c>
      <c r="I140" s="118">
        <f t="shared" si="14"/>
        <v>2</v>
      </c>
      <c r="J140" s="107">
        <f t="shared" si="15"/>
        <v>2</v>
      </c>
    </row>
    <row r="141" spans="6:10" ht="16">
      <c r="F141" s="117">
        <f t="shared" si="16"/>
        <v>0.32000000000000089</v>
      </c>
      <c r="G141" s="118">
        <f t="shared" si="12"/>
        <v>0.94714619280461987</v>
      </c>
      <c r="H141" s="118">
        <f t="shared" si="13"/>
        <v>0</v>
      </c>
      <c r="I141" s="118">
        <f t="shared" si="14"/>
        <v>2</v>
      </c>
      <c r="J141" s="107">
        <f t="shared" si="15"/>
        <v>2</v>
      </c>
    </row>
    <row r="142" spans="6:10" ht="16">
      <c r="F142" s="117">
        <f t="shared" si="16"/>
        <v>0.3300000000000009</v>
      </c>
      <c r="G142" s="118">
        <f t="shared" si="12"/>
        <v>0.94369130435371718</v>
      </c>
      <c r="H142" s="118">
        <f t="shared" si="13"/>
        <v>0</v>
      </c>
      <c r="I142" s="118">
        <f t="shared" si="14"/>
        <v>2</v>
      </c>
      <c r="J142" s="107">
        <f t="shared" si="15"/>
        <v>2</v>
      </c>
    </row>
    <row r="143" spans="6:10" ht="16">
      <c r="F143" s="117">
        <f t="shared" si="16"/>
        <v>0.34000000000000091</v>
      </c>
      <c r="G143" s="118">
        <f t="shared" si="12"/>
        <v>0.94011682316634759</v>
      </c>
      <c r="H143" s="118">
        <f t="shared" si="13"/>
        <v>0</v>
      </c>
      <c r="I143" s="118">
        <f t="shared" si="14"/>
        <v>2</v>
      </c>
      <c r="J143" s="107">
        <f t="shared" si="15"/>
        <v>2</v>
      </c>
    </row>
    <row r="144" spans="6:10" ht="16">
      <c r="F144" s="117">
        <f t="shared" si="16"/>
        <v>0.35000000000000092</v>
      </c>
      <c r="G144" s="118">
        <f t="shared" si="12"/>
        <v>0.93642137972548611</v>
      </c>
      <c r="H144" s="118">
        <f t="shared" si="13"/>
        <v>0</v>
      </c>
      <c r="I144" s="118">
        <f t="shared" si="14"/>
        <v>2</v>
      </c>
      <c r="J144" s="107">
        <f t="shared" si="15"/>
        <v>2</v>
      </c>
    </row>
    <row r="145" spans="6:10" ht="16">
      <c r="F145" s="117">
        <f t="shared" si="16"/>
        <v>0.36000000000000093</v>
      </c>
      <c r="G145" s="118">
        <f t="shared" si="12"/>
        <v>0.9326035360927023</v>
      </c>
      <c r="H145" s="118">
        <f t="shared" si="13"/>
        <v>0</v>
      </c>
      <c r="I145" s="118">
        <f t="shared" si="14"/>
        <v>2</v>
      </c>
      <c r="J145" s="107">
        <f t="shared" si="15"/>
        <v>2</v>
      </c>
    </row>
    <row r="146" spans="6:10" ht="16">
      <c r="F146" s="117">
        <f t="shared" si="16"/>
        <v>0.37000000000000094</v>
      </c>
      <c r="G146" s="118">
        <f t="shared" si="12"/>
        <v>0.9286617826621667</v>
      </c>
      <c r="H146" s="118">
        <f t="shared" si="13"/>
        <v>0</v>
      </c>
      <c r="I146" s="118">
        <f t="shared" si="14"/>
        <v>2</v>
      </c>
      <c r="J146" s="107">
        <f t="shared" si="15"/>
        <v>2</v>
      </c>
    </row>
    <row r="147" spans="6:10" ht="16">
      <c r="F147" s="117">
        <f t="shared" si="16"/>
        <v>0.38000000000000095</v>
      </c>
      <c r="G147" s="118">
        <f t="shared" si="12"/>
        <v>0.92459453466963892</v>
      </c>
      <c r="H147" s="118">
        <f t="shared" si="13"/>
        <v>0</v>
      </c>
      <c r="I147" s="118">
        <f t="shared" si="14"/>
        <v>2</v>
      </c>
      <c r="J147" s="107">
        <f t="shared" si="15"/>
        <v>2</v>
      </c>
    </row>
    <row r="148" spans="6:10" ht="16">
      <c r="F148" s="117">
        <f t="shared" si="16"/>
        <v>0.39000000000000096</v>
      </c>
      <c r="G148" s="118">
        <f t="shared" si="12"/>
        <v>0.92040012843528596</v>
      </c>
      <c r="H148" s="118">
        <f t="shared" si="13"/>
        <v>0</v>
      </c>
      <c r="I148" s="118">
        <f t="shared" si="14"/>
        <v>2</v>
      </c>
      <c r="J148" s="107">
        <f t="shared" si="15"/>
        <v>2</v>
      </c>
    </row>
    <row r="149" spans="6:10" ht="16">
      <c r="F149" s="117">
        <f t="shared" si="16"/>
        <v>0.40000000000000097</v>
      </c>
      <c r="G149" s="118">
        <f t="shared" si="12"/>
        <v>0.91607681731689261</v>
      </c>
      <c r="H149" s="118">
        <f t="shared" si="13"/>
        <v>0</v>
      </c>
      <c r="I149" s="118">
        <f t="shared" si="14"/>
        <v>2</v>
      </c>
      <c r="J149" s="107">
        <f t="shared" si="15"/>
        <v>2</v>
      </c>
    </row>
    <row r="150" spans="6:10" ht="16">
      <c r="F150" s="117">
        <f t="shared" si="16"/>
        <v>0.41000000000000097</v>
      </c>
      <c r="G150" s="118">
        <f t="shared" si="12"/>
        <v>0.91162276734745695</v>
      </c>
      <c r="H150" s="118">
        <f t="shared" si="13"/>
        <v>0</v>
      </c>
      <c r="I150" s="118">
        <f t="shared" si="14"/>
        <v>2</v>
      </c>
      <c r="J150" s="107">
        <f t="shared" si="15"/>
        <v>2</v>
      </c>
    </row>
    <row r="151" spans="6:10" ht="16">
      <c r="F151" s="117">
        <f t="shared" si="16"/>
        <v>0.42000000000000098</v>
      </c>
      <c r="G151" s="118">
        <f t="shared" si="12"/>
        <v>0.90703605252826403</v>
      </c>
      <c r="H151" s="118">
        <f t="shared" si="13"/>
        <v>0</v>
      </c>
      <c r="I151" s="118">
        <f t="shared" si="14"/>
        <v>2</v>
      </c>
      <c r="J151" s="107">
        <f t="shared" si="15"/>
        <v>2</v>
      </c>
    </row>
    <row r="152" spans="6:10" ht="16">
      <c r="F152" s="117">
        <f t="shared" si="16"/>
        <v>0.43000000000000099</v>
      </c>
      <c r="G152" s="118">
        <f t="shared" si="12"/>
        <v>0.90231464974525799</v>
      </c>
      <c r="H152" s="118">
        <f t="shared" si="13"/>
        <v>0</v>
      </c>
      <c r="I152" s="118">
        <f t="shared" si="14"/>
        <v>2</v>
      </c>
      <c r="J152" s="107">
        <f t="shared" si="15"/>
        <v>2</v>
      </c>
    </row>
    <row r="153" spans="6:10" ht="16">
      <c r="F153" s="117">
        <f t="shared" si="16"/>
        <v>0.440000000000001</v>
      </c>
      <c r="G153" s="118">
        <f t="shared" si="12"/>
        <v>0.89745643327283098</v>
      </c>
      <c r="H153" s="118">
        <f t="shared" si="13"/>
        <v>0</v>
      </c>
      <c r="I153" s="118">
        <f t="shared" si="14"/>
        <v>2</v>
      </c>
      <c r="J153" s="107">
        <f t="shared" si="15"/>
        <v>2</v>
      </c>
    </row>
    <row r="154" spans="6:10" ht="16">
      <c r="F154" s="117">
        <f t="shared" si="16"/>
        <v>0.45000000000000101</v>
      </c>
      <c r="G154" s="118">
        <f t="shared" si="12"/>
        <v>0.89245916882494225</v>
      </c>
      <c r="H154" s="118">
        <f t="shared" si="13"/>
        <v>0</v>
      </c>
      <c r="I154" s="118">
        <f t="shared" si="14"/>
        <v>2</v>
      </c>
      <c r="J154" s="107">
        <f t="shared" si="15"/>
        <v>2</v>
      </c>
    </row>
    <row r="155" spans="6:10" ht="16">
      <c r="F155" s="117">
        <f t="shared" si="16"/>
        <v>0.46000000000000102</v>
      </c>
      <c r="G155" s="118">
        <f t="shared" si="12"/>
        <v>0.88732050710870769</v>
      </c>
      <c r="H155" s="118">
        <f t="shared" si="13"/>
        <v>0</v>
      </c>
      <c r="I155" s="118">
        <f t="shared" si="14"/>
        <v>2</v>
      </c>
      <c r="J155" s="107">
        <f t="shared" si="15"/>
        <v>2</v>
      </c>
    </row>
    <row r="156" spans="6:10" ht="16">
      <c r="F156" s="117">
        <f t="shared" si="16"/>
        <v>0.47000000000000103</v>
      </c>
      <c r="G156" s="118">
        <f t="shared" si="12"/>
        <v>0.88203797683015517</v>
      </c>
      <c r="H156" s="118">
        <f t="shared" si="13"/>
        <v>0</v>
      </c>
      <c r="I156" s="118">
        <f t="shared" si="14"/>
        <v>2</v>
      </c>
      <c r="J156" s="107">
        <f t="shared" si="15"/>
        <v>2</v>
      </c>
    </row>
    <row r="157" spans="6:10" ht="16">
      <c r="F157" s="117">
        <f t="shared" si="16"/>
        <v>0.48000000000000104</v>
      </c>
      <c r="G157" s="118">
        <f t="shared" si="12"/>
        <v>0.87660897709562857</v>
      </c>
      <c r="H157" s="118">
        <f t="shared" si="13"/>
        <v>0</v>
      </c>
      <c r="I157" s="118">
        <f t="shared" si="14"/>
        <v>2</v>
      </c>
      <c r="J157" s="107">
        <f t="shared" si="15"/>
        <v>2</v>
      </c>
    </row>
    <row r="158" spans="6:10" ht="16">
      <c r="F158" s="117">
        <f t="shared" si="16"/>
        <v>0.49000000000000105</v>
      </c>
      <c r="G158" s="118">
        <f t="shared" si="12"/>
        <v>0.87103076914520483</v>
      </c>
      <c r="H158" s="118">
        <f t="shared" si="13"/>
        <v>0</v>
      </c>
      <c r="I158" s="118">
        <f t="shared" si="14"/>
        <v>2</v>
      </c>
      <c r="J158" s="107">
        <f t="shared" si="15"/>
        <v>2</v>
      </c>
    </row>
    <row r="159" spans="6:10" ht="16">
      <c r="F159" s="117">
        <f t="shared" si="16"/>
        <v>0.500000000000001</v>
      </c>
      <c r="G159" s="118">
        <f t="shared" si="12"/>
        <v>0.86530046734632104</v>
      </c>
      <c r="H159" s="118">
        <f t="shared" si="13"/>
        <v>0</v>
      </c>
      <c r="I159" s="118">
        <f t="shared" si="14"/>
        <v>2</v>
      </c>
      <c r="J159" s="107">
        <f t="shared" si="15"/>
        <v>2</v>
      </c>
    </row>
    <row r="160" spans="6:10" ht="16">
      <c r="F160" s="117">
        <f t="shared" si="16"/>
        <v>0.51000000000000101</v>
      </c>
      <c r="G160" s="118">
        <f t="shared" si="12"/>
        <v>0.85941502936641045</v>
      </c>
      <c r="H160" s="118">
        <f t="shared" si="13"/>
        <v>0</v>
      </c>
      <c r="I160" s="118">
        <f t="shared" si="14"/>
        <v>2</v>
      </c>
      <c r="J160" s="107">
        <f t="shared" si="15"/>
        <v>2</v>
      </c>
    </row>
    <row r="161" spans="6:10" ht="16">
      <c r="F161" s="117">
        <f t="shared" si="16"/>
        <v>0.52000000000000102</v>
      </c>
      <c r="G161" s="118">
        <f t="shared" si="12"/>
        <v>0.85337124543249421</v>
      </c>
      <c r="H161" s="118">
        <f t="shared" si="13"/>
        <v>0</v>
      </c>
      <c r="I161" s="118">
        <f t="shared" si="14"/>
        <v>2</v>
      </c>
      <c r="J161" s="107">
        <f t="shared" si="15"/>
        <v>2</v>
      </c>
    </row>
    <row r="162" spans="6:10" ht="16">
      <c r="F162" s="117">
        <f t="shared" si="16"/>
        <v>0.53000000000000103</v>
      </c>
      <c r="G162" s="118">
        <f t="shared" si="12"/>
        <v>0.84716572657312827</v>
      </c>
      <c r="H162" s="118">
        <f t="shared" si="13"/>
        <v>0</v>
      </c>
      <c r="I162" s="118">
        <f t="shared" si="14"/>
        <v>2</v>
      </c>
      <c r="J162" s="107">
        <f t="shared" si="15"/>
        <v>2</v>
      </c>
    </row>
    <row r="163" spans="6:10" ht="16">
      <c r="F163" s="117">
        <f t="shared" si="16"/>
        <v>0.54000000000000103</v>
      </c>
      <c r="G163" s="118">
        <f t="shared" si="12"/>
        <v>0.84079489172352739</v>
      </c>
      <c r="H163" s="118">
        <f t="shared" si="13"/>
        <v>0</v>
      </c>
      <c r="I163" s="118">
        <f t="shared" si="14"/>
        <v>2</v>
      </c>
      <c r="J163" s="107">
        <f t="shared" si="15"/>
        <v>2</v>
      </c>
    </row>
    <row r="164" spans="6:10" ht="16">
      <c r="F164" s="117">
        <f t="shared" si="16"/>
        <v>0.55000000000000104</v>
      </c>
      <c r="G164" s="118">
        <f t="shared" si="12"/>
        <v>0.83425495355773083</v>
      </c>
      <c r="H164" s="118">
        <f t="shared" si="13"/>
        <v>0</v>
      </c>
      <c r="I164" s="118">
        <f t="shared" si="14"/>
        <v>2</v>
      </c>
      <c r="J164" s="107">
        <f t="shared" si="15"/>
        <v>2</v>
      </c>
    </row>
    <row r="165" spans="6:10" ht="16">
      <c r="F165" s="117">
        <f t="shared" si="16"/>
        <v>0.56000000000000105</v>
      </c>
      <c r="G165" s="118">
        <f t="shared" si="12"/>
        <v>0.82754190289185792</v>
      </c>
      <c r="H165" s="118">
        <f t="shared" si="13"/>
        <v>0</v>
      </c>
      <c r="I165" s="118">
        <f t="shared" si="14"/>
        <v>2</v>
      </c>
      <c r="J165" s="107">
        <f t="shared" si="15"/>
        <v>2</v>
      </c>
    </row>
    <row r="166" spans="6:10" ht="16">
      <c r="F166" s="117">
        <f t="shared" si="16"/>
        <v>0.57000000000000106</v>
      </c>
      <c r="G166" s="118">
        <f t="shared" si="12"/>
        <v>0.82065149147928462</v>
      </c>
      <c r="H166" s="118">
        <f t="shared" si="13"/>
        <v>0</v>
      </c>
      <c r="I166" s="118">
        <f t="shared" si="14"/>
        <v>2</v>
      </c>
      <c r="J166" s="107">
        <f t="shared" si="15"/>
        <v>2</v>
      </c>
    </row>
    <row r="167" spans="6:10" ht="16">
      <c r="F167" s="117">
        <f t="shared" si="16"/>
        <v>0.58000000000000107</v>
      </c>
      <c r="G167" s="118">
        <f t="shared" si="12"/>
        <v>0.81357921299127556</v>
      </c>
      <c r="H167" s="118">
        <f t="shared" si="13"/>
        <v>0</v>
      </c>
      <c r="I167" s="118">
        <f t="shared" si="14"/>
        <v>2</v>
      </c>
      <c r="J167" s="107">
        <f t="shared" si="15"/>
        <v>2</v>
      </c>
    </row>
    <row r="168" spans="6:10" ht="16">
      <c r="F168" s="117">
        <f t="shared" si="16"/>
        <v>0.59000000000000108</v>
      </c>
      <c r="G168" s="118">
        <f t="shared" si="12"/>
        <v>0.80632028194437988</v>
      </c>
      <c r="H168" s="118">
        <f t="shared" si="13"/>
        <v>0</v>
      </c>
      <c r="I168" s="118">
        <f t="shared" si="14"/>
        <v>2</v>
      </c>
      <c r="J168" s="107">
        <f t="shared" si="15"/>
        <v>2</v>
      </c>
    </row>
    <row r="169" spans="6:10" ht="16">
      <c r="F169" s="117">
        <f t="shared" si="16"/>
        <v>0.60000000000000109</v>
      </c>
      <c r="G169" s="118">
        <f t="shared" si="12"/>
        <v>0.79886961029773618</v>
      </c>
      <c r="H169" s="118">
        <f t="shared" si="13"/>
        <v>0</v>
      </c>
      <c r="I169" s="118">
        <f t="shared" si="14"/>
        <v>2</v>
      </c>
      <c r="J169" s="107">
        <f t="shared" si="15"/>
        <v>2</v>
      </c>
    </row>
    <row r="170" spans="6:10" ht="16">
      <c r="F170" s="117">
        <f t="shared" si="16"/>
        <v>0.6100000000000011</v>
      </c>
      <c r="G170" s="118">
        <f t="shared" si="12"/>
        <v>0.79122178139803601</v>
      </c>
      <c r="H170" s="118">
        <f t="shared" si="13"/>
        <v>0</v>
      </c>
      <c r="I170" s="118">
        <f t="shared" si="14"/>
        <v>2</v>
      </c>
      <c r="J170" s="107">
        <f t="shared" si="15"/>
        <v>2</v>
      </c>
    </row>
    <row r="171" spans="6:10" ht="16">
      <c r="F171" s="117">
        <f t="shared" si="16"/>
        <v>0.62000000000000111</v>
      </c>
      <c r="G171" s="118">
        <f t="shared" si="12"/>
        <v>0.78337102089567867</v>
      </c>
      <c r="H171" s="118">
        <f t="shared" si="13"/>
        <v>0</v>
      </c>
      <c r="I171" s="118">
        <f t="shared" si="14"/>
        <v>2</v>
      </c>
      <c r="J171" s="107">
        <f t="shared" si="15"/>
        <v>2</v>
      </c>
    </row>
    <row r="172" spans="6:10" ht="16">
      <c r="F172" s="117">
        <f t="shared" si="16"/>
        <v>0.63000000000000111</v>
      </c>
      <c r="G172" s="118">
        <f t="shared" si="12"/>
        <v>0.77531116419062729</v>
      </c>
      <c r="H172" s="118">
        <f t="shared" si="13"/>
        <v>0</v>
      </c>
      <c r="I172" s="118">
        <f t="shared" si="14"/>
        <v>2</v>
      </c>
      <c r="J172" s="107">
        <f t="shared" si="15"/>
        <v>2</v>
      </c>
    </row>
    <row r="173" spans="6:10" ht="16">
      <c r="F173" s="117">
        <f t="shared" si="16"/>
        <v>0.64000000000000112</v>
      </c>
      <c r="G173" s="118">
        <f t="shared" si="12"/>
        <v>0.76703561988811564</v>
      </c>
      <c r="H173" s="118">
        <f t="shared" si="13"/>
        <v>0</v>
      </c>
      <c r="I173" s="118">
        <f t="shared" si="14"/>
        <v>2</v>
      </c>
      <c r="J173" s="107">
        <f t="shared" si="15"/>
        <v>2</v>
      </c>
    </row>
    <row r="174" spans="6:10" ht="16">
      <c r="F174" s="117">
        <f t="shared" si="16"/>
        <v>0.65000000000000113</v>
      </c>
      <c r="G174" s="118">
        <f t="shared" si="12"/>
        <v>0.75853732864948542</v>
      </c>
      <c r="H174" s="118">
        <f t="shared" si="13"/>
        <v>0</v>
      </c>
      <c r="I174" s="118">
        <f t="shared" si="14"/>
        <v>2</v>
      </c>
      <c r="J174" s="107">
        <f t="shared" si="15"/>
        <v>2</v>
      </c>
    </row>
    <row r="175" spans="6:10" ht="16">
      <c r="F175" s="117">
        <f t="shared" si="16"/>
        <v>0.66000000000000114</v>
      </c>
      <c r="G175" s="118">
        <f t="shared" si="12"/>
        <v>0.74980871670798876</v>
      </c>
      <c r="H175" s="118">
        <f t="shared" si="13"/>
        <v>0</v>
      </c>
      <c r="I175" s="118">
        <f t="shared" si="14"/>
        <v>2</v>
      </c>
      <c r="J175" s="107">
        <f t="shared" si="15"/>
        <v>2</v>
      </c>
    </row>
    <row r="176" spans="6:10" ht="16">
      <c r="F176" s="117">
        <f t="shared" si="16"/>
        <v>0.67000000000000115</v>
      </c>
      <c r="G176" s="118">
        <f t="shared" si="12"/>
        <v>0.74084164317814671</v>
      </c>
      <c r="H176" s="118">
        <f t="shared" si="13"/>
        <v>0</v>
      </c>
      <c r="I176" s="118">
        <f t="shared" si="14"/>
        <v>2</v>
      </c>
      <c r="J176" s="107">
        <f t="shared" si="15"/>
        <v>2</v>
      </c>
    </row>
    <row r="177" spans="6:10" ht="16">
      <c r="F177" s="117">
        <f t="shared" si="16"/>
        <v>0.68000000000000116</v>
      </c>
      <c r="G177" s="118">
        <f t="shared" si="12"/>
        <v>0.73162734011349206</v>
      </c>
      <c r="H177" s="118">
        <f t="shared" si="13"/>
        <v>0</v>
      </c>
      <c r="I177" s="118">
        <f t="shared" si="14"/>
        <v>2</v>
      </c>
      <c r="J177" s="107">
        <f t="shared" si="15"/>
        <v>2</v>
      </c>
    </row>
    <row r="178" spans="6:10" ht="16">
      <c r="F178" s="117">
        <f t="shared" si="16"/>
        <v>0.69000000000000117</v>
      </c>
      <c r="G178" s="118">
        <f t="shared" si="12"/>
        <v>0.72215634405246509</v>
      </c>
      <c r="H178" s="118">
        <f t="shared" si="13"/>
        <v>0</v>
      </c>
      <c r="I178" s="118">
        <f t="shared" si="14"/>
        <v>2</v>
      </c>
      <c r="J178" s="107">
        <f t="shared" si="15"/>
        <v>2</v>
      </c>
    </row>
    <row r="179" spans="6:10" ht="16">
      <c r="F179" s="117">
        <f t="shared" si="16"/>
        <v>0.70000000000000118</v>
      </c>
      <c r="G179" s="118">
        <f t="shared" si="12"/>
        <v>0.71241841752437396</v>
      </c>
      <c r="H179" s="118">
        <f t="shared" si="13"/>
        <v>0</v>
      </c>
      <c r="I179" s="118">
        <f t="shared" si="14"/>
        <v>2</v>
      </c>
      <c r="J179" s="107">
        <f t="shared" si="15"/>
        <v>2</v>
      </c>
    </row>
    <row r="180" spans="6:10" ht="16">
      <c r="F180" s="117">
        <f t="shared" si="16"/>
        <v>0.71000000000000119</v>
      </c>
      <c r="G180" s="118">
        <f t="shared" si="12"/>
        <v>0.70240245865150264</v>
      </c>
      <c r="H180" s="118">
        <f t="shared" si="13"/>
        <v>0</v>
      </c>
      <c r="I180" s="118">
        <f t="shared" si="14"/>
        <v>2</v>
      </c>
      <c r="J180" s="107">
        <f t="shared" si="15"/>
        <v>2</v>
      </c>
    </row>
    <row r="181" spans="6:10" ht="16">
      <c r="F181" s="117">
        <f t="shared" si="16"/>
        <v>0.72000000000000119</v>
      </c>
      <c r="G181" s="118">
        <f t="shared" si="12"/>
        <v>0.69209639655935951</v>
      </c>
      <c r="H181" s="118">
        <f t="shared" si="13"/>
        <v>0</v>
      </c>
      <c r="I181" s="118">
        <f t="shared" si="14"/>
        <v>2</v>
      </c>
      <c r="J181" s="107">
        <f t="shared" si="15"/>
        <v>2</v>
      </c>
    </row>
    <row r="182" spans="6:10" ht="16">
      <c r="F182" s="117">
        <f t="shared" si="16"/>
        <v>0.7300000000000012</v>
      </c>
      <c r="G182" s="118">
        <f t="shared" si="12"/>
        <v>0.68148706976747286</v>
      </c>
      <c r="H182" s="118">
        <f t="shared" si="13"/>
        <v>0</v>
      </c>
      <c r="I182" s="118">
        <f t="shared" si="14"/>
        <v>2</v>
      </c>
      <c r="J182" s="107">
        <f t="shared" si="15"/>
        <v>2</v>
      </c>
    </row>
    <row r="183" spans="6:10" ht="16">
      <c r="F183" s="117">
        <f t="shared" si="16"/>
        <v>0.74000000000000121</v>
      </c>
      <c r="G183" s="118">
        <f t="shared" si="12"/>
        <v>0.67056008404101608</v>
      </c>
      <c r="H183" s="118">
        <f t="shared" si="13"/>
        <v>0</v>
      </c>
      <c r="I183" s="118">
        <f t="shared" si="14"/>
        <v>2</v>
      </c>
      <c r="J183" s="107">
        <f t="shared" si="15"/>
        <v>2</v>
      </c>
    </row>
    <row r="184" spans="6:10" ht="16">
      <c r="F184" s="117">
        <f t="shared" si="16"/>
        <v>0.75000000000000122</v>
      </c>
      <c r="G184" s="118">
        <f t="shared" si="12"/>
        <v>0.65929964528806184</v>
      </c>
      <c r="H184" s="118">
        <f t="shared" si="13"/>
        <v>0</v>
      </c>
      <c r="I184" s="118">
        <f t="shared" si="14"/>
        <v>2</v>
      </c>
      <c r="J184" s="107">
        <f t="shared" si="15"/>
        <v>2</v>
      </c>
    </row>
    <row r="185" spans="6:10" ht="16">
      <c r="F185" s="117">
        <f t="shared" si="16"/>
        <v>0.76000000000000123</v>
      </c>
      <c r="G185" s="118">
        <f t="shared" si="12"/>
        <v>0.64768836191787937</v>
      </c>
      <c r="H185" s="118">
        <f t="shared" si="13"/>
        <v>0</v>
      </c>
      <c r="I185" s="118">
        <f t="shared" si="14"/>
        <v>2</v>
      </c>
      <c r="J185" s="107">
        <f t="shared" si="15"/>
        <v>2</v>
      </c>
    </row>
    <row r="186" spans="6:10" ht="16">
      <c r="F186" s="117">
        <f t="shared" si="16"/>
        <v>0.77000000000000124</v>
      </c>
      <c r="G186" s="118">
        <f t="shared" si="12"/>
        <v>0.63570700953332215</v>
      </c>
      <c r="H186" s="118">
        <f t="shared" si="13"/>
        <v>0</v>
      </c>
      <c r="I186" s="118">
        <f t="shared" si="14"/>
        <v>2</v>
      </c>
      <c r="J186" s="107">
        <f t="shared" si="15"/>
        <v>2</v>
      </c>
    </row>
    <row r="187" spans="6:10" ht="16">
      <c r="F187" s="117">
        <f t="shared" si="16"/>
        <v>0.78000000000000125</v>
      </c>
      <c r="G187" s="118">
        <f t="shared" si="12"/>
        <v>0.62333424877409438</v>
      </c>
      <c r="H187" s="118">
        <f t="shared" si="13"/>
        <v>0</v>
      </c>
      <c r="I187" s="118">
        <f t="shared" si="14"/>
        <v>2</v>
      </c>
      <c r="J187" s="107">
        <f t="shared" si="15"/>
        <v>2</v>
      </c>
    </row>
    <row r="188" spans="6:10" ht="16">
      <c r="F188" s="117">
        <f t="shared" si="16"/>
        <v>0.79000000000000126</v>
      </c>
      <c r="G188" s="118">
        <f t="shared" si="12"/>
        <v>0.61054628435423441</v>
      </c>
      <c r="H188" s="118">
        <f t="shared" si="13"/>
        <v>0</v>
      </c>
      <c r="I188" s="118">
        <f t="shared" si="14"/>
        <v>2</v>
      </c>
      <c r="J188" s="107">
        <f t="shared" si="15"/>
        <v>2</v>
      </c>
    </row>
    <row r="189" spans="6:10" ht="16">
      <c r="F189" s="117">
        <f t="shared" si="16"/>
        <v>0.80000000000000127</v>
      </c>
      <c r="G189" s="118">
        <f t="shared" si="12"/>
        <v>0.59731644954897278</v>
      </c>
      <c r="H189" s="118">
        <f t="shared" si="13"/>
        <v>0</v>
      </c>
      <c r="I189" s="118">
        <f t="shared" si="14"/>
        <v>2</v>
      </c>
      <c r="J189" s="107">
        <f t="shared" si="15"/>
        <v>2</v>
      </c>
    </row>
    <row r="190" spans="6:10" ht="16">
      <c r="F190" s="117">
        <f t="shared" si="16"/>
        <v>0.81000000000000127</v>
      </c>
      <c r="G190" s="118">
        <f t="shared" si="12"/>
        <v>0.58361469514042497</v>
      </c>
      <c r="H190" s="118">
        <f t="shared" si="13"/>
        <v>0</v>
      </c>
      <c r="I190" s="118">
        <f t="shared" si="14"/>
        <v>2</v>
      </c>
      <c r="J190" s="107">
        <f t="shared" si="15"/>
        <v>2</v>
      </c>
    </row>
    <row r="191" spans="6:10" ht="16">
      <c r="F191" s="117">
        <f t="shared" si="16"/>
        <v>0.82000000000000128</v>
      </c>
      <c r="G191" s="118">
        <f t="shared" si="12"/>
        <v>0.56940695445783207</v>
      </c>
      <c r="H191" s="118">
        <f t="shared" si="13"/>
        <v>0</v>
      </c>
      <c r="I191" s="118">
        <f t="shared" si="14"/>
        <v>2</v>
      </c>
      <c r="J191" s="107">
        <f t="shared" si="15"/>
        <v>2</v>
      </c>
    </row>
    <row r="192" spans="6:10" ht="16">
      <c r="F192" s="117">
        <f t="shared" si="16"/>
        <v>0.83000000000000129</v>
      </c>
      <c r="G192" s="118">
        <f t="shared" si="12"/>
        <v>0.55465434561091098</v>
      </c>
      <c r="H192" s="118">
        <f t="shared" si="13"/>
        <v>0</v>
      </c>
      <c r="I192" s="118">
        <f t="shared" si="14"/>
        <v>2</v>
      </c>
      <c r="J192" s="107">
        <f t="shared" si="15"/>
        <v>2</v>
      </c>
    </row>
    <row r="193" spans="6:10" ht="16">
      <c r="F193" s="117">
        <f t="shared" si="16"/>
        <v>0.8400000000000013</v>
      </c>
      <c r="G193" s="118">
        <f t="shared" si="12"/>
        <v>0.53931215668128973</v>
      </c>
      <c r="H193" s="118">
        <f t="shared" si="13"/>
        <v>0</v>
      </c>
      <c r="I193" s="118">
        <f t="shared" si="14"/>
        <v>2</v>
      </c>
      <c r="J193" s="107">
        <f t="shared" si="15"/>
        <v>2</v>
      </c>
    </row>
    <row r="194" spans="6:10" ht="16">
      <c r="F194" s="117">
        <f t="shared" si="16"/>
        <v>0.85000000000000131</v>
      </c>
      <c r="G194" s="118">
        <f t="shared" si="12"/>
        <v>0.52332853686992065</v>
      </c>
      <c r="H194" s="118">
        <f t="shared" si="13"/>
        <v>0</v>
      </c>
      <c r="I194" s="118">
        <f t="shared" si="14"/>
        <v>2</v>
      </c>
      <c r="J194" s="107">
        <f t="shared" si="15"/>
        <v>2</v>
      </c>
    </row>
    <row r="195" spans="6:10" ht="16">
      <c r="F195" s="117">
        <f t="shared" si="16"/>
        <v>0.86000000000000132</v>
      </c>
      <c r="G195" s="118">
        <f t="shared" si="12"/>
        <v>0.50664278202657909</v>
      </c>
      <c r="H195" s="118">
        <f t="shared" si="13"/>
        <v>0</v>
      </c>
      <c r="I195" s="118">
        <f t="shared" si="14"/>
        <v>2</v>
      </c>
      <c r="J195" s="107">
        <f t="shared" si="15"/>
        <v>2</v>
      </c>
    </row>
    <row r="196" spans="6:10" ht="16">
      <c r="F196" s="117">
        <f t="shared" si="16"/>
        <v>0.87000000000000133</v>
      </c>
      <c r="G196" s="118">
        <f t="shared" si="12"/>
        <v>0.48918304915019611</v>
      </c>
      <c r="H196" s="118">
        <f t="shared" si="13"/>
        <v>0</v>
      </c>
      <c r="I196" s="118">
        <f t="shared" si="14"/>
        <v>2</v>
      </c>
      <c r="J196" s="107">
        <f t="shared" si="15"/>
        <v>2</v>
      </c>
    </row>
    <row r="197" spans="6:10" ht="16">
      <c r="F197" s="117">
        <f t="shared" si="16"/>
        <v>0.88000000000000134</v>
      </c>
      <c r="G197" s="118">
        <f t="shared" si="12"/>
        <v>0.47086324818482767</v>
      </c>
      <c r="H197" s="118">
        <f t="shared" si="13"/>
        <v>0</v>
      </c>
      <c r="I197" s="118">
        <f t="shared" si="14"/>
        <v>2</v>
      </c>
      <c r="J197" s="107">
        <f t="shared" si="15"/>
        <v>2</v>
      </c>
    </row>
    <row r="198" spans="6:10" ht="16">
      <c r="F198" s="117">
        <f t="shared" si="16"/>
        <v>0.89000000000000135</v>
      </c>
      <c r="G198" s="118">
        <f t="shared" si="12"/>
        <v>0.45157871664360105</v>
      </c>
      <c r="H198" s="118">
        <f t="shared" si="13"/>
        <v>0</v>
      </c>
      <c r="I198" s="118">
        <f t="shared" si="14"/>
        <v>2</v>
      </c>
      <c r="J198" s="107">
        <f t="shared" si="15"/>
        <v>2</v>
      </c>
    </row>
    <row r="199" spans="6:10" ht="16">
      <c r="F199" s="117">
        <f t="shared" si="16"/>
        <v>0.90000000000000135</v>
      </c>
      <c r="G199" s="118">
        <f t="shared" si="12"/>
        <v>0.43120003719715599</v>
      </c>
      <c r="H199" s="118">
        <f t="shared" si="13"/>
        <v>0</v>
      </c>
      <c r="I199" s="118">
        <f t="shared" si="14"/>
        <v>2</v>
      </c>
      <c r="J199" s="107">
        <f t="shared" si="15"/>
        <v>2</v>
      </c>
    </row>
    <row r="200" spans="6:10" ht="16">
      <c r="F200" s="117">
        <f t="shared" si="16"/>
        <v>0.91000000000000136</v>
      </c>
      <c r="G200" s="118">
        <f t="shared" si="12"/>
        <v>0.40956391778476708</v>
      </c>
      <c r="H200" s="118">
        <f t="shared" si="13"/>
        <v>0</v>
      </c>
      <c r="I200" s="118">
        <f t="shared" si="14"/>
        <v>2</v>
      </c>
      <c r="J200" s="107">
        <f t="shared" si="15"/>
        <v>2</v>
      </c>
    </row>
    <row r="201" spans="6:10" ht="16">
      <c r="F201" s="117">
        <f t="shared" si="16"/>
        <v>0.92000000000000137</v>
      </c>
      <c r="G201" s="118">
        <f t="shared" ref="G201:G209" si="17">IFERROR(IF(SQRT(1-(F201*F201)/($J$5*$J$5))&lt;0.05,0,SQRT(1-(F201*F201)/($J$5*$J$5))),0)</f>
        <v>0.38645922080164946</v>
      </c>
      <c r="H201" s="118">
        <f t="shared" ref="H201:H209" si="18">CHOOSE(MATCH($J$3,degrees),IF(F201&lt;0,IFERROR(1-G201,1),0),0,0,IF(F201&gt;0,IFERROR(1-G201,1),0))</f>
        <v>0</v>
      </c>
      <c r="I201" s="118">
        <f t="shared" ref="I201:I209" si="19">CHOOSE(MATCH($J$3,degrees),IF(F201&lt;0,2*G201,2),IF(F201&lt;0,0,1-G201),IF(F201&gt;0,0,1-G201),IF(F201&gt;0,2*G201,2))</f>
        <v>2</v>
      </c>
      <c r="J201" s="107">
        <f t="shared" ref="J201:J209" si="20">CHOOSE(MATCH($J$3,degrees),IF(F201&lt;0,G201+1,2),IF(F201&lt;0,2,2*G201),IF(F201&gt;0,2,2*G201),IF(F201&gt;0,G201+1,2))</f>
        <v>2</v>
      </c>
    </row>
    <row r="202" spans="6:10" ht="16">
      <c r="F202" s="117">
        <f t="shared" ref="F202:F209" si="21">F201+$G$4</f>
        <v>0.93000000000000138</v>
      </c>
      <c r="G202" s="118">
        <f t="shared" si="17"/>
        <v>0.36160455175932232</v>
      </c>
      <c r="H202" s="118">
        <f t="shared" si="18"/>
        <v>0</v>
      </c>
      <c r="I202" s="118">
        <f t="shared" si="19"/>
        <v>2</v>
      </c>
      <c r="J202" s="107">
        <f t="shared" si="20"/>
        <v>2</v>
      </c>
    </row>
    <row r="203" spans="6:10" ht="16">
      <c r="F203" s="117">
        <f t="shared" si="21"/>
        <v>0.94000000000000139</v>
      </c>
      <c r="G203" s="118">
        <f t="shared" si="17"/>
        <v>0.33461017659738723</v>
      </c>
      <c r="H203" s="118">
        <f t="shared" si="18"/>
        <v>0</v>
      </c>
      <c r="I203" s="118">
        <f t="shared" si="19"/>
        <v>2</v>
      </c>
      <c r="J203" s="107">
        <f t="shared" si="20"/>
        <v>2</v>
      </c>
    </row>
    <row r="204" spans="6:10" ht="16">
      <c r="F204" s="117">
        <f t="shared" si="21"/>
        <v>0.9500000000000014</v>
      </c>
      <c r="G204" s="118">
        <f t="shared" si="17"/>
        <v>0.30490832168217497</v>
      </c>
      <c r="H204" s="118">
        <f t="shared" si="18"/>
        <v>0</v>
      </c>
      <c r="I204" s="118">
        <f t="shared" si="19"/>
        <v>2</v>
      </c>
      <c r="J204" s="107">
        <f t="shared" si="20"/>
        <v>2</v>
      </c>
    </row>
    <row r="205" spans="6:10" ht="16">
      <c r="F205" s="117">
        <f t="shared" si="21"/>
        <v>0.96000000000000141</v>
      </c>
      <c r="G205" s="118">
        <f t="shared" si="17"/>
        <v>0.27161221419254783</v>
      </c>
      <c r="H205" s="118">
        <f t="shared" si="18"/>
        <v>0</v>
      </c>
      <c r="I205" s="118">
        <f t="shared" si="19"/>
        <v>2</v>
      </c>
      <c r="J205" s="107">
        <f t="shared" si="20"/>
        <v>2</v>
      </c>
    </row>
    <row r="206" spans="6:10" ht="16">
      <c r="F206" s="117">
        <f t="shared" si="21"/>
        <v>0.97000000000000142</v>
      </c>
      <c r="G206" s="118">
        <f t="shared" si="17"/>
        <v>0.23318726612992427</v>
      </c>
      <c r="H206" s="118">
        <f t="shared" si="18"/>
        <v>0</v>
      </c>
      <c r="I206" s="118">
        <f t="shared" si="19"/>
        <v>2</v>
      </c>
      <c r="J206" s="107">
        <f t="shared" si="20"/>
        <v>2</v>
      </c>
    </row>
    <row r="207" spans="6:10" ht="16">
      <c r="F207" s="117">
        <f t="shared" si="21"/>
        <v>0.98000000000000143</v>
      </c>
      <c r="G207" s="118">
        <f t="shared" si="17"/>
        <v>0.18648968655330392</v>
      </c>
      <c r="H207" s="118">
        <f t="shared" si="18"/>
        <v>0</v>
      </c>
      <c r="I207" s="118">
        <f t="shared" si="19"/>
        <v>2</v>
      </c>
      <c r="J207" s="107">
        <f t="shared" si="20"/>
        <v>2</v>
      </c>
    </row>
    <row r="208" spans="6:10" ht="16">
      <c r="F208" s="117">
        <f t="shared" si="21"/>
        <v>0.99000000000000143</v>
      </c>
      <c r="G208" s="118">
        <f t="shared" si="17"/>
        <v>0.12239077259084048</v>
      </c>
      <c r="H208" s="118">
        <f t="shared" si="18"/>
        <v>0</v>
      </c>
      <c r="I208" s="118">
        <f t="shared" si="19"/>
        <v>2</v>
      </c>
      <c r="J208" s="107">
        <f t="shared" si="20"/>
        <v>2</v>
      </c>
    </row>
    <row r="209" spans="6:10" ht="16">
      <c r="F209" s="135">
        <f t="shared" si="21"/>
        <v>1.0000000000000013</v>
      </c>
      <c r="G209" s="136">
        <f t="shared" si="17"/>
        <v>0</v>
      </c>
      <c r="H209" s="136">
        <f t="shared" si="18"/>
        <v>0</v>
      </c>
      <c r="I209" s="136">
        <f t="shared" si="19"/>
        <v>2</v>
      </c>
      <c r="J209" s="137">
        <f t="shared" si="20"/>
        <v>2</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EB507-59E3-7246-BAF6-1BCAA097155A}">
  <dimension ref="A1"/>
  <sheetViews>
    <sheetView showGridLines="0" workbookViewId="0">
      <selection activeCell="A82" sqref="A82"/>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Visibility</vt:lpstr>
      <vt:lpstr>Illumination</vt:lpstr>
      <vt:lpstr>Background</vt:lpstr>
      <vt:lpstr>Visibility!Print_Area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Triple Stars</dc:title>
  <dc:subject/>
  <dc:creator>Anton Viola</dc:creator>
  <cp:keywords/>
  <dc:description/>
  <cp:lastModifiedBy>Anton Viola</cp:lastModifiedBy>
  <dcterms:created xsi:type="dcterms:W3CDTF">2009-01-01T15:24:05Z</dcterms:created>
  <dcterms:modified xsi:type="dcterms:W3CDTF">2024-08-09T07:44:32Z</dcterms:modified>
  <cp:category/>
</cp:coreProperties>
</file>