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81549078-C77E-FE44-A696-6DFCF33B697F}" xr6:coauthVersionLast="47" xr6:coauthVersionMax="47" xr10:uidLastSave="{00000000-0000-0000-0000-000000000000}"/>
  <bookViews>
    <workbookView xWindow="5320" yWindow="4980" windowWidth="33000" windowHeight="22580" xr2:uid="{336C0576-AE51-6440-A986-54A9A70B62F7}"/>
  </bookViews>
  <sheets>
    <sheet name="Introduction" sheetId="6" r:id="rId1"/>
    <sheet name="Maya Calendar" sheetId="4" r:id="rId2"/>
    <sheet name="Cycles, Gear Train" sheetId="3" r:id="rId3"/>
    <sheet name="Conversions" sheetId="5" r:id="rId4"/>
    <sheet name="Background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5" l="1"/>
  <c r="E54" i="5"/>
  <c r="E48" i="5" s="1"/>
  <c r="F48" i="5"/>
  <c r="C43" i="5"/>
  <c r="C42" i="5"/>
  <c r="C41" i="5"/>
  <c r="C40" i="5"/>
  <c r="C39" i="5"/>
  <c r="J29" i="5"/>
  <c r="J28" i="5"/>
  <c r="J27" i="5"/>
  <c r="J26" i="5"/>
  <c r="J25" i="5"/>
  <c r="J24" i="5"/>
  <c r="J23" i="5"/>
  <c r="J22" i="5"/>
  <c r="J21" i="5"/>
  <c r="J20" i="5"/>
  <c r="J19" i="5"/>
  <c r="J18" i="5"/>
  <c r="E18" i="5"/>
  <c r="E20" i="5" s="1"/>
  <c r="F14" i="5"/>
  <c r="C7" i="5"/>
  <c r="C6" i="5"/>
  <c r="C5" i="5"/>
  <c r="C4" i="5"/>
  <c r="C9" i="5" s="1"/>
  <c r="F62" i="3"/>
  <c r="F61" i="3"/>
  <c r="F60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E48" i="4"/>
  <c r="E49" i="4" s="1"/>
  <c r="E50" i="4" s="1"/>
  <c r="N44" i="4"/>
  <c r="N43" i="4"/>
  <c r="K43" i="4"/>
  <c r="H43" i="4"/>
  <c r="E43" i="4"/>
  <c r="L43" i="4" s="1"/>
  <c r="N42" i="4"/>
  <c r="N41" i="4"/>
  <c r="E41" i="4"/>
  <c r="L41" i="4" s="1"/>
  <c r="N38" i="4"/>
  <c r="N37" i="4"/>
  <c r="J36" i="4"/>
  <c r="B36" i="4"/>
  <c r="N36" i="4" s="1"/>
  <c r="N35" i="4"/>
  <c r="J35" i="4"/>
  <c r="N34" i="4"/>
  <c r="J34" i="4"/>
  <c r="M33" i="4"/>
  <c r="L33" i="4"/>
  <c r="J33" i="4"/>
  <c r="K7" i="4"/>
  <c r="B5" i="4"/>
  <c r="K6" i="4" s="1"/>
  <c r="C33" i="3"/>
  <c r="L24" i="3" s="1"/>
  <c r="B33" i="3"/>
  <c r="L23" i="3" s="1"/>
  <c r="C32" i="3"/>
  <c r="B32" i="3"/>
  <c r="K23" i="3" s="1"/>
  <c r="C31" i="3"/>
  <c r="J24" i="3" s="1"/>
  <c r="B31" i="3"/>
  <c r="J23" i="3" s="1"/>
  <c r="C30" i="3"/>
  <c r="I24" i="3" s="1"/>
  <c r="B30" i="3"/>
  <c r="I23" i="3" s="1"/>
  <c r="C29" i="3"/>
  <c r="H24" i="3" s="1"/>
  <c r="B29" i="3"/>
  <c r="H23" i="3" s="1"/>
  <c r="C28" i="3"/>
  <c r="G24" i="3" s="1"/>
  <c r="B28" i="3"/>
  <c r="G23" i="3" s="1"/>
  <c r="C27" i="3"/>
  <c r="F24" i="3" s="1"/>
  <c r="B27" i="3"/>
  <c r="F23" i="3" s="1"/>
  <c r="C26" i="3"/>
  <c r="E24" i="3" s="1"/>
  <c r="B26" i="3"/>
  <c r="E23" i="3" s="1"/>
  <c r="C25" i="3"/>
  <c r="D24" i="3" s="1"/>
  <c r="B25" i="3"/>
  <c r="D23" i="3" s="1"/>
  <c r="K24" i="3"/>
  <c r="L12" i="3"/>
  <c r="L17" i="3" s="1"/>
  <c r="K12" i="3"/>
  <c r="K17" i="3" s="1"/>
  <c r="J12" i="3"/>
  <c r="J19" i="3" s="1"/>
  <c r="I12" i="3"/>
  <c r="I19" i="3" s="1"/>
  <c r="H12" i="3"/>
  <c r="H21" i="3" s="1"/>
  <c r="G12" i="3"/>
  <c r="G14" i="3" s="1"/>
  <c r="F12" i="3"/>
  <c r="F14" i="3" s="1"/>
  <c r="E12" i="3"/>
  <c r="E16" i="3" s="1"/>
  <c r="D12" i="3"/>
  <c r="D16" i="3" s="1"/>
  <c r="L11" i="3"/>
  <c r="K11" i="3"/>
  <c r="J11" i="3"/>
  <c r="I11" i="3"/>
  <c r="H11" i="3"/>
  <c r="G11" i="3"/>
  <c r="F11" i="3"/>
  <c r="E11" i="3"/>
  <c r="D11" i="3"/>
  <c r="D5" i="3"/>
  <c r="E6" i="3" s="1"/>
  <c r="E39" i="5" l="1"/>
  <c r="F39" i="5" s="1"/>
  <c r="C10" i="5"/>
  <c r="E22" i="5"/>
  <c r="E21" i="5"/>
  <c r="E49" i="5"/>
  <c r="E55" i="5"/>
  <c r="E4" i="5"/>
  <c r="F4" i="5" s="1"/>
  <c r="H48" i="5" s="1"/>
  <c r="L48" i="5" s="1"/>
  <c r="K48" i="5" s="1"/>
  <c r="E19" i="5"/>
  <c r="L6" i="4"/>
  <c r="M7" i="4" s="1"/>
  <c r="E36" i="4"/>
  <c r="F38" i="4" s="1"/>
  <c r="H13" i="3"/>
  <c r="H25" i="3" s="1"/>
  <c r="G16" i="3"/>
  <c r="G28" i="3" s="1"/>
  <c r="H16" i="3"/>
  <c r="H28" i="3" s="1"/>
  <c r="F16" i="3"/>
  <c r="D17" i="3"/>
  <c r="D29" i="3" s="1"/>
  <c r="H14" i="3"/>
  <c r="H26" i="3" s="1"/>
  <c r="D20" i="3"/>
  <c r="D32" i="3" s="1"/>
  <c r="K29" i="3"/>
  <c r="E20" i="3"/>
  <c r="E32" i="3" s="1"/>
  <c r="H20" i="3"/>
  <c r="J31" i="3"/>
  <c r="E28" i="3"/>
  <c r="L21" i="3"/>
  <c r="L33" i="3" s="1"/>
  <c r="D28" i="3"/>
  <c r="H32" i="3"/>
  <c r="I31" i="3"/>
  <c r="F15" i="3"/>
  <c r="F20" i="3"/>
  <c r="F32" i="3" s="1"/>
  <c r="H15" i="3"/>
  <c r="H27" i="3" s="1"/>
  <c r="G20" i="3"/>
  <c r="G32" i="3" s="1"/>
  <c r="E17" i="3"/>
  <c r="E29" i="3" s="1"/>
  <c r="F17" i="3"/>
  <c r="F29" i="3" s="1"/>
  <c r="G17" i="3"/>
  <c r="G29" i="3" s="1"/>
  <c r="L29" i="3"/>
  <c r="H17" i="3"/>
  <c r="H29" i="3" s="1"/>
  <c r="D13" i="3"/>
  <c r="D25" i="3" s="1"/>
  <c r="I18" i="3"/>
  <c r="I30" i="3" s="1"/>
  <c r="E5" i="3"/>
  <c r="E13" i="3"/>
  <c r="E25" i="3" s="1"/>
  <c r="E19" i="3"/>
  <c r="E31" i="3" s="1"/>
  <c r="F13" i="3"/>
  <c r="F25" i="3" s="1"/>
  <c r="F19" i="3"/>
  <c r="F31" i="3" s="1"/>
  <c r="G13" i="3"/>
  <c r="H19" i="3"/>
  <c r="H31" i="3" s="1"/>
  <c r="K19" i="3"/>
  <c r="K31" i="3" s="1"/>
  <c r="I16" i="3"/>
  <c r="I28" i="3" s="1"/>
  <c r="G25" i="3"/>
  <c r="J20" i="3"/>
  <c r="J32" i="3" s="1"/>
  <c r="I15" i="3"/>
  <c r="I27" i="3" s="1"/>
  <c r="D18" i="3"/>
  <c r="D30" i="3" s="1"/>
  <c r="D15" i="3"/>
  <c r="D27" i="3" s="1"/>
  <c r="E18" i="3"/>
  <c r="E30" i="3" s="1"/>
  <c r="K20" i="3"/>
  <c r="K32" i="3" s="1"/>
  <c r="I13" i="3"/>
  <c r="I25" i="3" s="1"/>
  <c r="I20" i="3"/>
  <c r="I32" i="3" s="1"/>
  <c r="I14" i="3"/>
  <c r="I26" i="3" s="1"/>
  <c r="F26" i="3"/>
  <c r="E15" i="3"/>
  <c r="E27" i="3" s="1"/>
  <c r="F18" i="3"/>
  <c r="F30" i="3" s="1"/>
  <c r="F21" i="3"/>
  <c r="F33" i="3" s="1"/>
  <c r="G26" i="3"/>
  <c r="F27" i="3"/>
  <c r="G18" i="3"/>
  <c r="G30" i="3" s="1"/>
  <c r="I21" i="3"/>
  <c r="I33" i="3" s="1"/>
  <c r="H33" i="3"/>
  <c r="G15" i="3"/>
  <c r="G27" i="3" s="1"/>
  <c r="H18" i="3"/>
  <c r="H30" i="3" s="1"/>
  <c r="K21" i="3"/>
  <c r="K33" i="3" s="1"/>
  <c r="L36" i="4"/>
  <c r="K40" i="4" s="1"/>
  <c r="H50" i="4"/>
  <c r="F50" i="4"/>
  <c r="E51" i="4"/>
  <c r="H49" i="4"/>
  <c r="F49" i="4"/>
  <c r="E34" i="4"/>
  <c r="H14" i="5" s="1"/>
  <c r="L14" i="5" s="1"/>
  <c r="F28" i="3"/>
  <c r="L19" i="3"/>
  <c r="L31" i="3" s="1"/>
  <c r="J21" i="3"/>
  <c r="J33" i="3" s="1"/>
  <c r="L20" i="3"/>
  <c r="L32" i="3" s="1"/>
  <c r="K14" i="3"/>
  <c r="K26" i="3" s="1"/>
  <c r="D21" i="3"/>
  <c r="D33" i="3" s="1"/>
  <c r="L14" i="3"/>
  <c r="L26" i="3" s="1"/>
  <c r="K16" i="3"/>
  <c r="K28" i="3" s="1"/>
  <c r="L16" i="3"/>
  <c r="L28" i="3" s="1"/>
  <c r="L13" i="3"/>
  <c r="L25" i="3" s="1"/>
  <c r="J15" i="3"/>
  <c r="J27" i="3" s="1"/>
  <c r="D14" i="3"/>
  <c r="D26" i="3" s="1"/>
  <c r="K15" i="3"/>
  <c r="K27" i="3" s="1"/>
  <c r="I17" i="3"/>
  <c r="I29" i="3" s="1"/>
  <c r="G19" i="3"/>
  <c r="G31" i="3" s="1"/>
  <c r="E21" i="3"/>
  <c r="E33" i="3" s="1"/>
  <c r="J14" i="3"/>
  <c r="J26" i="3" s="1"/>
  <c r="J16" i="3"/>
  <c r="J28" i="3" s="1"/>
  <c r="K18" i="3"/>
  <c r="K30" i="3" s="1"/>
  <c r="D19" i="3"/>
  <c r="D31" i="3" s="1"/>
  <c r="K13" i="3"/>
  <c r="K25" i="3" s="1"/>
  <c r="E14" i="3"/>
  <c r="E26" i="3" s="1"/>
  <c r="L15" i="3"/>
  <c r="L27" i="3" s="1"/>
  <c r="J17" i="3"/>
  <c r="J29" i="3" s="1"/>
  <c r="G21" i="3"/>
  <c r="G33" i="3" s="1"/>
  <c r="J18" i="3"/>
  <c r="J30" i="3" s="1"/>
  <c r="L18" i="3"/>
  <c r="L30" i="3" s="1"/>
  <c r="J13" i="3"/>
  <c r="J25" i="3" s="1"/>
  <c r="K18" i="5" l="1"/>
  <c r="M6" i="4"/>
  <c r="E23" i="5"/>
  <c r="E24" i="5"/>
  <c r="K49" i="5"/>
  <c r="K55" i="5"/>
  <c r="E56" i="5"/>
  <c r="E50" i="5"/>
  <c r="H41" i="4"/>
  <c r="L34" i="4"/>
  <c r="K41" i="4" s="1"/>
  <c r="H51" i="4"/>
  <c r="F51" i="4"/>
  <c r="E38" i="4"/>
  <c r="E40" i="4" s="1"/>
  <c r="E52" i="4"/>
  <c r="E57" i="5" l="1"/>
  <c r="E51" i="5"/>
  <c r="K56" i="5"/>
  <c r="K50" i="5"/>
  <c r="E26" i="5"/>
  <c r="E17" i="5" s="1"/>
  <c r="E25" i="5"/>
  <c r="K20" i="5"/>
  <c r="K19" i="5"/>
  <c r="H52" i="4"/>
  <c r="F52" i="4"/>
  <c r="C41" i="4"/>
  <c r="C42" i="4" a="1"/>
  <c r="C42" i="4" s="1"/>
  <c r="H44" i="4"/>
  <c r="M41" i="4"/>
  <c r="M42" i="4" a="1"/>
  <c r="M42" i="4" s="1"/>
  <c r="K44" i="4"/>
  <c r="M34" i="4"/>
  <c r="E28" i="5" l="1"/>
  <c r="E27" i="5"/>
  <c r="K57" i="5"/>
  <c r="K51" i="5"/>
  <c r="K21" i="5"/>
  <c r="K22" i="5"/>
  <c r="E52" i="5"/>
  <c r="E53" i="5"/>
  <c r="M35" i="4"/>
  <c r="C43" i="4"/>
  <c r="C44" i="4" a="1"/>
  <c r="C44" i="4" s="1"/>
  <c r="M43" i="4"/>
  <c r="M44" i="4" a="1"/>
  <c r="M44" i="4" s="1"/>
  <c r="E14" i="5" l="1"/>
  <c r="K24" i="5"/>
  <c r="K23" i="5"/>
  <c r="K52" i="5"/>
  <c r="K53" i="5"/>
  <c r="E30" i="5"/>
  <c r="E34" i="5" s="1"/>
  <c r="E29" i="5"/>
  <c r="E31" i="5" s="1"/>
  <c r="E35" i="5" s="1"/>
  <c r="M36" i="4"/>
  <c r="E15" i="5" l="1"/>
  <c r="E33" i="5" s="1"/>
  <c r="E16" i="5" s="1"/>
  <c r="K26" i="5"/>
  <c r="K17" i="5" s="1"/>
  <c r="K25" i="5"/>
  <c r="M38" i="4"/>
  <c r="M37" i="4"/>
  <c r="K28" i="5" l="1"/>
  <c r="K27" i="5"/>
  <c r="L38" i="4"/>
  <c r="L40" i="4" s="1"/>
  <c r="K14" i="5" l="1"/>
  <c r="K30" i="5" l="1"/>
  <c r="K34" i="5" s="1"/>
  <c r="K29" i="5"/>
  <c r="K31" i="5" s="1"/>
  <c r="K35" i="5" s="1"/>
  <c r="F34" i="4"/>
  <c r="K15" i="5" l="1"/>
  <c r="K33" i="5" s="1"/>
  <c r="K16" i="5" s="1"/>
  <c r="F36" i="4" s="1"/>
  <c r="F35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<sst xmlns="http://schemas.openxmlformats.org/spreadsheetml/2006/main" count="288" uniqueCount="178">
  <si>
    <t>A. Tzolk'in, Haab' cycle</t>
  </si>
  <si>
    <t># days</t>
  </si>
  <si>
    <t>LCM</t>
  </si>
  <si>
    <t>factor</t>
  </si>
  <si>
    <t>Tzolk'in</t>
  </si>
  <si>
    <t>Haab'</t>
  </si>
  <si>
    <t>B. Planetary cycles</t>
  </si>
  <si>
    <t>Saturn</t>
  </si>
  <si>
    <t>13 moons</t>
  </si>
  <si>
    <t>Jupiter</t>
  </si>
  <si>
    <t>3 eclipse years</t>
  </si>
  <si>
    <t>Venus</t>
  </si>
  <si>
    <t>Mars</t>
  </si>
  <si>
    <t>819-day cycle</t>
  </si>
  <si>
    <t>Tropical year</t>
  </si>
  <si>
    <t>Synodic month</t>
  </si>
  <si>
    <t>A. Calendar Round</t>
  </si>
  <si>
    <t>A. Gregorian Calendar -&gt; Fixed / Julian Day Number</t>
  </si>
  <si>
    <t>Gregorian</t>
  </si>
  <si>
    <t>Fixed</t>
  </si>
  <si>
    <t>JDN</t>
  </si>
  <si>
    <t>religious month</t>
  </si>
  <si>
    <t>religious day</t>
  </si>
  <si>
    <t>civil day</t>
  </si>
  <si>
    <t>civil month</t>
  </si>
  <si>
    <t>year</t>
  </si>
  <si>
    <t>month</t>
  </si>
  <si>
    <t>Trecena cycle</t>
  </si>
  <si>
    <t>Named Days</t>
  </si>
  <si>
    <t>ND-Index</t>
  </si>
  <si>
    <t>HM-Index</t>
  </si>
  <si>
    <t>day</t>
  </si>
  <si>
    <t>Imix</t>
  </si>
  <si>
    <t>Pop</t>
  </si>
  <si>
    <t>fraction</t>
  </si>
  <si>
    <t>Ik</t>
  </si>
  <si>
    <t>Uo</t>
  </si>
  <si>
    <t>epoch</t>
  </si>
  <si>
    <t>Akbal</t>
  </si>
  <si>
    <t>Zip</t>
  </si>
  <si>
    <t>Calendar Round</t>
  </si>
  <si>
    <t>= aXbY</t>
  </si>
  <si>
    <t>a:</t>
  </si>
  <si>
    <t>1-13 (Trecena cycle)</t>
  </si>
  <si>
    <t>leap year</t>
  </si>
  <si>
    <t>Kan</t>
  </si>
  <si>
    <t>Zotz</t>
  </si>
  <si>
    <t>X:</t>
  </si>
  <si>
    <t>1-20 (Imix-Ahau)</t>
  </si>
  <si>
    <t>add</t>
  </si>
  <si>
    <t>Chicchan</t>
  </si>
  <si>
    <t>Tzec</t>
  </si>
  <si>
    <t>b:</t>
  </si>
  <si>
    <t>0-19 (0 &lt;= b &lt;= 4 for Uayeb)</t>
  </si>
  <si>
    <t>Cimi</t>
  </si>
  <si>
    <t>Xul</t>
  </si>
  <si>
    <t>Y:</t>
  </si>
  <si>
    <t>0-18 (Haab)</t>
  </si>
  <si>
    <t>B. Fixed / Julian Day Number -&gt; Gregorian Calendar</t>
  </si>
  <si>
    <t>Manik</t>
  </si>
  <si>
    <t>Yaxkin</t>
  </si>
  <si>
    <t>Lamat</t>
  </si>
  <si>
    <t>Mol</t>
  </si>
  <si>
    <t>Muluc</t>
  </si>
  <si>
    <t>Chen</t>
  </si>
  <si>
    <t>Oc</t>
  </si>
  <si>
    <t>Yax</t>
  </si>
  <si>
    <t>Chuen</t>
  </si>
  <si>
    <t>Zac</t>
  </si>
  <si>
    <t>day nr.</t>
  </si>
  <si>
    <t>Eb</t>
  </si>
  <si>
    <t>Ceh</t>
  </si>
  <si>
    <t>d0</t>
  </si>
  <si>
    <t>Ben</t>
  </si>
  <si>
    <t>Mac</t>
  </si>
  <si>
    <t>n400</t>
  </si>
  <si>
    <t>Ix</t>
  </si>
  <si>
    <t>Kankin</t>
  </si>
  <si>
    <t>d1</t>
  </si>
  <si>
    <t>Men</t>
  </si>
  <si>
    <t>Muan</t>
  </si>
  <si>
    <t>n100</t>
  </si>
  <si>
    <t>Cib</t>
  </si>
  <si>
    <t>Pax</t>
  </si>
  <si>
    <t>d2</t>
  </si>
  <si>
    <t>Caban</t>
  </si>
  <si>
    <t>Kayab</t>
  </si>
  <si>
    <t>n4</t>
  </si>
  <si>
    <t>Etznab</t>
  </si>
  <si>
    <t>Cumku</t>
  </si>
  <si>
    <t>d3</t>
  </si>
  <si>
    <t>Cauac</t>
  </si>
  <si>
    <t>Uayeb</t>
  </si>
  <si>
    <t>n1</t>
  </si>
  <si>
    <t>Ahau</t>
  </si>
  <si>
    <t>d4</t>
  </si>
  <si>
    <t>leap-year</t>
  </si>
  <si>
    <t>f-from-g-Jan1</t>
  </si>
  <si>
    <t>f-from-g-Mar1</t>
  </si>
  <si>
    <t>Long Count</t>
  </si>
  <si>
    <t>f-from-g-month</t>
  </si>
  <si>
    <t>Baktun</t>
  </si>
  <si>
    <t>Year</t>
  </si>
  <si>
    <t>prior-days</t>
  </si>
  <si>
    <t>Katun</t>
  </si>
  <si>
    <t>Month</t>
  </si>
  <si>
    <t>August</t>
  </si>
  <si>
    <t>correction</t>
  </si>
  <si>
    <t>Day</t>
  </si>
  <si>
    <t>Uinal</t>
  </si>
  <si>
    <t>long count</t>
  </si>
  <si>
    <t>Hours</t>
  </si>
  <si>
    <t>C. Mayan Calendar -&gt; Fixed / Julian Day Number</t>
  </si>
  <si>
    <t>Kin</t>
  </si>
  <si>
    <t>Day of week</t>
  </si>
  <si>
    <t>Minutes</t>
  </si>
  <si>
    <t>Mayan</t>
  </si>
  <si>
    <t>Start date: 0.0.0.0.0 4 Ahau 8 Cumku, equal to 11 Aug -3113, and equal to 11 Aug 3114 BC (no year zero).</t>
  </si>
  <si>
    <t>CR cycle</t>
  </si>
  <si>
    <t>baktun</t>
  </si>
  <si>
    <t>katun</t>
  </si>
  <si>
    <t>a</t>
  </si>
  <si>
    <t>Delta (JDN):</t>
  </si>
  <si>
    <t>tun</t>
  </si>
  <si>
    <t>X</t>
  </si>
  <si>
    <t>unial</t>
  </si>
  <si>
    <t>b</t>
  </si>
  <si>
    <t>Day number:</t>
  </si>
  <si>
    <t>kin</t>
  </si>
  <si>
    <t>Y</t>
  </si>
  <si>
    <t># Tzolk'in</t>
  </si>
  <si>
    <t># Haab'</t>
  </si>
  <si>
    <t>D. Fixed / Julian Day Number -&gt; Mayan Calendar</t>
  </si>
  <si>
    <t>-</t>
  </si>
  <si>
    <t>long-count</t>
  </si>
  <si>
    <t>Tun</t>
  </si>
  <si>
    <t>Creation date:</t>
  </si>
  <si>
    <t>13.0.0.0.0.0</t>
  </si>
  <si>
    <t>11-Aug-3113 BC</t>
  </si>
  <si>
    <t>day-of-baktun</t>
  </si>
  <si>
    <t>day-of-katun</t>
  </si>
  <si>
    <t>day-of-tun</t>
  </si>
  <si>
    <t>Cycle 1</t>
  </si>
  <si>
    <t xml:space="preserve">  =     Cycle 2</t>
  </si>
  <si>
    <t>Sunday</t>
  </si>
  <si>
    <t>Monday</t>
  </si>
  <si>
    <t>Tuesday</t>
  </si>
  <si>
    <t>Wednesday</t>
  </si>
  <si>
    <t>Eclipse</t>
  </si>
  <si>
    <t>Thursday</t>
  </si>
  <si>
    <t>Friday</t>
  </si>
  <si>
    <t>Moons (13)</t>
  </si>
  <si>
    <t>Saturday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</si>
  <si>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</si>
  <si>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</si>
  <si>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</si>
  <si>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</si>
  <si>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</si>
  <si>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</si>
  <si>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</si>
  <si>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</si>
  <si>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October</t>
  </si>
  <si>
    <t>November</t>
  </si>
  <si>
    <t>December</t>
  </si>
  <si>
    <t xml:space="preserve">   *      (Gear 1     /     Gear 2) </t>
  </si>
  <si>
    <t>Other possibilies:</t>
  </si>
  <si>
    <t>B. Conversion between Maya and Gregorian Calendar</t>
  </si>
  <si>
    <t>C. Gear Ratios (see Solar System on next worksheet)</t>
  </si>
  <si>
    <t>Gear ratios from LCM</t>
  </si>
  <si>
    <t>Email</t>
  </si>
  <si>
    <t>V1.0</t>
  </si>
  <si>
    <t>The Maya calendar consists of several cycles or counts of different lengths. The 260-day count is known to scholars as the Tzolkin, or Tzolkʼin. The Tzolkin was combined with a 365-day vague solar year known as the Haabʼ to form a synchronized cycle lasting for 52 Haabʼ called the Calendar Round. In this spreadsheet, a conversion between the Maya and Gregorian calendar has been implemented. Further, solar system of the ancient Maya is analysed by looking at the different gear ratios.</t>
  </si>
  <si>
    <t>Inputs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</si>
  <si>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</si>
  <si>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</si>
  <si>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</si>
  <si>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"/>
        <family val="2"/>
      </rPr>
      <t>Compiled by</t>
    </r>
    <r>
      <rPr>
        <sz val="14"/>
        <color theme="0"/>
        <rFont val="Calibri"/>
        <family val="2"/>
      </rPr>
      <t>: Anton Viola (Astronomy Morsels).</t>
    </r>
  </si>
  <si>
    <r>
      <rPr>
        <b/>
        <sz val="14"/>
        <color theme="0"/>
        <rFont val="Calibri"/>
        <family val="2"/>
      </rPr>
      <t>Latest update</t>
    </r>
    <r>
      <rPr>
        <sz val="14"/>
        <color theme="0"/>
        <rFont val="Calibri"/>
        <family val="2"/>
      </rPr>
      <t>: 29th December,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</si>
</sst>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0"/>
  </numFmts>
  <fonts count="24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u/>
      <sz val="16"/>
      <color theme="1"/>
      <name val="Calibri"/>
      <family val="2"/>
    </font>
    <font>
      <sz val="10"/>
      <color theme="0"/>
      <name val="Calibri"/>
      <family val="2"/>
    </font>
    <font>
      <b/>
      <u/>
      <sz val="10"/>
      <color theme="0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i/>
      <sz val="10"/>
      <color theme="1"/>
      <name val="Calibri"/>
      <family val="2"/>
    </font>
    <font>
      <u/>
      <sz val="12"/>
      <color theme="10"/>
      <name val="Aptos Narrow"/>
      <family val="2"/>
      <scheme val="minor"/>
    </font>
    <font>
      <u/>
      <sz val="12"/>
      <color theme="0"/>
      <name val="Calibri"/>
      <family val="2"/>
    </font>
    <font>
      <i/>
      <sz val="14"/>
      <color theme="0"/>
      <name val="Calibri"/>
      <family val="2"/>
    </font>
    <font>
      <sz val="9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Aptos Narrow"/>
      <family val="2"/>
      <scheme val="minor"/>
    </font>
    <font>
      <u/>
      <sz val="14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45">
    <xf numFmtId="0" fontId="0" fillId="0" borderId="0" xfId="0"/>
    <xf numFmtId="0" fontId="1" fillId="4" borderId="0" xfId="0" applyFont="1" applyFill="1"/>
    <xf numFmtId="0" fontId="2" fillId="0" borderId="0" xfId="0" applyFont="1"/>
    <xf numFmtId="0" fontId="3" fillId="4" borderId="0" xfId="0" applyFont="1" applyFill="1"/>
    <xf numFmtId="0" fontId="4" fillId="0" borderId="0" xfId="0" applyFont="1"/>
    <xf numFmtId="0" fontId="5" fillId="4" borderId="0" xfId="0" applyFont="1" applyFill="1"/>
    <xf numFmtId="0" fontId="6" fillId="4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4" fontId="5" fillId="4" borderId="0" xfId="0" applyNumberFormat="1" applyFont="1" applyFill="1"/>
    <xf numFmtId="0" fontId="2" fillId="5" borderId="1" xfId="0" applyFont="1" applyFill="1" applyBorder="1"/>
    <xf numFmtId="0" fontId="2" fillId="6" borderId="2" xfId="0" applyFont="1" applyFill="1" applyBorder="1" applyAlignment="1">
      <alignment horizontal="right"/>
    </xf>
    <xf numFmtId="0" fontId="2" fillId="7" borderId="1" xfId="0" applyFont="1" applyFill="1" applyBorder="1"/>
    <xf numFmtId="0" fontId="2" fillId="8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0" borderId="1" xfId="0" applyFont="1" applyBorder="1"/>
    <xf numFmtId="0" fontId="2" fillId="5" borderId="11" xfId="0" applyFont="1" applyFill="1" applyBorder="1"/>
    <xf numFmtId="0" fontId="2" fillId="6" borderId="5" xfId="0" applyFont="1" applyFill="1" applyBorder="1"/>
    <xf numFmtId="0" fontId="2" fillId="7" borderId="2" xfId="0" applyFont="1" applyFill="1" applyBorder="1"/>
    <xf numFmtId="0" fontId="2" fillId="8" borderId="6" xfId="0" applyFont="1" applyFill="1" applyBorder="1" applyAlignment="1">
      <alignment horizontal="right"/>
    </xf>
    <xf numFmtId="0" fontId="2" fillId="8" borderId="2" xfId="0" applyFont="1" applyFill="1" applyBorder="1"/>
    <xf numFmtId="0" fontId="3" fillId="2" borderId="3" xfId="0" applyFont="1" applyFill="1" applyBorder="1"/>
    <xf numFmtId="0" fontId="2" fillId="0" borderId="4" xfId="0" applyFont="1" applyBorder="1" applyAlignment="1">
      <alignment horizontal="right"/>
    </xf>
    <xf numFmtId="0" fontId="2" fillId="6" borderId="20" xfId="0" applyFont="1" applyFill="1" applyBorder="1" applyAlignment="1">
      <alignment horizontal="right"/>
    </xf>
    <xf numFmtId="0" fontId="2" fillId="6" borderId="11" xfId="0" applyFont="1" applyFill="1" applyBorder="1"/>
    <xf numFmtId="0" fontId="2" fillId="7" borderId="20" xfId="0" applyFont="1" applyFill="1" applyBorder="1"/>
    <xf numFmtId="0" fontId="2" fillId="8" borderId="10" xfId="0" applyFont="1" applyFill="1" applyBorder="1" applyAlignment="1">
      <alignment horizontal="right"/>
    </xf>
    <xf numFmtId="0" fontId="2" fillId="8" borderId="20" xfId="0" applyFont="1" applyFill="1" applyBorder="1"/>
    <xf numFmtId="0" fontId="2" fillId="0" borderId="0" xfId="0" quotePrefix="1" applyFont="1"/>
    <xf numFmtId="17" fontId="2" fillId="0" borderId="0" xfId="0" quotePrefix="1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6" xfId="0" applyFont="1" applyBorder="1"/>
    <xf numFmtId="0" fontId="2" fillId="6" borderId="10" xfId="0" applyFont="1" applyFill="1" applyBorder="1" applyAlignment="1">
      <alignment horizontal="right"/>
    </xf>
    <xf numFmtId="0" fontId="2" fillId="0" borderId="10" xfId="0" applyFont="1" applyBorder="1"/>
    <xf numFmtId="0" fontId="2" fillId="8" borderId="4" xfId="0" applyFont="1" applyFill="1" applyBorder="1" applyAlignment="1">
      <alignment horizontal="right"/>
    </xf>
    <xf numFmtId="0" fontId="2" fillId="8" borderId="3" xfId="0" applyFont="1" applyFill="1" applyBorder="1"/>
    <xf numFmtId="0" fontId="2" fillId="6" borderId="4" xfId="0" applyFont="1" applyFill="1" applyBorder="1" applyAlignment="1">
      <alignment horizontal="right"/>
    </xf>
    <xf numFmtId="0" fontId="2" fillId="6" borderId="8" xfId="0" applyFont="1" applyFill="1" applyBorder="1"/>
    <xf numFmtId="0" fontId="2" fillId="7" borderId="3" xfId="0" applyFont="1" applyFill="1" applyBorder="1"/>
    <xf numFmtId="0" fontId="2" fillId="0" borderId="7" xfId="0" applyFont="1" applyBorder="1"/>
    <xf numFmtId="0" fontId="3" fillId="2" borderId="13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4" fontId="2" fillId="0" borderId="0" xfId="0" applyNumberFormat="1" applyFont="1"/>
    <xf numFmtId="0" fontId="2" fillId="0" borderId="11" xfId="0" applyFont="1" applyBorder="1"/>
    <xf numFmtId="0" fontId="2" fillId="4" borderId="0" xfId="0" applyFont="1" applyFill="1" applyAlignment="1">
      <alignment horizontal="center"/>
    </xf>
    <xf numFmtId="0" fontId="2" fillId="0" borderId="22" xfId="0" applyFont="1" applyBorder="1" applyAlignment="1">
      <alignment horizontal="right"/>
    </xf>
    <xf numFmtId="0" fontId="2" fillId="1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8" xfId="0" applyFont="1" applyBorder="1"/>
    <xf numFmtId="3" fontId="2" fillId="0" borderId="19" xfId="0" applyNumberFormat="1" applyFont="1" applyBorder="1" applyAlignment="1">
      <alignment horizontal="center"/>
    </xf>
    <xf numFmtId="0" fontId="2" fillId="0" borderId="23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9" fillId="10" borderId="7" xfId="0" applyFont="1" applyFill="1" applyBorder="1"/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9" fillId="10" borderId="17" xfId="0" applyFont="1" applyFill="1" applyBorder="1"/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10" borderId="0" xfId="0" applyFont="1" applyFill="1"/>
    <xf numFmtId="0" fontId="9" fillId="10" borderId="10" xfId="0" applyFont="1" applyFill="1" applyBorder="1"/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10" borderId="9" xfId="0" applyFont="1" applyFill="1" applyBorder="1"/>
    <xf numFmtId="3" fontId="9" fillId="1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3" fontId="2" fillId="0" borderId="10" xfId="0" applyNumberFormat="1" applyFont="1" applyBorder="1"/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4" fontId="2" fillId="0" borderId="11" xfId="0" applyNumberFormat="1" applyFont="1" applyBorder="1"/>
    <xf numFmtId="4" fontId="2" fillId="0" borderId="10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4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4" xfId="0" applyNumberFormat="1" applyFont="1" applyBorder="1"/>
    <xf numFmtId="0" fontId="2" fillId="0" borderId="5" xfId="0" applyFont="1" applyBorder="1"/>
    <xf numFmtId="0" fontId="10" fillId="0" borderId="1" xfId="0" applyFont="1" applyBorder="1" applyAlignment="1">
      <alignment horizontal="right"/>
    </xf>
    <xf numFmtId="0" fontId="10" fillId="0" borderId="1" xfId="0" quotePrefix="1" applyFont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3" fontId="9" fillId="0" borderId="5" xfId="0" applyNumberFormat="1" applyFont="1" applyBorder="1"/>
    <xf numFmtId="3" fontId="11" fillId="0" borderId="5" xfId="0" applyNumberFormat="1" applyFont="1" applyBorder="1"/>
    <xf numFmtId="3" fontId="11" fillId="0" borderId="6" xfId="0" applyNumberFormat="1" applyFont="1" applyBorder="1"/>
    <xf numFmtId="4" fontId="11" fillId="0" borderId="2" xfId="0" applyNumberFormat="1" applyFont="1" applyBorder="1"/>
    <xf numFmtId="0" fontId="3" fillId="2" borderId="6" xfId="0" applyFont="1" applyFill="1" applyBorder="1" applyAlignment="1">
      <alignment horizontal="right"/>
    </xf>
    <xf numFmtId="3" fontId="9" fillId="0" borderId="11" xfId="0" applyNumberFormat="1" applyFont="1" applyBorder="1"/>
    <xf numFmtId="3" fontId="11" fillId="0" borderId="11" xfId="0" applyNumberFormat="1" applyFont="1" applyBorder="1"/>
    <xf numFmtId="3" fontId="11" fillId="0" borderId="10" xfId="0" applyNumberFormat="1" applyFont="1" applyBorder="1"/>
    <xf numFmtId="4" fontId="11" fillId="0" borderId="20" xfId="0" applyNumberFormat="1" applyFont="1" applyBorder="1"/>
    <xf numFmtId="0" fontId="3" fillId="2" borderId="10" xfId="0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3" fontId="9" fillId="0" borderId="8" xfId="0" applyNumberFormat="1" applyFont="1" applyBorder="1"/>
    <xf numFmtId="3" fontId="11" fillId="0" borderId="8" xfId="0" applyNumberFormat="1" applyFont="1" applyBorder="1"/>
    <xf numFmtId="3" fontId="11" fillId="0" borderId="4" xfId="0" applyNumberFormat="1" applyFont="1" applyBorder="1"/>
    <xf numFmtId="0" fontId="3" fillId="2" borderId="4" xfId="0" applyFont="1" applyFill="1" applyBorder="1" applyAlignment="1">
      <alignment horizontal="right"/>
    </xf>
    <xf numFmtId="4" fontId="11" fillId="0" borderId="3" xfId="0" applyNumberFormat="1" applyFont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3" fontId="2" fillId="3" borderId="0" xfId="0" applyNumberFormat="1" applyFont="1" applyFill="1"/>
    <xf numFmtId="3" fontId="2" fillId="0" borderId="0" xfId="0" applyNumberFormat="1" applyFont="1"/>
    <xf numFmtId="3" fontId="2" fillId="0" borderId="9" xfId="0" applyNumberFormat="1" applyFont="1" applyBorder="1"/>
    <xf numFmtId="3" fontId="2" fillId="3" borderId="4" xfId="0" applyNumberFormat="1" applyFont="1" applyFill="1" applyBorder="1"/>
    <xf numFmtId="0" fontId="2" fillId="0" borderId="11" xfId="0" applyFont="1" applyBorder="1" applyAlignment="1">
      <alignment horizontal="left"/>
    </xf>
    <xf numFmtId="0" fontId="2" fillId="0" borderId="25" xfId="0" applyFont="1" applyBorder="1"/>
    <xf numFmtId="0" fontId="2" fillId="0" borderId="13" xfId="0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1" xfId="0" applyNumberFormat="1" applyFont="1" applyBorder="1"/>
    <xf numFmtId="0" fontId="2" fillId="0" borderId="2" xfId="0" applyFont="1" applyBorder="1"/>
    <xf numFmtId="0" fontId="2" fillId="0" borderId="26" xfId="0" applyFont="1" applyBorder="1"/>
    <xf numFmtId="0" fontId="2" fillId="4" borderId="0" xfId="0" applyFont="1" applyFill="1"/>
    <xf numFmtId="0" fontId="13" fillId="4" borderId="0" xfId="0" applyFont="1" applyFill="1"/>
    <xf numFmtId="0" fontId="15" fillId="4" borderId="0" xfId="0" applyFont="1" applyFill="1"/>
    <xf numFmtId="0" fontId="0" fillId="4" borderId="0" xfId="0" applyFill="1"/>
    <xf numFmtId="0" fontId="3" fillId="2" borderId="20" xfId="0" applyFont="1" applyFill="1" applyBorder="1" applyAlignment="1">
      <alignment horizontal="right"/>
    </xf>
    <xf numFmtId="0" fontId="7" fillId="9" borderId="0" xfId="0" applyFont="1" applyFill="1" applyAlignment="1">
      <alignment horizontal="center"/>
    </xf>
    <xf numFmtId="0" fontId="7" fillId="9" borderId="6" xfId="0" applyFont="1" applyFill="1" applyBorder="1" applyAlignment="1" applyProtection="1">
      <alignment horizontal="center"/>
      <protection locked="0"/>
    </xf>
    <xf numFmtId="0" fontId="7" fillId="9" borderId="10" xfId="0" applyFont="1" applyFill="1" applyBorder="1" applyAlignment="1" applyProtection="1">
      <alignment horizontal="center"/>
      <protection locked="0"/>
    </xf>
    <xf numFmtId="0" fontId="17" fillId="2" borderId="2" xfId="1" applyFont="1" applyFill="1" applyBorder="1" applyAlignment="1">
      <alignment horizontal="center"/>
    </xf>
    <xf numFmtId="0" fontId="17" fillId="2" borderId="5" xfId="1" applyFont="1" applyFill="1" applyBorder="1"/>
    <xf numFmtId="0" fontId="20" fillId="12" borderId="5" xfId="0" applyFont="1" applyFill="1" applyBorder="1" applyAlignment="1">
      <alignment horizontal="left"/>
    </xf>
    <xf numFmtId="0" fontId="20" fillId="12" borderId="7" xfId="0" applyFont="1" applyFill="1" applyBorder="1" applyAlignment="1">
      <alignment horizontal="center"/>
    </xf>
    <xf numFmtId="0" fontId="22" fillId="12" borderId="7" xfId="0" applyFont="1" applyFill="1" applyBorder="1"/>
    <xf numFmtId="0" fontId="23" fillId="12" borderId="6" xfId="1" applyFont="1" applyFill="1" applyBorder="1" applyAlignment="1">
      <alignment horizontal="center"/>
    </xf>
    <xf numFmtId="0" fontId="23" fillId="12" borderId="11" xfId="1" applyFont="1" applyFill="1" applyBorder="1" applyAlignment="1">
      <alignment horizontal="left"/>
    </xf>
    <xf numFmtId="0" fontId="20" fillId="12" borderId="0" xfId="0" applyFont="1" applyFill="1" applyAlignment="1">
      <alignment horizontal="center"/>
    </xf>
    <xf numFmtId="0" fontId="22" fillId="12" borderId="0" xfId="0" applyFont="1" applyFill="1"/>
    <xf numFmtId="0" fontId="20" fillId="12" borderId="10" xfId="0" applyFont="1" applyFill="1" applyBorder="1" applyAlignment="1">
      <alignment horizontal="center"/>
    </xf>
    <xf numFmtId="0" fontId="20" fillId="12" borderId="8" xfId="1" applyFont="1" applyFill="1" applyBorder="1" applyAlignment="1">
      <alignment horizontal="left"/>
    </xf>
    <xf numFmtId="0" fontId="20" fillId="12" borderId="9" xfId="1" applyFont="1" applyFill="1" applyBorder="1" applyAlignment="1">
      <alignment horizontal="left"/>
    </xf>
    <xf numFmtId="0" fontId="22" fillId="12" borderId="9" xfId="0" applyFont="1" applyFill="1" applyBorder="1"/>
    <xf numFmtId="0" fontId="21" fillId="12" borderId="4" xfId="0" applyFont="1" applyFill="1" applyBorder="1" applyAlignment="1">
      <alignment horizontal="center"/>
    </xf>
    <xf numFmtId="0" fontId="12" fillId="7" borderId="5" xfId="0" applyFont="1" applyFill="1" applyBorder="1"/>
    <xf numFmtId="0" fontId="13" fillId="7" borderId="7" xfId="0" applyFont="1" applyFill="1" applyBorder="1"/>
    <xf numFmtId="0" fontId="13" fillId="7" borderId="6" xfId="0" applyFont="1" applyFill="1" applyBorder="1"/>
    <xf numFmtId="0" fontId="14" fillId="7" borderId="11" xfId="0" applyFont="1" applyFill="1" applyBorder="1"/>
    <xf numFmtId="0" fontId="13" fillId="7" borderId="0" xfId="0" applyFont="1" applyFill="1"/>
    <xf numFmtId="0" fontId="14" fillId="7" borderId="0" xfId="0" applyFont="1" applyFill="1" applyAlignment="1">
      <alignment horizontal="right"/>
    </xf>
    <xf numFmtId="0" fontId="13" fillId="7" borderId="10" xfId="0" applyFont="1" applyFill="1" applyBorder="1"/>
    <xf numFmtId="0" fontId="13" fillId="7" borderId="11" xfId="0" applyFont="1" applyFill="1" applyBorder="1"/>
    <xf numFmtId="4" fontId="13" fillId="7" borderId="0" xfId="0" applyNumberFormat="1" applyFont="1" applyFill="1"/>
    <xf numFmtId="0" fontId="2" fillId="7" borderId="10" xfId="0" applyFont="1" applyFill="1" applyBorder="1"/>
    <xf numFmtId="0" fontId="15" fillId="7" borderId="11" xfId="0" applyFont="1" applyFill="1" applyBorder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0" fontId="15" fillId="7" borderId="8" xfId="0" applyFont="1" applyFill="1" applyBorder="1"/>
    <xf numFmtId="0" fontId="15" fillId="7" borderId="9" xfId="0" applyFont="1" applyFill="1" applyBorder="1"/>
    <xf numFmtId="0" fontId="13" fillId="7" borderId="9" xfId="0" applyFont="1" applyFill="1" applyBorder="1"/>
    <xf numFmtId="0" fontId="13" fillId="7" borderId="4" xfId="0" applyFont="1" applyFill="1" applyBorder="1"/>
    <xf numFmtId="0" fontId="14" fillId="7" borderId="11" xfId="0" applyFont="1" applyFill="1" applyBorder="1" applyAlignment="1">
      <alignment horizontal="right"/>
    </xf>
    <xf numFmtId="0" fontId="14" fillId="7" borderId="0" xfId="0" applyFont="1" applyFill="1"/>
    <xf numFmtId="4" fontId="13" fillId="7" borderId="11" xfId="0" applyNumberFormat="1" applyFont="1" applyFill="1" applyBorder="1"/>
    <xf numFmtId="3" fontId="13" fillId="7" borderId="0" xfId="0" applyNumberFormat="1" applyFont="1" applyFill="1"/>
    <xf numFmtId="3" fontId="13" fillId="7" borderId="10" xfId="0" applyNumberFormat="1" applyFont="1" applyFill="1" applyBorder="1"/>
    <xf numFmtId="1" fontId="13" fillId="7" borderId="0" xfId="0" applyNumberFormat="1" applyFont="1" applyFill="1"/>
    <xf numFmtId="1" fontId="13" fillId="7" borderId="10" xfId="0" applyNumberFormat="1" applyFont="1" applyFill="1" applyBorder="1"/>
    <xf numFmtId="3" fontId="15" fillId="7" borderId="0" xfId="0" applyNumberFormat="1" applyFont="1" applyFill="1"/>
    <xf numFmtId="3" fontId="15" fillId="7" borderId="10" xfId="0" applyNumberFormat="1" applyFont="1" applyFill="1" applyBorder="1"/>
    <xf numFmtId="3" fontId="15" fillId="7" borderId="0" xfId="0" applyNumberFormat="1" applyFont="1" applyFill="1" applyAlignment="1">
      <alignment horizontal="right"/>
    </xf>
    <xf numFmtId="3" fontId="15" fillId="7" borderId="10" xfId="0" applyNumberFormat="1" applyFont="1" applyFill="1" applyBorder="1" applyAlignment="1">
      <alignment horizontal="right"/>
    </xf>
    <xf numFmtId="0" fontId="13" fillId="7" borderId="8" xfId="0" applyFont="1" applyFill="1" applyBorder="1"/>
    <xf numFmtId="3" fontId="15" fillId="7" borderId="9" xfId="0" applyNumberFormat="1" applyFont="1" applyFill="1" applyBorder="1" applyAlignment="1">
      <alignment horizontal="right"/>
    </xf>
    <xf numFmtId="3" fontId="15" fillId="7" borderId="4" xfId="0" applyNumberFormat="1" applyFont="1" applyFill="1" applyBorder="1" applyAlignment="1">
      <alignment horizontal="right"/>
    </xf>
    <xf numFmtId="4" fontId="15" fillId="7" borderId="9" xfId="0" applyNumberFormat="1" applyFont="1" applyFill="1" applyBorder="1"/>
    <xf numFmtId="0" fontId="2" fillId="7" borderId="11" xfId="0" applyFont="1" applyFill="1" applyBorder="1"/>
    <xf numFmtId="0" fontId="2" fillId="7" borderId="0" xfId="0" applyFont="1" applyFill="1"/>
    <xf numFmtId="4" fontId="15" fillId="7" borderId="0" xfId="0" applyNumberFormat="1" applyFont="1" applyFill="1"/>
    <xf numFmtId="4" fontId="15" fillId="7" borderId="10" xfId="0" applyNumberFormat="1" applyFont="1" applyFill="1" applyBorder="1"/>
    <xf numFmtId="164" fontId="13" fillId="7" borderId="0" xfId="0" applyNumberFormat="1" applyFont="1" applyFill="1"/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2" fillId="11" borderId="7" xfId="0" applyNumberFormat="1" applyFont="1" applyFill="1" applyBorder="1" applyAlignment="1">
      <alignment horizontal="center"/>
    </xf>
    <xf numFmtId="0" fontId="2" fillId="11" borderId="7" xfId="0" applyFont="1" applyFill="1" applyBorder="1"/>
    <xf numFmtId="0" fontId="2" fillId="11" borderId="21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0" xfId="0" applyFont="1" applyFill="1"/>
    <xf numFmtId="0" fontId="2" fillId="11" borderId="22" xfId="0" applyFont="1" applyFill="1" applyBorder="1" applyAlignment="1">
      <alignment horizontal="center"/>
    </xf>
    <xf numFmtId="1" fontId="2" fillId="11" borderId="0" xfId="0" applyNumberFormat="1" applyFont="1" applyFill="1" applyAlignment="1">
      <alignment horizontal="center"/>
    </xf>
    <xf numFmtId="3" fontId="2" fillId="11" borderId="0" xfId="0" applyNumberFormat="1" applyFont="1" applyFill="1" applyAlignment="1">
      <alignment horizontal="center"/>
    </xf>
    <xf numFmtId="0" fontId="18" fillId="12" borderId="0" xfId="0" applyFont="1" applyFill="1" applyAlignment="1">
      <alignment horizontal="center" vertical="center" wrapText="1"/>
    </xf>
    <xf numFmtId="0" fontId="17" fillId="12" borderId="5" xfId="1" applyFont="1" applyFill="1" applyBorder="1" applyAlignment="1">
      <alignment horizontal="center"/>
    </xf>
    <xf numFmtId="0" fontId="17" fillId="12" borderId="7" xfId="1" applyFont="1" applyFill="1" applyBorder="1" applyAlignment="1">
      <alignment horizontal="center"/>
    </xf>
    <xf numFmtId="0" fontId="17" fillId="12" borderId="27" xfId="1" applyFont="1" applyFill="1" applyBorder="1" applyAlignment="1">
      <alignment horizontal="center"/>
    </xf>
    <xf numFmtId="0" fontId="19" fillId="12" borderId="11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19" fillId="12" borderId="28" xfId="0" applyFont="1" applyFill="1" applyBorder="1" applyAlignment="1">
      <alignment horizontal="center"/>
    </xf>
    <xf numFmtId="0" fontId="19" fillId="12" borderId="8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/>
    </xf>
    <xf numFmtId="0" fontId="19" fillId="12" borderId="2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3" fontId="9" fillId="10" borderId="6" xfId="0" applyNumberFormat="1" applyFont="1" applyFill="1" applyBorder="1" applyAlignment="1">
      <alignment horizontal="right" vertical="center"/>
    </xf>
    <xf numFmtId="3" fontId="9" fillId="10" borderId="18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0" fillId="0" borderId="12" xfId="0" quotePrefix="1" applyFont="1" applyBorder="1" applyAlignment="1">
      <alignment horizontal="center"/>
    </xf>
    <xf numFmtId="0" fontId="10" fillId="0" borderId="14" xfId="0" quotePrefix="1" applyFont="1" applyBorder="1" applyAlignment="1">
      <alignment horizontal="center"/>
    </xf>
    <xf numFmtId="0" fontId="0" fillId="12" borderId="0" xfId="0" applyFill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17</xdr:row>
      <xdr:rowOff>152400</xdr:rowOff>
    </xdr:from>
    <xdr:to>
      <xdr:col>10</xdr:col>
      <xdr:colOff>268909</xdr:colOff>
      <xdr:row>38</xdr:row>
      <xdr:rowOff>63500</xdr:rowOff>
    </xdr:to>
    <xdr:pic>
      <xdr:nvPicPr>
        <xdr:cNvPr id="2" name="Picture 1" descr="Maya Calendars: How Did The Maya Count Time?">
          <a:extLst>
            <a:ext uri="{FF2B5EF4-FFF2-40B4-BE49-F238E27FC236}">
              <a16:creationId xmlns:a16="http://schemas.microsoft.com/office/drawing/2014/main" id="{6B7DFD9C-75BE-24A5-17E4-580F8A65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191000"/>
          <a:ext cx="7266609" cy="417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45</xdr:row>
      <xdr:rowOff>114300</xdr:rowOff>
    </xdr:from>
    <xdr:to>
      <xdr:col>9</xdr:col>
      <xdr:colOff>152400</xdr:colOff>
      <xdr:row>55</xdr:row>
      <xdr:rowOff>25400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5A524-F9D1-BAAE-20E6-5DB3D656E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84400" y="93599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774700</xdr:colOff>
      <xdr:row>12</xdr:row>
      <xdr:rowOff>12700</xdr:rowOff>
    </xdr:from>
    <xdr:to>
      <xdr:col>14</xdr:col>
      <xdr:colOff>723900</xdr:colOff>
      <xdr:row>29</xdr:row>
      <xdr:rowOff>144939</xdr:rowOff>
    </xdr:to>
    <xdr:pic>
      <xdr:nvPicPr>
        <xdr:cNvPr id="2" name="Picture 1" descr="Maya — Dumbarton Oaks">
          <a:extLst>
            <a:ext uri="{FF2B5EF4-FFF2-40B4-BE49-F238E27FC236}">
              <a16:creationId xmlns:a16="http://schemas.microsoft.com/office/drawing/2014/main" id="{4E037F2A-E0E6-E84C-9351-D8C23C97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900" y="2514600"/>
          <a:ext cx="5626100" cy="3586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190501</xdr:colOff>
      <xdr:row>37</xdr:row>
      <xdr:rowOff>190500</xdr:rowOff>
    </xdr:from>
    <xdr:to>
      <xdr:col>11</xdr:col>
      <xdr:colOff>999317</xdr:colOff>
      <xdr:row>61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23B9FB-F022-8542-96FC-856A6F6F9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1" y="7962900"/>
          <a:ext cx="3856816" cy="487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647701</xdr:colOff>
      <xdr:row>42</xdr:row>
      <xdr:rowOff>63500</xdr:rowOff>
    </xdr:from>
    <xdr:to>
      <xdr:col>10</xdr:col>
      <xdr:colOff>551785</xdr:colOff>
      <xdr:row>94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CC258-4363-A145-889C-0FADFC0F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1" y="8597900"/>
          <a:ext cx="8159084" cy="106045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1</xdr:row>
      <xdr:rowOff>127000</xdr:rowOff>
    </xdr:from>
    <xdr:to>
      <xdr:col>10</xdr:col>
      <xdr:colOff>508000</xdr:colOff>
      <xdr:row>41</xdr:row>
      <xdr:rowOff>50800</xdr:rowOff>
    </xdr:to>
    <xdr:pic>
      <xdr:nvPicPr>
        <xdr:cNvPr id="3" name="Picture 2" descr="Black Orchid Resort: Mayan calendar and the anniversary of the creation of  the world">
          <a:extLst>
            <a:ext uri="{FF2B5EF4-FFF2-40B4-BE49-F238E27FC236}">
              <a16:creationId xmlns:a16="http://schemas.microsoft.com/office/drawing/2014/main" id="{A36AB9AD-8257-4F47-AA2B-DC295BA9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30200"/>
          <a:ext cx="8128000" cy="805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en.wikipedia.org/wiki/Least_common_multiple" TargetMode="External"/><Relationship Id="rId1" Type="http://schemas.openxmlformats.org/officeDocument/2006/relationships/hyperlink" Target="https://en.wikipedia.org/wiki/Least_common_multipl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F470-5E06-E941-97C3-64258B416FC2}">
  <dimension ref="B2:K44"/>
  <sheetViews>
    <sheetView showGridLines="0" tabSelected="1" workbookViewId="0">
      <selection activeCell="B12" sqref="A1:XFD1048576"/>
    </sheetView>
  </sheetViews>
  <sheetFormatPr baseColWidth="10" defaultRowHeight="16" x14ac:dyDescent="0.2"/>
  <cols>
    <col min="1" max="16384" width="10.83203125" style="244"/>
  </cols>
  <sheetData>
    <row r="2" spans="2:11" ht="15" customHeight="1" x14ac:dyDescent="0.2"/>
    <row r="3" spans="2:11" ht="16" customHeight="1" x14ac:dyDescent="0.2">
      <c r="B3" s="203" t="s">
        <v>171</v>
      </c>
      <c r="C3" s="203"/>
      <c r="D3" s="203"/>
      <c r="E3" s="203"/>
      <c r="F3" s="203"/>
      <c r="G3" s="203"/>
      <c r="H3" s="203"/>
      <c r="I3" s="203"/>
      <c r="J3" s="203"/>
      <c r="K3" s="203"/>
    </row>
    <row r="4" spans="2:11" ht="16" customHeight="1" x14ac:dyDescent="0.2">
      <c r="B4" s="203"/>
      <c r="C4" s="203"/>
      <c r="D4" s="203"/>
      <c r="E4" s="203"/>
      <c r="F4" s="203"/>
      <c r="G4" s="203"/>
      <c r="H4" s="203"/>
      <c r="I4" s="203"/>
      <c r="J4" s="203"/>
      <c r="K4" s="203"/>
    </row>
    <row r="5" spans="2:11" ht="16" customHeight="1" x14ac:dyDescent="0.2">
      <c r="B5" s="203"/>
      <c r="C5" s="203"/>
      <c r="D5" s="203"/>
      <c r="E5" s="203"/>
      <c r="F5" s="203"/>
      <c r="G5" s="203"/>
      <c r="H5" s="203"/>
      <c r="I5" s="203"/>
      <c r="J5" s="203"/>
      <c r="K5" s="203"/>
    </row>
    <row r="6" spans="2:11" ht="16" customHeight="1" x14ac:dyDescent="0.2">
      <c r="B6" s="203"/>
      <c r="C6" s="203"/>
      <c r="D6" s="203"/>
      <c r="E6" s="203"/>
      <c r="F6" s="203"/>
      <c r="G6" s="203"/>
      <c r="H6" s="203"/>
      <c r="I6" s="203"/>
      <c r="J6" s="203"/>
      <c r="K6" s="203"/>
    </row>
    <row r="7" spans="2:11" ht="16" customHeight="1" x14ac:dyDescent="0.2"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2:11" ht="16" customHeight="1" x14ac:dyDescent="0.2">
      <c r="B8" s="203"/>
      <c r="C8" s="203"/>
      <c r="D8" s="203"/>
      <c r="E8" s="203"/>
      <c r="F8" s="203"/>
      <c r="G8" s="203"/>
      <c r="H8" s="203"/>
      <c r="I8" s="203"/>
      <c r="J8" s="203"/>
      <c r="K8" s="203"/>
    </row>
    <row r="9" spans="2:11" ht="16" customHeight="1" x14ac:dyDescent="0.2">
      <c r="B9" s="203"/>
      <c r="C9" s="203"/>
      <c r="D9" s="203"/>
      <c r="E9" s="203"/>
      <c r="F9" s="203"/>
      <c r="G9" s="203"/>
      <c r="H9" s="203"/>
      <c r="I9" s="203"/>
      <c r="J9" s="203"/>
      <c r="K9" s="203"/>
    </row>
    <row r="13" spans="2:11" ht="19" x14ac:dyDescent="0.25">
      <c r="D13" s="144" t="s">
        <v>176</v>
      </c>
      <c r="E13" s="145"/>
      <c r="F13" s="146"/>
      <c r="G13" s="146"/>
      <c r="H13" s="146"/>
      <c r="I13" s="147" t="s">
        <v>169</v>
      </c>
    </row>
    <row r="14" spans="2:11" ht="19" x14ac:dyDescent="0.25">
      <c r="D14" s="148"/>
      <c r="E14" s="149"/>
      <c r="F14" s="150"/>
      <c r="G14" s="150"/>
      <c r="H14" s="150"/>
      <c r="I14" s="151"/>
    </row>
    <row r="15" spans="2:11" ht="19" x14ac:dyDescent="0.25">
      <c r="D15" s="152" t="s">
        <v>177</v>
      </c>
      <c r="E15" s="153"/>
      <c r="F15" s="154"/>
      <c r="G15" s="154"/>
      <c r="H15" s="154"/>
      <c r="I15" s="155" t="s">
        <v>170</v>
      </c>
    </row>
    <row r="42" spans="2:11" x14ac:dyDescent="0.2">
      <c r="B42" s="204" t="s">
        <v>173</v>
      </c>
      <c r="C42" s="205"/>
      <c r="D42" s="205"/>
      <c r="E42" s="205"/>
      <c r="F42" s="205"/>
      <c r="G42" s="205"/>
      <c r="H42" s="205"/>
      <c r="I42" s="205"/>
      <c r="J42" s="205"/>
      <c r="K42" s="206"/>
    </row>
    <row r="43" spans="2:11" x14ac:dyDescent="0.2">
      <c r="B43" s="207" t="s">
        <v>174</v>
      </c>
      <c r="C43" s="208"/>
      <c r="D43" s="208"/>
      <c r="E43" s="208"/>
      <c r="F43" s="208"/>
      <c r="G43" s="208"/>
      <c r="H43" s="208"/>
      <c r="I43" s="208"/>
      <c r="J43" s="208"/>
      <c r="K43" s="209"/>
    </row>
    <row r="44" spans="2:11" x14ac:dyDescent="0.2">
      <c r="B44" s="210" t="s">
        <v>175</v>
      </c>
      <c r="C44" s="211"/>
      <c r="D44" s="211"/>
      <c r="E44" s="211"/>
      <c r="F44" s="211"/>
      <c r="G44" s="211"/>
      <c r="H44" s="211"/>
      <c r="I44" s="211"/>
      <c r="J44" s="211"/>
      <c r="K44" s="212"/>
    </row>
  </sheetData>
  <sheetProtection sheet="1" objects="1" scenarios="1"/>
  <mergeCells count="4">
    <mergeCell ref="B3:K9"/>
    <mergeCell ref="B42:K42"/>
    <mergeCell ref="B43:K43"/>
    <mergeCell ref="B44:K44"/>
  </mergeCells>
  <hyperlinks>
    <hyperlink ref="I13" r:id="rId1" xr:uid="{1F0DCB3A-B12D-0945-94CE-69CA81FB5873}"/>
    <hyperlink ref="B42" r:id="rId2" display="http://www.astronomy-morsels.ch/" xr:uid="{33610541-A76D-A245-95E9-44F9A6419237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751F-D0EA-794D-A9D3-A2F15FA31DFB}">
  <sheetPr codeName="Sheet17">
    <pageSetUpPr fitToPage="1"/>
  </sheetPr>
  <dimension ref="B1:AI80"/>
  <sheetViews>
    <sheetView showGridLines="0" workbookViewId="0">
      <selection activeCell="P23" sqref="P23"/>
    </sheetView>
  </sheetViews>
  <sheetFormatPr baseColWidth="10" defaultRowHeight="16" x14ac:dyDescent="0.2"/>
  <cols>
    <col min="2" max="2" width="13.33203125" customWidth="1"/>
    <col min="3" max="3" width="12.6640625" customWidth="1"/>
    <col min="4" max="4" width="9.33203125" hidden="1" customWidth="1"/>
    <col min="5" max="5" width="13.83203125" customWidth="1"/>
    <col min="6" max="6" width="13.1640625" customWidth="1"/>
    <col min="7" max="7" width="5.33203125" hidden="1" customWidth="1"/>
    <col min="8" max="8" width="13.83203125" customWidth="1"/>
    <col min="9" max="9" width="13.33203125" customWidth="1"/>
    <col min="10" max="10" width="14" customWidth="1"/>
    <col min="12" max="12" width="12.1640625" customWidth="1"/>
    <col min="13" max="13" width="13.33203125" customWidth="1"/>
    <col min="15" max="16" width="13" customWidth="1"/>
    <col min="23" max="23" width="10.83203125" style="1"/>
    <col min="24" max="33" width="13.33203125" style="137" customWidth="1"/>
    <col min="34" max="35" width="10.83203125" style="1"/>
  </cols>
  <sheetData>
    <row r="1" spans="2:35" s="2" customFormat="1" x14ac:dyDescent="0.2">
      <c r="W1" s="3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3"/>
      <c r="AI1" s="3"/>
    </row>
    <row r="2" spans="2:35" s="3" customFormat="1" ht="21" x14ac:dyDescent="0.25">
      <c r="B2" s="4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35" s="3" customForma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35" s="3" customFormat="1" x14ac:dyDescent="0.2">
      <c r="B4" s="7" t="s">
        <v>21</v>
      </c>
      <c r="C4" s="7" t="s">
        <v>22</v>
      </c>
      <c r="D4" s="2"/>
      <c r="E4" s="7" t="s">
        <v>23</v>
      </c>
      <c r="F4" s="7" t="s">
        <v>24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35" s="3" customFormat="1" x14ac:dyDescent="0.2">
      <c r="B5" s="9">
        <f>B19</f>
        <v>13</v>
      </c>
      <c r="C5" s="10">
        <v>20</v>
      </c>
      <c r="D5" s="2"/>
      <c r="E5" s="11">
        <v>20</v>
      </c>
      <c r="F5" s="12">
        <v>19</v>
      </c>
      <c r="G5" s="2"/>
      <c r="H5" s="2"/>
      <c r="J5" s="2"/>
      <c r="K5" s="13" t="s">
        <v>1</v>
      </c>
      <c r="L5" s="14" t="s">
        <v>2</v>
      </c>
      <c r="M5" s="13" t="s">
        <v>3</v>
      </c>
      <c r="N5" s="2"/>
      <c r="O5" s="2"/>
      <c r="P5" s="2"/>
      <c r="Q5" s="2"/>
      <c r="R5" s="2"/>
      <c r="S5" s="2"/>
      <c r="T5" s="2"/>
      <c r="U5" s="2"/>
      <c r="V5" s="2"/>
    </row>
    <row r="6" spans="2:35" s="3" customFormat="1" x14ac:dyDescent="0.2">
      <c r="B6" s="15" t="s">
        <v>27</v>
      </c>
      <c r="C6" s="15" t="s">
        <v>28</v>
      </c>
      <c r="D6" s="15" t="s">
        <v>29</v>
      </c>
      <c r="E6" s="16"/>
      <c r="F6" s="15" t="s">
        <v>5</v>
      </c>
      <c r="G6" s="15" t="s">
        <v>30</v>
      </c>
      <c r="H6" s="2"/>
      <c r="J6" s="17" t="s">
        <v>4</v>
      </c>
      <c r="K6" s="18">
        <f>B5*C5</f>
        <v>260</v>
      </c>
      <c r="L6" s="193">
        <f>LCM(K6,K7)</f>
        <v>18980</v>
      </c>
      <c r="M6" s="13">
        <f>L6/K6</f>
        <v>73</v>
      </c>
      <c r="N6" s="2"/>
      <c r="O6" s="2"/>
      <c r="P6" s="2"/>
      <c r="Q6" s="2"/>
      <c r="R6" s="2"/>
      <c r="S6" s="2"/>
      <c r="T6" s="2"/>
      <c r="U6" s="2"/>
      <c r="V6" s="2"/>
    </row>
    <row r="7" spans="2:35" s="3" customFormat="1" x14ac:dyDescent="0.2">
      <c r="B7" s="19">
        <v>1</v>
      </c>
      <c r="C7" s="10" t="s">
        <v>32</v>
      </c>
      <c r="D7" s="20">
        <v>1</v>
      </c>
      <c r="E7" s="21">
        <v>0</v>
      </c>
      <c r="F7" s="22" t="s">
        <v>33</v>
      </c>
      <c r="G7" s="23">
        <v>1</v>
      </c>
      <c r="H7" s="2"/>
      <c r="J7" s="24" t="s">
        <v>5</v>
      </c>
      <c r="K7" s="18">
        <f>(F5-1)*20+5</f>
        <v>365</v>
      </c>
      <c r="L7" s="194"/>
      <c r="M7" s="25">
        <f>L6/K7</f>
        <v>52</v>
      </c>
      <c r="N7" s="2"/>
      <c r="O7" s="2"/>
      <c r="P7" s="2"/>
      <c r="Q7" s="2"/>
      <c r="R7" s="2"/>
      <c r="S7" s="2"/>
      <c r="T7" s="2"/>
      <c r="U7" s="2"/>
      <c r="V7" s="2"/>
    </row>
    <row r="8" spans="2:35" s="3" customFormat="1" x14ac:dyDescent="0.2">
      <c r="B8" s="19">
        <v>2</v>
      </c>
      <c r="C8" s="26" t="s">
        <v>35</v>
      </c>
      <c r="D8" s="27">
        <v>2</v>
      </c>
      <c r="E8" s="28">
        <v>1</v>
      </c>
      <c r="F8" s="29" t="s">
        <v>36</v>
      </c>
      <c r="G8" s="30">
        <v>2</v>
      </c>
      <c r="H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35" s="3" customFormat="1" x14ac:dyDescent="0.2">
      <c r="B9" s="19">
        <v>3</v>
      </c>
      <c r="C9" s="26" t="s">
        <v>38</v>
      </c>
      <c r="D9" s="27">
        <v>3</v>
      </c>
      <c r="E9" s="28">
        <v>2</v>
      </c>
      <c r="F9" s="29" t="s">
        <v>39</v>
      </c>
      <c r="G9" s="30">
        <v>3</v>
      </c>
      <c r="H9" s="2"/>
      <c r="J9" s="2" t="s">
        <v>40</v>
      </c>
      <c r="K9" s="31" t="s">
        <v>41</v>
      </c>
      <c r="L9" s="2" t="s">
        <v>42</v>
      </c>
      <c r="M9" s="2" t="s">
        <v>21</v>
      </c>
      <c r="N9" s="32" t="s">
        <v>43</v>
      </c>
      <c r="O9" s="32"/>
      <c r="P9" s="2"/>
      <c r="Q9" s="2"/>
      <c r="R9" s="2"/>
      <c r="S9" s="2"/>
      <c r="T9" s="2"/>
      <c r="U9" s="2"/>
      <c r="V9" s="2"/>
    </row>
    <row r="10" spans="2:35" s="3" customFormat="1" x14ac:dyDescent="0.2">
      <c r="B10" s="19">
        <v>4</v>
      </c>
      <c r="C10" s="26" t="s">
        <v>45</v>
      </c>
      <c r="D10" s="27">
        <v>4</v>
      </c>
      <c r="E10" s="28">
        <v>3</v>
      </c>
      <c r="F10" s="29" t="s">
        <v>46</v>
      </c>
      <c r="G10" s="30">
        <v>4</v>
      </c>
      <c r="H10" s="2"/>
      <c r="J10" s="2"/>
      <c r="K10" s="2"/>
      <c r="L10" s="2" t="s">
        <v>47</v>
      </c>
      <c r="M10" s="2" t="s">
        <v>22</v>
      </c>
      <c r="N10" s="33" t="s">
        <v>48</v>
      </c>
      <c r="O10" s="33"/>
      <c r="P10" s="2"/>
      <c r="Q10" s="2"/>
      <c r="R10" s="2"/>
      <c r="S10" s="2"/>
      <c r="T10" s="2"/>
      <c r="U10" s="2"/>
      <c r="V10" s="2"/>
    </row>
    <row r="11" spans="2:35" s="3" customFormat="1" x14ac:dyDescent="0.2">
      <c r="B11" s="19">
        <v>5</v>
      </c>
      <c r="C11" s="26" t="s">
        <v>50</v>
      </c>
      <c r="D11" s="27">
        <v>5</v>
      </c>
      <c r="E11" s="28">
        <v>4</v>
      </c>
      <c r="F11" s="29" t="s">
        <v>51</v>
      </c>
      <c r="G11" s="30">
        <v>5</v>
      </c>
      <c r="H11" s="2"/>
      <c r="J11" s="2"/>
      <c r="K11" s="2"/>
      <c r="L11" s="2" t="s">
        <v>52</v>
      </c>
      <c r="M11" s="2" t="s">
        <v>23</v>
      </c>
      <c r="N11" s="32" t="s">
        <v>53</v>
      </c>
      <c r="O11" s="32"/>
      <c r="P11" s="2"/>
      <c r="Q11" s="2"/>
      <c r="R11" s="2"/>
      <c r="S11" s="2"/>
      <c r="T11" s="2"/>
      <c r="U11" s="2"/>
      <c r="V11" s="2"/>
    </row>
    <row r="12" spans="2:35" s="3" customFormat="1" x14ac:dyDescent="0.2">
      <c r="B12" s="19">
        <v>6</v>
      </c>
      <c r="C12" s="26" t="s">
        <v>54</v>
      </c>
      <c r="D12" s="27">
        <v>6</v>
      </c>
      <c r="E12" s="28">
        <v>5</v>
      </c>
      <c r="F12" s="29" t="s">
        <v>55</v>
      </c>
      <c r="G12" s="30">
        <v>6</v>
      </c>
      <c r="H12" s="2"/>
      <c r="J12" s="2"/>
      <c r="K12" s="2"/>
      <c r="L12" s="2" t="s">
        <v>56</v>
      </c>
      <c r="M12" s="2" t="s">
        <v>24</v>
      </c>
      <c r="N12" s="33" t="s">
        <v>57</v>
      </c>
      <c r="O12" s="33"/>
      <c r="P12" s="2"/>
      <c r="Q12" s="2"/>
      <c r="R12" s="2"/>
      <c r="S12" s="2"/>
      <c r="T12" s="2"/>
      <c r="U12" s="2"/>
      <c r="V12" s="2"/>
    </row>
    <row r="13" spans="2:35" s="3" customFormat="1" x14ac:dyDescent="0.2">
      <c r="B13" s="19">
        <v>7</v>
      </c>
      <c r="C13" s="26" t="s">
        <v>59</v>
      </c>
      <c r="D13" s="27">
        <v>7</v>
      </c>
      <c r="E13" s="28">
        <v>6</v>
      </c>
      <c r="F13" s="29" t="s">
        <v>60</v>
      </c>
      <c r="G13" s="30">
        <v>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35" s="3" customFormat="1" x14ac:dyDescent="0.2">
      <c r="B14" s="19">
        <v>8</v>
      </c>
      <c r="C14" s="26" t="s">
        <v>61</v>
      </c>
      <c r="D14" s="27">
        <v>8</v>
      </c>
      <c r="E14" s="28">
        <v>7</v>
      </c>
      <c r="F14" s="29" t="s">
        <v>62</v>
      </c>
      <c r="G14" s="30">
        <v>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35" s="3" customFormat="1" x14ac:dyDescent="0.2">
      <c r="B15" s="19">
        <v>9</v>
      </c>
      <c r="C15" s="26" t="s">
        <v>63</v>
      </c>
      <c r="D15" s="27">
        <v>9</v>
      </c>
      <c r="E15" s="28">
        <v>8</v>
      </c>
      <c r="F15" s="29" t="s">
        <v>64</v>
      </c>
      <c r="G15" s="30"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35" s="3" customFormat="1" x14ac:dyDescent="0.2">
      <c r="B16" s="19">
        <v>10</v>
      </c>
      <c r="C16" s="26" t="s">
        <v>65</v>
      </c>
      <c r="D16" s="27">
        <v>10</v>
      </c>
      <c r="E16" s="28">
        <v>9</v>
      </c>
      <c r="F16" s="29" t="s">
        <v>66</v>
      </c>
      <c r="G16" s="30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s="3" customFormat="1" x14ac:dyDescent="0.2">
      <c r="B17" s="19">
        <v>11</v>
      </c>
      <c r="C17" s="26" t="s">
        <v>67</v>
      </c>
      <c r="D17" s="27">
        <v>11</v>
      </c>
      <c r="E17" s="28">
        <v>10</v>
      </c>
      <c r="F17" s="29" t="s">
        <v>68</v>
      </c>
      <c r="G17" s="30">
        <v>11</v>
      </c>
      <c r="H17" s="2"/>
      <c r="I17" s="2"/>
      <c r="J17" s="2"/>
      <c r="K17" s="2"/>
      <c r="L17" s="2"/>
      <c r="M17" s="2"/>
      <c r="N17" s="2"/>
      <c r="O17" s="7"/>
      <c r="P17" s="2"/>
      <c r="Q17" s="2"/>
      <c r="R17" s="2"/>
      <c r="S17" s="2"/>
      <c r="T17" s="2"/>
      <c r="U17" s="2"/>
      <c r="V17" s="2"/>
    </row>
    <row r="18" spans="2:22" s="3" customFormat="1" x14ac:dyDescent="0.2">
      <c r="B18" s="19">
        <v>12</v>
      </c>
      <c r="C18" s="26" t="s">
        <v>70</v>
      </c>
      <c r="D18" s="27">
        <v>12</v>
      </c>
      <c r="E18" s="28">
        <v>11</v>
      </c>
      <c r="F18" s="29" t="s">
        <v>71</v>
      </c>
      <c r="G18" s="30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s="3" customFormat="1" x14ac:dyDescent="0.2">
      <c r="B19" s="19">
        <v>13</v>
      </c>
      <c r="C19" s="26" t="s">
        <v>73</v>
      </c>
      <c r="D19" s="27">
        <v>13</v>
      </c>
      <c r="E19" s="28">
        <v>12</v>
      </c>
      <c r="F19" s="29" t="s">
        <v>74</v>
      </c>
      <c r="G19" s="30">
        <v>13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s="3" customFormat="1" x14ac:dyDescent="0.2">
      <c r="B20" s="34"/>
      <c r="C20" s="35" t="s">
        <v>76</v>
      </c>
      <c r="D20" s="27">
        <v>14</v>
      </c>
      <c r="E20" s="28">
        <v>13</v>
      </c>
      <c r="F20" s="29" t="s">
        <v>77</v>
      </c>
      <c r="G20" s="30">
        <v>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s="3" customFormat="1" x14ac:dyDescent="0.2">
      <c r="B21" s="36"/>
      <c r="C21" s="35" t="s">
        <v>79</v>
      </c>
      <c r="D21" s="27">
        <v>15</v>
      </c>
      <c r="E21" s="28">
        <v>14</v>
      </c>
      <c r="F21" s="29" t="s">
        <v>80</v>
      </c>
      <c r="G21" s="30">
        <v>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s="3" customFormat="1" x14ac:dyDescent="0.2">
      <c r="B22" s="36"/>
      <c r="C22" s="35" t="s">
        <v>82</v>
      </c>
      <c r="D22" s="27">
        <v>16</v>
      </c>
      <c r="E22" s="28">
        <v>15</v>
      </c>
      <c r="F22" s="29" t="s">
        <v>83</v>
      </c>
      <c r="G22" s="30">
        <v>16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s="3" customFormat="1" x14ac:dyDescent="0.2">
      <c r="B23" s="36"/>
      <c r="C23" s="35" t="s">
        <v>85</v>
      </c>
      <c r="D23" s="27">
        <v>17</v>
      </c>
      <c r="E23" s="28">
        <v>16</v>
      </c>
      <c r="F23" s="29" t="s">
        <v>86</v>
      </c>
      <c r="G23" s="30">
        <v>17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s="3" customFormat="1" x14ac:dyDescent="0.2">
      <c r="B24" s="36"/>
      <c r="C24" s="35" t="s">
        <v>88</v>
      </c>
      <c r="D24" s="27">
        <v>18</v>
      </c>
      <c r="E24" s="28">
        <v>17</v>
      </c>
      <c r="F24" s="29" t="s">
        <v>89</v>
      </c>
      <c r="G24" s="30">
        <v>18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s="3" customFormat="1" x14ac:dyDescent="0.2">
      <c r="B25" s="36"/>
      <c r="C25" s="35" t="s">
        <v>91</v>
      </c>
      <c r="D25" s="27">
        <v>19</v>
      </c>
      <c r="E25" s="28">
        <v>18</v>
      </c>
      <c r="F25" s="37" t="s">
        <v>92</v>
      </c>
      <c r="G25" s="38">
        <v>19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s="3" customFormat="1" x14ac:dyDescent="0.2">
      <c r="B26" s="36"/>
      <c r="C26" s="39" t="s">
        <v>94</v>
      </c>
      <c r="D26" s="40">
        <v>20</v>
      </c>
      <c r="E26" s="41">
        <v>19</v>
      </c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s="3" customFormat="1" x14ac:dyDescent="0.2">
      <c r="B27" s="2"/>
      <c r="C27" s="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s="3" customForma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s="3" customForma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s="3" customFormat="1" ht="21" x14ac:dyDescent="0.25">
      <c r="B30" s="4" t="s">
        <v>166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s="3" customFormat="1" ht="21" x14ac:dyDescent="0.25"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s="3" customFormat="1" ht="21" x14ac:dyDescent="0.25">
      <c r="B32" s="4"/>
      <c r="C32" s="139" t="s">
        <v>172</v>
      </c>
      <c r="D32" s="2"/>
      <c r="E32" s="2"/>
      <c r="F32" s="2"/>
      <c r="G32" s="2"/>
      <c r="H32" s="2"/>
      <c r="I32" s="2"/>
      <c r="J32" s="2"/>
      <c r="K32" s="139" t="s">
        <v>172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s="3" customFormat="1" x14ac:dyDescent="0.2">
      <c r="B33" s="213" t="s">
        <v>99</v>
      </c>
      <c r="C33" s="237"/>
      <c r="D33" s="43" t="s">
        <v>20</v>
      </c>
      <c r="E33" s="44" t="s">
        <v>20</v>
      </c>
      <c r="F33" s="213" t="s">
        <v>18</v>
      </c>
      <c r="G33" s="237"/>
      <c r="H33" s="214"/>
      <c r="I33" s="2"/>
      <c r="J33" s="213" t="str">
        <f>F33</f>
        <v>Gregorian</v>
      </c>
      <c r="K33" s="237"/>
      <c r="L33" s="44" t="str">
        <f>E33</f>
        <v>JDN</v>
      </c>
      <c r="M33" s="213" t="str">
        <f>B33</f>
        <v>Long Count</v>
      </c>
      <c r="N33" s="214"/>
      <c r="O33" s="2"/>
      <c r="P33" s="2"/>
      <c r="Q33" s="2"/>
      <c r="R33" s="2"/>
      <c r="S33" s="2"/>
      <c r="T33" s="2"/>
      <c r="U33" s="2"/>
      <c r="V33" s="2"/>
    </row>
    <row r="34" spans="2:22" s="3" customFormat="1" x14ac:dyDescent="0.2">
      <c r="B34" s="45" t="s">
        <v>101</v>
      </c>
      <c r="C34" s="140">
        <v>9</v>
      </c>
      <c r="D34" s="42"/>
      <c r="E34" s="46">
        <f>Conversions!F39</f>
        <v>1941382.5</v>
      </c>
      <c r="F34" s="195">
        <f>Conversions!K14</f>
        <v>603</v>
      </c>
      <c r="G34" s="196"/>
      <c r="H34" s="197" t="s">
        <v>102</v>
      </c>
      <c r="I34" s="2"/>
      <c r="J34" s="45" t="str">
        <f>H34</f>
        <v>Year</v>
      </c>
      <c r="K34" s="140">
        <v>1929</v>
      </c>
      <c r="L34" s="46">
        <f>Conversions!F4</f>
        <v>2425660.5</v>
      </c>
      <c r="M34" s="195">
        <f>Conversions!K49</f>
        <v>12</v>
      </c>
      <c r="N34" s="197" t="str">
        <f>B34</f>
        <v>Baktun</v>
      </c>
      <c r="O34" s="2"/>
      <c r="P34" s="2"/>
      <c r="Q34" s="2"/>
      <c r="R34" s="2"/>
      <c r="S34" s="2"/>
      <c r="T34" s="2"/>
      <c r="U34" s="2"/>
      <c r="V34" s="2"/>
    </row>
    <row r="35" spans="2:22" s="3" customFormat="1" x14ac:dyDescent="0.2">
      <c r="B35" s="47" t="s">
        <v>104</v>
      </c>
      <c r="C35" s="141">
        <v>8</v>
      </c>
      <c r="D35" s="2"/>
      <c r="E35" s="44" t="s">
        <v>19</v>
      </c>
      <c r="F35" s="198" t="str">
        <f>VLOOKUP(Conversions!K15,Conversions!B68:C79,2,FALSE)</f>
        <v>March</v>
      </c>
      <c r="G35" s="199"/>
      <c r="H35" s="200" t="s">
        <v>105</v>
      </c>
      <c r="I35" s="2"/>
      <c r="J35" s="47" t="str">
        <f>H35</f>
        <v>Month</v>
      </c>
      <c r="K35" s="141" t="s">
        <v>154</v>
      </c>
      <c r="L35" s="44" t="s">
        <v>19</v>
      </c>
      <c r="M35" s="202">
        <f>Conversions!K50</f>
        <v>15</v>
      </c>
      <c r="N35" s="200" t="str">
        <f>B35</f>
        <v>Katun</v>
      </c>
      <c r="O35" s="2"/>
      <c r="P35" s="2"/>
      <c r="Q35" s="2"/>
      <c r="R35" s="2"/>
      <c r="S35" s="2"/>
      <c r="T35" s="2"/>
      <c r="U35" s="2"/>
      <c r="V35" s="2"/>
    </row>
    <row r="36" spans="2:22" s="3" customFormat="1" x14ac:dyDescent="0.2">
      <c r="B36" s="47" t="str">
        <f>B49</f>
        <v>Tun</v>
      </c>
      <c r="C36" s="141">
        <v>9</v>
      </c>
      <c r="D36" s="2"/>
      <c r="E36" s="50">
        <f>Conversions!E39</f>
        <v>219958</v>
      </c>
      <c r="F36" s="201">
        <f>Conversions!K16</f>
        <v>24</v>
      </c>
      <c r="G36" s="199"/>
      <c r="H36" s="200" t="s">
        <v>108</v>
      </c>
      <c r="I36" s="2"/>
      <c r="J36" s="47" t="str">
        <f>H36</f>
        <v>Day</v>
      </c>
      <c r="K36" s="141">
        <v>18</v>
      </c>
      <c r="L36" s="50">
        <f>Conversions!E4</f>
        <v>704236</v>
      </c>
      <c r="M36" s="202">
        <f>Conversions!K51</f>
        <v>14</v>
      </c>
      <c r="N36" s="200" t="str">
        <f>B36</f>
        <v>Tun</v>
      </c>
      <c r="O36" s="2"/>
      <c r="P36" s="2"/>
      <c r="Q36" s="2"/>
      <c r="R36" s="2"/>
      <c r="S36" s="2"/>
      <c r="T36" s="2"/>
      <c r="U36" s="2"/>
      <c r="V36" s="2"/>
    </row>
    <row r="37" spans="2:22" s="3" customFormat="1" x14ac:dyDescent="0.2">
      <c r="B37" s="47" t="s">
        <v>109</v>
      </c>
      <c r="C37" s="141">
        <v>13</v>
      </c>
      <c r="D37" s="2"/>
      <c r="E37" s="44" t="s">
        <v>110</v>
      </c>
      <c r="F37" s="2"/>
      <c r="G37" s="2"/>
      <c r="H37" s="48"/>
      <c r="I37" s="2"/>
      <c r="J37" s="47" t="s">
        <v>111</v>
      </c>
      <c r="K37" s="141">
        <v>0</v>
      </c>
      <c r="L37" s="44" t="s">
        <v>110</v>
      </c>
      <c r="M37" s="202">
        <f>Conversions!K52</f>
        <v>16</v>
      </c>
      <c r="N37" s="200" t="str">
        <f>B37</f>
        <v>Uinal</v>
      </c>
      <c r="O37" s="2"/>
      <c r="P37" s="2"/>
      <c r="Q37" s="2"/>
      <c r="R37" s="2"/>
      <c r="S37" s="2"/>
      <c r="T37" s="2"/>
      <c r="U37" s="2"/>
      <c r="V37" s="2"/>
    </row>
    <row r="38" spans="2:22" s="3" customFormat="1" x14ac:dyDescent="0.2">
      <c r="B38" s="47" t="s">
        <v>113</v>
      </c>
      <c r="C38" s="141">
        <v>0</v>
      </c>
      <c r="D38" s="2"/>
      <c r="E38" s="51">
        <f>C34*E51+C35*E50+C36*E49+C37*E48+C38*E47</f>
        <v>1357100</v>
      </c>
      <c r="F38" s="52" t="str">
        <f>VLOOKUP(MOD(E36,7),Conversions!$B$60:$C$66,2,TRUE)</f>
        <v>Thursday</v>
      </c>
      <c r="G38" s="53"/>
      <c r="H38" s="54" t="s">
        <v>114</v>
      </c>
      <c r="I38" s="55"/>
      <c r="J38" s="47" t="s">
        <v>115</v>
      </c>
      <c r="K38" s="141">
        <v>0</v>
      </c>
      <c r="L38" s="51">
        <f>M34*E51+M35*E50+M36*E49+M37*E48+M38*E47</f>
        <v>1841378</v>
      </c>
      <c r="M38" s="202">
        <f>Conversions!K53</f>
        <v>18</v>
      </c>
      <c r="N38" s="200" t="str">
        <f>B38</f>
        <v>Kin</v>
      </c>
      <c r="O38" s="2"/>
      <c r="P38" s="2"/>
      <c r="Q38" s="2"/>
      <c r="R38" s="2"/>
      <c r="S38" s="2"/>
      <c r="T38" s="2"/>
      <c r="U38" s="2"/>
      <c r="V38" s="2"/>
    </row>
    <row r="39" spans="2:22" s="3" customFormat="1" ht="16" customHeight="1" x14ac:dyDescent="0.2">
      <c r="B39" s="231" t="s">
        <v>117</v>
      </c>
      <c r="C39" s="232"/>
      <c r="D39" s="233"/>
      <c r="E39" s="44" t="s">
        <v>118</v>
      </c>
      <c r="F39" s="2"/>
      <c r="G39" s="2"/>
      <c r="H39" s="34"/>
      <c r="I39" s="55"/>
      <c r="J39" s="56"/>
      <c r="K39" s="57"/>
      <c r="L39" s="44" t="s">
        <v>118</v>
      </c>
      <c r="M39" s="49"/>
      <c r="N39" s="58"/>
      <c r="O39" s="2"/>
      <c r="P39" s="2"/>
      <c r="Q39" s="2"/>
      <c r="R39" s="2"/>
      <c r="S39" s="2"/>
      <c r="T39" s="2"/>
      <c r="U39" s="2"/>
      <c r="V39" s="2"/>
    </row>
    <row r="40" spans="2:22" s="3" customFormat="1" x14ac:dyDescent="0.2">
      <c r="B40" s="234"/>
      <c r="C40" s="235"/>
      <c r="D40" s="236"/>
      <c r="E40" s="59">
        <f>INT(E38/L6)</f>
        <v>71</v>
      </c>
      <c r="F40" s="2"/>
      <c r="G40" s="2"/>
      <c r="H40" s="60"/>
      <c r="I40" s="55"/>
      <c r="J40" s="61" t="s">
        <v>114</v>
      </c>
      <c r="K40" s="52" t="str">
        <f>VLOOKUP(MOD(L36,7),Conversions!$B$60:$C$66,2,TRUE)</f>
        <v>Monday</v>
      </c>
      <c r="L40" s="59">
        <f>INT(L38/L6)</f>
        <v>97</v>
      </c>
      <c r="M40" s="62"/>
      <c r="N40" s="63"/>
      <c r="O40" s="2"/>
      <c r="P40" s="2"/>
      <c r="Q40" s="2"/>
      <c r="R40" s="2"/>
      <c r="S40" s="2"/>
      <c r="T40" s="2"/>
      <c r="U40" s="2"/>
      <c r="V40" s="2"/>
    </row>
    <row r="41" spans="2:22" s="3" customFormat="1" x14ac:dyDescent="0.2">
      <c r="B41" s="64" t="s">
        <v>121</v>
      </c>
      <c r="C41" s="65">
        <f>IF($C$54+MOD(H41,$B$5)&gt;$B$5,MOD($C$54+H41,$B$5),$C$54+MOD(H41,$B$5))</f>
        <v>8</v>
      </c>
      <c r="D41" s="42"/>
      <c r="E41" s="223" t="str">
        <f>J6</f>
        <v>Tzolk'in</v>
      </c>
      <c r="F41" s="225" t="s">
        <v>122</v>
      </c>
      <c r="G41" s="66"/>
      <c r="H41" s="227">
        <f>INT(E34-$F$55)</f>
        <v>1357100</v>
      </c>
      <c r="I41" s="2"/>
      <c r="J41" s="225" t="s">
        <v>122</v>
      </c>
      <c r="K41" s="227">
        <f>INT(L34-$F$55)</f>
        <v>1841378</v>
      </c>
      <c r="L41" s="229" t="str">
        <f>E41</f>
        <v>Tzolk'in</v>
      </c>
      <c r="M41" s="65">
        <f>IF($C$54+MOD(K41,$B$5)&gt;$B$5,MOD($C$54+K41,$B$5),$C$54+MOD(K41,$B$5))</f>
        <v>10</v>
      </c>
      <c r="N41" s="67" t="str">
        <f>B41</f>
        <v>a</v>
      </c>
      <c r="O41" s="2"/>
      <c r="P41" s="2"/>
      <c r="Q41" s="2"/>
      <c r="R41" s="2"/>
      <c r="S41" s="2"/>
      <c r="T41" s="2"/>
      <c r="U41" s="2"/>
      <c r="V41" s="2"/>
    </row>
    <row r="42" spans="2:22" s="3" customFormat="1" x14ac:dyDescent="0.2">
      <c r="B42" s="68" t="s">
        <v>124</v>
      </c>
      <c r="C42" s="69" t="str" cm="1">
        <f t="array" ref="C42">IF(VLOOKUP($E$54,$C$7:$D$26,2,FALSE)+MOD(H41,$C$5)&gt;$C$5,INDEX($C$7:$C$26,MATCH($E$54,$C$7:$C$26,0)+MOD(H41,$C$5)-$C$5),INDEX($C$7:$C$26,MATCH($E$54,$C$7:$C$26,0)+MOD(H41,$C$5)))</f>
        <v>Ahau</v>
      </c>
      <c r="D42" s="70"/>
      <c r="E42" s="224"/>
      <c r="F42" s="226"/>
      <c r="G42" s="71"/>
      <c r="H42" s="228"/>
      <c r="I42" s="2"/>
      <c r="J42" s="226"/>
      <c r="K42" s="228"/>
      <c r="L42" s="230"/>
      <c r="M42" s="69" t="str" cm="1">
        <f t="array" ref="M42">IF(VLOOKUP($E$54,$C$7:$D$26,2,FALSE)+MOD(K41,$C$5)&gt;$C$5,INDEX($C$7:$C$26,MATCH($E$54,$C$7:$C$26,0)+MOD(K41,$C$5)-$C$5),INDEX($C$7:$C$26,MATCH($E$54,$C$7:$C$26,0)+MOD(K41,$C$5)))</f>
        <v>Etznab</v>
      </c>
      <c r="N42" s="72" t="str">
        <f>B42</f>
        <v>X</v>
      </c>
      <c r="O42" s="2"/>
      <c r="P42" s="2"/>
      <c r="Q42" s="2"/>
      <c r="R42" s="2"/>
      <c r="S42" s="2"/>
      <c r="T42" s="2"/>
      <c r="U42" s="2"/>
      <c r="V42" s="2"/>
    </row>
    <row r="43" spans="2:22" s="3" customFormat="1" x14ac:dyDescent="0.2">
      <c r="B43" s="73" t="s">
        <v>126</v>
      </c>
      <c r="C43" s="49">
        <f>MOD(H44,$E$5)</f>
        <v>13</v>
      </c>
      <c r="D43" s="2"/>
      <c r="E43" s="215" t="str">
        <f>J7</f>
        <v>Haab'</v>
      </c>
      <c r="F43" s="217" t="s">
        <v>127</v>
      </c>
      <c r="G43" s="74"/>
      <c r="H43" s="75">
        <f>$C$55+$E$5*(VLOOKUP($E$55,$F$7:$G$25,2,FALSE)-1)</f>
        <v>348</v>
      </c>
      <c r="I43" s="2"/>
      <c r="J43" s="219" t="s">
        <v>127</v>
      </c>
      <c r="K43" s="75">
        <f>$C$55+$E$5*(VLOOKUP($E$55,$F$7:$G$25,2,FALSE)-1)</f>
        <v>348</v>
      </c>
      <c r="L43" s="221" t="str">
        <f>E43</f>
        <v>Haab'</v>
      </c>
      <c r="M43" s="49">
        <f>MOD(K44,$E$5)</f>
        <v>1</v>
      </c>
      <c r="N43" s="76" t="str">
        <f>B43</f>
        <v>b</v>
      </c>
      <c r="O43" s="2"/>
      <c r="P43" s="2"/>
      <c r="Q43" s="2"/>
      <c r="R43" s="2"/>
      <c r="S43" s="2"/>
      <c r="T43" s="2"/>
      <c r="U43" s="2"/>
      <c r="V43" s="2"/>
    </row>
    <row r="44" spans="2:22" s="3" customFormat="1" x14ac:dyDescent="0.2">
      <c r="B44" s="77" t="s">
        <v>129</v>
      </c>
      <c r="C44" s="52" t="str" cm="1">
        <f t="array" ref="C44">INDEX($F$7:$F$25,INT(H44/$E$5)+1)</f>
        <v>Pop</v>
      </c>
      <c r="D44" s="53"/>
      <c r="E44" s="216"/>
      <c r="F44" s="218"/>
      <c r="G44" s="78"/>
      <c r="H44" s="79">
        <f>MOD(H43+H41,$K$7)</f>
        <v>13</v>
      </c>
      <c r="I44" s="2"/>
      <c r="J44" s="220"/>
      <c r="K44" s="79">
        <f>MOD(K43+K41,$K$7)</f>
        <v>301</v>
      </c>
      <c r="L44" s="222"/>
      <c r="M44" s="52" t="str" cm="1">
        <f t="array" ref="M44">INDEX($F$7:$F$25,INT(K44/$E$5)+1)</f>
        <v>Pax</v>
      </c>
      <c r="N44" s="80" t="str">
        <f>B44</f>
        <v>Y</v>
      </c>
      <c r="O44" s="2"/>
      <c r="P44" s="2"/>
      <c r="Q44" s="2"/>
      <c r="R44" s="2"/>
      <c r="S44" s="2"/>
      <c r="T44" s="2"/>
      <c r="U44" s="2"/>
      <c r="V44" s="2"/>
    </row>
    <row r="45" spans="2:22" s="3" customForma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s="3" customFormat="1" x14ac:dyDescent="0.2">
      <c r="B46" s="2"/>
      <c r="C46" s="81" t="s">
        <v>3</v>
      </c>
      <c r="D46" s="82"/>
      <c r="E46" s="83" t="s">
        <v>1</v>
      </c>
      <c r="F46" s="81" t="s">
        <v>130</v>
      </c>
      <c r="G46" s="43"/>
      <c r="H46" s="83" t="s">
        <v>131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s="3" customFormat="1" x14ac:dyDescent="0.2">
      <c r="B47" s="84" t="s">
        <v>113</v>
      </c>
      <c r="C47" s="85" t="s">
        <v>133</v>
      </c>
      <c r="D47" s="42"/>
      <c r="E47" s="34">
        <v>1</v>
      </c>
      <c r="F47" s="85" t="s">
        <v>133</v>
      </c>
      <c r="G47" s="86"/>
      <c r="H47" s="87" t="s">
        <v>133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s="3" customFormat="1" x14ac:dyDescent="0.2">
      <c r="B48" s="88" t="s">
        <v>109</v>
      </c>
      <c r="C48" s="56">
        <v>20</v>
      </c>
      <c r="D48" s="2"/>
      <c r="E48" s="89">
        <f>C48*E47</f>
        <v>20</v>
      </c>
      <c r="F48" s="90" t="s">
        <v>133</v>
      </c>
      <c r="G48" s="7"/>
      <c r="H48" s="91" t="s">
        <v>133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s="3" customFormat="1" x14ac:dyDescent="0.2">
      <c r="B49" s="88" t="s">
        <v>135</v>
      </c>
      <c r="C49" s="56">
        <v>18</v>
      </c>
      <c r="D49" s="2"/>
      <c r="E49" s="89">
        <f>C49*E48</f>
        <v>360</v>
      </c>
      <c r="F49" s="92">
        <f>E49/$K$6</f>
        <v>1.3846153846153846</v>
      </c>
      <c r="G49" s="55"/>
      <c r="H49" s="93">
        <f>E49/$K$7</f>
        <v>0.98630136986301364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s="3" customFormat="1" x14ac:dyDescent="0.2">
      <c r="B50" s="88" t="s">
        <v>104</v>
      </c>
      <c r="C50" s="56">
        <v>20</v>
      </c>
      <c r="D50" s="2"/>
      <c r="E50" s="89">
        <f>C50*E49</f>
        <v>7200</v>
      </c>
      <c r="F50" s="92">
        <f>E50/$K$6</f>
        <v>27.692307692307693</v>
      </c>
      <c r="G50" s="55"/>
      <c r="H50" s="93">
        <f>E50/$K$7</f>
        <v>19.726027397260275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s="3" customFormat="1" x14ac:dyDescent="0.2">
      <c r="B51" s="88" t="s">
        <v>101</v>
      </c>
      <c r="C51" s="56">
        <v>20</v>
      </c>
      <c r="D51" s="2"/>
      <c r="E51" s="89">
        <f>C51*E50</f>
        <v>144000</v>
      </c>
      <c r="F51" s="92">
        <f>E51/$K$6</f>
        <v>553.84615384615381</v>
      </c>
      <c r="G51" s="55"/>
      <c r="H51" s="93">
        <f>E51/$K$7</f>
        <v>394.52054794520546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s="3" customFormat="1" x14ac:dyDescent="0.2">
      <c r="B52" s="94" t="s">
        <v>99</v>
      </c>
      <c r="C52" s="61">
        <v>13</v>
      </c>
      <c r="D52" s="53"/>
      <c r="E52" s="95">
        <f>C52*E51</f>
        <v>1872000</v>
      </c>
      <c r="F52" s="96">
        <f>E52/$K$6</f>
        <v>7200</v>
      </c>
      <c r="G52" s="97"/>
      <c r="H52" s="98">
        <f>E52/$K$7</f>
        <v>5128.767123287671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s="3" customForma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s="3" customFormat="1" x14ac:dyDescent="0.2">
      <c r="B54" s="99" t="s">
        <v>136</v>
      </c>
      <c r="C54" s="42">
        <v>4</v>
      </c>
      <c r="D54" s="42"/>
      <c r="E54" s="42" t="s">
        <v>94</v>
      </c>
      <c r="F54" s="86" t="s">
        <v>20</v>
      </c>
      <c r="G54" s="42"/>
      <c r="H54" s="87" t="s">
        <v>18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s="3" customFormat="1" x14ac:dyDescent="0.2">
      <c r="B55" s="61" t="s">
        <v>137</v>
      </c>
      <c r="C55" s="53">
        <v>8</v>
      </c>
      <c r="D55" s="53"/>
      <c r="E55" s="53" t="s">
        <v>89</v>
      </c>
      <c r="F55" s="97">
        <v>584282.5</v>
      </c>
      <c r="G55" s="53"/>
      <c r="H55" s="25" t="s">
        <v>138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s="3" customForma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s="3" customForma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s="3" customFormat="1" x14ac:dyDescent="0.2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s="3" customFormat="1" x14ac:dyDescent="0.2"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s="3" customFormat="1" x14ac:dyDescent="0.2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s="3" customFormat="1" x14ac:dyDescent="0.2"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s="3" customFormat="1" x14ac:dyDescent="0.2"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s="3" customFormat="1" x14ac:dyDescent="0.2"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s="3" customFormat="1" x14ac:dyDescent="0.2"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35" s="3" customFormat="1" x14ac:dyDescent="0.2"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35" s="3" customFormat="1" x14ac:dyDescent="0.2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35" s="3" customFormat="1" x14ac:dyDescent="0.2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35" s="3" customFormat="1" x14ac:dyDescent="0.2"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35" s="3" customFormat="1" x14ac:dyDescent="0.2"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35" s="3" customFormat="1" x14ac:dyDescent="0.2"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35" s="3" customFormat="1" x14ac:dyDescent="0.2"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35" s="3" customFormat="1" x14ac:dyDescent="0.2"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35" s="3" customFormat="1" x14ac:dyDescent="0.2"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35" s="3" customFormat="1" x14ac:dyDescent="0.2"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35" s="3" customFormat="1" x14ac:dyDescent="0.2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35" s="3" customFormat="1" x14ac:dyDescent="0.2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35" s="3" customFormat="1" x14ac:dyDescent="0.2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35" s="3" customForma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35" s="3" customForma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35" s="2" customFormat="1" x14ac:dyDescent="0.2">
      <c r="W80" s="3"/>
      <c r="AI80" s="3"/>
    </row>
  </sheetData>
  <sheetProtection sheet="1" objects="1" scenarios="1"/>
  <mergeCells count="15">
    <mergeCell ref="B39:D40"/>
    <mergeCell ref="B33:C33"/>
    <mergeCell ref="F33:H33"/>
    <mergeCell ref="J33:K33"/>
    <mergeCell ref="M33:N33"/>
    <mergeCell ref="E43:E44"/>
    <mergeCell ref="F43:F44"/>
    <mergeCell ref="J43:J44"/>
    <mergeCell ref="L43:L44"/>
    <mergeCell ref="E41:E42"/>
    <mergeCell ref="F41:F42"/>
    <mergeCell ref="H41:H42"/>
    <mergeCell ref="J41:J42"/>
    <mergeCell ref="K41:K42"/>
    <mergeCell ref="L41:L42"/>
  </mergeCells>
  <conditionalFormatting sqref="M16">
    <cfRule type="expression" dxfId="0" priority="1">
      <formula>AND($M$16&gt;5,$N$16=$F$25)</formula>
    </cfRule>
  </conditionalFormatting>
  <pageMargins left="0.7" right="0.7" top="0.75" bottom="0.75" header="0.3" footer="0.3"/>
  <pageSetup paperSize="9" scale="20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6E21304-C5D1-D44E-9ACB-4285B3A4978F}">
          <x14:formula1>
            <xm:f>Conversions!$C$68:$C$79</xm:f>
          </x14:formula1>
          <xm:sqref>K35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33CA-96D5-2441-B564-612191966882}">
  <sheetPr codeName="Sheet18">
    <pageSetUpPr fitToPage="1"/>
  </sheetPr>
  <dimension ref="B1:N131"/>
  <sheetViews>
    <sheetView showGridLines="0" topLeftCell="A19" workbookViewId="0">
      <selection activeCell="H5" sqref="H5"/>
    </sheetView>
  </sheetViews>
  <sheetFormatPr baseColWidth="10" defaultRowHeight="16" x14ac:dyDescent="0.2"/>
  <cols>
    <col min="2" max="12" width="13.33203125" customWidth="1"/>
    <col min="13" max="13" width="12.33203125" customWidth="1"/>
    <col min="16" max="16" width="12" customWidth="1"/>
    <col min="22" max="22" width="12.5" bestFit="1" customWidth="1"/>
  </cols>
  <sheetData>
    <row r="1" spans="2:13" s="2" customFormat="1" x14ac:dyDescent="0.2"/>
    <row r="2" spans="2:13" s="2" customFormat="1" ht="21" x14ac:dyDescent="0.25">
      <c r="B2" s="4" t="s">
        <v>0</v>
      </c>
    </row>
    <row r="3" spans="2:13" s="2" customFormat="1" x14ac:dyDescent="0.2"/>
    <row r="4" spans="2:13" s="2" customFormat="1" x14ac:dyDescent="0.2">
      <c r="C4" s="13" t="s">
        <v>1</v>
      </c>
      <c r="D4" s="142" t="s">
        <v>2</v>
      </c>
      <c r="E4" s="13" t="s">
        <v>3</v>
      </c>
    </row>
    <row r="5" spans="2:13" s="2" customFormat="1" x14ac:dyDescent="0.2">
      <c r="B5" s="17" t="s">
        <v>4</v>
      </c>
      <c r="C5" s="18">
        <v>260</v>
      </c>
      <c r="D5" s="238">
        <f>LCM(C5,C6)</f>
        <v>18980</v>
      </c>
      <c r="E5" s="13">
        <f>D5/C5</f>
        <v>73</v>
      </c>
    </row>
    <row r="6" spans="2:13" s="2" customFormat="1" x14ac:dyDescent="0.2">
      <c r="B6" s="24" t="s">
        <v>5</v>
      </c>
      <c r="C6" s="18">
        <v>365</v>
      </c>
      <c r="D6" s="239"/>
      <c r="E6" s="25">
        <f>D5/C6</f>
        <v>52</v>
      </c>
    </row>
    <row r="7" spans="2:13" s="2" customFormat="1" x14ac:dyDescent="0.2"/>
    <row r="8" spans="2:13" s="2" customFormat="1" x14ac:dyDescent="0.2"/>
    <row r="9" spans="2:13" s="2" customFormat="1" ht="21" x14ac:dyDescent="0.25">
      <c r="B9" s="4" t="s">
        <v>6</v>
      </c>
    </row>
    <row r="10" spans="2:13" s="2" customFormat="1" x14ac:dyDescent="0.2"/>
    <row r="11" spans="2:13" s="2" customFormat="1" x14ac:dyDescent="0.2">
      <c r="B11" s="143" t="s">
        <v>2</v>
      </c>
      <c r="C11" s="119"/>
      <c r="D11" s="85" t="str">
        <f>B13</f>
        <v>Tzolk'in</v>
      </c>
      <c r="E11" s="86" t="str">
        <f>B14</f>
        <v>Haab'</v>
      </c>
      <c r="F11" s="86" t="str">
        <f>B15</f>
        <v>Saturn</v>
      </c>
      <c r="G11" s="86" t="str">
        <f>B16</f>
        <v>13 moons</v>
      </c>
      <c r="H11" s="86" t="str">
        <f>B17</f>
        <v>Jupiter</v>
      </c>
      <c r="I11" s="86" t="str">
        <f>B18</f>
        <v>3 eclipse years</v>
      </c>
      <c r="J11" s="86" t="str">
        <f>B19</f>
        <v>Venus</v>
      </c>
      <c r="K11" s="86" t="str">
        <f>B20</f>
        <v>Mars</v>
      </c>
      <c r="L11" s="87" t="str">
        <f>B21</f>
        <v>819-day cycle</v>
      </c>
      <c r="M11" s="7"/>
    </row>
    <row r="12" spans="2:13" s="2" customFormat="1" x14ac:dyDescent="0.2">
      <c r="B12" s="120"/>
      <c r="C12" s="121"/>
      <c r="D12" s="61">
        <f>C13</f>
        <v>260</v>
      </c>
      <c r="E12" s="53">
        <f>C14</f>
        <v>365</v>
      </c>
      <c r="F12" s="53">
        <f>C15</f>
        <v>378</v>
      </c>
      <c r="G12" s="53">
        <f>C16</f>
        <v>384</v>
      </c>
      <c r="H12" s="53">
        <f>C17</f>
        <v>399</v>
      </c>
      <c r="I12" s="53">
        <f>C18</f>
        <v>520</v>
      </c>
      <c r="J12" s="53">
        <f>C19</f>
        <v>584</v>
      </c>
      <c r="K12" s="53">
        <f>C20</f>
        <v>780</v>
      </c>
      <c r="L12" s="60">
        <f>C21</f>
        <v>819</v>
      </c>
    </row>
    <row r="13" spans="2:13" s="2" customFormat="1" x14ac:dyDescent="0.2">
      <c r="B13" s="99" t="s">
        <v>4</v>
      </c>
      <c r="C13" s="34">
        <v>260</v>
      </c>
      <c r="D13" s="122">
        <f t="shared" ref="D13:L21" si="0">LCM($C13,D$12)</f>
        <v>260</v>
      </c>
      <c r="E13" s="123">
        <f t="shared" si="0"/>
        <v>18980</v>
      </c>
      <c r="F13" s="123">
        <f t="shared" si="0"/>
        <v>49140</v>
      </c>
      <c r="G13" s="123">
        <f t="shared" si="0"/>
        <v>24960</v>
      </c>
      <c r="H13" s="123">
        <f t="shared" si="0"/>
        <v>103740</v>
      </c>
      <c r="I13" s="123">
        <f t="shared" si="0"/>
        <v>520</v>
      </c>
      <c r="J13" s="123">
        <f t="shared" si="0"/>
        <v>37960</v>
      </c>
      <c r="K13" s="123">
        <f t="shared" si="0"/>
        <v>780</v>
      </c>
      <c r="L13" s="89">
        <f t="shared" si="0"/>
        <v>16380</v>
      </c>
      <c r="M13" s="123"/>
    </row>
    <row r="14" spans="2:13" s="2" customFormat="1" x14ac:dyDescent="0.2">
      <c r="B14" s="56" t="s">
        <v>5</v>
      </c>
      <c r="C14" s="36">
        <v>365</v>
      </c>
      <c r="D14" s="123">
        <f t="shared" si="0"/>
        <v>18980</v>
      </c>
      <c r="E14" s="122">
        <f t="shared" si="0"/>
        <v>365</v>
      </c>
      <c r="F14" s="123">
        <f t="shared" si="0"/>
        <v>137970</v>
      </c>
      <c r="G14" s="123">
        <f t="shared" si="0"/>
        <v>140160</v>
      </c>
      <c r="H14" s="123">
        <f t="shared" si="0"/>
        <v>145635</v>
      </c>
      <c r="I14" s="123">
        <f t="shared" si="0"/>
        <v>37960</v>
      </c>
      <c r="J14" s="123">
        <f t="shared" si="0"/>
        <v>2920</v>
      </c>
      <c r="K14" s="123">
        <f t="shared" si="0"/>
        <v>56940</v>
      </c>
      <c r="L14" s="89">
        <f t="shared" si="0"/>
        <v>298935</v>
      </c>
      <c r="M14" s="123"/>
    </row>
    <row r="15" spans="2:13" s="2" customFormat="1" x14ac:dyDescent="0.2">
      <c r="B15" s="56" t="s">
        <v>7</v>
      </c>
      <c r="C15" s="36">
        <v>378</v>
      </c>
      <c r="D15" s="123">
        <f t="shared" si="0"/>
        <v>49140</v>
      </c>
      <c r="E15" s="123">
        <f t="shared" si="0"/>
        <v>137970</v>
      </c>
      <c r="F15" s="122">
        <f t="shared" si="0"/>
        <v>378</v>
      </c>
      <c r="G15" s="123">
        <f t="shared" si="0"/>
        <v>24192</v>
      </c>
      <c r="H15" s="123">
        <f t="shared" si="0"/>
        <v>7182</v>
      </c>
      <c r="I15" s="123">
        <f t="shared" si="0"/>
        <v>98280</v>
      </c>
      <c r="J15" s="123">
        <f t="shared" si="0"/>
        <v>110376</v>
      </c>
      <c r="K15" s="123">
        <f t="shared" si="0"/>
        <v>49140</v>
      </c>
      <c r="L15" s="89">
        <f t="shared" si="0"/>
        <v>4914</v>
      </c>
      <c r="M15" s="123"/>
    </row>
    <row r="16" spans="2:13" s="2" customFormat="1" x14ac:dyDescent="0.2">
      <c r="B16" s="56" t="s">
        <v>8</v>
      </c>
      <c r="C16" s="36">
        <v>384</v>
      </c>
      <c r="D16" s="123">
        <f t="shared" si="0"/>
        <v>24960</v>
      </c>
      <c r="E16" s="123">
        <f t="shared" si="0"/>
        <v>140160</v>
      </c>
      <c r="F16" s="123">
        <f t="shared" si="0"/>
        <v>24192</v>
      </c>
      <c r="G16" s="122">
        <f t="shared" si="0"/>
        <v>384</v>
      </c>
      <c r="H16" s="123">
        <f t="shared" si="0"/>
        <v>51072</v>
      </c>
      <c r="I16" s="123">
        <f t="shared" si="0"/>
        <v>24960</v>
      </c>
      <c r="J16" s="123">
        <f t="shared" si="0"/>
        <v>28032</v>
      </c>
      <c r="K16" s="123">
        <f t="shared" si="0"/>
        <v>24960</v>
      </c>
      <c r="L16" s="89">
        <f t="shared" si="0"/>
        <v>104832</v>
      </c>
      <c r="M16" s="123"/>
    </row>
    <row r="17" spans="2:14" s="2" customFormat="1" x14ac:dyDescent="0.2">
      <c r="B17" s="56" t="s">
        <v>9</v>
      </c>
      <c r="C17" s="36">
        <v>399</v>
      </c>
      <c r="D17" s="123">
        <f t="shared" si="0"/>
        <v>103740</v>
      </c>
      <c r="E17" s="123">
        <f t="shared" si="0"/>
        <v>145635</v>
      </c>
      <c r="F17" s="123">
        <f t="shared" si="0"/>
        <v>7182</v>
      </c>
      <c r="G17" s="123">
        <f t="shared" si="0"/>
        <v>51072</v>
      </c>
      <c r="H17" s="122">
        <f t="shared" si="0"/>
        <v>399</v>
      </c>
      <c r="I17" s="123">
        <f t="shared" si="0"/>
        <v>207480</v>
      </c>
      <c r="J17" s="123">
        <f t="shared" si="0"/>
        <v>233016</v>
      </c>
      <c r="K17" s="123">
        <f t="shared" si="0"/>
        <v>103740</v>
      </c>
      <c r="L17" s="89">
        <f t="shared" si="0"/>
        <v>15561</v>
      </c>
      <c r="M17" s="123"/>
    </row>
    <row r="18" spans="2:14" s="2" customFormat="1" x14ac:dyDescent="0.2">
      <c r="B18" s="56" t="s">
        <v>10</v>
      </c>
      <c r="C18" s="36">
        <v>520</v>
      </c>
      <c r="D18" s="123">
        <f t="shared" si="0"/>
        <v>520</v>
      </c>
      <c r="E18" s="123">
        <f t="shared" si="0"/>
        <v>37960</v>
      </c>
      <c r="F18" s="123">
        <f t="shared" si="0"/>
        <v>98280</v>
      </c>
      <c r="G18" s="123">
        <f t="shared" si="0"/>
        <v>24960</v>
      </c>
      <c r="H18" s="123">
        <f t="shared" si="0"/>
        <v>207480</v>
      </c>
      <c r="I18" s="122">
        <f t="shared" si="0"/>
        <v>520</v>
      </c>
      <c r="J18" s="123">
        <f t="shared" si="0"/>
        <v>37960</v>
      </c>
      <c r="K18" s="123">
        <f t="shared" si="0"/>
        <v>1560</v>
      </c>
      <c r="L18" s="89">
        <f t="shared" si="0"/>
        <v>32760</v>
      </c>
      <c r="M18" s="123"/>
    </row>
    <row r="19" spans="2:14" s="2" customFormat="1" x14ac:dyDescent="0.2">
      <c r="B19" s="56" t="s">
        <v>11</v>
      </c>
      <c r="C19" s="36">
        <v>584</v>
      </c>
      <c r="D19" s="123">
        <f t="shared" si="0"/>
        <v>37960</v>
      </c>
      <c r="E19" s="123">
        <f t="shared" si="0"/>
        <v>2920</v>
      </c>
      <c r="F19" s="123">
        <f t="shared" si="0"/>
        <v>110376</v>
      </c>
      <c r="G19" s="123">
        <f t="shared" si="0"/>
        <v>28032</v>
      </c>
      <c r="H19" s="123">
        <f t="shared" si="0"/>
        <v>233016</v>
      </c>
      <c r="I19" s="123">
        <f t="shared" si="0"/>
        <v>37960</v>
      </c>
      <c r="J19" s="122">
        <f t="shared" si="0"/>
        <v>584</v>
      </c>
      <c r="K19" s="123">
        <f t="shared" si="0"/>
        <v>113880</v>
      </c>
      <c r="L19" s="89">
        <f t="shared" si="0"/>
        <v>478296</v>
      </c>
      <c r="M19" s="123"/>
    </row>
    <row r="20" spans="2:14" s="2" customFormat="1" x14ac:dyDescent="0.2">
      <c r="B20" s="56" t="s">
        <v>12</v>
      </c>
      <c r="C20" s="36">
        <v>780</v>
      </c>
      <c r="D20" s="123">
        <f t="shared" si="0"/>
        <v>780</v>
      </c>
      <c r="E20" s="123">
        <f t="shared" si="0"/>
        <v>56940</v>
      </c>
      <c r="F20" s="123">
        <f t="shared" si="0"/>
        <v>49140</v>
      </c>
      <c r="G20" s="123">
        <f t="shared" si="0"/>
        <v>24960</v>
      </c>
      <c r="H20" s="123">
        <f t="shared" si="0"/>
        <v>103740</v>
      </c>
      <c r="I20" s="123">
        <f t="shared" si="0"/>
        <v>1560</v>
      </c>
      <c r="J20" s="123">
        <f t="shared" si="0"/>
        <v>113880</v>
      </c>
      <c r="K20" s="122">
        <f t="shared" si="0"/>
        <v>780</v>
      </c>
      <c r="L20" s="89">
        <f t="shared" si="0"/>
        <v>16380</v>
      </c>
      <c r="M20" s="123"/>
    </row>
    <row r="21" spans="2:14" s="2" customFormat="1" x14ac:dyDescent="0.2">
      <c r="B21" s="61" t="s">
        <v>13</v>
      </c>
      <c r="C21" s="60">
        <v>819</v>
      </c>
      <c r="D21" s="124">
        <f t="shared" si="0"/>
        <v>16380</v>
      </c>
      <c r="E21" s="124">
        <f t="shared" si="0"/>
        <v>298935</v>
      </c>
      <c r="F21" s="124">
        <f t="shared" si="0"/>
        <v>4914</v>
      </c>
      <c r="G21" s="124">
        <f t="shared" si="0"/>
        <v>104832</v>
      </c>
      <c r="H21" s="124">
        <f t="shared" si="0"/>
        <v>15561</v>
      </c>
      <c r="I21" s="124">
        <f t="shared" si="0"/>
        <v>32760</v>
      </c>
      <c r="J21" s="124">
        <f t="shared" si="0"/>
        <v>478296</v>
      </c>
      <c r="K21" s="124">
        <f t="shared" si="0"/>
        <v>16380</v>
      </c>
      <c r="L21" s="125">
        <f t="shared" si="0"/>
        <v>819</v>
      </c>
      <c r="M21" s="123"/>
    </row>
    <row r="22" spans="2:14" s="2" customFormat="1" x14ac:dyDescent="0.2"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2:14" s="2" customFormat="1" x14ac:dyDescent="0.2">
      <c r="B23" s="240" t="s">
        <v>168</v>
      </c>
      <c r="C23" s="240"/>
      <c r="D23" s="85" t="str">
        <f>B25</f>
        <v>Tzolk'in</v>
      </c>
      <c r="E23" s="86" t="str">
        <f>B26</f>
        <v>Haab'</v>
      </c>
      <c r="F23" s="86" t="str">
        <f>B27</f>
        <v>Saturn</v>
      </c>
      <c r="G23" s="86" t="str">
        <f>B28</f>
        <v>13 moons</v>
      </c>
      <c r="H23" s="86" t="str">
        <f>B29</f>
        <v>Jupiter</v>
      </c>
      <c r="I23" s="86" t="str">
        <f>B30</f>
        <v>3 eclipse years</v>
      </c>
      <c r="J23" s="86" t="str">
        <f>B31</f>
        <v>Venus</v>
      </c>
      <c r="K23" s="86" t="str">
        <f>B32</f>
        <v>Mars</v>
      </c>
      <c r="L23" s="87" t="str">
        <f>B33</f>
        <v>819-day cycle</v>
      </c>
      <c r="M23" s="55"/>
    </row>
    <row r="24" spans="2:14" s="2" customFormat="1" x14ac:dyDescent="0.2">
      <c r="B24" s="241"/>
      <c r="C24" s="241"/>
      <c r="D24" s="61">
        <f>C25</f>
        <v>260</v>
      </c>
      <c r="E24" s="53">
        <f>C26</f>
        <v>365</v>
      </c>
      <c r="F24" s="53">
        <f>C27</f>
        <v>378</v>
      </c>
      <c r="G24" s="53">
        <f>C28</f>
        <v>384</v>
      </c>
      <c r="H24" s="53">
        <f>C29</f>
        <v>399</v>
      </c>
      <c r="I24" s="53">
        <f>C30</f>
        <v>520</v>
      </c>
      <c r="J24" s="53">
        <f>C31</f>
        <v>584</v>
      </c>
      <c r="K24" s="53">
        <f>C32</f>
        <v>780</v>
      </c>
      <c r="L24" s="60">
        <f>C33</f>
        <v>819</v>
      </c>
    </row>
    <row r="25" spans="2:14" s="2" customFormat="1" x14ac:dyDescent="0.2">
      <c r="B25" s="99" t="str">
        <f t="shared" ref="B25:C33" si="1">B13</f>
        <v>Tzolk'in</v>
      </c>
      <c r="C25" s="34">
        <f t="shared" si="1"/>
        <v>260</v>
      </c>
      <c r="D25" s="122">
        <f t="shared" ref="D25:L33" si="2">D13/D$24</f>
        <v>1</v>
      </c>
      <c r="E25" s="123">
        <f t="shared" si="2"/>
        <v>52</v>
      </c>
      <c r="F25" s="123">
        <f t="shared" si="2"/>
        <v>130</v>
      </c>
      <c r="G25" s="123">
        <f t="shared" si="2"/>
        <v>65</v>
      </c>
      <c r="H25" s="123">
        <f t="shared" si="2"/>
        <v>260</v>
      </c>
      <c r="I25" s="123">
        <f t="shared" si="2"/>
        <v>1</v>
      </c>
      <c r="J25" s="123">
        <f t="shared" si="2"/>
        <v>65</v>
      </c>
      <c r="K25" s="123">
        <f t="shared" si="2"/>
        <v>1</v>
      </c>
      <c r="L25" s="89">
        <f t="shared" si="2"/>
        <v>20</v>
      </c>
      <c r="M25" s="123"/>
      <c r="N25" s="7"/>
    </row>
    <row r="26" spans="2:14" s="2" customFormat="1" x14ac:dyDescent="0.2">
      <c r="B26" s="56" t="str">
        <f t="shared" si="1"/>
        <v>Haab'</v>
      </c>
      <c r="C26" s="36">
        <f t="shared" si="1"/>
        <v>365</v>
      </c>
      <c r="D26" s="123">
        <f t="shared" si="2"/>
        <v>73</v>
      </c>
      <c r="E26" s="122">
        <f t="shared" si="2"/>
        <v>1</v>
      </c>
      <c r="F26" s="123">
        <f t="shared" si="2"/>
        <v>365</v>
      </c>
      <c r="G26" s="123">
        <f t="shared" si="2"/>
        <v>365</v>
      </c>
      <c r="H26" s="123">
        <f t="shared" si="2"/>
        <v>365</v>
      </c>
      <c r="I26" s="123">
        <f t="shared" si="2"/>
        <v>73</v>
      </c>
      <c r="J26" s="123">
        <f t="shared" si="2"/>
        <v>5</v>
      </c>
      <c r="K26" s="123">
        <f t="shared" si="2"/>
        <v>73</v>
      </c>
      <c r="L26" s="89">
        <f t="shared" si="2"/>
        <v>365</v>
      </c>
      <c r="M26" s="123"/>
    </row>
    <row r="27" spans="2:14" s="2" customFormat="1" x14ac:dyDescent="0.2">
      <c r="B27" s="56" t="str">
        <f t="shared" si="1"/>
        <v>Saturn</v>
      </c>
      <c r="C27" s="36">
        <f t="shared" si="1"/>
        <v>378</v>
      </c>
      <c r="D27" s="123">
        <f t="shared" si="2"/>
        <v>189</v>
      </c>
      <c r="E27" s="123">
        <f t="shared" si="2"/>
        <v>378</v>
      </c>
      <c r="F27" s="122">
        <f t="shared" si="2"/>
        <v>1</v>
      </c>
      <c r="G27" s="123">
        <f t="shared" si="2"/>
        <v>63</v>
      </c>
      <c r="H27" s="123">
        <f t="shared" si="2"/>
        <v>18</v>
      </c>
      <c r="I27" s="123">
        <f t="shared" si="2"/>
        <v>189</v>
      </c>
      <c r="J27" s="123">
        <f t="shared" si="2"/>
        <v>189</v>
      </c>
      <c r="K27" s="123">
        <f t="shared" si="2"/>
        <v>63</v>
      </c>
      <c r="L27" s="89">
        <f t="shared" si="2"/>
        <v>6</v>
      </c>
      <c r="M27" s="123"/>
    </row>
    <row r="28" spans="2:14" s="2" customFormat="1" x14ac:dyDescent="0.2">
      <c r="B28" s="56" t="str">
        <f t="shared" si="1"/>
        <v>13 moons</v>
      </c>
      <c r="C28" s="36">
        <f t="shared" si="1"/>
        <v>384</v>
      </c>
      <c r="D28" s="123">
        <f t="shared" si="2"/>
        <v>96</v>
      </c>
      <c r="E28" s="123">
        <f t="shared" si="2"/>
        <v>384</v>
      </c>
      <c r="F28" s="123">
        <f t="shared" si="2"/>
        <v>64</v>
      </c>
      <c r="G28" s="122">
        <f t="shared" si="2"/>
        <v>1</v>
      </c>
      <c r="H28" s="123">
        <f t="shared" si="2"/>
        <v>128</v>
      </c>
      <c r="I28" s="123">
        <f t="shared" si="2"/>
        <v>48</v>
      </c>
      <c r="J28" s="123">
        <f t="shared" si="2"/>
        <v>48</v>
      </c>
      <c r="K28" s="123">
        <f t="shared" si="2"/>
        <v>32</v>
      </c>
      <c r="L28" s="89">
        <f t="shared" si="2"/>
        <v>128</v>
      </c>
      <c r="M28" s="123"/>
    </row>
    <row r="29" spans="2:14" s="2" customFormat="1" x14ac:dyDescent="0.2">
      <c r="B29" s="56" t="str">
        <f t="shared" si="1"/>
        <v>Jupiter</v>
      </c>
      <c r="C29" s="36">
        <f t="shared" si="1"/>
        <v>399</v>
      </c>
      <c r="D29" s="123">
        <f t="shared" si="2"/>
        <v>399</v>
      </c>
      <c r="E29" s="123">
        <f t="shared" si="2"/>
        <v>399</v>
      </c>
      <c r="F29" s="123">
        <f t="shared" si="2"/>
        <v>19</v>
      </c>
      <c r="G29" s="123">
        <f t="shared" si="2"/>
        <v>133</v>
      </c>
      <c r="H29" s="122">
        <f t="shared" si="2"/>
        <v>1</v>
      </c>
      <c r="I29" s="123">
        <f t="shared" si="2"/>
        <v>399</v>
      </c>
      <c r="J29" s="123">
        <f t="shared" si="2"/>
        <v>399</v>
      </c>
      <c r="K29" s="123">
        <f t="shared" si="2"/>
        <v>133</v>
      </c>
      <c r="L29" s="89">
        <f t="shared" si="2"/>
        <v>19</v>
      </c>
      <c r="M29" s="123"/>
    </row>
    <row r="30" spans="2:14" s="2" customFormat="1" x14ac:dyDescent="0.2">
      <c r="B30" s="56" t="str">
        <f t="shared" si="1"/>
        <v>3 eclipse years</v>
      </c>
      <c r="C30" s="36">
        <f t="shared" si="1"/>
        <v>520</v>
      </c>
      <c r="D30" s="123">
        <f t="shared" si="2"/>
        <v>2</v>
      </c>
      <c r="E30" s="123">
        <f t="shared" si="2"/>
        <v>104</v>
      </c>
      <c r="F30" s="123">
        <f t="shared" si="2"/>
        <v>260</v>
      </c>
      <c r="G30" s="123">
        <f t="shared" si="2"/>
        <v>65</v>
      </c>
      <c r="H30" s="123">
        <f t="shared" si="2"/>
        <v>520</v>
      </c>
      <c r="I30" s="122">
        <f t="shared" si="2"/>
        <v>1</v>
      </c>
      <c r="J30" s="123">
        <f t="shared" si="2"/>
        <v>65</v>
      </c>
      <c r="K30" s="123">
        <f t="shared" si="2"/>
        <v>2</v>
      </c>
      <c r="L30" s="89">
        <f t="shared" si="2"/>
        <v>40</v>
      </c>
      <c r="M30" s="123"/>
    </row>
    <row r="31" spans="2:14" s="2" customFormat="1" x14ac:dyDescent="0.2">
      <c r="B31" s="56" t="str">
        <f t="shared" si="1"/>
        <v>Venus</v>
      </c>
      <c r="C31" s="36">
        <f t="shared" si="1"/>
        <v>584</v>
      </c>
      <c r="D31" s="123">
        <f t="shared" si="2"/>
        <v>146</v>
      </c>
      <c r="E31" s="123">
        <f t="shared" si="2"/>
        <v>8</v>
      </c>
      <c r="F31" s="123">
        <f t="shared" si="2"/>
        <v>292</v>
      </c>
      <c r="G31" s="123">
        <f t="shared" si="2"/>
        <v>73</v>
      </c>
      <c r="H31" s="123">
        <f t="shared" si="2"/>
        <v>584</v>
      </c>
      <c r="I31" s="123">
        <f t="shared" si="2"/>
        <v>73</v>
      </c>
      <c r="J31" s="122">
        <f t="shared" si="2"/>
        <v>1</v>
      </c>
      <c r="K31" s="123">
        <f t="shared" si="2"/>
        <v>146</v>
      </c>
      <c r="L31" s="89">
        <f t="shared" si="2"/>
        <v>584</v>
      </c>
      <c r="M31" s="123"/>
    </row>
    <row r="32" spans="2:14" s="2" customFormat="1" x14ac:dyDescent="0.2">
      <c r="B32" s="56" t="str">
        <f t="shared" si="1"/>
        <v>Mars</v>
      </c>
      <c r="C32" s="36">
        <f t="shared" si="1"/>
        <v>780</v>
      </c>
      <c r="D32" s="123">
        <f t="shared" si="2"/>
        <v>3</v>
      </c>
      <c r="E32" s="123">
        <f t="shared" si="2"/>
        <v>156</v>
      </c>
      <c r="F32" s="123">
        <f t="shared" si="2"/>
        <v>130</v>
      </c>
      <c r="G32" s="123">
        <f t="shared" si="2"/>
        <v>65</v>
      </c>
      <c r="H32" s="123">
        <f t="shared" si="2"/>
        <v>260</v>
      </c>
      <c r="I32" s="123">
        <f t="shared" si="2"/>
        <v>3</v>
      </c>
      <c r="J32" s="123">
        <f t="shared" si="2"/>
        <v>195</v>
      </c>
      <c r="K32" s="122">
        <f t="shared" si="2"/>
        <v>1</v>
      </c>
      <c r="L32" s="89">
        <f t="shared" si="2"/>
        <v>20</v>
      </c>
      <c r="M32" s="123"/>
    </row>
    <row r="33" spans="2:13" s="2" customFormat="1" x14ac:dyDescent="0.2">
      <c r="B33" s="61" t="str">
        <f t="shared" si="1"/>
        <v>819-day cycle</v>
      </c>
      <c r="C33" s="60">
        <f t="shared" si="1"/>
        <v>819</v>
      </c>
      <c r="D33" s="124">
        <f t="shared" si="2"/>
        <v>63</v>
      </c>
      <c r="E33" s="124">
        <f t="shared" si="2"/>
        <v>819</v>
      </c>
      <c r="F33" s="124">
        <f t="shared" si="2"/>
        <v>13</v>
      </c>
      <c r="G33" s="124">
        <f t="shared" si="2"/>
        <v>273</v>
      </c>
      <c r="H33" s="124">
        <f t="shared" si="2"/>
        <v>39</v>
      </c>
      <c r="I33" s="124">
        <f t="shared" si="2"/>
        <v>63</v>
      </c>
      <c r="J33" s="124">
        <f t="shared" si="2"/>
        <v>819</v>
      </c>
      <c r="K33" s="124">
        <f t="shared" si="2"/>
        <v>21</v>
      </c>
      <c r="L33" s="125">
        <f t="shared" si="2"/>
        <v>1</v>
      </c>
      <c r="M33" s="123"/>
    </row>
    <row r="34" spans="2:13" s="2" customFormat="1" x14ac:dyDescent="0.2"/>
    <row r="35" spans="2:13" s="2" customFormat="1" x14ac:dyDescent="0.2"/>
    <row r="36" spans="2:13" s="2" customFormat="1" ht="21" x14ac:dyDescent="0.25">
      <c r="B36" s="4" t="s">
        <v>167</v>
      </c>
    </row>
    <row r="37" spans="2:13" s="2" customFormat="1" ht="21" x14ac:dyDescent="0.25">
      <c r="B37" s="4"/>
    </row>
    <row r="38" spans="2:13" s="2" customFormat="1" x14ac:dyDescent="0.2">
      <c r="C38" s="100" t="s">
        <v>142</v>
      </c>
      <c r="D38" s="242" t="s">
        <v>164</v>
      </c>
      <c r="E38" s="243"/>
      <c r="F38" s="101" t="s">
        <v>143</v>
      </c>
    </row>
    <row r="39" spans="2:13" s="2" customFormat="1" x14ac:dyDescent="0.2">
      <c r="B39" s="102" t="s">
        <v>4</v>
      </c>
      <c r="C39" s="103">
        <v>260</v>
      </c>
      <c r="D39" s="104">
        <v>146</v>
      </c>
      <c r="E39" s="105">
        <v>65</v>
      </c>
      <c r="F39" s="106">
        <f t="shared" ref="F39:F55" si="3">(D39/E39)*C39</f>
        <v>584</v>
      </c>
      <c r="G39" s="107" t="s">
        <v>11</v>
      </c>
    </row>
    <row r="40" spans="2:13" s="2" customFormat="1" x14ac:dyDescent="0.2">
      <c r="B40" s="90"/>
      <c r="C40" s="108">
        <v>260</v>
      </c>
      <c r="D40" s="109">
        <v>73</v>
      </c>
      <c r="E40" s="110">
        <v>52</v>
      </c>
      <c r="F40" s="111">
        <f t="shared" si="3"/>
        <v>365</v>
      </c>
      <c r="G40" s="112" t="s">
        <v>5</v>
      </c>
    </row>
    <row r="41" spans="2:13" s="2" customFormat="1" x14ac:dyDescent="0.2">
      <c r="B41" s="90"/>
      <c r="C41" s="108">
        <v>260</v>
      </c>
      <c r="D41" s="109">
        <v>3</v>
      </c>
      <c r="E41" s="110">
        <v>1</v>
      </c>
      <c r="F41" s="111">
        <f t="shared" si="3"/>
        <v>780</v>
      </c>
      <c r="G41" s="112" t="s">
        <v>12</v>
      </c>
    </row>
    <row r="42" spans="2:13" s="2" customFormat="1" x14ac:dyDescent="0.2">
      <c r="B42" s="90"/>
      <c r="C42" s="108">
        <v>260</v>
      </c>
      <c r="D42" s="109">
        <v>2</v>
      </c>
      <c r="E42" s="110">
        <v>3</v>
      </c>
      <c r="F42" s="111">
        <f t="shared" si="3"/>
        <v>173.33333333333331</v>
      </c>
      <c r="G42" s="112" t="s">
        <v>148</v>
      </c>
    </row>
    <row r="43" spans="2:13" s="2" customFormat="1" x14ac:dyDescent="0.2">
      <c r="B43" s="90"/>
      <c r="C43" s="108">
        <v>260</v>
      </c>
      <c r="D43" s="109">
        <v>63</v>
      </c>
      <c r="E43" s="110">
        <v>20</v>
      </c>
      <c r="F43" s="111">
        <f t="shared" si="3"/>
        <v>819</v>
      </c>
      <c r="G43" s="112" t="s">
        <v>13</v>
      </c>
    </row>
    <row r="44" spans="2:13" s="2" customFormat="1" x14ac:dyDescent="0.2">
      <c r="B44" s="113"/>
      <c r="C44" s="114">
        <v>260</v>
      </c>
      <c r="D44" s="115">
        <v>96</v>
      </c>
      <c r="E44" s="116">
        <v>65</v>
      </c>
      <c r="F44" s="111">
        <f t="shared" si="3"/>
        <v>384</v>
      </c>
      <c r="G44" s="117" t="s">
        <v>151</v>
      </c>
    </row>
    <row r="45" spans="2:13" s="2" customFormat="1" x14ac:dyDescent="0.2">
      <c r="B45" s="102" t="s">
        <v>12</v>
      </c>
      <c r="C45" s="103">
        <v>780</v>
      </c>
      <c r="D45" s="109">
        <v>73</v>
      </c>
      <c r="E45" s="110">
        <v>156</v>
      </c>
      <c r="F45" s="106">
        <f t="shared" si="3"/>
        <v>365</v>
      </c>
      <c r="G45" s="112" t="s">
        <v>5</v>
      </c>
    </row>
    <row r="46" spans="2:13" s="2" customFormat="1" x14ac:dyDescent="0.2">
      <c r="B46" s="90"/>
      <c r="C46" s="108">
        <v>780</v>
      </c>
      <c r="D46" s="109">
        <v>1</v>
      </c>
      <c r="E46" s="110">
        <v>3</v>
      </c>
      <c r="F46" s="111">
        <f t="shared" si="3"/>
        <v>260</v>
      </c>
      <c r="G46" s="112" t="s">
        <v>4</v>
      </c>
    </row>
    <row r="47" spans="2:13" s="2" customFormat="1" x14ac:dyDescent="0.2">
      <c r="B47" s="90"/>
      <c r="C47" s="108">
        <v>780</v>
      </c>
      <c r="D47" s="109">
        <v>2</v>
      </c>
      <c r="E47" s="110">
        <v>9</v>
      </c>
      <c r="F47" s="111">
        <f t="shared" si="3"/>
        <v>173.33333333333331</v>
      </c>
      <c r="G47" s="112" t="s">
        <v>148</v>
      </c>
    </row>
    <row r="48" spans="2:13" s="2" customFormat="1" x14ac:dyDescent="0.2">
      <c r="B48" s="90"/>
      <c r="C48" s="108">
        <v>780</v>
      </c>
      <c r="D48" s="109">
        <v>21</v>
      </c>
      <c r="E48" s="110">
        <v>20</v>
      </c>
      <c r="F48" s="111">
        <f t="shared" si="3"/>
        <v>819</v>
      </c>
      <c r="G48" s="112" t="s">
        <v>13</v>
      </c>
    </row>
    <row r="49" spans="2:7" s="2" customFormat="1" x14ac:dyDescent="0.2">
      <c r="B49" s="113"/>
      <c r="C49" s="114">
        <v>780</v>
      </c>
      <c r="D49" s="115">
        <v>63</v>
      </c>
      <c r="E49" s="116">
        <v>130</v>
      </c>
      <c r="F49" s="111">
        <f t="shared" si="3"/>
        <v>378</v>
      </c>
      <c r="G49" s="117" t="s">
        <v>7</v>
      </c>
    </row>
    <row r="50" spans="2:7" s="2" customFormat="1" x14ac:dyDescent="0.2">
      <c r="B50" s="102" t="s">
        <v>11</v>
      </c>
      <c r="C50" s="103">
        <v>584</v>
      </c>
      <c r="D50" s="109">
        <v>5</v>
      </c>
      <c r="E50" s="110">
        <v>8</v>
      </c>
      <c r="F50" s="106">
        <f t="shared" si="3"/>
        <v>365</v>
      </c>
      <c r="G50" s="112" t="s">
        <v>5</v>
      </c>
    </row>
    <row r="51" spans="2:7" s="2" customFormat="1" x14ac:dyDescent="0.2">
      <c r="B51" s="90"/>
      <c r="C51" s="108">
        <v>584</v>
      </c>
      <c r="D51" s="109">
        <v>65</v>
      </c>
      <c r="E51" s="110">
        <v>146</v>
      </c>
      <c r="F51" s="111">
        <f t="shared" si="3"/>
        <v>260</v>
      </c>
      <c r="G51" s="112" t="s">
        <v>4</v>
      </c>
    </row>
    <row r="52" spans="2:7" s="2" customFormat="1" x14ac:dyDescent="0.2">
      <c r="B52" s="113"/>
      <c r="C52" s="114">
        <v>584</v>
      </c>
      <c r="D52" s="115">
        <v>48</v>
      </c>
      <c r="E52" s="116">
        <v>73</v>
      </c>
      <c r="F52" s="111">
        <f t="shared" si="3"/>
        <v>384</v>
      </c>
      <c r="G52" s="117" t="s">
        <v>151</v>
      </c>
    </row>
    <row r="53" spans="2:7" s="2" customFormat="1" x14ac:dyDescent="0.2">
      <c r="B53" s="102" t="s">
        <v>7</v>
      </c>
      <c r="C53" s="108">
        <v>378</v>
      </c>
      <c r="D53" s="109">
        <v>130</v>
      </c>
      <c r="E53" s="110">
        <v>63</v>
      </c>
      <c r="F53" s="106">
        <f t="shared" si="3"/>
        <v>780.00000000000011</v>
      </c>
      <c r="G53" s="112" t="s">
        <v>12</v>
      </c>
    </row>
    <row r="54" spans="2:7" s="2" customFormat="1" x14ac:dyDescent="0.2">
      <c r="B54" s="90"/>
      <c r="C54" s="108">
        <v>378</v>
      </c>
      <c r="D54" s="109">
        <v>13</v>
      </c>
      <c r="E54" s="110">
        <v>6</v>
      </c>
      <c r="F54" s="111">
        <f t="shared" si="3"/>
        <v>819</v>
      </c>
      <c r="G54" s="112" t="s">
        <v>13</v>
      </c>
    </row>
    <row r="55" spans="2:7" s="2" customFormat="1" x14ac:dyDescent="0.2">
      <c r="B55" s="113"/>
      <c r="C55" s="114">
        <v>378</v>
      </c>
      <c r="D55" s="115">
        <v>19</v>
      </c>
      <c r="E55" s="116">
        <v>18</v>
      </c>
      <c r="F55" s="118">
        <f t="shared" si="3"/>
        <v>399</v>
      </c>
      <c r="G55" s="117" t="s">
        <v>9</v>
      </c>
    </row>
    <row r="56" spans="2:7" s="2" customFormat="1" x14ac:dyDescent="0.2"/>
    <row r="57" spans="2:7" s="2" customFormat="1" x14ac:dyDescent="0.2">
      <c r="B57" s="2" t="s">
        <v>165</v>
      </c>
    </row>
    <row r="58" spans="2:7" s="2" customFormat="1" x14ac:dyDescent="0.2"/>
    <row r="59" spans="2:7" s="2" customFormat="1" x14ac:dyDescent="0.2">
      <c r="C59" s="100" t="s">
        <v>142</v>
      </c>
      <c r="D59" s="242" t="s">
        <v>164</v>
      </c>
      <c r="E59" s="243"/>
      <c r="F59" s="101" t="s">
        <v>143</v>
      </c>
    </row>
    <row r="60" spans="2:7" s="2" customFormat="1" x14ac:dyDescent="0.2">
      <c r="B60" s="102" t="s">
        <v>14</v>
      </c>
      <c r="C60" s="132">
        <v>365.24200000000002</v>
      </c>
      <c r="D60" s="42">
        <v>42</v>
      </c>
      <c r="E60" s="42">
        <v>59</v>
      </c>
      <c r="F60" s="129">
        <f>C60*(D60/E60)</f>
        <v>260.00277966101697</v>
      </c>
      <c r="G60" s="16" t="s">
        <v>4</v>
      </c>
    </row>
    <row r="61" spans="2:7" s="2" customFormat="1" x14ac:dyDescent="0.2">
      <c r="B61" s="126"/>
      <c r="C61" s="133">
        <v>365.24200000000002</v>
      </c>
      <c r="D61" s="127">
        <v>1507</v>
      </c>
      <c r="E61" s="127">
        <v>1508</v>
      </c>
      <c r="F61" s="130">
        <f>C61*(D61/E61)</f>
        <v>364.9997970822281</v>
      </c>
      <c r="G61" s="138" t="s">
        <v>5</v>
      </c>
    </row>
    <row r="62" spans="2:7" s="2" customFormat="1" x14ac:dyDescent="0.2">
      <c r="B62" s="102" t="s">
        <v>15</v>
      </c>
      <c r="C62" s="18">
        <v>29.53059</v>
      </c>
      <c r="D62" s="128">
        <v>405</v>
      </c>
      <c r="E62" s="128">
        <v>46</v>
      </c>
      <c r="F62" s="131">
        <f>C62*(D62/E62)</f>
        <v>259.99758586956523</v>
      </c>
      <c r="G62" s="15" t="s">
        <v>4</v>
      </c>
    </row>
    <row r="63" spans="2:7" s="2" customFormat="1" x14ac:dyDescent="0.2"/>
    <row r="64" spans="2:7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</sheetData>
  <sheetProtection sheet="1" objects="1" scenarios="1"/>
  <mergeCells count="4">
    <mergeCell ref="D5:D6"/>
    <mergeCell ref="B23:C24"/>
    <mergeCell ref="D38:E38"/>
    <mergeCell ref="D59:E59"/>
  </mergeCells>
  <hyperlinks>
    <hyperlink ref="D4" r:id="rId1" xr:uid="{D9D3CB76-5EB3-5E4C-95A6-2217F6AF512B}"/>
    <hyperlink ref="B11" r:id="rId2" xr:uid="{037D8DED-014A-F44E-BD16-C37616F3BD4A}"/>
  </hyperlinks>
  <pageMargins left="0.7" right="0.7" top="0.75" bottom="0.75" header="0.3" footer="0.3"/>
  <pageSetup paperSize="9" scale="52" orientation="portrait" horizontalDpi="0" verticalDpi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C472-6F46-C742-B432-B2F0E5BF9D61}">
  <dimension ref="B2:L80"/>
  <sheetViews>
    <sheetView showGridLines="0" topLeftCell="A22" workbookViewId="0">
      <selection activeCell="I65" sqref="I65"/>
    </sheetView>
  </sheetViews>
  <sheetFormatPr baseColWidth="10" defaultRowHeight="16" x14ac:dyDescent="0.2"/>
  <sheetData>
    <row r="2" spans="2:12" x14ac:dyDescent="0.2">
      <c r="B2" s="156" t="s">
        <v>17</v>
      </c>
      <c r="C2" s="157"/>
      <c r="D2" s="157"/>
      <c r="E2" s="157"/>
      <c r="F2" s="157"/>
      <c r="G2" s="157"/>
      <c r="H2" s="157"/>
      <c r="I2" s="157"/>
      <c r="J2" s="157"/>
      <c r="K2" s="158"/>
      <c r="L2" s="5"/>
    </row>
    <row r="3" spans="2:12" x14ac:dyDescent="0.2">
      <c r="B3" s="159" t="s">
        <v>18</v>
      </c>
      <c r="C3" s="160"/>
      <c r="D3" s="160"/>
      <c r="E3" s="161" t="s">
        <v>19</v>
      </c>
      <c r="F3" s="161" t="s">
        <v>20</v>
      </c>
      <c r="G3" s="160"/>
      <c r="H3" s="160"/>
      <c r="I3" s="160"/>
      <c r="J3" s="160"/>
      <c r="K3" s="162"/>
      <c r="L3" s="5"/>
    </row>
    <row r="4" spans="2:12" x14ac:dyDescent="0.2">
      <c r="B4" s="163" t="s">
        <v>25</v>
      </c>
      <c r="C4" s="160">
        <f>'Maya Calendar'!K34</f>
        <v>1929</v>
      </c>
      <c r="D4" s="160"/>
      <c r="E4" s="164">
        <f>$C$8-1+365*(C4-1)+INT((C4-1)/4)-INT((C4-1)/100)+INT((C4-1)/400)+INT((367*C5-362)/12+C10)+C6+C7</f>
        <v>704236</v>
      </c>
      <c r="F4" s="164">
        <f>1721424.5+E4</f>
        <v>2425660.5</v>
      </c>
      <c r="G4" s="160"/>
      <c r="H4" s="160"/>
      <c r="I4" s="160"/>
      <c r="J4" s="160"/>
      <c r="K4" s="162"/>
      <c r="L4" s="5"/>
    </row>
    <row r="5" spans="2:12" x14ac:dyDescent="0.2">
      <c r="B5" s="163" t="s">
        <v>26</v>
      </c>
      <c r="C5" s="160">
        <f>VLOOKUP('Maya Calendar'!K35,Conversions!C68:D79,2,FALSE)</f>
        <v>2</v>
      </c>
      <c r="D5" s="160"/>
      <c r="E5" s="160"/>
      <c r="F5" s="160"/>
      <c r="G5" s="160"/>
      <c r="H5" s="160"/>
      <c r="I5" s="160"/>
      <c r="J5" s="160"/>
      <c r="K5" s="162"/>
      <c r="L5" s="3"/>
    </row>
    <row r="6" spans="2:12" x14ac:dyDescent="0.2">
      <c r="B6" s="163" t="s">
        <v>31</v>
      </c>
      <c r="C6" s="160">
        <f>'Maya Calendar'!K36</f>
        <v>18</v>
      </c>
      <c r="D6" s="160"/>
      <c r="E6" s="164"/>
      <c r="F6" s="160"/>
      <c r="G6" s="160"/>
      <c r="H6" s="160"/>
      <c r="I6" s="160"/>
      <c r="J6" s="160"/>
      <c r="K6" s="165"/>
      <c r="L6" s="3"/>
    </row>
    <row r="7" spans="2:12" x14ac:dyDescent="0.2">
      <c r="B7" s="163" t="s">
        <v>34</v>
      </c>
      <c r="C7" s="160">
        <f>('Maya Calendar'!K37*60+'Maya Calendar'!K38)/(24*60)</f>
        <v>0</v>
      </c>
      <c r="D7" s="160"/>
      <c r="E7" s="164"/>
      <c r="F7" s="160"/>
      <c r="G7" s="160"/>
      <c r="H7" s="160"/>
      <c r="I7" s="160"/>
      <c r="J7" s="160"/>
      <c r="K7" s="165"/>
      <c r="L7" s="3"/>
    </row>
    <row r="8" spans="2:12" x14ac:dyDescent="0.2">
      <c r="B8" s="166" t="s">
        <v>37</v>
      </c>
      <c r="C8" s="167">
        <v>1</v>
      </c>
      <c r="D8" s="160"/>
      <c r="E8" s="160"/>
      <c r="F8" s="160"/>
      <c r="G8" s="160"/>
      <c r="H8" s="160"/>
      <c r="I8" s="160"/>
      <c r="J8" s="160"/>
      <c r="K8" s="165"/>
      <c r="L8" s="5"/>
    </row>
    <row r="9" spans="2:12" x14ac:dyDescent="0.2">
      <c r="B9" s="166" t="s">
        <v>44</v>
      </c>
      <c r="C9" s="168">
        <f>IF(MOD(C4,4)=0,IF(MOD(C4,400)&lt;&gt;100,IF(MOD(C4,400)&lt;&gt;200,IF(MOD(C4,400)&lt;&gt;300,1,0),0),0),0)</f>
        <v>0</v>
      </c>
      <c r="D9" s="160"/>
      <c r="E9" s="160"/>
      <c r="F9" s="160"/>
      <c r="G9" s="160"/>
      <c r="H9" s="160"/>
      <c r="I9" s="160"/>
      <c r="J9" s="160"/>
      <c r="K9" s="162"/>
      <c r="L9" s="5"/>
    </row>
    <row r="10" spans="2:12" x14ac:dyDescent="0.2">
      <c r="B10" s="169" t="s">
        <v>49</v>
      </c>
      <c r="C10" s="170">
        <f>IF(C5&lt;=2,0,IF(AND(C5&gt;2,C9=1),-1,-2))</f>
        <v>0</v>
      </c>
      <c r="D10" s="171"/>
      <c r="E10" s="171"/>
      <c r="F10" s="171"/>
      <c r="G10" s="171"/>
      <c r="H10" s="171"/>
      <c r="I10" s="171"/>
      <c r="J10" s="171"/>
      <c r="K10" s="172"/>
      <c r="L10" s="5"/>
    </row>
    <row r="11" spans="2:12" x14ac:dyDescent="0.2">
      <c r="B11" s="136"/>
      <c r="C11" s="136"/>
      <c r="D11" s="135"/>
      <c r="E11" s="135"/>
      <c r="F11" s="135"/>
      <c r="G11" s="135"/>
      <c r="H11" s="135"/>
      <c r="I11" s="135"/>
      <c r="J11" s="135"/>
      <c r="K11" s="135"/>
      <c r="L11" s="5"/>
    </row>
    <row r="12" spans="2:12" x14ac:dyDescent="0.2">
      <c r="B12" s="156" t="s">
        <v>58</v>
      </c>
      <c r="C12" s="157"/>
      <c r="D12" s="157"/>
      <c r="E12" s="157"/>
      <c r="F12" s="157"/>
      <c r="G12" s="157"/>
      <c r="H12" s="157"/>
      <c r="I12" s="157"/>
      <c r="J12" s="157"/>
      <c r="K12" s="158"/>
      <c r="L12" s="5"/>
    </row>
    <row r="13" spans="2:12" x14ac:dyDescent="0.2">
      <c r="B13" s="173" t="s">
        <v>19</v>
      </c>
      <c r="C13" s="160"/>
      <c r="D13" s="174" t="s">
        <v>18</v>
      </c>
      <c r="E13" s="160"/>
      <c r="F13" s="161" t="s">
        <v>20</v>
      </c>
      <c r="G13" s="160"/>
      <c r="H13" s="161" t="s">
        <v>20</v>
      </c>
      <c r="I13" s="160"/>
      <c r="J13" s="174" t="s">
        <v>18</v>
      </c>
      <c r="K13" s="162"/>
      <c r="L13" s="6" t="s">
        <v>19</v>
      </c>
    </row>
    <row r="14" spans="2:12" x14ac:dyDescent="0.2">
      <c r="B14" s="175">
        <v>1</v>
      </c>
      <c r="C14" s="160"/>
      <c r="D14" s="160" t="s">
        <v>25</v>
      </c>
      <c r="E14" s="176">
        <f>E27+E28</f>
        <v>1</v>
      </c>
      <c r="F14" s="164">
        <f>1721424.5+B14</f>
        <v>1721425.5</v>
      </c>
      <c r="G14" s="160"/>
      <c r="H14" s="164">
        <f>'Maya Calendar'!E34</f>
        <v>1941382.5</v>
      </c>
      <c r="I14" s="160"/>
      <c r="J14" s="160" t="s">
        <v>25</v>
      </c>
      <c r="K14" s="177">
        <f>K27+K28</f>
        <v>603</v>
      </c>
      <c r="L14" s="8">
        <f>H14-1721424.5</f>
        <v>219958</v>
      </c>
    </row>
    <row r="15" spans="2:12" x14ac:dyDescent="0.2">
      <c r="B15" s="163"/>
      <c r="C15" s="160"/>
      <c r="D15" s="160" t="s">
        <v>26</v>
      </c>
      <c r="E15" s="160">
        <f>INT((12*(E34+E35)+373)/367)</f>
        <v>1</v>
      </c>
      <c r="F15" s="160"/>
      <c r="G15" s="160"/>
      <c r="H15" s="160"/>
      <c r="I15" s="160"/>
      <c r="J15" s="160" t="s">
        <v>26</v>
      </c>
      <c r="K15" s="162">
        <f>INT((12*(K34+K35)+373)/367)</f>
        <v>3</v>
      </c>
      <c r="L15" s="5"/>
    </row>
    <row r="16" spans="2:12" x14ac:dyDescent="0.2">
      <c r="B16" s="163"/>
      <c r="C16" s="160"/>
      <c r="D16" s="160" t="s">
        <v>31</v>
      </c>
      <c r="E16" s="176">
        <f>B14-E33+1</f>
        <v>1</v>
      </c>
      <c r="F16" s="160"/>
      <c r="G16" s="160"/>
      <c r="H16" s="160"/>
      <c r="I16" s="160"/>
      <c r="J16" s="160" t="s">
        <v>31</v>
      </c>
      <c r="K16" s="177">
        <f>L14-K33+1</f>
        <v>24</v>
      </c>
      <c r="L16" s="5"/>
    </row>
    <row r="17" spans="2:12" x14ac:dyDescent="0.2">
      <c r="B17" s="163"/>
      <c r="C17" s="160"/>
      <c r="D17" s="160" t="s">
        <v>69</v>
      </c>
      <c r="E17" s="178">
        <f>E26</f>
        <v>1</v>
      </c>
      <c r="F17" s="160"/>
      <c r="G17" s="160"/>
      <c r="H17" s="160"/>
      <c r="I17" s="160"/>
      <c r="J17" s="160" t="s">
        <v>69</v>
      </c>
      <c r="K17" s="179">
        <f>K26</f>
        <v>83</v>
      </c>
      <c r="L17" s="5"/>
    </row>
    <row r="18" spans="2:12" x14ac:dyDescent="0.2">
      <c r="B18" s="163"/>
      <c r="C18" s="160"/>
      <c r="D18" s="167" t="s">
        <v>72</v>
      </c>
      <c r="E18" s="180">
        <f>INT(B14-C8)</f>
        <v>0</v>
      </c>
      <c r="F18" s="160"/>
      <c r="G18" s="160"/>
      <c r="H18" s="160"/>
      <c r="I18" s="160"/>
      <c r="J18" s="167" t="str">
        <f t="shared" ref="J18:J29" si="0">D18</f>
        <v>d0</v>
      </c>
      <c r="K18" s="181">
        <f>INT(L14-$C$8)</f>
        <v>219957</v>
      </c>
      <c r="L18" s="5"/>
    </row>
    <row r="19" spans="2:12" x14ac:dyDescent="0.2">
      <c r="B19" s="163"/>
      <c r="C19" s="160"/>
      <c r="D19" s="167" t="s">
        <v>75</v>
      </c>
      <c r="E19" s="180">
        <f>INT(E18/146097)</f>
        <v>0</v>
      </c>
      <c r="F19" s="160"/>
      <c r="G19" s="160"/>
      <c r="H19" s="160"/>
      <c r="I19" s="160"/>
      <c r="J19" s="167" t="str">
        <f t="shared" si="0"/>
        <v>n400</v>
      </c>
      <c r="K19" s="181">
        <f>INT(K18/146097)</f>
        <v>1</v>
      </c>
      <c r="L19" s="5"/>
    </row>
    <row r="20" spans="2:12" x14ac:dyDescent="0.2">
      <c r="B20" s="163"/>
      <c r="C20" s="160"/>
      <c r="D20" s="167" t="s">
        <v>78</v>
      </c>
      <c r="E20" s="180">
        <f>MOD(E18,146097)</f>
        <v>0</v>
      </c>
      <c r="F20" s="160"/>
      <c r="G20" s="160"/>
      <c r="H20" s="160"/>
      <c r="I20" s="160"/>
      <c r="J20" s="167" t="str">
        <f t="shared" si="0"/>
        <v>d1</v>
      </c>
      <c r="K20" s="181">
        <f>MOD(K18,146097)</f>
        <v>73860</v>
      </c>
      <c r="L20" s="5"/>
    </row>
    <row r="21" spans="2:12" x14ac:dyDescent="0.2">
      <c r="B21" s="163"/>
      <c r="C21" s="160"/>
      <c r="D21" s="167" t="s">
        <v>81</v>
      </c>
      <c r="E21" s="180">
        <f>INT(E20/36524)</f>
        <v>0</v>
      </c>
      <c r="F21" s="160"/>
      <c r="G21" s="160"/>
      <c r="H21" s="160"/>
      <c r="I21" s="160"/>
      <c r="J21" s="167" t="str">
        <f t="shared" si="0"/>
        <v>n100</v>
      </c>
      <c r="K21" s="181">
        <f>INT(K20/36524)</f>
        <v>2</v>
      </c>
      <c r="L21" s="5"/>
    </row>
    <row r="22" spans="2:12" x14ac:dyDescent="0.2">
      <c r="B22" s="163"/>
      <c r="C22" s="160"/>
      <c r="D22" s="167" t="s">
        <v>84</v>
      </c>
      <c r="E22" s="180">
        <f>MOD(E20,36524)</f>
        <v>0</v>
      </c>
      <c r="F22" s="160"/>
      <c r="G22" s="160"/>
      <c r="H22" s="160"/>
      <c r="I22" s="160"/>
      <c r="J22" s="167" t="str">
        <f t="shared" si="0"/>
        <v>d2</v>
      </c>
      <c r="K22" s="181">
        <f>MOD(K20,36524)</f>
        <v>812</v>
      </c>
      <c r="L22" s="5"/>
    </row>
    <row r="23" spans="2:12" x14ac:dyDescent="0.2">
      <c r="B23" s="163"/>
      <c r="C23" s="160"/>
      <c r="D23" s="167" t="s">
        <v>87</v>
      </c>
      <c r="E23" s="180">
        <f>INT(E22/1461)</f>
        <v>0</v>
      </c>
      <c r="F23" s="160"/>
      <c r="G23" s="160"/>
      <c r="H23" s="160"/>
      <c r="I23" s="160"/>
      <c r="J23" s="167" t="str">
        <f t="shared" si="0"/>
        <v>n4</v>
      </c>
      <c r="K23" s="181">
        <f>INT(K22/1461)</f>
        <v>0</v>
      </c>
      <c r="L23" s="5"/>
    </row>
    <row r="24" spans="2:12" x14ac:dyDescent="0.2">
      <c r="B24" s="163"/>
      <c r="C24" s="160"/>
      <c r="D24" s="167" t="s">
        <v>90</v>
      </c>
      <c r="E24" s="180">
        <f>MOD(E22,1461)</f>
        <v>0</v>
      </c>
      <c r="F24" s="160"/>
      <c r="G24" s="160"/>
      <c r="H24" s="160"/>
      <c r="I24" s="160"/>
      <c r="J24" s="167" t="str">
        <f t="shared" si="0"/>
        <v>d3</v>
      </c>
      <c r="K24" s="181">
        <f>MOD(K22,1461)</f>
        <v>812</v>
      </c>
      <c r="L24" s="5"/>
    </row>
    <row r="25" spans="2:12" x14ac:dyDescent="0.2">
      <c r="B25" s="163"/>
      <c r="C25" s="160"/>
      <c r="D25" s="167" t="s">
        <v>93</v>
      </c>
      <c r="E25" s="180">
        <f>INT(E24/365)</f>
        <v>0</v>
      </c>
      <c r="F25" s="160"/>
      <c r="G25" s="160"/>
      <c r="H25" s="160"/>
      <c r="I25" s="160"/>
      <c r="J25" s="167" t="str">
        <f t="shared" si="0"/>
        <v>n1</v>
      </c>
      <c r="K25" s="181">
        <f>INT(K24/365)</f>
        <v>2</v>
      </c>
      <c r="L25" s="5"/>
    </row>
    <row r="26" spans="2:12" x14ac:dyDescent="0.2">
      <c r="B26" s="163"/>
      <c r="C26" s="160"/>
      <c r="D26" s="167" t="s">
        <v>95</v>
      </c>
      <c r="E26" s="180">
        <f>MOD(E24,365)+1</f>
        <v>1</v>
      </c>
      <c r="F26" s="160"/>
      <c r="G26" s="160"/>
      <c r="H26" s="160"/>
      <c r="I26" s="160"/>
      <c r="J26" s="167" t="str">
        <f t="shared" si="0"/>
        <v>d4</v>
      </c>
      <c r="K26" s="181">
        <f>MOD(K24,365)+1</f>
        <v>83</v>
      </c>
      <c r="L26" s="5"/>
    </row>
    <row r="27" spans="2:12" x14ac:dyDescent="0.2">
      <c r="B27" s="163"/>
      <c r="C27" s="160"/>
      <c r="D27" s="167" t="s">
        <v>25</v>
      </c>
      <c r="E27" s="180">
        <f>400*E19+100*E21+4*E23+E25</f>
        <v>0</v>
      </c>
      <c r="F27" s="160"/>
      <c r="G27" s="160"/>
      <c r="H27" s="160"/>
      <c r="I27" s="160"/>
      <c r="J27" s="167" t="str">
        <f t="shared" si="0"/>
        <v>year</v>
      </c>
      <c r="K27" s="181">
        <f>400*K19+100*K21+4*K23+K25</f>
        <v>602</v>
      </c>
      <c r="L27" s="5"/>
    </row>
    <row r="28" spans="2:12" x14ac:dyDescent="0.2">
      <c r="B28" s="163"/>
      <c r="C28" s="160"/>
      <c r="D28" s="167" t="s">
        <v>49</v>
      </c>
      <c r="E28" s="182">
        <f>IF(OR(E21=4,E25=4),0,1)</f>
        <v>1</v>
      </c>
      <c r="F28" s="160"/>
      <c r="G28" s="160"/>
      <c r="H28" s="160"/>
      <c r="I28" s="160"/>
      <c r="J28" s="167" t="str">
        <f t="shared" si="0"/>
        <v>add</v>
      </c>
      <c r="K28" s="183">
        <f>IF(OR(K21=4,K25=4),0,1)</f>
        <v>1</v>
      </c>
      <c r="L28" s="5"/>
    </row>
    <row r="29" spans="2:12" x14ac:dyDescent="0.2">
      <c r="B29" s="163"/>
      <c r="C29" s="160"/>
      <c r="D29" s="167" t="s">
        <v>96</v>
      </c>
      <c r="E29" s="182">
        <f>IF(AND(MOD(E14,4)=0,MOD(E14,400)&lt;&gt;100,MOD(E14,400)&lt;&gt;200,MOD(E14,400)&lt;&gt;300),1,0)</f>
        <v>0</v>
      </c>
      <c r="F29" s="160"/>
      <c r="G29" s="160"/>
      <c r="H29" s="160"/>
      <c r="I29" s="160"/>
      <c r="J29" s="167" t="str">
        <f t="shared" si="0"/>
        <v>leap-year</v>
      </c>
      <c r="K29" s="183">
        <f>IF(AND(MOD(K14,4)=0,MOD(K14,400)&lt;&gt;100,MOD(K14,400)&lt;&gt;200,MOD(K14,400)&lt;&gt;300),1,0)</f>
        <v>0</v>
      </c>
      <c r="L29" s="5"/>
    </row>
    <row r="30" spans="2:12" x14ac:dyDescent="0.2">
      <c r="B30" s="163"/>
      <c r="C30" s="160"/>
      <c r="D30" s="167" t="s">
        <v>97</v>
      </c>
      <c r="E30" s="182">
        <f>$C$8-1+365*(E$14-1)+INT((E$14-1)/4)-INT((E$14-1)/100)+INT((E$14-1)/400)+INT((367*1-362)/12)+1</f>
        <v>1</v>
      </c>
      <c r="F30" s="160"/>
      <c r="G30" s="160"/>
      <c r="H30" s="160"/>
      <c r="I30" s="160"/>
      <c r="J30" s="167" t="s">
        <v>97</v>
      </c>
      <c r="K30" s="183">
        <f>$C$8-1+365*(K$14-1)+INT((K$14-1)/4)-INT((K$14-1)/100)+INT((K$14-1)/400)+INT((367*1-362)/12)+1</f>
        <v>219876</v>
      </c>
      <c r="L30" s="5"/>
    </row>
    <row r="31" spans="2:12" x14ac:dyDescent="0.2">
      <c r="B31" s="163"/>
      <c r="C31" s="160"/>
      <c r="D31" s="167" t="s">
        <v>98</v>
      </c>
      <c r="E31" s="182">
        <f>$C$8-1+365*(E$14-1)+INT((E$14-1)/4)-INT((E$14-1)/100)+INT((E$14-1)/400)+INT((367*3-362)/12)+IF(E29=1,-1,-2)+1</f>
        <v>60</v>
      </c>
      <c r="F31" s="160"/>
      <c r="G31" s="160"/>
      <c r="H31" s="160"/>
      <c r="I31" s="160"/>
      <c r="J31" s="167" t="s">
        <v>98</v>
      </c>
      <c r="K31" s="183">
        <f>$C$8-1+365*(K$14-1)+INT((K$14-1)/4)-INT((K$14-1)/100)+INT((K$14-1)/400)+INT((367*3-362)/12)+IF(K29=1,-1,-2)+1</f>
        <v>219935</v>
      </c>
      <c r="L31" s="5"/>
    </row>
    <row r="32" spans="2:12" x14ac:dyDescent="0.2">
      <c r="B32" s="163"/>
      <c r="C32" s="160"/>
      <c r="D32" s="167"/>
      <c r="E32" s="182"/>
      <c r="F32" s="160"/>
      <c r="G32" s="160"/>
      <c r="H32" s="160"/>
      <c r="I32" s="160"/>
      <c r="J32" s="167"/>
      <c r="K32" s="183"/>
      <c r="L32" s="5"/>
    </row>
    <row r="33" spans="2:12" x14ac:dyDescent="0.2">
      <c r="B33" s="163"/>
      <c r="C33" s="160"/>
      <c r="D33" s="167" t="s">
        <v>100</v>
      </c>
      <c r="E33" s="182">
        <f>$C$8-1+365*(E$14-1)+INT((E$14-1)/4)-INT((E$14-1)/100)+INT((E$14-1)/400)+INT((367*E15-362)/12)+IF(E15&lt;3,0,IF(E29=1,-1,-2))+1</f>
        <v>1</v>
      </c>
      <c r="F33" s="160"/>
      <c r="G33" s="160"/>
      <c r="H33" s="160"/>
      <c r="I33" s="160"/>
      <c r="J33" s="167" t="s">
        <v>100</v>
      </c>
      <c r="K33" s="183">
        <f>$C$8-1+365*(K$14-1)+INT((K$14-1)/4)-INT((K$14-1)/100)+INT((K$14-1)/400)+INT((367*K15-362)/12)+IF(K15&lt;3,0,IF(K29=1,-1,-2))+1</f>
        <v>219935</v>
      </c>
      <c r="L33" s="5"/>
    </row>
    <row r="34" spans="2:12" x14ac:dyDescent="0.2">
      <c r="B34" s="163"/>
      <c r="C34" s="160"/>
      <c r="D34" s="167" t="s">
        <v>103</v>
      </c>
      <c r="E34" s="182">
        <f>B14-E30</f>
        <v>0</v>
      </c>
      <c r="F34" s="160"/>
      <c r="G34" s="160"/>
      <c r="H34" s="160"/>
      <c r="I34" s="160"/>
      <c r="J34" s="167" t="s">
        <v>103</v>
      </c>
      <c r="K34" s="183">
        <f>L14-K30</f>
        <v>82</v>
      </c>
      <c r="L34" s="5"/>
    </row>
    <row r="35" spans="2:12" x14ac:dyDescent="0.2">
      <c r="B35" s="184"/>
      <c r="C35" s="171"/>
      <c r="D35" s="170" t="s">
        <v>107</v>
      </c>
      <c r="E35" s="185">
        <f>IF(B14&lt;E31,0,IF(AND(B14&gt;=E31,E29=1),1,2))</f>
        <v>0</v>
      </c>
      <c r="F35" s="171"/>
      <c r="G35" s="171"/>
      <c r="H35" s="171"/>
      <c r="I35" s="171"/>
      <c r="J35" s="170" t="s">
        <v>107</v>
      </c>
      <c r="K35" s="186">
        <f>IF(L14&lt;K31,0,IF(AND(L14&gt;=K31,K29=1),1,2))</f>
        <v>2</v>
      </c>
      <c r="L35" s="5"/>
    </row>
    <row r="36" spans="2:12" x14ac:dyDescent="0.2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5"/>
    </row>
    <row r="37" spans="2:12" x14ac:dyDescent="0.2">
      <c r="B37" s="156" t="s">
        <v>112</v>
      </c>
      <c r="C37" s="157"/>
      <c r="D37" s="157"/>
      <c r="E37" s="157"/>
      <c r="F37" s="157"/>
      <c r="G37" s="157"/>
      <c r="H37" s="157"/>
      <c r="I37" s="157"/>
      <c r="J37" s="157"/>
      <c r="K37" s="158"/>
      <c r="L37" s="5"/>
    </row>
    <row r="38" spans="2:12" x14ac:dyDescent="0.2">
      <c r="B38" s="159" t="s">
        <v>116</v>
      </c>
      <c r="C38" s="160"/>
      <c r="D38" s="160"/>
      <c r="E38" s="161" t="s">
        <v>19</v>
      </c>
      <c r="F38" s="161" t="s">
        <v>20</v>
      </c>
      <c r="G38" s="160"/>
      <c r="H38" s="160"/>
      <c r="I38" s="160"/>
      <c r="J38" s="160"/>
      <c r="K38" s="162"/>
      <c r="L38" s="5"/>
    </row>
    <row r="39" spans="2:12" x14ac:dyDescent="0.2">
      <c r="B39" s="163" t="s">
        <v>119</v>
      </c>
      <c r="C39" s="160">
        <f>'Maya Calendar'!C34</f>
        <v>9</v>
      </c>
      <c r="D39" s="160"/>
      <c r="E39" s="164">
        <f>C44+C39*144000+C40*7200+C41*360+C42*20+C43</f>
        <v>219958</v>
      </c>
      <c r="F39" s="164">
        <f>1721424.5+E39</f>
        <v>1941382.5</v>
      </c>
      <c r="G39" s="160"/>
      <c r="H39" s="160"/>
      <c r="I39" s="160"/>
      <c r="J39" s="160"/>
      <c r="K39" s="162"/>
      <c r="L39" s="5"/>
    </row>
    <row r="40" spans="2:12" x14ac:dyDescent="0.2">
      <c r="B40" s="163" t="s">
        <v>120</v>
      </c>
      <c r="C40" s="160">
        <f>'Maya Calendar'!C35</f>
        <v>8</v>
      </c>
      <c r="D40" s="160"/>
      <c r="E40" s="160"/>
      <c r="F40" s="160"/>
      <c r="G40" s="160"/>
      <c r="H40" s="160"/>
      <c r="I40" s="160"/>
      <c r="J40" s="160"/>
      <c r="K40" s="162"/>
      <c r="L40" s="5"/>
    </row>
    <row r="41" spans="2:12" x14ac:dyDescent="0.2">
      <c r="B41" s="163" t="s">
        <v>123</v>
      </c>
      <c r="C41" s="160">
        <f>'Maya Calendar'!C36</f>
        <v>9</v>
      </c>
      <c r="D41" s="160"/>
      <c r="E41" s="164"/>
      <c r="F41" s="160"/>
      <c r="G41" s="160"/>
      <c r="H41" s="160"/>
      <c r="I41" s="160"/>
      <c r="J41" s="160"/>
      <c r="K41" s="162"/>
      <c r="L41" s="5"/>
    </row>
    <row r="42" spans="2:12" x14ac:dyDescent="0.2">
      <c r="B42" s="163" t="s">
        <v>125</v>
      </c>
      <c r="C42" s="160">
        <f>'Maya Calendar'!C37</f>
        <v>13</v>
      </c>
      <c r="D42" s="160"/>
      <c r="E42" s="160"/>
      <c r="F42" s="160"/>
      <c r="G42" s="160"/>
      <c r="H42" s="160"/>
      <c r="I42" s="160"/>
      <c r="J42" s="160"/>
      <c r="K42" s="162"/>
      <c r="L42" s="5"/>
    </row>
    <row r="43" spans="2:12" x14ac:dyDescent="0.2">
      <c r="B43" s="163" t="s">
        <v>128</v>
      </c>
      <c r="C43" s="160">
        <f>'Maya Calendar'!C38</f>
        <v>0</v>
      </c>
      <c r="D43" s="160"/>
      <c r="E43" s="160"/>
      <c r="F43" s="160"/>
      <c r="G43" s="160"/>
      <c r="H43" s="160"/>
      <c r="I43" s="160"/>
      <c r="J43" s="160"/>
      <c r="K43" s="162"/>
      <c r="L43" s="5"/>
    </row>
    <row r="44" spans="2:12" x14ac:dyDescent="0.2">
      <c r="B44" s="169" t="s">
        <v>37</v>
      </c>
      <c r="C44" s="187">
        <v>-1137142</v>
      </c>
      <c r="D44" s="171"/>
      <c r="E44" s="171"/>
      <c r="F44" s="171"/>
      <c r="G44" s="171"/>
      <c r="H44" s="171"/>
      <c r="I44" s="171"/>
      <c r="J44" s="171"/>
      <c r="K44" s="172"/>
      <c r="L44" s="5"/>
    </row>
    <row r="45" spans="2:12" x14ac:dyDescent="0.2">
      <c r="B45" s="136"/>
      <c r="C45" s="136"/>
      <c r="D45" s="135"/>
      <c r="E45" s="135"/>
      <c r="F45" s="135"/>
      <c r="G45" s="135"/>
      <c r="H45" s="135"/>
      <c r="I45" s="135"/>
      <c r="J45" s="135"/>
      <c r="K45" s="135"/>
      <c r="L45" s="5"/>
    </row>
    <row r="46" spans="2:12" x14ac:dyDescent="0.2">
      <c r="B46" s="156" t="s">
        <v>132</v>
      </c>
      <c r="C46" s="157"/>
      <c r="D46" s="157"/>
      <c r="E46" s="157"/>
      <c r="F46" s="157"/>
      <c r="G46" s="157"/>
      <c r="H46" s="157"/>
      <c r="I46" s="157"/>
      <c r="J46" s="157"/>
      <c r="K46" s="158"/>
      <c r="L46" s="5"/>
    </row>
    <row r="47" spans="2:12" x14ac:dyDescent="0.2">
      <c r="B47" s="173" t="s">
        <v>19</v>
      </c>
      <c r="C47" s="160"/>
      <c r="D47" s="174" t="s">
        <v>116</v>
      </c>
      <c r="E47" s="160"/>
      <c r="F47" s="161" t="s">
        <v>20</v>
      </c>
      <c r="G47" s="160"/>
      <c r="H47" s="161" t="s">
        <v>20</v>
      </c>
      <c r="I47" s="160"/>
      <c r="J47" s="174" t="s">
        <v>116</v>
      </c>
      <c r="K47" s="162"/>
      <c r="L47" s="6" t="s">
        <v>19</v>
      </c>
    </row>
    <row r="48" spans="2:12" x14ac:dyDescent="0.2">
      <c r="B48" s="175">
        <v>-1137142</v>
      </c>
      <c r="C48" s="160"/>
      <c r="D48" s="160" t="s">
        <v>134</v>
      </c>
      <c r="E48" s="176">
        <f>B48-E54</f>
        <v>0</v>
      </c>
      <c r="F48" s="164">
        <f>1721424.5+B48</f>
        <v>584282.5</v>
      </c>
      <c r="G48" s="160"/>
      <c r="H48" s="164">
        <f>F4</f>
        <v>2425660.5</v>
      </c>
      <c r="I48" s="160"/>
      <c r="J48" s="160" t="s">
        <v>134</v>
      </c>
      <c r="K48" s="177">
        <f>L48-K54</f>
        <v>1841378</v>
      </c>
      <c r="L48" s="8">
        <f>H48-1721424.5</f>
        <v>704236</v>
      </c>
    </row>
    <row r="49" spans="2:12" x14ac:dyDescent="0.2">
      <c r="B49" s="163"/>
      <c r="C49" s="160"/>
      <c r="D49" s="160" t="s">
        <v>119</v>
      </c>
      <c r="E49" s="176">
        <f>INT(E48/144000)</f>
        <v>0</v>
      </c>
      <c r="F49" s="160"/>
      <c r="G49" s="160"/>
      <c r="H49" s="160"/>
      <c r="I49" s="160"/>
      <c r="J49" s="160" t="s">
        <v>119</v>
      </c>
      <c r="K49" s="177">
        <f>INT(K48/144000)</f>
        <v>12</v>
      </c>
      <c r="L49" s="5"/>
    </row>
    <row r="50" spans="2:12" x14ac:dyDescent="0.2">
      <c r="B50" s="163"/>
      <c r="C50" s="160"/>
      <c r="D50" s="160" t="s">
        <v>120</v>
      </c>
      <c r="E50" s="176">
        <f>INT(E55/7200)</f>
        <v>0</v>
      </c>
      <c r="F50" s="160"/>
      <c r="G50" s="160"/>
      <c r="H50" s="160"/>
      <c r="I50" s="160"/>
      <c r="J50" s="160" t="s">
        <v>120</v>
      </c>
      <c r="K50" s="177">
        <f>INT(K55/7200)</f>
        <v>15</v>
      </c>
      <c r="L50" s="5"/>
    </row>
    <row r="51" spans="2:12" x14ac:dyDescent="0.2">
      <c r="B51" s="163"/>
      <c r="C51" s="160"/>
      <c r="D51" s="160" t="s">
        <v>123</v>
      </c>
      <c r="E51" s="176">
        <f>INT(E56/360)</f>
        <v>0</v>
      </c>
      <c r="F51" s="160"/>
      <c r="G51" s="160"/>
      <c r="H51" s="160"/>
      <c r="I51" s="160"/>
      <c r="J51" s="160" t="s">
        <v>123</v>
      </c>
      <c r="K51" s="177">
        <f>INT(K56/360)</f>
        <v>14</v>
      </c>
      <c r="L51" s="5"/>
    </row>
    <row r="52" spans="2:12" x14ac:dyDescent="0.2">
      <c r="B52" s="163"/>
      <c r="C52" s="160"/>
      <c r="D52" s="160" t="s">
        <v>125</v>
      </c>
      <c r="E52" s="176">
        <f>INT(E57/20)</f>
        <v>0</v>
      </c>
      <c r="F52" s="160"/>
      <c r="G52" s="160"/>
      <c r="H52" s="160"/>
      <c r="I52" s="160"/>
      <c r="J52" s="160" t="s">
        <v>125</v>
      </c>
      <c r="K52" s="177">
        <f>INT(K57/20)</f>
        <v>16</v>
      </c>
      <c r="L52" s="5"/>
    </row>
    <row r="53" spans="2:12" x14ac:dyDescent="0.2">
      <c r="B53" s="163"/>
      <c r="C53" s="160"/>
      <c r="D53" s="160" t="s">
        <v>128</v>
      </c>
      <c r="E53" s="176">
        <f>MOD(E57,20)</f>
        <v>0</v>
      </c>
      <c r="F53" s="160"/>
      <c r="G53" s="160"/>
      <c r="H53" s="160"/>
      <c r="I53" s="160"/>
      <c r="J53" s="160" t="s">
        <v>128</v>
      </c>
      <c r="K53" s="177">
        <f>MOD(K57,20)</f>
        <v>18</v>
      </c>
      <c r="L53" s="5"/>
    </row>
    <row r="54" spans="2:12" x14ac:dyDescent="0.2">
      <c r="B54" s="188"/>
      <c r="C54" s="189"/>
      <c r="D54" s="167" t="s">
        <v>37</v>
      </c>
      <c r="E54" s="190">
        <f>584282.5-1721424.5</f>
        <v>-1137142</v>
      </c>
      <c r="F54" s="160"/>
      <c r="G54" s="160"/>
      <c r="H54" s="160"/>
      <c r="I54" s="160"/>
      <c r="J54" s="167" t="s">
        <v>37</v>
      </c>
      <c r="K54" s="191">
        <f>584282.5-1721424.5</f>
        <v>-1137142</v>
      </c>
      <c r="L54" s="5"/>
    </row>
    <row r="55" spans="2:12" x14ac:dyDescent="0.2">
      <c r="B55" s="163"/>
      <c r="C55" s="189"/>
      <c r="D55" s="167" t="s">
        <v>139</v>
      </c>
      <c r="E55" s="190">
        <f>MOD(E48,144000)</f>
        <v>0</v>
      </c>
      <c r="F55" s="160"/>
      <c r="G55" s="160"/>
      <c r="H55" s="160"/>
      <c r="I55" s="160"/>
      <c r="J55" s="167" t="s">
        <v>139</v>
      </c>
      <c r="K55" s="191">
        <f>MOD(K48,144000)</f>
        <v>113378</v>
      </c>
      <c r="L55" s="5"/>
    </row>
    <row r="56" spans="2:12" x14ac:dyDescent="0.2">
      <c r="B56" s="163"/>
      <c r="C56" s="189"/>
      <c r="D56" s="167" t="s">
        <v>140</v>
      </c>
      <c r="E56" s="190">
        <f>MOD(E55,7200)</f>
        <v>0</v>
      </c>
      <c r="F56" s="160"/>
      <c r="G56" s="160"/>
      <c r="H56" s="160"/>
      <c r="I56" s="160"/>
      <c r="J56" s="167" t="s">
        <v>140</v>
      </c>
      <c r="K56" s="191">
        <f>MOD(K55,7200)</f>
        <v>5378</v>
      </c>
      <c r="L56" s="5"/>
    </row>
    <row r="57" spans="2:12" x14ac:dyDescent="0.2">
      <c r="B57" s="163"/>
      <c r="C57" s="189"/>
      <c r="D57" s="167" t="s">
        <v>141</v>
      </c>
      <c r="E57" s="190">
        <f>MOD(E56,360)</f>
        <v>0</v>
      </c>
      <c r="F57" s="160"/>
      <c r="G57" s="160"/>
      <c r="H57" s="160"/>
      <c r="I57" s="160"/>
      <c r="J57" s="167" t="s">
        <v>141</v>
      </c>
      <c r="K57" s="191">
        <f>MOD(K56,360)</f>
        <v>338</v>
      </c>
      <c r="L57" s="5"/>
    </row>
    <row r="58" spans="2:12" x14ac:dyDescent="0.2">
      <c r="B58" s="163"/>
      <c r="C58" s="160"/>
      <c r="D58" s="160"/>
      <c r="E58" s="160"/>
      <c r="F58" s="160"/>
      <c r="G58" s="160"/>
      <c r="H58" s="160"/>
      <c r="I58" s="160"/>
      <c r="J58" s="160"/>
      <c r="K58" s="162"/>
      <c r="L58" s="5"/>
    </row>
    <row r="59" spans="2:12" x14ac:dyDescent="0.2">
      <c r="B59" s="163"/>
      <c r="C59" s="160"/>
      <c r="D59" s="160"/>
      <c r="E59" s="160"/>
      <c r="F59" s="160"/>
      <c r="G59" s="160"/>
      <c r="H59" s="160"/>
      <c r="I59" s="160"/>
      <c r="J59" s="160"/>
      <c r="K59" s="162"/>
      <c r="L59" s="5"/>
    </row>
    <row r="60" spans="2:12" x14ac:dyDescent="0.2">
      <c r="B60" s="163">
        <v>0</v>
      </c>
      <c r="C60" s="160" t="s">
        <v>144</v>
      </c>
      <c r="D60" s="160"/>
      <c r="E60" s="160"/>
      <c r="F60" s="160"/>
      <c r="G60" s="160"/>
      <c r="H60" s="160"/>
      <c r="I60" s="160"/>
      <c r="J60" s="160"/>
      <c r="K60" s="162"/>
      <c r="L60" s="5"/>
    </row>
    <row r="61" spans="2:12" x14ac:dyDescent="0.2">
      <c r="B61" s="163">
        <v>1</v>
      </c>
      <c r="C61" s="160" t="s">
        <v>145</v>
      </c>
      <c r="D61" s="192"/>
      <c r="E61" s="160"/>
      <c r="F61" s="160"/>
      <c r="G61" s="160"/>
      <c r="H61" s="160"/>
      <c r="I61" s="160"/>
      <c r="J61" s="160"/>
      <c r="K61" s="162"/>
      <c r="L61" s="5"/>
    </row>
    <row r="62" spans="2:12" x14ac:dyDescent="0.2">
      <c r="B62" s="163">
        <v>2</v>
      </c>
      <c r="C62" s="160" t="s">
        <v>146</v>
      </c>
      <c r="D62" s="192"/>
      <c r="E62" s="160"/>
      <c r="F62" s="160"/>
      <c r="G62" s="160"/>
      <c r="H62" s="160"/>
      <c r="I62" s="160"/>
      <c r="J62" s="160"/>
      <c r="K62" s="162"/>
      <c r="L62" s="5"/>
    </row>
    <row r="63" spans="2:12" x14ac:dyDescent="0.2">
      <c r="B63" s="163">
        <v>3</v>
      </c>
      <c r="C63" s="160" t="s">
        <v>147</v>
      </c>
      <c r="D63" s="192"/>
      <c r="E63" s="160"/>
      <c r="F63" s="160"/>
      <c r="G63" s="160"/>
      <c r="H63" s="160"/>
      <c r="I63" s="160"/>
      <c r="J63" s="160"/>
      <c r="K63" s="162"/>
      <c r="L63" s="5"/>
    </row>
    <row r="64" spans="2:12" x14ac:dyDescent="0.2">
      <c r="B64" s="163">
        <v>4</v>
      </c>
      <c r="C64" s="160" t="s">
        <v>149</v>
      </c>
      <c r="D64" s="160"/>
      <c r="E64" s="160"/>
      <c r="F64" s="160"/>
      <c r="G64" s="160"/>
      <c r="H64" s="160"/>
      <c r="I64" s="160"/>
      <c r="J64" s="160"/>
      <c r="K64" s="162"/>
      <c r="L64" s="5"/>
    </row>
    <row r="65" spans="2:12" x14ac:dyDescent="0.2">
      <c r="B65" s="163">
        <v>5</v>
      </c>
      <c r="C65" s="160" t="s">
        <v>150</v>
      </c>
      <c r="D65" s="160"/>
      <c r="E65" s="160"/>
      <c r="F65" s="160"/>
      <c r="G65" s="160"/>
      <c r="H65" s="160"/>
      <c r="I65" s="160"/>
      <c r="J65" s="160"/>
      <c r="K65" s="162"/>
      <c r="L65" s="5"/>
    </row>
    <row r="66" spans="2:12" x14ac:dyDescent="0.2">
      <c r="B66" s="163">
        <v>6</v>
      </c>
      <c r="C66" s="160" t="s">
        <v>152</v>
      </c>
      <c r="D66" s="160"/>
      <c r="E66" s="160"/>
      <c r="F66" s="160"/>
      <c r="G66" s="160"/>
      <c r="H66" s="160"/>
      <c r="I66" s="160"/>
      <c r="J66" s="160"/>
      <c r="K66" s="162"/>
      <c r="L66" s="5"/>
    </row>
    <row r="67" spans="2:12" x14ac:dyDescent="0.2">
      <c r="B67" s="163"/>
      <c r="C67" s="160"/>
      <c r="D67" s="160"/>
      <c r="E67" s="160"/>
      <c r="F67" s="160"/>
      <c r="G67" s="160"/>
      <c r="H67" s="160"/>
      <c r="I67" s="160"/>
      <c r="J67" s="160"/>
      <c r="K67" s="162"/>
      <c r="L67" s="5"/>
    </row>
    <row r="68" spans="2:12" x14ac:dyDescent="0.2">
      <c r="B68" s="163">
        <v>1</v>
      </c>
      <c r="C68" s="160" t="s">
        <v>153</v>
      </c>
      <c r="D68" s="160">
        <v>1</v>
      </c>
      <c r="E68" s="160"/>
      <c r="F68" s="160"/>
      <c r="G68" s="160"/>
      <c r="H68" s="160"/>
      <c r="I68" s="160"/>
      <c r="J68" s="160"/>
      <c r="K68" s="162"/>
      <c r="L68" s="5"/>
    </row>
    <row r="69" spans="2:12" x14ac:dyDescent="0.2">
      <c r="B69" s="163">
        <v>2</v>
      </c>
      <c r="C69" s="160" t="s">
        <v>154</v>
      </c>
      <c r="D69" s="160">
        <v>2</v>
      </c>
      <c r="E69" s="160"/>
      <c r="F69" s="160"/>
      <c r="G69" s="160"/>
      <c r="H69" s="160"/>
      <c r="I69" s="160"/>
      <c r="J69" s="160"/>
      <c r="K69" s="162"/>
      <c r="L69" s="5"/>
    </row>
    <row r="70" spans="2:12" x14ac:dyDescent="0.2">
      <c r="B70" s="163">
        <v>3</v>
      </c>
      <c r="C70" s="160" t="s">
        <v>155</v>
      </c>
      <c r="D70" s="160">
        <v>3</v>
      </c>
      <c r="E70" s="160"/>
      <c r="F70" s="160"/>
      <c r="G70" s="160"/>
      <c r="H70" s="160"/>
      <c r="I70" s="160"/>
      <c r="J70" s="160"/>
      <c r="K70" s="162"/>
      <c r="L70" s="5"/>
    </row>
    <row r="71" spans="2:12" x14ac:dyDescent="0.2">
      <c r="B71" s="163">
        <v>4</v>
      </c>
      <c r="C71" s="160" t="s">
        <v>156</v>
      </c>
      <c r="D71" s="160">
        <v>4</v>
      </c>
      <c r="E71" s="160"/>
      <c r="F71" s="160"/>
      <c r="G71" s="160"/>
      <c r="H71" s="160"/>
      <c r="I71" s="160"/>
      <c r="J71" s="160"/>
      <c r="K71" s="162"/>
      <c r="L71" s="5"/>
    </row>
    <row r="72" spans="2:12" x14ac:dyDescent="0.2">
      <c r="B72" s="163">
        <v>5</v>
      </c>
      <c r="C72" s="160" t="s">
        <v>157</v>
      </c>
      <c r="D72" s="160">
        <v>5</v>
      </c>
      <c r="E72" s="160"/>
      <c r="F72" s="160"/>
      <c r="G72" s="160"/>
      <c r="H72" s="160"/>
      <c r="I72" s="160"/>
      <c r="J72" s="160"/>
      <c r="K72" s="162"/>
      <c r="L72" s="5"/>
    </row>
    <row r="73" spans="2:12" x14ac:dyDescent="0.2">
      <c r="B73" s="163">
        <v>6</v>
      </c>
      <c r="C73" s="160" t="s">
        <v>158</v>
      </c>
      <c r="D73" s="160">
        <v>6</v>
      </c>
      <c r="E73" s="160"/>
      <c r="F73" s="160"/>
      <c r="G73" s="160"/>
      <c r="H73" s="160"/>
      <c r="I73" s="160"/>
      <c r="J73" s="160"/>
      <c r="K73" s="162"/>
      <c r="L73" s="5"/>
    </row>
    <row r="74" spans="2:12" x14ac:dyDescent="0.2">
      <c r="B74" s="163">
        <v>7</v>
      </c>
      <c r="C74" s="160" t="s">
        <v>159</v>
      </c>
      <c r="D74" s="160">
        <v>7</v>
      </c>
      <c r="E74" s="160"/>
      <c r="F74" s="160"/>
      <c r="G74" s="160"/>
      <c r="H74" s="160"/>
      <c r="I74" s="160"/>
      <c r="J74" s="160"/>
      <c r="K74" s="162"/>
      <c r="L74" s="5"/>
    </row>
    <row r="75" spans="2:12" x14ac:dyDescent="0.2">
      <c r="B75" s="163">
        <v>8</v>
      </c>
      <c r="C75" s="160" t="s">
        <v>106</v>
      </c>
      <c r="D75" s="160">
        <v>8</v>
      </c>
      <c r="E75" s="160"/>
      <c r="F75" s="160"/>
      <c r="G75" s="160"/>
      <c r="H75" s="160"/>
      <c r="I75" s="160"/>
      <c r="J75" s="160"/>
      <c r="K75" s="162"/>
      <c r="L75" s="5"/>
    </row>
    <row r="76" spans="2:12" x14ac:dyDescent="0.2">
      <c r="B76" s="163">
        <v>9</v>
      </c>
      <c r="C76" s="160" t="s">
        <v>160</v>
      </c>
      <c r="D76" s="160">
        <v>9</v>
      </c>
      <c r="E76" s="160"/>
      <c r="F76" s="160"/>
      <c r="G76" s="160"/>
      <c r="H76" s="160"/>
      <c r="I76" s="160"/>
      <c r="J76" s="160"/>
      <c r="K76" s="162"/>
      <c r="L76" s="5"/>
    </row>
    <row r="77" spans="2:12" x14ac:dyDescent="0.2">
      <c r="B77" s="163">
        <v>10</v>
      </c>
      <c r="C77" s="160" t="s">
        <v>161</v>
      </c>
      <c r="D77" s="160">
        <v>10</v>
      </c>
      <c r="E77" s="160"/>
      <c r="F77" s="160"/>
      <c r="G77" s="160"/>
      <c r="H77" s="160"/>
      <c r="I77" s="160"/>
      <c r="J77" s="160"/>
      <c r="K77" s="162"/>
      <c r="L77" s="5"/>
    </row>
    <row r="78" spans="2:12" x14ac:dyDescent="0.2">
      <c r="B78" s="163">
        <v>11</v>
      </c>
      <c r="C78" s="160" t="s">
        <v>162</v>
      </c>
      <c r="D78" s="160">
        <v>11</v>
      </c>
      <c r="E78" s="160"/>
      <c r="F78" s="160"/>
      <c r="G78" s="160"/>
      <c r="H78" s="160"/>
      <c r="I78" s="160"/>
      <c r="J78" s="160"/>
      <c r="K78" s="162"/>
      <c r="L78" s="5"/>
    </row>
    <row r="79" spans="2:12" x14ac:dyDescent="0.2">
      <c r="B79" s="184">
        <v>12</v>
      </c>
      <c r="C79" s="171" t="s">
        <v>163</v>
      </c>
      <c r="D79" s="171">
        <v>12</v>
      </c>
      <c r="E79" s="171"/>
      <c r="F79" s="171"/>
      <c r="G79" s="171"/>
      <c r="H79" s="171"/>
      <c r="I79" s="171"/>
      <c r="J79" s="171"/>
      <c r="K79" s="172"/>
      <c r="L79" s="5"/>
    </row>
    <row r="80" spans="2:12" x14ac:dyDescent="0.2"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3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8F0-5141-F149-A5BF-5B366A04A1EC}">
  <sheetPr codeName="Sheet19"/>
  <dimension ref="A1"/>
  <sheetViews>
    <sheetView showGridLines="0" workbookViewId="0">
      <selection activeCell="L36" sqref="L36"/>
    </sheetView>
  </sheetViews>
  <sheetFormatPr baseColWidth="10" defaultRowHeight="16" x14ac:dyDescent="0.2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Maya Calendar</vt:lpstr>
      <vt:lpstr>Cycles, Gear Train</vt:lpstr>
      <vt:lpstr>Conversions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Solar System Ancient Maya</dc:title>
  <dc:subject/>
  <dc:creator>Anton Viola</dc:creator>
  <cp:keywords/>
  <dc:description/>
  <cp:lastModifiedBy>Anton Viola</cp:lastModifiedBy>
  <dcterms:created xsi:type="dcterms:W3CDTF">2024-04-18T09:56:27Z</dcterms:created>
  <dcterms:modified xsi:type="dcterms:W3CDTF">2024-05-15T16:16:35Z</dcterms:modified>
  <cp:category/>
</cp:coreProperties>
</file>