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C69EAEA0-D66B-2045-A6A2-30C3A3EF63E0}" xr6:coauthVersionLast="47" xr6:coauthVersionMax="47" xr10:uidLastSave="{00000000-0000-0000-0000-000000000000}"/>
  <bookViews>
    <workbookView xWindow="4340" yWindow="6440" windowWidth="40280" windowHeight="20280" xr2:uid="{00000000-000D-0000-FFFF-FFFF00000000}"/>
  </bookViews>
  <sheets>
    <sheet name="Introduction" sheetId="9" r:id="rId1"/>
    <sheet name="Visibility" sheetId="16" r:id="rId2"/>
    <sheet name="Illumination" sheetId="17" r:id="rId3"/>
  </sheets>
  <definedNames>
    <definedName name="degrees">{0;90;180;270}</definedName>
    <definedName name="_xlnm.Print_Area" localSheetId="1">Visibility!$Q$2:$W$509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7" l="1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E243" i="16"/>
  <c r="E244" i="16"/>
  <c r="E245" i="16"/>
  <c r="E246" i="16"/>
  <c r="E247" i="16"/>
  <c r="E248" i="16"/>
  <c r="E249" i="16"/>
  <c r="E250" i="16"/>
  <c r="E251" i="16"/>
  <c r="E252" i="16"/>
  <c r="E253" i="16"/>
  <c r="E254" i="16"/>
  <c r="E255" i="16"/>
  <c r="E256" i="16"/>
  <c r="E257" i="16"/>
  <c r="E258" i="16"/>
  <c r="E259" i="16"/>
  <c r="E260" i="16"/>
  <c r="E261" i="16"/>
  <c r="E262" i="16"/>
  <c r="E263" i="16"/>
  <c r="E264" i="16"/>
  <c r="E265" i="16"/>
  <c r="E266" i="16"/>
  <c r="E267" i="16"/>
  <c r="E268" i="16"/>
  <c r="E269" i="16"/>
  <c r="E270" i="16"/>
  <c r="E271" i="16"/>
  <c r="E272" i="16"/>
  <c r="E273" i="16"/>
  <c r="E274" i="16"/>
  <c r="E275" i="16"/>
  <c r="E276" i="16"/>
  <c r="E277" i="16"/>
  <c r="E278" i="16"/>
  <c r="E279" i="16"/>
  <c r="E280" i="16"/>
  <c r="E281" i="16"/>
  <c r="E282" i="16"/>
  <c r="E283" i="16"/>
  <c r="E284" i="16"/>
  <c r="E285" i="16"/>
  <c r="E286" i="16"/>
  <c r="E287" i="16"/>
  <c r="E288" i="16"/>
  <c r="E289" i="16"/>
  <c r="E290" i="16"/>
  <c r="E291" i="16"/>
  <c r="E292" i="16"/>
  <c r="E293" i="16"/>
  <c r="E294" i="16"/>
  <c r="E295" i="16"/>
  <c r="E296" i="16"/>
  <c r="E297" i="16"/>
  <c r="E298" i="16"/>
  <c r="E299" i="16"/>
  <c r="E300" i="16"/>
  <c r="E301" i="16"/>
  <c r="E302" i="16"/>
  <c r="E303" i="16"/>
  <c r="E304" i="16"/>
  <c r="E305" i="16"/>
  <c r="E306" i="16"/>
  <c r="E307" i="16"/>
  <c r="E308" i="16"/>
  <c r="E309" i="16"/>
  <c r="E310" i="16"/>
  <c r="E311" i="16"/>
  <c r="E312" i="16"/>
  <c r="E313" i="16"/>
  <c r="E314" i="16"/>
  <c r="E315" i="16"/>
  <c r="E316" i="16"/>
  <c r="E317" i="16"/>
  <c r="E318" i="16"/>
  <c r="E319" i="16"/>
  <c r="E320" i="16"/>
  <c r="E321" i="16"/>
  <c r="E322" i="16"/>
  <c r="E323" i="16"/>
  <c r="E324" i="16"/>
  <c r="E325" i="16"/>
  <c r="E326" i="16"/>
  <c r="E327" i="16"/>
  <c r="E328" i="16"/>
  <c r="E329" i="16"/>
  <c r="E330" i="16"/>
  <c r="E331" i="16"/>
  <c r="E332" i="16"/>
  <c r="E333" i="16"/>
  <c r="E334" i="16"/>
  <c r="E335" i="16"/>
  <c r="E336" i="16"/>
  <c r="E337" i="16"/>
  <c r="E338" i="16"/>
  <c r="E339" i="16"/>
  <c r="E340" i="16"/>
  <c r="E341" i="16"/>
  <c r="E342" i="16"/>
  <c r="E343" i="16"/>
  <c r="E344" i="16"/>
  <c r="E345" i="16"/>
  <c r="E346" i="16"/>
  <c r="E347" i="16"/>
  <c r="E348" i="16"/>
  <c r="E349" i="16"/>
  <c r="E350" i="16"/>
  <c r="E351" i="16"/>
  <c r="E352" i="16"/>
  <c r="E353" i="16"/>
  <c r="E354" i="16"/>
  <c r="E355" i="16"/>
  <c r="E356" i="16"/>
  <c r="E357" i="16"/>
  <c r="E358" i="16"/>
  <c r="E359" i="16"/>
  <c r="E360" i="16"/>
  <c r="E361" i="16"/>
  <c r="E362" i="16"/>
  <c r="E363" i="16"/>
  <c r="E364" i="16"/>
  <c r="E365" i="16"/>
  <c r="E366" i="16"/>
  <c r="E367" i="16"/>
  <c r="E368" i="16"/>
  <c r="E369" i="16"/>
  <c r="E370" i="16"/>
  <c r="E371" i="16"/>
  <c r="E372" i="16"/>
  <c r="E373" i="16"/>
  <c r="E374" i="16"/>
  <c r="E375" i="16"/>
  <c r="E376" i="16"/>
  <c r="E377" i="16"/>
  <c r="E378" i="16"/>
  <c r="E379" i="16"/>
  <c r="E380" i="16"/>
  <c r="E381" i="16"/>
  <c r="E382" i="16"/>
  <c r="E383" i="16"/>
  <c r="E384" i="16"/>
  <c r="E385" i="16"/>
  <c r="E386" i="16"/>
  <c r="E387" i="16"/>
  <c r="E388" i="16"/>
  <c r="E389" i="16"/>
  <c r="E390" i="16"/>
  <c r="E391" i="16"/>
  <c r="E392" i="16"/>
  <c r="E393" i="16"/>
  <c r="E394" i="16"/>
  <c r="E395" i="16"/>
  <c r="E396" i="16"/>
  <c r="E397" i="16"/>
  <c r="E398" i="16"/>
  <c r="E399" i="16"/>
  <c r="E400" i="16"/>
  <c r="E401" i="16"/>
  <c r="E402" i="16"/>
  <c r="E403" i="16"/>
  <c r="E404" i="16"/>
  <c r="E405" i="16"/>
  <c r="E406" i="16"/>
  <c r="E407" i="16"/>
  <c r="E408" i="16"/>
  <c r="E409" i="16"/>
  <c r="E410" i="16"/>
  <c r="E411" i="16"/>
  <c r="E412" i="16"/>
  <c r="E413" i="16"/>
  <c r="E414" i="16"/>
  <c r="E415" i="16"/>
  <c r="E416" i="16"/>
  <c r="E417" i="16"/>
  <c r="E418" i="16"/>
  <c r="E419" i="16"/>
  <c r="E420" i="16"/>
  <c r="E421" i="16"/>
  <c r="E422" i="16"/>
  <c r="E423" i="16"/>
  <c r="E424" i="16"/>
  <c r="E425" i="16"/>
  <c r="E426" i="16"/>
  <c r="E427" i="16"/>
  <c r="E428" i="16"/>
  <c r="E429" i="16"/>
  <c r="E430" i="16"/>
  <c r="E431" i="16"/>
  <c r="E432" i="16"/>
  <c r="E433" i="16"/>
  <c r="E434" i="16"/>
  <c r="E435" i="16"/>
  <c r="E436" i="16"/>
  <c r="E437" i="16"/>
  <c r="E438" i="16"/>
  <c r="E439" i="16"/>
  <c r="E440" i="16"/>
  <c r="E441" i="16"/>
  <c r="E442" i="16"/>
  <c r="E443" i="16"/>
  <c r="E444" i="16"/>
  <c r="E445" i="16"/>
  <c r="E446" i="16"/>
  <c r="E447" i="16"/>
  <c r="E448" i="16"/>
  <c r="E449" i="16"/>
  <c r="E450" i="16"/>
  <c r="E451" i="16"/>
  <c r="E452" i="16"/>
  <c r="E453" i="16"/>
  <c r="E454" i="16"/>
  <c r="E455" i="16"/>
  <c r="E456" i="16"/>
  <c r="E457" i="16"/>
  <c r="E458" i="16"/>
  <c r="E459" i="16"/>
  <c r="E460" i="16"/>
  <c r="E461" i="16"/>
  <c r="E462" i="16"/>
  <c r="E463" i="16"/>
  <c r="E464" i="16"/>
  <c r="E465" i="16"/>
  <c r="E466" i="16"/>
  <c r="E467" i="16"/>
  <c r="E468" i="16"/>
  <c r="E469" i="16"/>
  <c r="E470" i="16"/>
  <c r="E471" i="16"/>
  <c r="E472" i="16"/>
  <c r="E473" i="16"/>
  <c r="E474" i="16"/>
  <c r="E475" i="16"/>
  <c r="E476" i="16"/>
  <c r="E477" i="16"/>
  <c r="E478" i="16"/>
  <c r="E479" i="16"/>
  <c r="E480" i="16"/>
  <c r="E481" i="16"/>
  <c r="E482" i="16"/>
  <c r="E483" i="16"/>
  <c r="E484" i="16"/>
  <c r="E485" i="16"/>
  <c r="E486" i="16"/>
  <c r="E487" i="16"/>
  <c r="E488" i="16"/>
  <c r="E489" i="16"/>
  <c r="E490" i="16"/>
  <c r="E491" i="16"/>
  <c r="E492" i="16"/>
  <c r="E493" i="16"/>
  <c r="E494" i="16"/>
  <c r="E495" i="16"/>
  <c r="E496" i="16"/>
  <c r="E497" i="16"/>
  <c r="E498" i="16"/>
  <c r="E499" i="16"/>
  <c r="E500" i="16"/>
  <c r="E501" i="16"/>
  <c r="E502" i="16"/>
  <c r="E503" i="16"/>
  <c r="E504" i="16"/>
  <c r="E505" i="16"/>
  <c r="E506" i="16"/>
  <c r="E507" i="16"/>
  <c r="E508" i="16"/>
  <c r="E509" i="16"/>
  <c r="E8" i="16"/>
  <c r="B25" i="17"/>
  <c r="B26" i="17" s="1"/>
  <c r="B24" i="17"/>
  <c r="C24" i="17" s="1"/>
  <c r="F10" i="17"/>
  <c r="F11" i="17" s="1"/>
  <c r="G4" i="17"/>
  <c r="C2" i="17"/>
  <c r="C14" i="16"/>
  <c r="C13" i="16"/>
  <c r="Q5" i="16"/>
  <c r="F12" i="17" l="1"/>
  <c r="B27" i="17"/>
  <c r="C26" i="17"/>
  <c r="C25" i="17"/>
  <c r="Q3" i="16"/>
  <c r="C27" i="17" l="1"/>
  <c r="B28" i="17"/>
  <c r="F13" i="17"/>
  <c r="R7" i="16"/>
  <c r="G7" i="16"/>
  <c r="Q4" i="16"/>
  <c r="F14" i="17" l="1"/>
  <c r="B29" i="17"/>
  <c r="C28" i="17"/>
  <c r="M512" i="16"/>
  <c r="C15" i="16"/>
  <c r="C7" i="16"/>
  <c r="C8" i="16" s="1"/>
  <c r="C10" i="16" s="1"/>
  <c r="C3" i="17" l="1"/>
  <c r="C29" i="17"/>
  <c r="B30" i="17"/>
  <c r="F15" i="17"/>
  <c r="C9" i="16"/>
  <c r="C11" i="16"/>
  <c r="C16" i="16" s="1"/>
  <c r="N8" i="16" s="1"/>
  <c r="C6" i="17" l="1"/>
  <c r="C5" i="17"/>
  <c r="C4" i="17"/>
  <c r="C7" i="17" s="1"/>
  <c r="C8" i="17" s="1"/>
  <c r="C21" i="17" s="1"/>
  <c r="G2" i="17" s="1"/>
  <c r="J3" i="17" s="1"/>
  <c r="D20" i="17"/>
  <c r="F16" i="17"/>
  <c r="B31" i="17"/>
  <c r="C31" i="17" s="1"/>
  <c r="C30" i="17"/>
  <c r="N122" i="16"/>
  <c r="I122" i="16" s="1"/>
  <c r="N138" i="16"/>
  <c r="I138" i="16" s="1"/>
  <c r="N154" i="16"/>
  <c r="I154" i="16" s="1"/>
  <c r="N170" i="16"/>
  <c r="I170" i="16" s="1"/>
  <c r="N186" i="16"/>
  <c r="I186" i="16" s="1"/>
  <c r="N202" i="16"/>
  <c r="I202" i="16" s="1"/>
  <c r="N218" i="16"/>
  <c r="I218" i="16" s="1"/>
  <c r="N234" i="16"/>
  <c r="I234" i="16" s="1"/>
  <c r="N250" i="16"/>
  <c r="I250" i="16" s="1"/>
  <c r="N266" i="16"/>
  <c r="I266" i="16" s="1"/>
  <c r="N282" i="16"/>
  <c r="I282" i="16" s="1"/>
  <c r="N123" i="16"/>
  <c r="I123" i="16" s="1"/>
  <c r="N139" i="16"/>
  <c r="I139" i="16" s="1"/>
  <c r="N155" i="16"/>
  <c r="I155" i="16" s="1"/>
  <c r="N171" i="16"/>
  <c r="I171" i="16" s="1"/>
  <c r="N187" i="16"/>
  <c r="I187" i="16" s="1"/>
  <c r="N203" i="16"/>
  <c r="I203" i="16" s="1"/>
  <c r="N219" i="16"/>
  <c r="I219" i="16" s="1"/>
  <c r="N235" i="16"/>
  <c r="I235" i="16" s="1"/>
  <c r="N251" i="16"/>
  <c r="I251" i="16" s="1"/>
  <c r="N267" i="16"/>
  <c r="I267" i="16" s="1"/>
  <c r="N283" i="16"/>
  <c r="I283" i="16" s="1"/>
  <c r="N299" i="16"/>
  <c r="I299" i="16" s="1"/>
  <c r="N315" i="16"/>
  <c r="I315" i="16" s="1"/>
  <c r="N331" i="16"/>
  <c r="I331" i="16" s="1"/>
  <c r="N347" i="16"/>
  <c r="I347" i="16" s="1"/>
  <c r="N363" i="16"/>
  <c r="I363" i="16" s="1"/>
  <c r="N379" i="16"/>
  <c r="I379" i="16" s="1"/>
  <c r="N395" i="16"/>
  <c r="I395" i="16" s="1"/>
  <c r="N411" i="16"/>
  <c r="I411" i="16" s="1"/>
  <c r="N427" i="16"/>
  <c r="I427" i="16" s="1"/>
  <c r="N443" i="16"/>
  <c r="I443" i="16" s="1"/>
  <c r="N459" i="16"/>
  <c r="I459" i="16" s="1"/>
  <c r="N475" i="16"/>
  <c r="I475" i="16" s="1"/>
  <c r="N491" i="16"/>
  <c r="I491" i="16" s="1"/>
  <c r="N507" i="16"/>
  <c r="I507" i="16" s="1"/>
  <c r="N398" i="16"/>
  <c r="I398" i="16" s="1"/>
  <c r="N430" i="16"/>
  <c r="I430" i="16" s="1"/>
  <c r="N494" i="16"/>
  <c r="I494" i="16" s="1"/>
  <c r="N447" i="16"/>
  <c r="I447" i="16" s="1"/>
  <c r="N124" i="16"/>
  <c r="I124" i="16" s="1"/>
  <c r="N140" i="16"/>
  <c r="I140" i="16" s="1"/>
  <c r="N156" i="16"/>
  <c r="I156" i="16" s="1"/>
  <c r="N172" i="16"/>
  <c r="I172" i="16" s="1"/>
  <c r="N188" i="16"/>
  <c r="I188" i="16" s="1"/>
  <c r="N204" i="16"/>
  <c r="I204" i="16" s="1"/>
  <c r="N220" i="16"/>
  <c r="I220" i="16" s="1"/>
  <c r="N236" i="16"/>
  <c r="I236" i="16" s="1"/>
  <c r="N252" i="16"/>
  <c r="I252" i="16" s="1"/>
  <c r="N268" i="16"/>
  <c r="I268" i="16" s="1"/>
  <c r="N284" i="16"/>
  <c r="I284" i="16" s="1"/>
  <c r="N300" i="16"/>
  <c r="I300" i="16" s="1"/>
  <c r="N316" i="16"/>
  <c r="I316" i="16" s="1"/>
  <c r="N332" i="16"/>
  <c r="I332" i="16" s="1"/>
  <c r="N348" i="16"/>
  <c r="I348" i="16" s="1"/>
  <c r="N364" i="16"/>
  <c r="I364" i="16" s="1"/>
  <c r="N380" i="16"/>
  <c r="I380" i="16" s="1"/>
  <c r="N396" i="16"/>
  <c r="I396" i="16" s="1"/>
  <c r="N412" i="16"/>
  <c r="I412" i="16" s="1"/>
  <c r="N428" i="16"/>
  <c r="I428" i="16" s="1"/>
  <c r="N444" i="16"/>
  <c r="I444" i="16" s="1"/>
  <c r="N460" i="16"/>
  <c r="I460" i="16" s="1"/>
  <c r="N476" i="16"/>
  <c r="I476" i="16" s="1"/>
  <c r="N492" i="16"/>
  <c r="I492" i="16" s="1"/>
  <c r="N508" i="16"/>
  <c r="I508" i="16" s="1"/>
  <c r="N382" i="16"/>
  <c r="I382" i="16" s="1"/>
  <c r="N462" i="16"/>
  <c r="I462" i="16" s="1"/>
  <c r="N431" i="16"/>
  <c r="I431" i="16" s="1"/>
  <c r="N495" i="16"/>
  <c r="I495" i="16" s="1"/>
  <c r="N125" i="16"/>
  <c r="I125" i="16" s="1"/>
  <c r="N141" i="16"/>
  <c r="I141" i="16" s="1"/>
  <c r="N157" i="16"/>
  <c r="I157" i="16" s="1"/>
  <c r="N173" i="16"/>
  <c r="I173" i="16" s="1"/>
  <c r="N189" i="16"/>
  <c r="I189" i="16" s="1"/>
  <c r="N205" i="16"/>
  <c r="I205" i="16" s="1"/>
  <c r="N221" i="16"/>
  <c r="I221" i="16" s="1"/>
  <c r="N237" i="16"/>
  <c r="I237" i="16" s="1"/>
  <c r="N253" i="16"/>
  <c r="I253" i="16" s="1"/>
  <c r="N269" i="16"/>
  <c r="I269" i="16" s="1"/>
  <c r="N285" i="16"/>
  <c r="I285" i="16" s="1"/>
  <c r="N301" i="16"/>
  <c r="I301" i="16" s="1"/>
  <c r="N317" i="16"/>
  <c r="I317" i="16" s="1"/>
  <c r="N333" i="16"/>
  <c r="I333" i="16" s="1"/>
  <c r="N349" i="16"/>
  <c r="I349" i="16" s="1"/>
  <c r="N365" i="16"/>
  <c r="I365" i="16" s="1"/>
  <c r="N381" i="16"/>
  <c r="I381" i="16" s="1"/>
  <c r="N397" i="16"/>
  <c r="I397" i="16" s="1"/>
  <c r="N413" i="16"/>
  <c r="I413" i="16" s="1"/>
  <c r="N429" i="16"/>
  <c r="I429" i="16" s="1"/>
  <c r="N445" i="16"/>
  <c r="I445" i="16" s="1"/>
  <c r="N461" i="16"/>
  <c r="I461" i="16" s="1"/>
  <c r="N477" i="16"/>
  <c r="I477" i="16" s="1"/>
  <c r="N493" i="16"/>
  <c r="I493" i="16" s="1"/>
  <c r="N509" i="16"/>
  <c r="I509" i="16" s="1"/>
  <c r="N366" i="16"/>
  <c r="I366" i="16" s="1"/>
  <c r="N446" i="16"/>
  <c r="I446" i="16" s="1"/>
  <c r="N126" i="16"/>
  <c r="I126" i="16" s="1"/>
  <c r="N142" i="16"/>
  <c r="I142" i="16" s="1"/>
  <c r="N158" i="16"/>
  <c r="I158" i="16" s="1"/>
  <c r="N174" i="16"/>
  <c r="I174" i="16" s="1"/>
  <c r="N190" i="16"/>
  <c r="I190" i="16" s="1"/>
  <c r="N206" i="16"/>
  <c r="I206" i="16" s="1"/>
  <c r="N222" i="16"/>
  <c r="I222" i="16" s="1"/>
  <c r="N238" i="16"/>
  <c r="I238" i="16" s="1"/>
  <c r="N254" i="16"/>
  <c r="I254" i="16" s="1"/>
  <c r="N270" i="16"/>
  <c r="I270" i="16" s="1"/>
  <c r="N286" i="16"/>
  <c r="I286" i="16" s="1"/>
  <c r="N302" i="16"/>
  <c r="I302" i="16" s="1"/>
  <c r="N318" i="16"/>
  <c r="I318" i="16" s="1"/>
  <c r="N334" i="16"/>
  <c r="I334" i="16" s="1"/>
  <c r="N350" i="16"/>
  <c r="I350" i="16" s="1"/>
  <c r="N414" i="16"/>
  <c r="I414" i="16" s="1"/>
  <c r="N478" i="16"/>
  <c r="I478" i="16" s="1"/>
  <c r="N479" i="16"/>
  <c r="I479" i="16" s="1"/>
  <c r="N127" i="16"/>
  <c r="I127" i="16" s="1"/>
  <c r="N143" i="16"/>
  <c r="I143" i="16" s="1"/>
  <c r="N159" i="16"/>
  <c r="I159" i="16" s="1"/>
  <c r="N175" i="16"/>
  <c r="I175" i="16" s="1"/>
  <c r="N191" i="16"/>
  <c r="I191" i="16" s="1"/>
  <c r="N207" i="16"/>
  <c r="I207" i="16" s="1"/>
  <c r="N223" i="16"/>
  <c r="I223" i="16" s="1"/>
  <c r="N239" i="16"/>
  <c r="I239" i="16" s="1"/>
  <c r="N255" i="16"/>
  <c r="I255" i="16" s="1"/>
  <c r="N271" i="16"/>
  <c r="I271" i="16" s="1"/>
  <c r="N287" i="16"/>
  <c r="I287" i="16" s="1"/>
  <c r="N303" i="16"/>
  <c r="I303" i="16" s="1"/>
  <c r="N319" i="16"/>
  <c r="I319" i="16" s="1"/>
  <c r="N335" i="16"/>
  <c r="I335" i="16" s="1"/>
  <c r="N351" i="16"/>
  <c r="I351" i="16" s="1"/>
  <c r="N367" i="16"/>
  <c r="I367" i="16" s="1"/>
  <c r="N383" i="16"/>
  <c r="I383" i="16" s="1"/>
  <c r="N399" i="16"/>
  <c r="I399" i="16" s="1"/>
  <c r="N415" i="16"/>
  <c r="I415" i="16" s="1"/>
  <c r="N463" i="16"/>
  <c r="I463" i="16" s="1"/>
  <c r="N128" i="16"/>
  <c r="I128" i="16" s="1"/>
  <c r="N144" i="16"/>
  <c r="I144" i="16" s="1"/>
  <c r="N160" i="16"/>
  <c r="I160" i="16" s="1"/>
  <c r="N176" i="16"/>
  <c r="I176" i="16" s="1"/>
  <c r="N192" i="16"/>
  <c r="I192" i="16" s="1"/>
  <c r="N208" i="16"/>
  <c r="I208" i="16" s="1"/>
  <c r="N224" i="16"/>
  <c r="I224" i="16" s="1"/>
  <c r="N240" i="16"/>
  <c r="I240" i="16" s="1"/>
  <c r="N256" i="16"/>
  <c r="I256" i="16" s="1"/>
  <c r="N272" i="16"/>
  <c r="I272" i="16" s="1"/>
  <c r="N288" i="16"/>
  <c r="I288" i="16" s="1"/>
  <c r="N304" i="16"/>
  <c r="I304" i="16" s="1"/>
  <c r="N320" i="16"/>
  <c r="I320" i="16" s="1"/>
  <c r="N336" i="16"/>
  <c r="I336" i="16" s="1"/>
  <c r="N352" i="16"/>
  <c r="I352" i="16" s="1"/>
  <c r="N368" i="16"/>
  <c r="I368" i="16" s="1"/>
  <c r="N384" i="16"/>
  <c r="I384" i="16" s="1"/>
  <c r="N400" i="16"/>
  <c r="I400" i="16" s="1"/>
  <c r="N416" i="16"/>
  <c r="I416" i="16" s="1"/>
  <c r="N432" i="16"/>
  <c r="I432" i="16" s="1"/>
  <c r="N448" i="16"/>
  <c r="I448" i="16" s="1"/>
  <c r="N464" i="16"/>
  <c r="I464" i="16" s="1"/>
  <c r="N480" i="16"/>
  <c r="I480" i="16" s="1"/>
  <c r="N496" i="16"/>
  <c r="I496" i="16" s="1"/>
  <c r="N136" i="16"/>
  <c r="I136" i="16" s="1"/>
  <c r="N166" i="16"/>
  <c r="I166" i="16" s="1"/>
  <c r="N196" i="16"/>
  <c r="I196" i="16" s="1"/>
  <c r="N226" i="16"/>
  <c r="I226" i="16" s="1"/>
  <c r="N249" i="16"/>
  <c r="I249" i="16" s="1"/>
  <c r="N279" i="16"/>
  <c r="I279" i="16" s="1"/>
  <c r="N308" i="16"/>
  <c r="I308" i="16" s="1"/>
  <c r="N330" i="16"/>
  <c r="I330" i="16" s="1"/>
  <c r="N358" i="16"/>
  <c r="I358" i="16" s="1"/>
  <c r="N386" i="16"/>
  <c r="I386" i="16" s="1"/>
  <c r="N408" i="16"/>
  <c r="I408" i="16" s="1"/>
  <c r="N436" i="16"/>
  <c r="I436" i="16" s="1"/>
  <c r="N458" i="16"/>
  <c r="I458" i="16" s="1"/>
  <c r="N486" i="16"/>
  <c r="I486" i="16" s="1"/>
  <c r="N137" i="16"/>
  <c r="I137" i="16" s="1"/>
  <c r="N227" i="16"/>
  <c r="I227" i="16" s="1"/>
  <c r="N280" i="16"/>
  <c r="I280" i="16" s="1"/>
  <c r="N359" i="16"/>
  <c r="I359" i="16" s="1"/>
  <c r="N437" i="16"/>
  <c r="I437" i="16" s="1"/>
  <c r="N281" i="16"/>
  <c r="I281" i="16" s="1"/>
  <c r="N410" i="16"/>
  <c r="I410" i="16" s="1"/>
  <c r="N146" i="16"/>
  <c r="I146" i="16" s="1"/>
  <c r="N229" i="16"/>
  <c r="I229" i="16" s="1"/>
  <c r="N339" i="16"/>
  <c r="I339" i="16" s="1"/>
  <c r="N439" i="16"/>
  <c r="I439" i="16" s="1"/>
  <c r="N260" i="16"/>
  <c r="I260" i="16" s="1"/>
  <c r="N418" i="16"/>
  <c r="I418" i="16" s="1"/>
  <c r="N313" i="16"/>
  <c r="I313" i="16" s="1"/>
  <c r="N497" i="16"/>
  <c r="I497" i="16" s="1"/>
  <c r="N392" i="16"/>
  <c r="I392" i="16" s="1"/>
  <c r="N263" i="16"/>
  <c r="I263" i="16" s="1"/>
  <c r="N500" i="16"/>
  <c r="I500" i="16" s="1"/>
  <c r="N182" i="16"/>
  <c r="I182" i="16" s="1"/>
  <c r="N451" i="16"/>
  <c r="I451" i="16" s="1"/>
  <c r="N167" i="16"/>
  <c r="I167" i="16" s="1"/>
  <c r="N197" i="16"/>
  <c r="I197" i="16" s="1"/>
  <c r="N257" i="16"/>
  <c r="I257" i="16" s="1"/>
  <c r="N309" i="16"/>
  <c r="I309" i="16" s="1"/>
  <c r="N337" i="16"/>
  <c r="I337" i="16" s="1"/>
  <c r="N387" i="16"/>
  <c r="I387" i="16" s="1"/>
  <c r="N409" i="16"/>
  <c r="I409" i="16" s="1"/>
  <c r="N465" i="16"/>
  <c r="I465" i="16" s="1"/>
  <c r="N487" i="16"/>
  <c r="I487" i="16" s="1"/>
  <c r="N145" i="16"/>
  <c r="I145" i="16" s="1"/>
  <c r="N168" i="16"/>
  <c r="I168" i="16" s="1"/>
  <c r="N198" i="16"/>
  <c r="I198" i="16" s="1"/>
  <c r="N228" i="16"/>
  <c r="I228" i="16" s="1"/>
  <c r="N258" i="16"/>
  <c r="I258" i="16" s="1"/>
  <c r="N310" i="16"/>
  <c r="I310" i="16" s="1"/>
  <c r="N360" i="16"/>
  <c r="I360" i="16" s="1"/>
  <c r="N388" i="16"/>
  <c r="I388" i="16" s="1"/>
  <c r="N438" i="16"/>
  <c r="I438" i="16" s="1"/>
  <c r="N488" i="16"/>
  <c r="I488" i="16" s="1"/>
  <c r="N199" i="16"/>
  <c r="I199" i="16" s="1"/>
  <c r="N311" i="16"/>
  <c r="I311" i="16" s="1"/>
  <c r="N417" i="16"/>
  <c r="I417" i="16" s="1"/>
  <c r="N230" i="16"/>
  <c r="I230" i="16" s="1"/>
  <c r="N340" i="16"/>
  <c r="I340" i="16" s="1"/>
  <c r="N468" i="16"/>
  <c r="I468" i="16" s="1"/>
  <c r="N201" i="16"/>
  <c r="I201" i="16" s="1"/>
  <c r="N341" i="16"/>
  <c r="I341" i="16" s="1"/>
  <c r="N469" i="16"/>
  <c r="I469" i="16" s="1"/>
  <c r="N119" i="16"/>
  <c r="I119" i="16" s="1"/>
  <c r="N179" i="16"/>
  <c r="I179" i="16" s="1"/>
  <c r="N262" i="16"/>
  <c r="I262" i="16" s="1"/>
  <c r="N342" i="16"/>
  <c r="I342" i="16" s="1"/>
  <c r="N420" i="16"/>
  <c r="I420" i="16" s="1"/>
  <c r="N470" i="16"/>
  <c r="I470" i="16" s="1"/>
  <c r="N180" i="16"/>
  <c r="I180" i="16" s="1"/>
  <c r="N421" i="16"/>
  <c r="I421" i="16" s="1"/>
  <c r="N322" i="16"/>
  <c r="I322" i="16" s="1"/>
  <c r="N323" i="16"/>
  <c r="I323" i="16" s="1"/>
  <c r="N338" i="16"/>
  <c r="I338" i="16" s="1"/>
  <c r="N466" i="16"/>
  <c r="I466" i="16" s="1"/>
  <c r="N259" i="16"/>
  <c r="I259" i="16" s="1"/>
  <c r="N389" i="16"/>
  <c r="I389" i="16" s="1"/>
  <c r="N489" i="16"/>
  <c r="I489" i="16" s="1"/>
  <c r="N147" i="16"/>
  <c r="I147" i="16" s="1"/>
  <c r="N177" i="16"/>
  <c r="I177" i="16" s="1"/>
  <c r="N200" i="16"/>
  <c r="I200" i="16" s="1"/>
  <c r="N312" i="16"/>
  <c r="I312" i="16" s="1"/>
  <c r="N362" i="16"/>
  <c r="I362" i="16" s="1"/>
  <c r="N440" i="16"/>
  <c r="I440" i="16" s="1"/>
  <c r="N118" i="16"/>
  <c r="I118" i="16" s="1"/>
  <c r="N178" i="16"/>
  <c r="I178" i="16" s="1"/>
  <c r="N231" i="16"/>
  <c r="I231" i="16" s="1"/>
  <c r="N291" i="16"/>
  <c r="I291" i="16" s="1"/>
  <c r="N369" i="16"/>
  <c r="I369" i="16" s="1"/>
  <c r="N419" i="16"/>
  <c r="I419" i="16" s="1"/>
  <c r="N441" i="16"/>
  <c r="I441" i="16" s="1"/>
  <c r="N209" i="16"/>
  <c r="I209" i="16" s="1"/>
  <c r="N314" i="16"/>
  <c r="I314" i="16" s="1"/>
  <c r="N442" i="16"/>
  <c r="I442" i="16" s="1"/>
  <c r="N210" i="16"/>
  <c r="I210" i="16" s="1"/>
  <c r="N371" i="16"/>
  <c r="I371" i="16" s="1"/>
  <c r="N499" i="16"/>
  <c r="I499" i="16" s="1"/>
  <c r="N181" i="16"/>
  <c r="I181" i="16" s="1"/>
  <c r="N450" i="16"/>
  <c r="I450" i="16" s="1"/>
  <c r="N295" i="16"/>
  <c r="I295" i="16" s="1"/>
  <c r="N169" i="16"/>
  <c r="I169" i="16" s="1"/>
  <c r="N289" i="16"/>
  <c r="I289" i="16" s="1"/>
  <c r="N361" i="16"/>
  <c r="I361" i="16" s="1"/>
  <c r="N467" i="16"/>
  <c r="I467" i="16" s="1"/>
  <c r="N290" i="16"/>
  <c r="I290" i="16" s="1"/>
  <c r="N390" i="16"/>
  <c r="I390" i="16" s="1"/>
  <c r="N490" i="16"/>
  <c r="I490" i="16" s="1"/>
  <c r="N148" i="16"/>
  <c r="I148" i="16" s="1"/>
  <c r="N261" i="16"/>
  <c r="I261" i="16" s="1"/>
  <c r="N391" i="16"/>
  <c r="I391" i="16" s="1"/>
  <c r="N149" i="16"/>
  <c r="I149" i="16" s="1"/>
  <c r="N232" i="16"/>
  <c r="I232" i="16" s="1"/>
  <c r="N370" i="16"/>
  <c r="I370" i="16" s="1"/>
  <c r="N498" i="16"/>
  <c r="I498" i="16" s="1"/>
  <c r="N393" i="16"/>
  <c r="I393" i="16" s="1"/>
  <c r="N211" i="16"/>
  <c r="I211" i="16" s="1"/>
  <c r="N422" i="16"/>
  <c r="I422" i="16" s="1"/>
  <c r="N373" i="16"/>
  <c r="I373" i="16" s="1"/>
  <c r="N120" i="16"/>
  <c r="I120" i="16" s="1"/>
  <c r="N293" i="16"/>
  <c r="I293" i="16" s="1"/>
  <c r="N449" i="16"/>
  <c r="I449" i="16" s="1"/>
  <c r="N151" i="16"/>
  <c r="I151" i="16" s="1"/>
  <c r="N344" i="16"/>
  <c r="I344" i="16" s="1"/>
  <c r="N473" i="16"/>
  <c r="I473" i="16" s="1"/>
  <c r="N343" i="16"/>
  <c r="I343" i="16" s="1"/>
  <c r="N294" i="16"/>
  <c r="I294" i="16" s="1"/>
  <c r="N152" i="16"/>
  <c r="I152" i="16" s="1"/>
  <c r="N345" i="16"/>
  <c r="I345" i="16" s="1"/>
  <c r="N292" i="16"/>
  <c r="I292" i="16" s="1"/>
  <c r="N150" i="16"/>
  <c r="I150" i="16" s="1"/>
  <c r="N321" i="16"/>
  <c r="I321" i="16" s="1"/>
  <c r="N471" i="16"/>
  <c r="I471" i="16" s="1"/>
  <c r="N121" i="16"/>
  <c r="I121" i="16" s="1"/>
  <c r="N264" i="16"/>
  <c r="I264" i="16" s="1"/>
  <c r="N372" i="16"/>
  <c r="I372" i="16" s="1"/>
  <c r="N129" i="16"/>
  <c r="I129" i="16" s="1"/>
  <c r="N265" i="16"/>
  <c r="I265" i="16" s="1"/>
  <c r="N423" i="16"/>
  <c r="I423" i="16" s="1"/>
  <c r="N233" i="16"/>
  <c r="I233" i="16" s="1"/>
  <c r="N241" i="16"/>
  <c r="I241" i="16" s="1"/>
  <c r="N394" i="16"/>
  <c r="I394" i="16" s="1"/>
  <c r="N242" i="16"/>
  <c r="I242" i="16" s="1"/>
  <c r="N401" i="16"/>
  <c r="I401" i="16" s="1"/>
  <c r="N472" i="16"/>
  <c r="I472" i="16" s="1"/>
  <c r="N212" i="16"/>
  <c r="I212" i="16" s="1"/>
  <c r="N501" i="16"/>
  <c r="I501" i="16" s="1"/>
  <c r="N164" i="16"/>
  <c r="I164" i="16" s="1"/>
  <c r="N245" i="16"/>
  <c r="I245" i="16" s="1"/>
  <c r="N324" i="16"/>
  <c r="I324" i="16" s="1"/>
  <c r="N378" i="16"/>
  <c r="I378" i="16" s="1"/>
  <c r="N454" i="16"/>
  <c r="I454" i="16" s="1"/>
  <c r="N247" i="16"/>
  <c r="I247" i="16" s="1"/>
  <c r="N456" i="16"/>
  <c r="I456" i="16" s="1"/>
  <c r="N327" i="16"/>
  <c r="I327" i="16" s="1"/>
  <c r="N474" i="16"/>
  <c r="I474" i="16" s="1"/>
  <c r="N481" i="16"/>
  <c r="I481" i="16" s="1"/>
  <c r="N130" i="16"/>
  <c r="I130" i="16" s="1"/>
  <c r="N275" i="16"/>
  <c r="I275" i="16" s="1"/>
  <c r="N406" i="16"/>
  <c r="I406" i="16" s="1"/>
  <c r="N353" i="16"/>
  <c r="I353" i="16" s="1"/>
  <c r="N132" i="16"/>
  <c r="I132" i="16" s="1"/>
  <c r="N277" i="16"/>
  <c r="I277" i="16" s="1"/>
  <c r="N484" i="16"/>
  <c r="I484" i="16" s="1"/>
  <c r="N278" i="16"/>
  <c r="I278" i="16" s="1"/>
  <c r="N356" i="16"/>
  <c r="I356" i="16" s="1"/>
  <c r="N217" i="16"/>
  <c r="I217" i="16" s="1"/>
  <c r="N434" i="16"/>
  <c r="I434" i="16" s="1"/>
  <c r="N161" i="16"/>
  <c r="I161" i="16" s="1"/>
  <c r="N375" i="16"/>
  <c r="I375" i="16" s="1"/>
  <c r="N243" i="16"/>
  <c r="I243" i="16" s="1"/>
  <c r="N452" i="16"/>
  <c r="I452" i="16" s="1"/>
  <c r="N163" i="16"/>
  <c r="I163" i="16" s="1"/>
  <c r="N453" i="16"/>
  <c r="I453" i="16" s="1"/>
  <c r="N165" i="16"/>
  <c r="I165" i="16" s="1"/>
  <c r="N246" i="16"/>
  <c r="I246" i="16" s="1"/>
  <c r="N325" i="16"/>
  <c r="I325" i="16" s="1"/>
  <c r="N385" i="16"/>
  <c r="I385" i="16" s="1"/>
  <c r="N455" i="16"/>
  <c r="I455" i="16" s="1"/>
  <c r="N326" i="16"/>
  <c r="I326" i="16" s="1"/>
  <c r="N184" i="16"/>
  <c r="I184" i="16" s="1"/>
  <c r="N248" i="16"/>
  <c r="I248" i="16" s="1"/>
  <c r="N403" i="16"/>
  <c r="I403" i="16" s="1"/>
  <c r="N185" i="16"/>
  <c r="I185" i="16" s="1"/>
  <c r="N273" i="16"/>
  <c r="I273" i="16" s="1"/>
  <c r="N328" i="16"/>
  <c r="I328" i="16" s="1"/>
  <c r="N329" i="16"/>
  <c r="I329" i="16" s="1"/>
  <c r="N482" i="16"/>
  <c r="I482" i="16" s="1"/>
  <c r="N195" i="16"/>
  <c r="I195" i="16" s="1"/>
  <c r="N407" i="16"/>
  <c r="I407" i="16" s="1"/>
  <c r="N354" i="16"/>
  <c r="I354" i="16" s="1"/>
  <c r="N133" i="16"/>
  <c r="I133" i="16" s="1"/>
  <c r="N425" i="16"/>
  <c r="I425" i="16" s="1"/>
  <c r="N134" i="16"/>
  <c r="I134" i="16" s="1"/>
  <c r="N426" i="16"/>
  <c r="I426" i="16" s="1"/>
  <c r="N135" i="16"/>
  <c r="I135" i="16" s="1"/>
  <c r="N357" i="16"/>
  <c r="I357" i="16" s="1"/>
  <c r="N153" i="16"/>
  <c r="I153" i="16" s="1"/>
  <c r="N374" i="16"/>
  <c r="I374" i="16" s="1"/>
  <c r="N505" i="16"/>
  <c r="I505" i="16" s="1"/>
  <c r="N306" i="16"/>
  <c r="I306" i="16" s="1"/>
  <c r="N506" i="16"/>
  <c r="I506" i="16" s="1"/>
  <c r="N244" i="16"/>
  <c r="I244" i="16" s="1"/>
  <c r="N377" i="16"/>
  <c r="I377" i="16" s="1"/>
  <c r="N183" i="16"/>
  <c r="I183" i="16" s="1"/>
  <c r="N402" i="16"/>
  <c r="I402" i="16" s="1"/>
  <c r="N457" i="16"/>
  <c r="I457" i="16" s="1"/>
  <c r="N404" i="16"/>
  <c r="I404" i="16" s="1"/>
  <c r="N193" i="16"/>
  <c r="I193" i="16" s="1"/>
  <c r="N274" i="16"/>
  <c r="I274" i="16" s="1"/>
  <c r="N405" i="16"/>
  <c r="I405" i="16" s="1"/>
  <c r="N194" i="16"/>
  <c r="I194" i="16" s="1"/>
  <c r="N346" i="16"/>
  <c r="I346" i="16" s="1"/>
  <c r="N131" i="16"/>
  <c r="I131" i="16" s="1"/>
  <c r="N276" i="16"/>
  <c r="I276" i="16" s="1"/>
  <c r="N483" i="16"/>
  <c r="I483" i="16" s="1"/>
  <c r="N213" i="16"/>
  <c r="I213" i="16" s="1"/>
  <c r="N424" i="16"/>
  <c r="I424" i="16" s="1"/>
  <c r="N355" i="16"/>
  <c r="I355" i="16" s="1"/>
  <c r="N215" i="16"/>
  <c r="I215" i="16" s="1"/>
  <c r="N502" i="16"/>
  <c r="I502" i="16" s="1"/>
  <c r="N297" i="16"/>
  <c r="I297" i="16" s="1"/>
  <c r="N503" i="16"/>
  <c r="I503" i="16" s="1"/>
  <c r="N298" i="16"/>
  <c r="I298" i="16" s="1"/>
  <c r="N504" i="16"/>
  <c r="I504" i="16" s="1"/>
  <c r="N305" i="16"/>
  <c r="I305" i="16" s="1"/>
  <c r="N162" i="16"/>
  <c r="I162" i="16" s="1"/>
  <c r="N376" i="16"/>
  <c r="I376" i="16" s="1"/>
  <c r="N214" i="16"/>
  <c r="I214" i="16" s="1"/>
  <c r="N485" i="16"/>
  <c r="I485" i="16" s="1"/>
  <c r="N296" i="16"/>
  <c r="I296" i="16" s="1"/>
  <c r="N216" i="16"/>
  <c r="I216" i="16" s="1"/>
  <c r="N433" i="16"/>
  <c r="I433" i="16" s="1"/>
  <c r="N225" i="16"/>
  <c r="I225" i="16" s="1"/>
  <c r="N435" i="16"/>
  <c r="I435" i="16" s="1"/>
  <c r="N307" i="16"/>
  <c r="I307" i="16" s="1"/>
  <c r="N115" i="16"/>
  <c r="I115" i="16" s="1"/>
  <c r="N64" i="16"/>
  <c r="I64" i="16" s="1"/>
  <c r="N82" i="16"/>
  <c r="I82" i="16" s="1"/>
  <c r="N105" i="16"/>
  <c r="I105" i="16" s="1"/>
  <c r="N46" i="16"/>
  <c r="I46" i="16" s="1"/>
  <c r="N111" i="16"/>
  <c r="I111" i="16" s="1"/>
  <c r="N12" i="16"/>
  <c r="I12" i="16" s="1"/>
  <c r="H12" i="16" s="1"/>
  <c r="N45" i="16"/>
  <c r="I45" i="16" s="1"/>
  <c r="H45" i="16" s="1"/>
  <c r="N19" i="16"/>
  <c r="I19" i="16" s="1"/>
  <c r="H19" i="16" s="1"/>
  <c r="N110" i="16"/>
  <c r="I110" i="16" s="1"/>
  <c r="N75" i="16"/>
  <c r="I75" i="16" s="1"/>
  <c r="N32" i="16"/>
  <c r="I32" i="16" s="1"/>
  <c r="N104" i="16"/>
  <c r="I104" i="16" s="1"/>
  <c r="N107" i="16"/>
  <c r="I107" i="16" s="1"/>
  <c r="N73" i="16"/>
  <c r="I73" i="16" s="1"/>
  <c r="N15" i="16"/>
  <c r="N95" i="16"/>
  <c r="I95" i="16" s="1"/>
  <c r="N89" i="16"/>
  <c r="N77" i="16"/>
  <c r="I77" i="16" s="1"/>
  <c r="N83" i="16"/>
  <c r="I83" i="16" s="1"/>
  <c r="N11" i="16"/>
  <c r="I11" i="16" s="1"/>
  <c r="N81" i="16"/>
  <c r="I81" i="16" s="1"/>
  <c r="N30" i="16"/>
  <c r="I30" i="16" s="1"/>
  <c r="N93" i="16"/>
  <c r="N74" i="16"/>
  <c r="I74" i="16" s="1"/>
  <c r="H74" i="16" s="1"/>
  <c r="N13" i="16"/>
  <c r="I13" i="16" s="1"/>
  <c r="N58" i="16"/>
  <c r="I58" i="16" s="1"/>
  <c r="N102" i="16"/>
  <c r="I102" i="16" s="1"/>
  <c r="N52" i="16"/>
  <c r="I52" i="16" s="1"/>
  <c r="N92" i="16"/>
  <c r="I92" i="16" s="1"/>
  <c r="N76" i="16"/>
  <c r="I76" i="16" s="1"/>
  <c r="N38" i="16"/>
  <c r="I38" i="16" s="1"/>
  <c r="N79" i="16"/>
  <c r="I79" i="16" s="1"/>
  <c r="N24" i="16"/>
  <c r="N20" i="16"/>
  <c r="I20" i="16" s="1"/>
  <c r="N71" i="16"/>
  <c r="I71" i="16" s="1"/>
  <c r="N61" i="16"/>
  <c r="I61" i="16" s="1"/>
  <c r="N54" i="16"/>
  <c r="N17" i="16"/>
  <c r="I17" i="16" s="1"/>
  <c r="N16" i="16"/>
  <c r="I16" i="16" s="1"/>
  <c r="N23" i="16"/>
  <c r="I23" i="16" s="1"/>
  <c r="N42" i="16"/>
  <c r="I42" i="16" s="1"/>
  <c r="H42" i="16" s="1"/>
  <c r="N68" i="16"/>
  <c r="I68" i="16" s="1"/>
  <c r="N27" i="16"/>
  <c r="N10" i="16"/>
  <c r="I10" i="16" s="1"/>
  <c r="N34" i="16"/>
  <c r="N22" i="16"/>
  <c r="I22" i="16" s="1"/>
  <c r="N106" i="16"/>
  <c r="I106" i="16" s="1"/>
  <c r="N97" i="16"/>
  <c r="I97" i="16" s="1"/>
  <c r="N72" i="16"/>
  <c r="I72" i="16" s="1"/>
  <c r="H72" i="16" s="1"/>
  <c r="N86" i="16"/>
  <c r="I86" i="16" s="1"/>
  <c r="N41" i="16"/>
  <c r="I41" i="16" s="1"/>
  <c r="N53" i="16"/>
  <c r="I53" i="16" s="1"/>
  <c r="N116" i="16"/>
  <c r="N59" i="16"/>
  <c r="I59" i="16" s="1"/>
  <c r="N100" i="16"/>
  <c r="I100" i="16" s="1"/>
  <c r="N88" i="16"/>
  <c r="I88" i="16" s="1"/>
  <c r="N112" i="16"/>
  <c r="I112" i="16" s="1"/>
  <c r="N66" i="16"/>
  <c r="N69" i="16"/>
  <c r="I69" i="16" s="1"/>
  <c r="N109" i="16"/>
  <c r="I109" i="16" s="1"/>
  <c r="N33" i="16"/>
  <c r="I33" i="16" s="1"/>
  <c r="N21" i="16"/>
  <c r="N62" i="16"/>
  <c r="I62" i="16" s="1"/>
  <c r="H62" i="16" s="1"/>
  <c r="N63" i="16"/>
  <c r="I63" i="16" s="1"/>
  <c r="N80" i="16"/>
  <c r="N85" i="16"/>
  <c r="I85" i="16" s="1"/>
  <c r="N108" i="16"/>
  <c r="I108" i="16" s="1"/>
  <c r="N98" i="16"/>
  <c r="I98" i="16" s="1"/>
  <c r="N28" i="16"/>
  <c r="I28" i="16" s="1"/>
  <c r="N25" i="16"/>
  <c r="I25" i="16" s="1"/>
  <c r="H25" i="16" s="1"/>
  <c r="N114" i="16"/>
  <c r="I114" i="16" s="1"/>
  <c r="N60" i="16"/>
  <c r="N117" i="16"/>
  <c r="I117" i="16" s="1"/>
  <c r="N56" i="16"/>
  <c r="I56" i="16" s="1"/>
  <c r="N48" i="16"/>
  <c r="I48" i="16" s="1"/>
  <c r="H48" i="16" s="1"/>
  <c r="N50" i="16"/>
  <c r="I50" i="16" s="1"/>
  <c r="N57" i="16"/>
  <c r="N37" i="16"/>
  <c r="I37" i="16" s="1"/>
  <c r="H37" i="16" s="1"/>
  <c r="N44" i="16"/>
  <c r="I44" i="16" s="1"/>
  <c r="N113" i="16"/>
  <c r="I113" i="16" s="1"/>
  <c r="N43" i="16"/>
  <c r="I43" i="16" s="1"/>
  <c r="N87" i="16"/>
  <c r="N84" i="16"/>
  <c r="I84" i="16" s="1"/>
  <c r="N94" i="16"/>
  <c r="I94" i="16" s="1"/>
  <c r="N96" i="16"/>
  <c r="I96" i="16" s="1"/>
  <c r="N29" i="16"/>
  <c r="I29" i="16" s="1"/>
  <c r="N39" i="16"/>
  <c r="I39" i="16" s="1"/>
  <c r="N36" i="16"/>
  <c r="I36" i="16" s="1"/>
  <c r="N103" i="16"/>
  <c r="I103" i="16" s="1"/>
  <c r="N67" i="16"/>
  <c r="I67" i="16" s="1"/>
  <c r="N14" i="16"/>
  <c r="I14" i="16" s="1"/>
  <c r="N91" i="16"/>
  <c r="N90" i="16"/>
  <c r="I90" i="16" s="1"/>
  <c r="N26" i="16"/>
  <c r="I26" i="16" s="1"/>
  <c r="N70" i="16"/>
  <c r="I70" i="16" s="1"/>
  <c r="H70" i="16" s="1"/>
  <c r="N35" i="16"/>
  <c r="I35" i="16" s="1"/>
  <c r="N31" i="16"/>
  <c r="I31" i="16" s="1"/>
  <c r="N101" i="16"/>
  <c r="I101" i="16" s="1"/>
  <c r="N18" i="16"/>
  <c r="I18" i="16" s="1"/>
  <c r="N51" i="16"/>
  <c r="N40" i="16"/>
  <c r="I40" i="16" s="1"/>
  <c r="H40" i="16" s="1"/>
  <c r="N78" i="16"/>
  <c r="I78" i="16" s="1"/>
  <c r="N55" i="16"/>
  <c r="I55" i="16" s="1"/>
  <c r="N9" i="16"/>
  <c r="I9" i="16" s="1"/>
  <c r="N99" i="16"/>
  <c r="I99" i="16" s="1"/>
  <c r="N49" i="16"/>
  <c r="I49" i="16" s="1"/>
  <c r="N65" i="16"/>
  <c r="I65" i="16" s="1"/>
  <c r="N47" i="16"/>
  <c r="I47" i="16" s="1"/>
  <c r="I15" i="17" l="1"/>
  <c r="J15" i="17"/>
  <c r="H15" i="17"/>
  <c r="H9" i="17"/>
  <c r="H12" i="17"/>
  <c r="J4" i="17"/>
  <c r="J5" i="17" s="1"/>
  <c r="H11" i="17"/>
  <c r="H10" i="17"/>
  <c r="H13" i="17"/>
  <c r="I13" i="17"/>
  <c r="I12" i="17"/>
  <c r="I10" i="17"/>
  <c r="I11" i="17"/>
  <c r="I9" i="17"/>
  <c r="J9" i="17"/>
  <c r="I14" i="17"/>
  <c r="H14" i="17"/>
  <c r="J10" i="17"/>
  <c r="J14" i="17"/>
  <c r="J11" i="17"/>
  <c r="B36" i="16"/>
  <c r="U3" i="16"/>
  <c r="F17" i="17"/>
  <c r="G16" i="17"/>
  <c r="J16" i="17"/>
  <c r="I16" i="17"/>
  <c r="H16" i="17"/>
  <c r="I66" i="16"/>
  <c r="H66" i="16" s="1"/>
  <c r="I15" i="16"/>
  <c r="H15" i="16" s="1"/>
  <c r="H78" i="16"/>
  <c r="H101" i="16"/>
  <c r="H106" i="16"/>
  <c r="H79" i="16"/>
  <c r="H321" i="16"/>
  <c r="H272" i="16"/>
  <c r="H81" i="16"/>
  <c r="H455" i="16"/>
  <c r="H277" i="16"/>
  <c r="H501" i="16"/>
  <c r="H150" i="16"/>
  <c r="H498" i="16"/>
  <c r="H181" i="16"/>
  <c r="H312" i="16"/>
  <c r="H262" i="16"/>
  <c r="H310" i="16"/>
  <c r="H182" i="16"/>
  <c r="H280" i="16"/>
  <c r="H136" i="16"/>
  <c r="H256" i="16"/>
  <c r="H319" i="16"/>
  <c r="H350" i="16"/>
  <c r="H366" i="16"/>
  <c r="H269" i="16"/>
  <c r="H476" i="16"/>
  <c r="H220" i="16"/>
  <c r="H427" i="16"/>
  <c r="H171" i="16"/>
  <c r="H285" i="16"/>
  <c r="H305" i="16"/>
  <c r="H212" i="16"/>
  <c r="H292" i="16"/>
  <c r="H370" i="16"/>
  <c r="H499" i="16"/>
  <c r="H200" i="16"/>
  <c r="H179" i="16"/>
  <c r="H258" i="16"/>
  <c r="H500" i="16"/>
  <c r="H227" i="16"/>
  <c r="H496" i="16"/>
  <c r="H240" i="16"/>
  <c r="H303" i="16"/>
  <c r="H334" i="16"/>
  <c r="H509" i="16"/>
  <c r="H253" i="16"/>
  <c r="H460" i="16"/>
  <c r="H204" i="16"/>
  <c r="H411" i="16"/>
  <c r="H155" i="16"/>
  <c r="H446" i="16"/>
  <c r="H425" i="16"/>
  <c r="H472" i="16"/>
  <c r="H228" i="16"/>
  <c r="H263" i="16"/>
  <c r="H137" i="16"/>
  <c r="H480" i="16"/>
  <c r="H224" i="16"/>
  <c r="H287" i="16"/>
  <c r="H318" i="16"/>
  <c r="H493" i="16"/>
  <c r="H237" i="16"/>
  <c r="H444" i="16"/>
  <c r="H188" i="16"/>
  <c r="H395" i="16"/>
  <c r="H139" i="16"/>
  <c r="H376" i="16"/>
  <c r="H360" i="16"/>
  <c r="H162" i="16"/>
  <c r="H385" i="16"/>
  <c r="H232" i="16"/>
  <c r="H298" i="16"/>
  <c r="H404" i="16"/>
  <c r="H133" i="16"/>
  <c r="H246" i="16"/>
  <c r="H406" i="16"/>
  <c r="H401" i="16"/>
  <c r="H152" i="16"/>
  <c r="H149" i="16"/>
  <c r="H210" i="16"/>
  <c r="H147" i="16"/>
  <c r="H469" i="16"/>
  <c r="H198" i="16"/>
  <c r="H392" i="16"/>
  <c r="H486" i="16"/>
  <c r="H464" i="16"/>
  <c r="H208" i="16"/>
  <c r="H271" i="16"/>
  <c r="H302" i="16"/>
  <c r="H477" i="16"/>
  <c r="H221" i="16"/>
  <c r="H428" i="16"/>
  <c r="H172" i="16"/>
  <c r="H379" i="16"/>
  <c r="H123" i="16"/>
  <c r="H450" i="16"/>
  <c r="H187" i="16"/>
  <c r="H345" i="16"/>
  <c r="H77" i="16"/>
  <c r="H503" i="16"/>
  <c r="H457" i="16"/>
  <c r="H354" i="16"/>
  <c r="H165" i="16"/>
  <c r="H275" i="16"/>
  <c r="H242" i="16"/>
  <c r="H294" i="16"/>
  <c r="H391" i="16"/>
  <c r="H442" i="16"/>
  <c r="H489" i="16"/>
  <c r="H341" i="16"/>
  <c r="H168" i="16"/>
  <c r="H497" i="16"/>
  <c r="H458" i="16"/>
  <c r="H448" i="16"/>
  <c r="H192" i="16"/>
  <c r="H255" i="16"/>
  <c r="H286" i="16"/>
  <c r="H461" i="16"/>
  <c r="H205" i="16"/>
  <c r="H412" i="16"/>
  <c r="H156" i="16"/>
  <c r="H363" i="16"/>
  <c r="H282" i="16"/>
  <c r="H484" i="16"/>
  <c r="H335" i="16"/>
  <c r="H405" i="16"/>
  <c r="H132" i="16"/>
  <c r="H504" i="16"/>
  <c r="H119" i="16"/>
  <c r="H49" i="16"/>
  <c r="H28" i="16"/>
  <c r="H297" i="16"/>
  <c r="H402" i="16"/>
  <c r="H407" i="16"/>
  <c r="H453" i="16"/>
  <c r="H130" i="16"/>
  <c r="H394" i="16"/>
  <c r="H343" i="16"/>
  <c r="H261" i="16"/>
  <c r="H314" i="16"/>
  <c r="H389" i="16"/>
  <c r="H201" i="16"/>
  <c r="H145" i="16"/>
  <c r="H313" i="16"/>
  <c r="H436" i="16"/>
  <c r="H432" i="16"/>
  <c r="H176" i="16"/>
  <c r="H239" i="16"/>
  <c r="H270" i="16"/>
  <c r="H445" i="16"/>
  <c r="H189" i="16"/>
  <c r="H396" i="16"/>
  <c r="H140" i="16"/>
  <c r="H347" i="16"/>
  <c r="H266" i="16"/>
  <c r="H451" i="16"/>
  <c r="H134" i="16"/>
  <c r="H177" i="16"/>
  <c r="H99" i="16"/>
  <c r="H502" i="16"/>
  <c r="H183" i="16"/>
  <c r="H195" i="16"/>
  <c r="H163" i="16"/>
  <c r="H481" i="16"/>
  <c r="H241" i="16"/>
  <c r="H473" i="16"/>
  <c r="H148" i="16"/>
  <c r="H209" i="16"/>
  <c r="H259" i="16"/>
  <c r="H468" i="16"/>
  <c r="H487" i="16"/>
  <c r="H418" i="16"/>
  <c r="H408" i="16"/>
  <c r="H416" i="16"/>
  <c r="H160" i="16"/>
  <c r="H223" i="16"/>
  <c r="H254" i="16"/>
  <c r="H429" i="16"/>
  <c r="H173" i="16"/>
  <c r="H380" i="16"/>
  <c r="H124" i="16"/>
  <c r="H331" i="16"/>
  <c r="H250" i="16"/>
  <c r="H135" i="16"/>
  <c r="H443" i="16"/>
  <c r="H371" i="16"/>
  <c r="H18" i="16"/>
  <c r="H50" i="16"/>
  <c r="H307" i="16"/>
  <c r="H215" i="16"/>
  <c r="H377" i="16"/>
  <c r="H482" i="16"/>
  <c r="H452" i="16"/>
  <c r="H474" i="16"/>
  <c r="H233" i="16"/>
  <c r="H344" i="16"/>
  <c r="H490" i="16"/>
  <c r="H441" i="16"/>
  <c r="H466" i="16"/>
  <c r="H340" i="16"/>
  <c r="H465" i="16"/>
  <c r="H260" i="16"/>
  <c r="H386" i="16"/>
  <c r="H400" i="16"/>
  <c r="H144" i="16"/>
  <c r="H207" i="16"/>
  <c r="H238" i="16"/>
  <c r="H413" i="16"/>
  <c r="H157" i="16"/>
  <c r="H364" i="16"/>
  <c r="H447" i="16"/>
  <c r="H315" i="16"/>
  <c r="H234" i="16"/>
  <c r="H166" i="16"/>
  <c r="H325" i="16"/>
  <c r="H435" i="16"/>
  <c r="H355" i="16"/>
  <c r="H244" i="16"/>
  <c r="H329" i="16"/>
  <c r="H243" i="16"/>
  <c r="H327" i="16"/>
  <c r="H423" i="16"/>
  <c r="H151" i="16"/>
  <c r="H390" i="16"/>
  <c r="H419" i="16"/>
  <c r="H338" i="16"/>
  <c r="H230" i="16"/>
  <c r="H409" i="16"/>
  <c r="H439" i="16"/>
  <c r="H358" i="16"/>
  <c r="H384" i="16"/>
  <c r="H128" i="16"/>
  <c r="H191" i="16"/>
  <c r="H222" i="16"/>
  <c r="H397" i="16"/>
  <c r="H141" i="16"/>
  <c r="H348" i="16"/>
  <c r="H494" i="16"/>
  <c r="H299" i="16"/>
  <c r="H218" i="16"/>
  <c r="H393" i="16"/>
  <c r="H414" i="16"/>
  <c r="H105" i="16"/>
  <c r="H274" i="16"/>
  <c r="H67" i="16"/>
  <c r="H225" i="16"/>
  <c r="H424" i="16"/>
  <c r="H506" i="16"/>
  <c r="H328" i="16"/>
  <c r="H375" i="16"/>
  <c r="H456" i="16"/>
  <c r="H265" i="16"/>
  <c r="H449" i="16"/>
  <c r="H290" i="16"/>
  <c r="H369" i="16"/>
  <c r="H323" i="16"/>
  <c r="H417" i="16"/>
  <c r="H387" i="16"/>
  <c r="H339" i="16"/>
  <c r="H330" i="16"/>
  <c r="H368" i="16"/>
  <c r="H463" i="16"/>
  <c r="H175" i="16"/>
  <c r="H206" i="16"/>
  <c r="H381" i="16"/>
  <c r="H125" i="16"/>
  <c r="H332" i="16"/>
  <c r="H430" i="16"/>
  <c r="H283" i="16"/>
  <c r="H202" i="16"/>
  <c r="H194" i="16"/>
  <c r="H236" i="16"/>
  <c r="I21" i="16"/>
  <c r="H21" i="16" s="1"/>
  <c r="H353" i="16"/>
  <c r="H433" i="16"/>
  <c r="H213" i="16"/>
  <c r="H306" i="16"/>
  <c r="H273" i="16"/>
  <c r="H161" i="16"/>
  <c r="H247" i="16"/>
  <c r="H129" i="16"/>
  <c r="H293" i="16"/>
  <c r="H467" i="16"/>
  <c r="H291" i="16"/>
  <c r="H322" i="16"/>
  <c r="H311" i="16"/>
  <c r="H337" i="16"/>
  <c r="H229" i="16"/>
  <c r="H308" i="16"/>
  <c r="H352" i="16"/>
  <c r="H415" i="16"/>
  <c r="H159" i="16"/>
  <c r="H190" i="16"/>
  <c r="H365" i="16"/>
  <c r="H495" i="16"/>
  <c r="H316" i="16"/>
  <c r="H398" i="16"/>
  <c r="H267" i="16"/>
  <c r="H186" i="16"/>
  <c r="H342" i="16"/>
  <c r="H114" i="16"/>
  <c r="H193" i="16"/>
  <c r="H35" i="16"/>
  <c r="H26" i="16"/>
  <c r="H94" i="16"/>
  <c r="H88" i="16"/>
  <c r="H61" i="16"/>
  <c r="H13" i="16"/>
  <c r="H216" i="16"/>
  <c r="H483" i="16"/>
  <c r="H505" i="16"/>
  <c r="H185" i="16"/>
  <c r="H434" i="16"/>
  <c r="H454" i="16"/>
  <c r="H372" i="16"/>
  <c r="H120" i="16"/>
  <c r="H361" i="16"/>
  <c r="H231" i="16"/>
  <c r="H421" i="16"/>
  <c r="H199" i="16"/>
  <c r="H309" i="16"/>
  <c r="H146" i="16"/>
  <c r="H279" i="16"/>
  <c r="H336" i="16"/>
  <c r="H399" i="16"/>
  <c r="H143" i="16"/>
  <c r="H174" i="16"/>
  <c r="H349" i="16"/>
  <c r="H431" i="16"/>
  <c r="H300" i="16"/>
  <c r="H507" i="16"/>
  <c r="H251" i="16"/>
  <c r="H170" i="16"/>
  <c r="H164" i="16"/>
  <c r="H362" i="16"/>
  <c r="H276" i="16"/>
  <c r="H217" i="16"/>
  <c r="H373" i="16"/>
  <c r="H180" i="16"/>
  <c r="H257" i="16"/>
  <c r="H410" i="16"/>
  <c r="H383" i="16"/>
  <c r="H127" i="16"/>
  <c r="H158" i="16"/>
  <c r="H333" i="16"/>
  <c r="H462" i="16"/>
  <c r="H284" i="16"/>
  <c r="H491" i="16"/>
  <c r="H235" i="16"/>
  <c r="H154" i="16"/>
  <c r="H359" i="16"/>
  <c r="H426" i="16"/>
  <c r="H296" i="16"/>
  <c r="H403" i="16"/>
  <c r="H264" i="16"/>
  <c r="H178" i="16"/>
  <c r="H249" i="16"/>
  <c r="H485" i="16"/>
  <c r="H131" i="16"/>
  <c r="H153" i="16"/>
  <c r="H248" i="16"/>
  <c r="H356" i="16"/>
  <c r="H324" i="16"/>
  <c r="H121" i="16"/>
  <c r="H422" i="16"/>
  <c r="H169" i="16"/>
  <c r="H118" i="16"/>
  <c r="H470" i="16"/>
  <c r="H438" i="16"/>
  <c r="H197" i="16"/>
  <c r="H281" i="16"/>
  <c r="H226" i="16"/>
  <c r="H304" i="16"/>
  <c r="H367" i="16"/>
  <c r="H479" i="16"/>
  <c r="H142" i="16"/>
  <c r="H317" i="16"/>
  <c r="H382" i="16"/>
  <c r="H268" i="16"/>
  <c r="H475" i="16"/>
  <c r="H219" i="16"/>
  <c r="H138" i="16"/>
  <c r="H326" i="16"/>
  <c r="H492" i="16"/>
  <c r="H374" i="16"/>
  <c r="H378" i="16"/>
  <c r="H289" i="16"/>
  <c r="H488" i="16"/>
  <c r="H320" i="16"/>
  <c r="I60" i="16"/>
  <c r="I24" i="16"/>
  <c r="H24" i="16" s="1"/>
  <c r="H214" i="16"/>
  <c r="H346" i="16"/>
  <c r="H357" i="16"/>
  <c r="H184" i="16"/>
  <c r="H278" i="16"/>
  <c r="H245" i="16"/>
  <c r="H471" i="16"/>
  <c r="H211" i="16"/>
  <c r="H295" i="16"/>
  <c r="H440" i="16"/>
  <c r="H420" i="16"/>
  <c r="H388" i="16"/>
  <c r="H167" i="16"/>
  <c r="H437" i="16"/>
  <c r="H196" i="16"/>
  <c r="H288" i="16"/>
  <c r="H351" i="16"/>
  <c r="H478" i="16"/>
  <c r="H126" i="16"/>
  <c r="H301" i="16"/>
  <c r="H508" i="16"/>
  <c r="H252" i="16"/>
  <c r="H459" i="16"/>
  <c r="H203" i="16"/>
  <c r="H122" i="16"/>
  <c r="H10" i="16"/>
  <c r="H29" i="16"/>
  <c r="H107" i="16"/>
  <c r="H46" i="16"/>
  <c r="H38" i="16"/>
  <c r="H76" i="16"/>
  <c r="H97" i="16"/>
  <c r="H16" i="16"/>
  <c r="H82" i="16"/>
  <c r="H32" i="16"/>
  <c r="H63" i="16"/>
  <c r="H115" i="16"/>
  <c r="H95" i="16"/>
  <c r="H65" i="16"/>
  <c r="H59" i="16"/>
  <c r="H22" i="16"/>
  <c r="H104" i="16"/>
  <c r="H44" i="16"/>
  <c r="H83" i="16"/>
  <c r="H85" i="16"/>
  <c r="H52" i="16"/>
  <c r="H56" i="16"/>
  <c r="I34" i="16"/>
  <c r="H34" i="16" s="1"/>
  <c r="I116" i="16"/>
  <c r="I51" i="16"/>
  <c r="H51" i="16" s="1"/>
  <c r="H103" i="16"/>
  <c r="H33" i="16"/>
  <c r="H53" i="16"/>
  <c r="H14" i="16"/>
  <c r="H98" i="16"/>
  <c r="H73" i="16"/>
  <c r="H84" i="16"/>
  <c r="H117" i="16"/>
  <c r="I80" i="16"/>
  <c r="H100" i="16"/>
  <c r="H71" i="16"/>
  <c r="H102" i="16"/>
  <c r="H75" i="16"/>
  <c r="H9" i="16"/>
  <c r="E9" i="16" s="1"/>
  <c r="U4" i="16" s="1"/>
  <c r="H47" i="16"/>
  <c r="H109" i="16"/>
  <c r="H17" i="16"/>
  <c r="H111" i="16"/>
  <c r="H36" i="16"/>
  <c r="I8" i="16"/>
  <c r="H90" i="16"/>
  <c r="I27" i="16"/>
  <c r="H27" i="16" s="1"/>
  <c r="I93" i="16"/>
  <c r="H23" i="16"/>
  <c r="H55" i="16"/>
  <c r="H39" i="16"/>
  <c r="I87" i="16"/>
  <c r="H87" i="16" s="1"/>
  <c r="I57" i="16"/>
  <c r="H69" i="16"/>
  <c r="H68" i="16"/>
  <c r="H58" i="16"/>
  <c r="H30" i="16"/>
  <c r="I89" i="16"/>
  <c r="H110" i="16"/>
  <c r="H112" i="16"/>
  <c r="H92" i="16"/>
  <c r="H31" i="16"/>
  <c r="I91" i="16"/>
  <c r="H43" i="16"/>
  <c r="H41" i="16"/>
  <c r="H64" i="16"/>
  <c r="H113" i="16"/>
  <c r="H108" i="16"/>
  <c r="H86" i="16"/>
  <c r="I54" i="16"/>
  <c r="H54" i="16" s="1"/>
  <c r="H20" i="16"/>
  <c r="H11" i="16"/>
  <c r="H96" i="16"/>
  <c r="G12" i="17" l="1"/>
  <c r="J12" i="17" s="1"/>
  <c r="G11" i="17"/>
  <c r="G10" i="17"/>
  <c r="G13" i="17"/>
  <c r="J13" i="17" s="1"/>
  <c r="G9" i="17"/>
  <c r="G14" i="17"/>
  <c r="G15" i="17"/>
  <c r="F18" i="17"/>
  <c r="G17" i="17"/>
  <c r="I17" i="17"/>
  <c r="H17" i="17"/>
  <c r="J17" i="17"/>
  <c r="H60" i="16"/>
  <c r="H80" i="16"/>
  <c r="H91" i="16"/>
  <c r="H93" i="16"/>
  <c r="H57" i="16"/>
  <c r="H8" i="16"/>
  <c r="H89" i="16"/>
  <c r="H116" i="16"/>
  <c r="G18" i="17" l="1"/>
  <c r="F19" i="17"/>
  <c r="H18" i="17"/>
  <c r="I18" i="17"/>
  <c r="J18" i="17"/>
  <c r="P8" i="16" a="1"/>
  <c r="P8" i="16" l="1"/>
  <c r="U5" i="16"/>
  <c r="F20" i="17"/>
  <c r="G19" i="17"/>
  <c r="J19" i="17"/>
  <c r="I19" i="17"/>
  <c r="H19" i="17"/>
  <c r="F21" i="17" l="1"/>
  <c r="G20" i="17"/>
  <c r="I20" i="17"/>
  <c r="H20" i="17"/>
  <c r="J20" i="17"/>
  <c r="G21" i="17" l="1"/>
  <c r="F22" i="17"/>
  <c r="J21" i="17"/>
  <c r="H21" i="17"/>
  <c r="I21" i="17"/>
  <c r="F23" i="17" l="1"/>
  <c r="G22" i="17"/>
  <c r="J22" i="17"/>
  <c r="I22" i="17"/>
  <c r="H22" i="17"/>
  <c r="G23" i="17" l="1"/>
  <c r="F24" i="17"/>
  <c r="H23" i="17"/>
  <c r="I23" i="17"/>
  <c r="J23" i="17"/>
  <c r="G24" i="17" l="1"/>
  <c r="F25" i="17"/>
  <c r="H24" i="17"/>
  <c r="J24" i="17"/>
  <c r="I24" i="17"/>
  <c r="F26" i="17" l="1"/>
  <c r="G25" i="17"/>
  <c r="I25" i="17"/>
  <c r="J25" i="17"/>
  <c r="H25" i="17"/>
  <c r="G26" i="17" l="1"/>
  <c r="F27" i="17"/>
  <c r="I26" i="17"/>
  <c r="J26" i="17"/>
  <c r="H26" i="17"/>
  <c r="F28" i="17" l="1"/>
  <c r="G27" i="17"/>
  <c r="I27" i="17"/>
  <c r="H27" i="17"/>
  <c r="J27" i="17"/>
  <c r="F29" i="17" l="1"/>
  <c r="G28" i="17"/>
  <c r="H28" i="17"/>
  <c r="I28" i="17"/>
  <c r="J28" i="17"/>
  <c r="G29" i="17" l="1"/>
  <c r="F30" i="17"/>
  <c r="J29" i="17"/>
  <c r="H29" i="17"/>
  <c r="I29" i="17"/>
  <c r="F31" i="17" l="1"/>
  <c r="G30" i="17"/>
  <c r="H30" i="17"/>
  <c r="I30" i="17"/>
  <c r="J30" i="17"/>
  <c r="F32" i="17" l="1"/>
  <c r="G31" i="17"/>
  <c r="H31" i="17"/>
  <c r="I31" i="17"/>
  <c r="J31" i="17"/>
  <c r="G32" i="17" l="1"/>
  <c r="F33" i="17"/>
  <c r="H32" i="17"/>
  <c r="J32" i="17"/>
  <c r="I32" i="17"/>
  <c r="G33" i="17" l="1"/>
  <c r="F34" i="17"/>
  <c r="I33" i="17"/>
  <c r="J33" i="17"/>
  <c r="H33" i="17"/>
  <c r="F35" i="17" l="1"/>
  <c r="G34" i="17"/>
  <c r="J34" i="17"/>
  <c r="H34" i="17"/>
  <c r="I34" i="17"/>
  <c r="G35" i="17" l="1"/>
  <c r="F36" i="17"/>
  <c r="I35" i="17"/>
  <c r="J35" i="17"/>
  <c r="H35" i="17"/>
  <c r="F37" i="17" l="1"/>
  <c r="G36" i="17"/>
  <c r="I36" i="17" s="1"/>
  <c r="H36" i="17"/>
  <c r="J36" i="17"/>
  <c r="F38" i="17" l="1"/>
  <c r="G37" i="17"/>
  <c r="I37" i="17"/>
  <c r="H37" i="17"/>
  <c r="J37" i="17"/>
  <c r="F39" i="17" l="1"/>
  <c r="G38" i="17"/>
  <c r="H38" i="17"/>
  <c r="I38" i="17"/>
  <c r="J38" i="17"/>
  <c r="F40" i="17" l="1"/>
  <c r="G39" i="17"/>
  <c r="I39" i="17"/>
  <c r="H39" i="17"/>
  <c r="J39" i="17"/>
  <c r="G40" i="17" l="1"/>
  <c r="F41" i="17"/>
  <c r="J40" i="17"/>
  <c r="I40" i="17"/>
  <c r="H40" i="17"/>
  <c r="F42" i="17" l="1"/>
  <c r="G41" i="17"/>
  <c r="H41" i="17"/>
  <c r="I41" i="17"/>
  <c r="J41" i="17"/>
  <c r="F43" i="17" l="1"/>
  <c r="G42" i="17"/>
  <c r="H42" i="17"/>
  <c r="J42" i="17"/>
  <c r="I42" i="17"/>
  <c r="G43" i="17" l="1"/>
  <c r="F44" i="17"/>
  <c r="H43" i="17"/>
  <c r="J43" i="17"/>
  <c r="I43" i="17"/>
  <c r="F45" i="17" l="1"/>
  <c r="G44" i="17"/>
  <c r="I44" i="17" s="1"/>
  <c r="H44" i="17"/>
  <c r="J44" i="17"/>
  <c r="F46" i="17" l="1"/>
  <c r="G45" i="17"/>
  <c r="H45" i="17"/>
  <c r="I45" i="17"/>
  <c r="J45" i="17"/>
  <c r="F47" i="17" l="1"/>
  <c r="G46" i="17"/>
  <c r="J46" i="17"/>
  <c r="I46" i="17"/>
  <c r="H46" i="17"/>
  <c r="F48" i="17" l="1"/>
  <c r="G47" i="17"/>
  <c r="J47" i="17"/>
  <c r="H47" i="17"/>
  <c r="I47" i="17"/>
  <c r="F49" i="17" l="1"/>
  <c r="G48" i="17"/>
  <c r="J48" i="17"/>
  <c r="H48" i="17"/>
  <c r="I48" i="17"/>
  <c r="F50" i="17" l="1"/>
  <c r="G49" i="17"/>
  <c r="J49" i="17"/>
  <c r="H49" i="17"/>
  <c r="I49" i="17"/>
  <c r="G50" i="17" l="1"/>
  <c r="F51" i="17"/>
  <c r="I50" i="17"/>
  <c r="H50" i="17"/>
  <c r="J50" i="17"/>
  <c r="F52" i="17" l="1"/>
  <c r="G51" i="17"/>
  <c r="J51" i="17"/>
  <c r="I51" i="17"/>
  <c r="H51" i="17"/>
  <c r="F53" i="17" l="1"/>
  <c r="G52" i="17"/>
  <c r="I52" i="17"/>
  <c r="J52" i="17"/>
  <c r="H52" i="17"/>
  <c r="F54" i="17" l="1"/>
  <c r="G53" i="17"/>
  <c r="I53" i="17"/>
  <c r="J53" i="17"/>
  <c r="H53" i="17"/>
  <c r="G54" i="17" l="1"/>
  <c r="F55" i="17"/>
  <c r="I54" i="17"/>
  <c r="H54" i="17"/>
  <c r="J54" i="17"/>
  <c r="F56" i="17" l="1"/>
  <c r="G55" i="17"/>
  <c r="H55" i="17"/>
  <c r="J55" i="17"/>
  <c r="I55" i="17"/>
  <c r="G56" i="17" l="1"/>
  <c r="F57" i="17"/>
  <c r="J56" i="17"/>
  <c r="I56" i="17"/>
  <c r="H56" i="17"/>
  <c r="F58" i="17" l="1"/>
  <c r="G57" i="17"/>
  <c r="H57" i="17"/>
  <c r="I57" i="17"/>
  <c r="J57" i="17"/>
  <c r="F59" i="17" l="1"/>
  <c r="G58" i="17"/>
  <c r="I58" i="17"/>
  <c r="H58" i="17"/>
  <c r="J58" i="17"/>
  <c r="G59" i="17" l="1"/>
  <c r="F60" i="17"/>
  <c r="H59" i="17"/>
  <c r="I59" i="17"/>
  <c r="J59" i="17"/>
  <c r="F61" i="17" l="1"/>
  <c r="G60" i="17"/>
  <c r="I60" i="17"/>
  <c r="J60" i="17"/>
  <c r="H60" i="17"/>
  <c r="F62" i="17" l="1"/>
  <c r="G61" i="17"/>
  <c r="J61" i="17"/>
  <c r="H61" i="17"/>
  <c r="I61" i="17"/>
  <c r="F63" i="17" l="1"/>
  <c r="G62" i="17"/>
  <c r="J62" i="17"/>
  <c r="H62" i="17"/>
  <c r="I62" i="17"/>
  <c r="G63" i="17" l="1"/>
  <c r="F64" i="17"/>
  <c r="I63" i="17"/>
  <c r="J63" i="17"/>
  <c r="H63" i="17"/>
  <c r="F65" i="17" l="1"/>
  <c r="G64" i="17"/>
  <c r="I64" i="17"/>
  <c r="H64" i="17"/>
  <c r="J64" i="17"/>
  <c r="G65" i="17" l="1"/>
  <c r="F66" i="17"/>
  <c r="J65" i="17"/>
  <c r="H65" i="17"/>
  <c r="I65" i="17"/>
  <c r="G66" i="17" l="1"/>
  <c r="F67" i="17"/>
  <c r="H66" i="17"/>
  <c r="I66" i="17"/>
  <c r="J66" i="17"/>
  <c r="G67" i="17" l="1"/>
  <c r="F68" i="17"/>
  <c r="I67" i="17"/>
  <c r="J67" i="17"/>
  <c r="H67" i="17"/>
  <c r="F69" i="17" l="1"/>
  <c r="G68" i="17"/>
  <c r="I68" i="17"/>
  <c r="H68" i="17"/>
  <c r="J68" i="17"/>
  <c r="F70" i="17" l="1"/>
  <c r="G69" i="17"/>
  <c r="H69" i="17"/>
  <c r="I69" i="17"/>
  <c r="J69" i="17"/>
  <c r="G70" i="17" l="1"/>
  <c r="F71" i="17"/>
  <c r="H70" i="17"/>
  <c r="I70" i="17"/>
  <c r="J70" i="17"/>
  <c r="F72" i="17" l="1"/>
  <c r="G71" i="17"/>
  <c r="J71" i="17"/>
  <c r="I71" i="17"/>
  <c r="H71" i="17"/>
  <c r="G72" i="17" l="1"/>
  <c r="F73" i="17"/>
  <c r="I72" i="17"/>
  <c r="J72" i="17"/>
  <c r="H72" i="17"/>
  <c r="F74" i="17" l="1"/>
  <c r="G73" i="17"/>
  <c r="H73" i="17"/>
  <c r="I73" i="17"/>
  <c r="J73" i="17"/>
  <c r="F75" i="17" l="1"/>
  <c r="G74" i="17"/>
  <c r="J74" i="17"/>
  <c r="H74" i="17"/>
  <c r="I74" i="17"/>
  <c r="G75" i="17" l="1"/>
  <c r="F76" i="17"/>
  <c r="J75" i="17"/>
  <c r="I75" i="17"/>
  <c r="H75" i="17"/>
  <c r="G76" i="17" l="1"/>
  <c r="F77" i="17"/>
  <c r="I76" i="17"/>
  <c r="J76" i="17"/>
  <c r="H76" i="17"/>
  <c r="F78" i="17" l="1"/>
  <c r="G77" i="17"/>
  <c r="H77" i="17"/>
  <c r="J77" i="17"/>
  <c r="I77" i="17"/>
  <c r="G78" i="17" l="1"/>
  <c r="F79" i="17"/>
  <c r="J78" i="17"/>
  <c r="H78" i="17"/>
  <c r="I78" i="17"/>
  <c r="G79" i="17" l="1"/>
  <c r="F80" i="17"/>
  <c r="J79" i="17"/>
  <c r="H79" i="17"/>
  <c r="I79" i="17"/>
  <c r="G80" i="17" l="1"/>
  <c r="F81" i="17"/>
  <c r="H80" i="17"/>
  <c r="I80" i="17"/>
  <c r="J80" i="17"/>
  <c r="G81" i="17" l="1"/>
  <c r="F82" i="17"/>
  <c r="H81" i="17"/>
  <c r="I81" i="17"/>
  <c r="J81" i="17"/>
  <c r="F83" i="17" l="1"/>
  <c r="G82" i="17"/>
  <c r="J82" i="17"/>
  <c r="H82" i="17"/>
  <c r="I82" i="17"/>
  <c r="G83" i="17" l="1"/>
  <c r="F84" i="17"/>
  <c r="J83" i="17"/>
  <c r="H83" i="17"/>
  <c r="I83" i="17"/>
  <c r="F85" i="17" l="1"/>
  <c r="G84" i="17"/>
  <c r="H84" i="17"/>
  <c r="J84" i="17"/>
  <c r="I84" i="17"/>
  <c r="F86" i="17" l="1"/>
  <c r="G85" i="17"/>
  <c r="H85" i="17"/>
  <c r="I85" i="17"/>
  <c r="J85" i="17"/>
  <c r="F87" i="17" l="1"/>
  <c r="G86" i="17"/>
  <c r="J86" i="17"/>
  <c r="H86" i="17"/>
  <c r="I86" i="17"/>
  <c r="F88" i="17" l="1"/>
  <c r="G87" i="17"/>
  <c r="H87" i="17"/>
  <c r="J87" i="17"/>
  <c r="I87" i="17"/>
  <c r="G88" i="17" l="1"/>
  <c r="F89" i="17"/>
  <c r="I88" i="17"/>
  <c r="J88" i="17"/>
  <c r="H88" i="17"/>
  <c r="F90" i="17" l="1"/>
  <c r="G89" i="17"/>
  <c r="H89" i="17"/>
  <c r="I89" i="17"/>
  <c r="J89" i="17"/>
  <c r="F91" i="17" l="1"/>
  <c r="G90" i="17"/>
  <c r="H90" i="17"/>
  <c r="I90" i="17"/>
  <c r="J90" i="17"/>
  <c r="G91" i="17" l="1"/>
  <c r="F92" i="17"/>
  <c r="H91" i="17"/>
  <c r="I91" i="17"/>
  <c r="J91" i="17"/>
  <c r="F93" i="17" l="1"/>
  <c r="G92" i="17"/>
  <c r="I92" i="17"/>
  <c r="J92" i="17"/>
  <c r="H92" i="17"/>
  <c r="F94" i="17" l="1"/>
  <c r="G93" i="17"/>
  <c r="I93" i="17"/>
  <c r="J93" i="17"/>
  <c r="H93" i="17"/>
  <c r="G94" i="17" l="1"/>
  <c r="F95" i="17"/>
  <c r="H94" i="17"/>
  <c r="I94" i="17"/>
  <c r="J94" i="17"/>
  <c r="F96" i="17" l="1"/>
  <c r="G95" i="17"/>
  <c r="H95" i="17"/>
  <c r="J95" i="17"/>
  <c r="I95" i="17"/>
  <c r="F97" i="17" l="1"/>
  <c r="G96" i="17"/>
  <c r="I96" i="17"/>
  <c r="H96" i="17"/>
  <c r="J96" i="17"/>
  <c r="G97" i="17" l="1"/>
  <c r="F98" i="17"/>
  <c r="H97" i="17"/>
  <c r="J97" i="17"/>
  <c r="I97" i="17"/>
  <c r="F99" i="17" l="1"/>
  <c r="G98" i="17"/>
  <c r="I98" i="17"/>
  <c r="H98" i="17"/>
  <c r="J98" i="17"/>
  <c r="F100" i="17" l="1"/>
  <c r="G99" i="17"/>
  <c r="I99" i="17"/>
  <c r="J99" i="17"/>
  <c r="H99" i="17"/>
  <c r="F101" i="17" l="1"/>
  <c r="G100" i="17"/>
  <c r="J100" i="17"/>
  <c r="H100" i="17"/>
  <c r="I100" i="17"/>
  <c r="F102" i="17" l="1"/>
  <c r="G101" i="17"/>
  <c r="H101" i="17"/>
  <c r="J101" i="17"/>
  <c r="I101" i="17"/>
  <c r="F103" i="17" l="1"/>
  <c r="G102" i="17"/>
  <c r="H102" i="17"/>
  <c r="I102" i="17"/>
  <c r="J102" i="17"/>
  <c r="F104" i="17" l="1"/>
  <c r="G103" i="17"/>
  <c r="J103" i="17"/>
  <c r="I103" i="17"/>
  <c r="H103" i="17"/>
  <c r="G104" i="17" l="1"/>
  <c r="F105" i="17"/>
  <c r="J104" i="17"/>
  <c r="I104" i="17"/>
  <c r="H104" i="17"/>
  <c r="F106" i="17" l="1"/>
  <c r="G105" i="17"/>
  <c r="J105" i="17"/>
  <c r="I105" i="17"/>
  <c r="H105" i="17"/>
  <c r="F107" i="17" l="1"/>
  <c r="G106" i="17"/>
  <c r="I106" i="17"/>
  <c r="J106" i="17"/>
  <c r="H106" i="17"/>
  <c r="G107" i="17" l="1"/>
  <c r="F108" i="17"/>
  <c r="J107" i="17"/>
  <c r="H107" i="17"/>
  <c r="I107" i="17"/>
  <c r="G108" i="17" l="1"/>
  <c r="F109" i="17"/>
  <c r="J108" i="17"/>
  <c r="I108" i="17"/>
  <c r="H108" i="17"/>
  <c r="F110" i="17" l="1"/>
  <c r="G109" i="17"/>
  <c r="H109" i="17"/>
  <c r="J109" i="17"/>
  <c r="I109" i="17"/>
  <c r="G110" i="17" l="1"/>
  <c r="F111" i="17"/>
  <c r="I110" i="17"/>
  <c r="H110" i="17"/>
  <c r="J110" i="17"/>
  <c r="F112" i="17" l="1"/>
  <c r="G111" i="17"/>
  <c r="J111" i="17" s="1"/>
  <c r="H111" i="17"/>
  <c r="I111" i="17"/>
  <c r="G112" i="17" l="1"/>
  <c r="F113" i="17"/>
  <c r="J112" i="17"/>
  <c r="I112" i="17"/>
  <c r="H112" i="17"/>
  <c r="G113" i="17" l="1"/>
  <c r="F114" i="17"/>
  <c r="J113" i="17"/>
  <c r="I113" i="17"/>
  <c r="H113" i="17"/>
  <c r="F115" i="17" l="1"/>
  <c r="G114" i="17"/>
  <c r="J114" i="17"/>
  <c r="H114" i="17"/>
  <c r="I114" i="17"/>
  <c r="F116" i="17" l="1"/>
  <c r="G115" i="17"/>
  <c r="H115" i="17"/>
  <c r="J115" i="17"/>
  <c r="I115" i="17"/>
  <c r="F117" i="17" l="1"/>
  <c r="G116" i="17"/>
  <c r="J116" i="17" s="1"/>
  <c r="I116" i="17"/>
  <c r="H116" i="17" l="1"/>
  <c r="G117" i="17"/>
  <c r="J117" i="17" s="1"/>
  <c r="F118" i="17"/>
  <c r="H117" i="17"/>
  <c r="I117" i="17" l="1"/>
  <c r="G118" i="17"/>
  <c r="J118" i="17" s="1"/>
  <c r="F119" i="17"/>
  <c r="H118" i="17"/>
  <c r="I118" i="17" l="1"/>
  <c r="F120" i="17"/>
  <c r="G119" i="17"/>
  <c r="H119" i="17"/>
  <c r="I119" i="17"/>
  <c r="J119" i="17"/>
  <c r="G120" i="17" l="1"/>
  <c r="F121" i="17"/>
  <c r="I120" i="17"/>
  <c r="H120" i="17"/>
  <c r="J120" i="17"/>
  <c r="G121" i="17" l="1"/>
  <c r="F122" i="17"/>
  <c r="H121" i="17"/>
  <c r="J121" i="17"/>
  <c r="I121" i="17"/>
  <c r="F123" i="17" l="1"/>
  <c r="G122" i="17"/>
  <c r="H122" i="17"/>
  <c r="J122" i="17"/>
  <c r="I122" i="17"/>
  <c r="G123" i="17" l="1"/>
  <c r="F124" i="17"/>
  <c r="H123" i="17"/>
  <c r="I123" i="17"/>
  <c r="J123" i="17"/>
  <c r="F125" i="17" l="1"/>
  <c r="G124" i="17"/>
  <c r="I124" i="17"/>
  <c r="H124" i="17"/>
  <c r="J124" i="17"/>
  <c r="F126" i="17" l="1"/>
  <c r="G125" i="17"/>
  <c r="H125" i="17"/>
  <c r="J125" i="17"/>
  <c r="I125" i="17"/>
  <c r="G126" i="17" l="1"/>
  <c r="F127" i="17"/>
  <c r="I126" i="17"/>
  <c r="H126" i="17"/>
  <c r="J126" i="17"/>
  <c r="G127" i="17" l="1"/>
  <c r="F128" i="17"/>
  <c r="I127" i="17"/>
  <c r="J127" i="17"/>
  <c r="H127" i="17"/>
  <c r="F129" i="17" l="1"/>
  <c r="G128" i="17"/>
  <c r="J128" i="17"/>
  <c r="H128" i="17"/>
  <c r="I128" i="17"/>
  <c r="G129" i="17" l="1"/>
  <c r="F130" i="17"/>
  <c r="I129" i="17"/>
  <c r="H129" i="17"/>
  <c r="J129" i="17"/>
  <c r="G130" i="17" l="1"/>
  <c r="J130" i="17" s="1"/>
  <c r="F131" i="17"/>
  <c r="I130" i="17"/>
  <c r="H130" i="17"/>
  <c r="G131" i="17" l="1"/>
  <c r="F132" i="17"/>
  <c r="H131" i="17"/>
  <c r="I131" i="17"/>
  <c r="J131" i="17"/>
  <c r="F133" i="17" l="1"/>
  <c r="G132" i="17"/>
  <c r="H132" i="17"/>
  <c r="I132" i="17"/>
  <c r="J132" i="17"/>
  <c r="F134" i="17" l="1"/>
  <c r="G133" i="17"/>
  <c r="I133" i="17"/>
  <c r="J133" i="17"/>
  <c r="H133" i="17"/>
  <c r="G134" i="17" l="1"/>
  <c r="F135" i="17"/>
  <c r="I134" i="17"/>
  <c r="H134" i="17"/>
  <c r="J134" i="17"/>
  <c r="F136" i="17" l="1"/>
  <c r="G135" i="17"/>
  <c r="I135" i="17"/>
  <c r="H135" i="17"/>
  <c r="J135" i="17"/>
  <c r="G136" i="17" l="1"/>
  <c r="F137" i="17"/>
  <c r="H136" i="17"/>
  <c r="J136" i="17"/>
  <c r="I136" i="17"/>
  <c r="F138" i="17" l="1"/>
  <c r="G137" i="17"/>
  <c r="I137" i="17"/>
  <c r="H137" i="17"/>
  <c r="J137" i="17"/>
  <c r="F139" i="17" l="1"/>
  <c r="G138" i="17"/>
  <c r="I138" i="17"/>
  <c r="H138" i="17"/>
  <c r="J138" i="17"/>
  <c r="G139" i="17" l="1"/>
  <c r="F140" i="17"/>
  <c r="J139" i="17"/>
  <c r="H139" i="17"/>
  <c r="I139" i="17"/>
  <c r="G140" i="17" l="1"/>
  <c r="F141" i="17"/>
  <c r="H140" i="17"/>
  <c r="J140" i="17"/>
  <c r="I140" i="17"/>
  <c r="F142" i="17" l="1"/>
  <c r="G141" i="17"/>
  <c r="I141" i="17" s="1"/>
  <c r="J141" i="17"/>
  <c r="H141" i="17" l="1"/>
  <c r="G142" i="17"/>
  <c r="H142" i="17" s="1"/>
  <c r="F143" i="17"/>
  <c r="J142" i="17" l="1"/>
  <c r="I142" i="17"/>
  <c r="F144" i="17"/>
  <c r="G143" i="17"/>
  <c r="I143" i="17" s="1"/>
  <c r="H143" i="17"/>
  <c r="J143" i="17" l="1"/>
  <c r="F145" i="17"/>
  <c r="G144" i="17"/>
  <c r="J144" i="17" s="1"/>
  <c r="I144" i="17" l="1"/>
  <c r="H144" i="17"/>
  <c r="G145" i="17"/>
  <c r="J145" i="17" s="1"/>
  <c r="F146" i="17"/>
  <c r="I145" i="17" l="1"/>
  <c r="H145" i="17"/>
  <c r="F147" i="17"/>
  <c r="G146" i="17"/>
  <c r="I146" i="17" s="1"/>
  <c r="H146" i="17"/>
  <c r="J146" i="17" l="1"/>
  <c r="G147" i="17"/>
  <c r="J147" i="17" s="1"/>
  <c r="F148" i="17"/>
  <c r="I147" i="17"/>
  <c r="H147" i="17"/>
  <c r="F149" i="17" l="1"/>
  <c r="G148" i="17"/>
  <c r="I148" i="17" s="1"/>
  <c r="J148" i="17"/>
  <c r="H148" i="17"/>
  <c r="G149" i="17" l="1"/>
  <c r="F150" i="17"/>
  <c r="J149" i="17"/>
  <c r="I149" i="17"/>
  <c r="H149" i="17"/>
  <c r="F151" i="17" l="1"/>
  <c r="G150" i="17"/>
  <c r="I150" i="17"/>
  <c r="H150" i="17"/>
  <c r="J150" i="17"/>
  <c r="F152" i="17" l="1"/>
  <c r="G151" i="17"/>
  <c r="H151" i="17" s="1"/>
  <c r="I151" i="17"/>
  <c r="J151" i="17" l="1"/>
  <c r="G152" i="17"/>
  <c r="H152" i="17" s="1"/>
  <c r="F153" i="17"/>
  <c r="I152" i="17" l="1"/>
  <c r="J152" i="17"/>
  <c r="G153" i="17"/>
  <c r="I153" i="17" s="1"/>
  <c r="F154" i="17"/>
  <c r="H153" i="17"/>
  <c r="J153" i="17"/>
  <c r="F155" i="17" l="1"/>
  <c r="G154" i="17"/>
  <c r="H154" i="17"/>
  <c r="I154" i="17"/>
  <c r="J154" i="17"/>
  <c r="G155" i="17" l="1"/>
  <c r="F156" i="17"/>
  <c r="H155" i="17"/>
  <c r="J155" i="17"/>
  <c r="I155" i="17"/>
  <c r="F157" i="17" l="1"/>
  <c r="G156" i="17"/>
  <c r="J156" i="17" s="1"/>
  <c r="I156" i="17"/>
  <c r="H156" i="17"/>
  <c r="F158" i="17" l="1"/>
  <c r="G157" i="17"/>
  <c r="H157" i="17"/>
  <c r="I157" i="17"/>
  <c r="J157" i="17"/>
  <c r="G158" i="17" l="1"/>
  <c r="F159" i="17"/>
  <c r="H158" i="17"/>
  <c r="I158" i="17"/>
  <c r="J158" i="17"/>
  <c r="F160" i="17" l="1"/>
  <c r="G159" i="17"/>
  <c r="J159" i="17" s="1"/>
  <c r="I159" i="17"/>
  <c r="H159" i="17"/>
  <c r="G160" i="17" l="1"/>
  <c r="F161" i="17"/>
  <c r="H160" i="17"/>
  <c r="J160" i="17"/>
  <c r="I160" i="17"/>
  <c r="G161" i="17" l="1"/>
  <c r="F162" i="17"/>
  <c r="H161" i="17"/>
  <c r="J161" i="17"/>
  <c r="I161" i="17"/>
  <c r="F163" i="17" l="1"/>
  <c r="G162" i="17"/>
  <c r="H162" i="17" s="1"/>
  <c r="I162" i="17"/>
  <c r="J162" i="17" l="1"/>
  <c r="G163" i="17"/>
  <c r="J163" i="17" s="1"/>
  <c r="F164" i="17"/>
  <c r="H163" i="17"/>
  <c r="I163" i="17" l="1"/>
  <c r="F165" i="17"/>
  <c r="G164" i="17"/>
  <c r="I164" i="17" s="1"/>
  <c r="H164" i="17"/>
  <c r="J164" i="17" l="1"/>
  <c r="F166" i="17"/>
  <c r="G165" i="17"/>
  <c r="J165" i="17" s="1"/>
  <c r="H165" i="17"/>
  <c r="I165" i="17"/>
  <c r="F167" i="17" l="1"/>
  <c r="G166" i="17"/>
  <c r="I166" i="17"/>
  <c r="H166" i="17"/>
  <c r="J166" i="17"/>
  <c r="F168" i="17" l="1"/>
  <c r="G167" i="17"/>
  <c r="H167" i="17" s="1"/>
  <c r="J167" i="17" l="1"/>
  <c r="I167" i="17"/>
  <c r="G168" i="17"/>
  <c r="H168" i="17" s="1"/>
  <c r="F169" i="17"/>
  <c r="I168" i="17" l="1"/>
  <c r="J168" i="17"/>
  <c r="F170" i="17"/>
  <c r="G169" i="17"/>
  <c r="J169" i="17" s="1"/>
  <c r="H169" i="17"/>
  <c r="I169" i="17"/>
  <c r="F171" i="17" l="1"/>
  <c r="G170" i="17"/>
  <c r="H170" i="17" s="1"/>
  <c r="I170" i="17"/>
  <c r="J170" i="17"/>
  <c r="G171" i="17" l="1"/>
  <c r="F172" i="17"/>
  <c r="I171" i="17"/>
  <c r="H171" i="17"/>
  <c r="J171" i="17"/>
  <c r="G172" i="17" l="1"/>
  <c r="F173" i="17"/>
  <c r="I172" i="17"/>
  <c r="H172" i="17"/>
  <c r="J172" i="17"/>
  <c r="F174" i="17" l="1"/>
  <c r="G173" i="17"/>
  <c r="I173" i="17" s="1"/>
  <c r="H173" i="17"/>
  <c r="J173" i="17" l="1"/>
  <c r="G174" i="17"/>
  <c r="J174" i="17" s="1"/>
  <c r="F175" i="17"/>
  <c r="H174" i="17"/>
  <c r="I174" i="17" l="1"/>
  <c r="F176" i="17"/>
  <c r="G175" i="17"/>
  <c r="I175" i="17" s="1"/>
  <c r="J175" i="17" l="1"/>
  <c r="H175" i="17"/>
  <c r="F177" i="17"/>
  <c r="G176" i="17"/>
  <c r="J176" i="17" s="1"/>
  <c r="I176" i="17" l="1"/>
  <c r="H176" i="17"/>
  <c r="G177" i="17"/>
  <c r="H177" i="17" s="1"/>
  <c r="F178" i="17"/>
  <c r="I177" i="17" l="1"/>
  <c r="J177" i="17"/>
  <c r="F179" i="17"/>
  <c r="G178" i="17"/>
  <c r="I178" i="17"/>
  <c r="H178" i="17"/>
  <c r="J178" i="17"/>
  <c r="F180" i="17" l="1"/>
  <c r="G179" i="17"/>
  <c r="I179" i="17"/>
  <c r="H179" i="17"/>
  <c r="J179" i="17"/>
  <c r="F181" i="17" l="1"/>
  <c r="G180" i="17"/>
  <c r="I180" i="17"/>
  <c r="J180" i="17"/>
  <c r="H180" i="17"/>
  <c r="G181" i="17" l="1"/>
  <c r="F182" i="17"/>
  <c r="J181" i="17"/>
  <c r="H181" i="17"/>
  <c r="I181" i="17"/>
  <c r="F183" i="17" l="1"/>
  <c r="G182" i="17"/>
  <c r="H182" i="17"/>
  <c r="I182" i="17"/>
  <c r="J182" i="17"/>
  <c r="F184" i="17" l="1"/>
  <c r="G183" i="17"/>
  <c r="J183" i="17"/>
  <c r="H183" i="17"/>
  <c r="I183" i="17"/>
  <c r="G184" i="17" l="1"/>
  <c r="F185" i="17"/>
  <c r="J184" i="17"/>
  <c r="I184" i="17"/>
  <c r="H184" i="17"/>
  <c r="G185" i="17" l="1"/>
  <c r="F186" i="17"/>
  <c r="J185" i="17"/>
  <c r="I185" i="17"/>
  <c r="H185" i="17"/>
  <c r="F187" i="17" l="1"/>
  <c r="G186" i="17"/>
  <c r="I186" i="17"/>
  <c r="H186" i="17"/>
  <c r="J186" i="17"/>
  <c r="G187" i="17" l="1"/>
  <c r="F188" i="17"/>
  <c r="I187" i="17"/>
  <c r="J187" i="17"/>
  <c r="H187" i="17"/>
  <c r="G188" i="17" l="1"/>
  <c r="F189" i="17"/>
  <c r="H188" i="17"/>
  <c r="J188" i="17"/>
  <c r="I188" i="17"/>
  <c r="F190" i="17" l="1"/>
  <c r="G189" i="17"/>
  <c r="J189" i="17"/>
  <c r="I189" i="17"/>
  <c r="H189" i="17"/>
  <c r="G190" i="17" l="1"/>
  <c r="F191" i="17"/>
  <c r="I190" i="17"/>
  <c r="J190" i="17"/>
  <c r="H190" i="17"/>
  <c r="F192" i="17" l="1"/>
  <c r="G191" i="17"/>
  <c r="I191" i="17"/>
  <c r="H191" i="17"/>
  <c r="J191" i="17"/>
  <c r="F193" i="17" l="1"/>
  <c r="G192" i="17"/>
  <c r="H192" i="17"/>
  <c r="J192" i="17"/>
  <c r="I192" i="17"/>
  <c r="G193" i="17" l="1"/>
  <c r="F194" i="17"/>
  <c r="J193" i="17"/>
  <c r="I193" i="17"/>
  <c r="H193" i="17"/>
  <c r="F195" i="17" l="1"/>
  <c r="G194" i="17"/>
  <c r="H194" i="17"/>
  <c r="I194" i="17"/>
  <c r="J194" i="17"/>
  <c r="F196" i="17" l="1"/>
  <c r="G195" i="17"/>
  <c r="I195" i="17"/>
  <c r="J195" i="17"/>
  <c r="H195" i="17"/>
  <c r="F197" i="17" l="1"/>
  <c r="G196" i="17"/>
  <c r="J196" i="17"/>
  <c r="H196" i="17"/>
  <c r="I196" i="17"/>
  <c r="F198" i="17" l="1"/>
  <c r="G197" i="17"/>
  <c r="H197" i="17"/>
  <c r="J197" i="17"/>
  <c r="I197" i="17"/>
  <c r="F199" i="17" l="1"/>
  <c r="G198" i="17"/>
  <c r="J198" i="17" s="1"/>
  <c r="I198" i="17"/>
  <c r="H198" i="17"/>
  <c r="F200" i="17" l="1"/>
  <c r="G199" i="17"/>
  <c r="H199" i="17"/>
  <c r="I199" i="17"/>
  <c r="J199" i="17"/>
  <c r="G200" i="17" l="1"/>
  <c r="F201" i="17"/>
  <c r="J200" i="17"/>
  <c r="H200" i="17"/>
  <c r="I200" i="17"/>
  <c r="F202" i="17" l="1"/>
  <c r="G201" i="17"/>
  <c r="J201" i="17"/>
  <c r="H201" i="17"/>
  <c r="I201" i="17"/>
  <c r="F203" i="17" l="1"/>
  <c r="G202" i="17"/>
  <c r="I202" i="17" s="1"/>
  <c r="H202" i="17"/>
  <c r="J202" i="17" l="1"/>
  <c r="G203" i="17"/>
  <c r="J203" i="17" s="1"/>
  <c r="F204" i="17"/>
  <c r="I203" i="17" l="1"/>
  <c r="H203" i="17"/>
  <c r="F205" i="17"/>
  <c r="G204" i="17"/>
  <c r="H204" i="17" s="1"/>
  <c r="J204" i="17" l="1"/>
  <c r="I204" i="17"/>
  <c r="F206" i="17"/>
  <c r="G205" i="17"/>
  <c r="J205" i="17" s="1"/>
  <c r="H205" i="17"/>
  <c r="I205" i="17" l="1"/>
  <c r="G206" i="17"/>
  <c r="I206" i="17" s="1"/>
  <c r="F207" i="17"/>
  <c r="H206" i="17"/>
  <c r="J206" i="17"/>
  <c r="F208" i="17" l="1"/>
  <c r="G207" i="17"/>
  <c r="H207" i="17" s="1"/>
  <c r="J207" i="17" l="1"/>
  <c r="I207" i="17"/>
  <c r="F209" i="17"/>
  <c r="G208" i="17"/>
  <c r="I208" i="17" s="1"/>
  <c r="H208" i="17"/>
  <c r="J208" i="17" l="1"/>
  <c r="G209" i="17"/>
  <c r="J209" i="17" s="1"/>
  <c r="I209" i="17"/>
  <c r="H209" i="1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<sst xmlns="http://schemas.openxmlformats.org/spreadsheetml/2006/main" count="1143" uniqueCount="604">
  <si>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</si>
  <si>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</si>
  <si>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</si>
  <si>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</si>
  <si>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</si>
  <si>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min</t>
  </si>
  <si>
    <t>max</t>
  </si>
  <si>
    <t>Inputs</t>
  </si>
  <si>
    <t>Azimuth</t>
  </si>
  <si>
    <t>Altitude</t>
  </si>
  <si>
    <t>RA</t>
  </si>
  <si>
    <t>Decl</t>
  </si>
  <si>
    <t>HA</t>
  </si>
  <si>
    <t>Date</t>
  </si>
  <si>
    <t>Time</t>
  </si>
  <si>
    <t>M2</t>
  </si>
  <si>
    <t>Timezone</t>
  </si>
  <si>
    <t>M3</t>
  </si>
  <si>
    <t>Leap year?</t>
  </si>
  <si>
    <t>Day nr.</t>
  </si>
  <si>
    <t>Weekday</t>
  </si>
  <si>
    <t>JDE</t>
  </si>
  <si>
    <t>Delta days</t>
  </si>
  <si>
    <t>φ    (latitude)</t>
  </si>
  <si>
    <t>M9</t>
  </si>
  <si>
    <t>L     (longitude)</t>
  </si>
  <si>
    <t>M10</t>
  </si>
  <si>
    <t>UT  (hours)</t>
  </si>
  <si>
    <t>LST (degrees)</t>
  </si>
  <si>
    <t>M12</t>
  </si>
  <si>
    <t>Deg - Rad</t>
  </si>
  <si>
    <t>M14</t>
  </si>
  <si>
    <t>M19</t>
  </si>
  <si>
    <t>M21</t>
  </si>
  <si>
    <t>M23</t>
  </si>
  <si>
    <t>M25</t>
  </si>
  <si>
    <t>M26</t>
  </si>
  <si>
    <t>M28</t>
  </si>
  <si>
    <t>M32</t>
  </si>
  <si>
    <t>M34</t>
  </si>
  <si>
    <t>M35</t>
  </si>
  <si>
    <t>M36</t>
  </si>
  <si>
    <t>M38</t>
  </si>
  <si>
    <t>M39</t>
  </si>
  <si>
    <t>M46</t>
  </si>
  <si>
    <t>M47</t>
  </si>
  <si>
    <t>M48</t>
  </si>
  <si>
    <t>M49</t>
  </si>
  <si>
    <t>M53</t>
  </si>
  <si>
    <t>M54</t>
  </si>
  <si>
    <t>M56</t>
  </si>
  <si>
    <t>M58</t>
  </si>
  <si>
    <t>M59</t>
  </si>
  <si>
    <t>M60</t>
  </si>
  <si>
    <t>M68</t>
  </si>
  <si>
    <t>M69</t>
  </si>
  <si>
    <t>M70</t>
  </si>
  <si>
    <t>M72</t>
  </si>
  <si>
    <t>M75</t>
  </si>
  <si>
    <t>M77</t>
  </si>
  <si>
    <t>M79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</si>
  <si>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</si>
  <si>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</si>
  <si>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</si>
  <si>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</si>
  <si>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</si>
  <si>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</si>
  <si>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</si>
  <si>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</si>
  <si>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</si>
  <si>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</si>
  <si>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M95</t>
  </si>
  <si>
    <t>M96</t>
  </si>
  <si>
    <t>M98</t>
  </si>
  <si>
    <t>M103</t>
  </si>
  <si>
    <t>M105</t>
  </si>
  <si>
    <t>M106</t>
  </si>
  <si>
    <t>M108</t>
  </si>
  <si>
    <t>M109</t>
  </si>
  <si>
    <t>M110</t>
  </si>
  <si>
    <t>Common Name</t>
  </si>
  <si>
    <t>Objects meeting the criteria</t>
  </si>
  <si>
    <t>IC410</t>
  </si>
  <si>
    <t>IC2149</t>
  </si>
  <si>
    <t>IC3568</t>
  </si>
  <si>
    <t>IC10</t>
  </si>
  <si>
    <t>Trumpler1</t>
  </si>
  <si>
    <t>IC1805</t>
  </si>
  <si>
    <t>Berkeley94</t>
  </si>
  <si>
    <t>King10</t>
  </si>
  <si>
    <t>IC2163</t>
  </si>
  <si>
    <t>4656/4657</t>
  </si>
  <si>
    <t>IC 1310</t>
  </si>
  <si>
    <t>6992/6995/6960/6979</t>
  </si>
  <si>
    <t>2371/2372</t>
  </si>
  <si>
    <t>IC4593</t>
  </si>
  <si>
    <t>IC1434</t>
  </si>
  <si>
    <t>IC418</t>
  </si>
  <si>
    <t>2237/2238/2239/2246</t>
  </si>
  <si>
    <t>2244 CLUSTER IN ROS.</t>
  </si>
  <si>
    <t>IC4665</t>
  </si>
  <si>
    <t>1973/1975(NEBULA)</t>
  </si>
  <si>
    <t>1977(CLUSTER)</t>
  </si>
  <si>
    <t>650/651</t>
  </si>
  <si>
    <t>Berkeley68</t>
  </si>
  <si>
    <t>IC5271</t>
  </si>
  <si>
    <t>Melotte71</t>
  </si>
  <si>
    <t>Trumpler32</t>
  </si>
  <si>
    <t>IC4703(BN)</t>
  </si>
  <si>
    <t>IC4756</t>
  </si>
  <si>
    <t>Harvard20</t>
  </si>
  <si>
    <t>B86</t>
  </si>
  <si>
    <t>B92</t>
  </si>
  <si>
    <t>B93</t>
  </si>
  <si>
    <t>IC4725</t>
  </si>
  <si>
    <t>IC4776</t>
  </si>
  <si>
    <t>IC349</t>
  </si>
  <si>
    <t>1554/1555</t>
  </si>
  <si>
    <t>6885=6882=Collinder416</t>
  </si>
  <si>
    <t>NGC</t>
  </si>
  <si>
    <t>Great Star Cloud in Andromeda Galaxy</t>
  </si>
  <si>
    <t>M31 ANDROMEDA GALAXY</t>
  </si>
  <si>
    <t>MIRACH'S GHOST</t>
  </si>
  <si>
    <t xml:space="preserve">UGC 1831/The Silver Sliver Galaxy        </t>
  </si>
  <si>
    <t>Blue Snowball</t>
  </si>
  <si>
    <t xml:space="preserve">OCL  100          </t>
  </si>
  <si>
    <t xml:space="preserve">OCL   96          </t>
  </si>
  <si>
    <t xml:space="preserve">OCL   99          </t>
  </si>
  <si>
    <t>GHOST OF THE MOON, The Snowglobe/HORSESHOE/EAGLE'S NEST</t>
  </si>
  <si>
    <t>SNOWBALL NEBULA</t>
  </si>
  <si>
    <t>SATURN NEBULA</t>
  </si>
  <si>
    <t>The Helix Nebula/The Sunflower Nebula</t>
  </si>
  <si>
    <t xml:space="preserve">MCG - 2-59- 12    </t>
  </si>
  <si>
    <t>FIDDLEHEAD GALAXY</t>
  </si>
  <si>
    <t xml:space="preserve">UGC 1768         </t>
  </si>
  <si>
    <t xml:space="preserve">UGC 2045         </t>
  </si>
  <si>
    <t xml:space="preserve">OCL  411          </t>
  </si>
  <si>
    <t xml:space="preserve">OCL  429          </t>
  </si>
  <si>
    <t xml:space="preserve">OCL  410          </t>
  </si>
  <si>
    <t xml:space="preserve">OCL  428          </t>
  </si>
  <si>
    <t xml:space="preserve">IC 410           </t>
  </si>
  <si>
    <t xml:space="preserve">OCL  417          </t>
  </si>
  <si>
    <t xml:space="preserve">OCL  434          </t>
  </si>
  <si>
    <t>THE FLY</t>
  </si>
  <si>
    <t>M37/Salt &amp; Pepper Cluster</t>
  </si>
  <si>
    <t xml:space="preserve">PK166+10.1       </t>
  </si>
  <si>
    <t xml:space="preserve">OCL  418          </t>
  </si>
  <si>
    <t xml:space="preserve">OCL  437          </t>
  </si>
  <si>
    <t>THE BROKEN HEART CLUSTER</t>
  </si>
  <si>
    <t xml:space="preserve">UGC 8616         </t>
  </si>
  <si>
    <t xml:space="preserve">UGC 9366         </t>
  </si>
  <si>
    <t xml:space="preserve">UGC 9399         </t>
  </si>
  <si>
    <t>OYSTER NEBULA, The Camel's Eye</t>
  </si>
  <si>
    <t>JOLLY ROGER CLUSTER/GOLDEN HARP CLUSTER</t>
  </si>
  <si>
    <t xml:space="preserve">3C120,DUSTY HAND GALAXY          </t>
  </si>
  <si>
    <t xml:space="preserve">UGC 3653         </t>
  </si>
  <si>
    <t xml:space="preserve">UGC 3809         </t>
  </si>
  <si>
    <t xml:space="preserve">UGC 3918         </t>
  </si>
  <si>
    <t xml:space="preserve">UGC 4637         </t>
  </si>
  <si>
    <t>THEORITICIAN'S NEBULA,Lemon Slice Neb.,Baby Eskimo</t>
  </si>
  <si>
    <t>M30 JELLYFISH CLUSTER</t>
  </si>
  <si>
    <t xml:space="preserve">UGC 192         </t>
  </si>
  <si>
    <t xml:space="preserve">UGC 326;D3      </t>
  </si>
  <si>
    <t xml:space="preserve">UGC 396         </t>
  </si>
  <si>
    <t xml:space="preserve">OCL  301          </t>
  </si>
  <si>
    <t>SAILBOAT CLUSTER</t>
  </si>
  <si>
    <t xml:space="preserve">UGC 528         </t>
  </si>
  <si>
    <t xml:space="preserve">IC  11, PacMan Nebula w/OC IC1590     </t>
  </si>
  <si>
    <t xml:space="preserve">OCL  317          </t>
  </si>
  <si>
    <t xml:space="preserve">OCL  320          </t>
  </si>
  <si>
    <t>OWL Cluster/ET Cluster</t>
  </si>
  <si>
    <t xml:space="preserve">Collinder  15            </t>
  </si>
  <si>
    <t xml:space="preserve">OCL  329          </t>
  </si>
  <si>
    <t>FUZZY BUTTERFLY</t>
  </si>
  <si>
    <t xml:space="preserve">OCL  332          </t>
  </si>
  <si>
    <t xml:space="preserve">OCL  333/Lawnmower cluster       </t>
  </si>
  <si>
    <t xml:space="preserve">OCL  343          </t>
  </si>
  <si>
    <t>The Heart Nebula/The Running Dog Nebula/Valentine Nebula</t>
  </si>
  <si>
    <t>M52 THE SCORPION CLUSTER</t>
  </si>
  <si>
    <t>Ghost cluster/Star Mist cluster/Caroline's cluster</t>
  </si>
  <si>
    <t>THE WIDOW'S WEB CLUSTER</t>
  </si>
  <si>
    <t>IOTA'S GHOST</t>
  </si>
  <si>
    <t>Bow Tie Nebula, The Scarab Nebula</t>
  </si>
  <si>
    <t>POLARISSIMA CLUSTER</t>
  </si>
  <si>
    <t>GHOST BUSH CLUSTER/FLYING GEESE CLUSTER</t>
  </si>
  <si>
    <t xml:space="preserve">UGC 11597(actually in Cygnus, but forms pair with 6939)     </t>
  </si>
  <si>
    <t>THE BRUCE LEE CLUSTER</t>
  </si>
  <si>
    <t xml:space="preserve">                  </t>
  </si>
  <si>
    <t xml:space="preserve">OCL  244          </t>
  </si>
  <si>
    <t xml:space="preserve">Berkeley   57          </t>
  </si>
  <si>
    <t>THE DORMOUSE CLUSTER/The Arrowhead cluster</t>
  </si>
  <si>
    <t xml:space="preserve">OCL  280          </t>
  </si>
  <si>
    <t xml:space="preserve">MCG - 2- 2- 56    </t>
  </si>
  <si>
    <t>SKULL NEBULA/The Soap Bubble Nebula/VOODOO MASK</t>
  </si>
  <si>
    <t xml:space="preserve">ESO 540-22        </t>
  </si>
  <si>
    <t xml:space="preserve">ESO 476-15        </t>
  </si>
  <si>
    <t>LITTLE SPINDLE GALAXY</t>
  </si>
  <si>
    <t xml:space="preserve">UGC 1736         </t>
  </si>
  <si>
    <t xml:space="preserve">ESO 545-11        </t>
  </si>
  <si>
    <t xml:space="preserve">UGC 1986         </t>
  </si>
  <si>
    <t xml:space="preserve">UGC 2245         </t>
  </si>
  <si>
    <t xml:space="preserve">OCL  572          </t>
  </si>
  <si>
    <t xml:space="preserve">ESO 556- 8        </t>
  </si>
  <si>
    <t>colliding w/2207</t>
  </si>
  <si>
    <t xml:space="preserve">ESO 489-42        </t>
  </si>
  <si>
    <t>M41 LITTLE BEEHIVE CLUSTER</t>
  </si>
  <si>
    <t xml:space="preserve">OCL  575          </t>
  </si>
  <si>
    <t xml:space="preserve">OCL  639          </t>
  </si>
  <si>
    <t xml:space="preserve">OCL  589          </t>
  </si>
  <si>
    <t>LBN 1041/Thor's Helmet, The Whistle, IC468,DUCK NEB,WHISTLE NEB,HEAD &amp; SHOULDERS NEB.</t>
  </si>
  <si>
    <t xml:space="preserve">Mexican Jumping Star Cluster/PIRATE'S JEWELS,NORTHERN JEWEL BOX,ARKENSTONE, </t>
  </si>
  <si>
    <t xml:space="preserve">OCL  585          </t>
  </si>
  <si>
    <t>M67 KING COBRA CLUSTER</t>
  </si>
  <si>
    <t>M99/St.Katherine's Wheel/COMA PINWHEEL</t>
  </si>
  <si>
    <t xml:space="preserve">UGC 7377         </t>
  </si>
  <si>
    <t xml:space="preserve">UGC 7386         </t>
  </si>
  <si>
    <t xml:space="preserve">UGC 7443         </t>
  </si>
  <si>
    <t>M100 THE MIRROR GALAXY</t>
  </si>
  <si>
    <t xml:space="preserve">UGC 7539         </t>
  </si>
  <si>
    <t xml:space="preserve">UGC 7594         </t>
  </si>
  <si>
    <t xml:space="preserve">UGC 7662         </t>
  </si>
  <si>
    <t xml:space="preserve">UGC 7766/KOI FISH GAL.      </t>
  </si>
  <si>
    <t>THE NEEDLE GALAXY/FLYING SAUCER GALAXY</t>
  </si>
  <si>
    <t xml:space="preserve">UGC 7980         </t>
  </si>
  <si>
    <t xml:space="preserve">UGC 7989 /TI-FIGHTER GAL        </t>
  </si>
  <si>
    <t>M64 BLACK EYE GALAXY/SLEEPING BEAUTY GAL.</t>
  </si>
  <si>
    <t xml:space="preserve">ESO 396-N13       </t>
  </si>
  <si>
    <t xml:space="preserve">ESO 502-13        </t>
  </si>
  <si>
    <t xml:space="preserve">MCG - 2-29- 28    </t>
  </si>
  <si>
    <t xml:space="preserve">MCG - 3-30- 12    </t>
  </si>
  <si>
    <t xml:space="preserve">ESO 504-26        </t>
  </si>
  <si>
    <t xml:space="preserve">MCG - 2-30- 40    </t>
  </si>
  <si>
    <t xml:space="preserve">ESO 572-37        </t>
  </si>
  <si>
    <t>Antennae/RINGTAIL GALAXIES/MOSQUITO LARVAE/PUPA/COMMA GALS</t>
  </si>
  <si>
    <t xml:space="preserve">ESO 573-PN19 ,LAWN SPRINKLER     </t>
  </si>
  <si>
    <t xml:space="preserve">MCG - 2-33- 50    </t>
  </si>
  <si>
    <t xml:space="preserve">3C278;H I 136     </t>
  </si>
  <si>
    <t xml:space="preserve">UGC 7103         </t>
  </si>
  <si>
    <t>NGC4228</t>
  </si>
  <si>
    <t xml:space="preserve">UGC 7322/Silver Needle Galaxy/SHERMAN WAY GAL. </t>
  </si>
  <si>
    <t xml:space="preserve">UGC 7463         </t>
  </si>
  <si>
    <t xml:space="preserve">UGC 7592/THE BOX GALAXY     </t>
  </si>
  <si>
    <t xml:space="preserve">UGC 7648./COCOON GAL.      </t>
  </si>
  <si>
    <t>COCOON GALAXY</t>
  </si>
  <si>
    <t xml:space="preserve">IC 3667           </t>
  </si>
  <si>
    <t xml:space="preserve">IC 3675           </t>
  </si>
  <si>
    <t xml:space="preserve">UGC 7860  immediately adjacent to 4631, THE CLUB W/4631/THE PUP     </t>
  </si>
  <si>
    <t>THE WHALE GALAXY</t>
  </si>
  <si>
    <t>HOCKEY STICK GALAXY/FISHHOOK GALAXY</t>
  </si>
  <si>
    <t>M94 CROC'S EYE GALAXY</t>
  </si>
  <si>
    <t xml:space="preserve">UGC 8256         </t>
  </si>
  <si>
    <t>M63 SUNFLOWER GALAXY</t>
  </si>
  <si>
    <t>M51 The Whirlpool galaxy</t>
  </si>
  <si>
    <t xml:space="preserve">UGC 8494         </t>
  </si>
  <si>
    <t>THE SMOKE RING CLUSTER</t>
  </si>
  <si>
    <t xml:space="preserve">OCL  155/FOXHEAD NEB          </t>
  </si>
  <si>
    <t>Blinking Planetary</t>
  </si>
  <si>
    <t xml:space="preserve">OCL  134          </t>
  </si>
  <si>
    <t>KITE CLUSTER</t>
  </si>
  <si>
    <t>Berkeley 50</t>
  </si>
  <si>
    <t>THE CRESCENT NEBULA/THE EAR NEBULA</t>
  </si>
  <si>
    <t>THE INCHWORM CLUSTER</t>
  </si>
  <si>
    <t>M29/Cooling Tower Cluster</t>
  </si>
  <si>
    <t>VEIL NEBULA/THE WITCH BROOM,BRIDALVEIL, ETC</t>
  </si>
  <si>
    <t>COAT BUTTON NEBULA (Fetus Nebula)</t>
  </si>
  <si>
    <t>CHEESEBURGER NEBULA</t>
  </si>
  <si>
    <t>PINK PILLOW NEBULA/MAGIC CARPET NEB/green rectangle</t>
  </si>
  <si>
    <t xml:space="preserve">OCL  198          </t>
  </si>
  <si>
    <t xml:space="preserve">OCL  192          </t>
  </si>
  <si>
    <t xml:space="preserve">OCL  214          </t>
  </si>
  <si>
    <t xml:space="preserve">PK54-12.1        </t>
  </si>
  <si>
    <t>BLUE FLASH NEBULA</t>
  </si>
  <si>
    <t xml:space="preserve">GCL 117           </t>
  </si>
  <si>
    <t xml:space="preserve">GCL 119           </t>
  </si>
  <si>
    <t>M102 FOOL'S GOLD GALAXY/THE SPINDLE</t>
  </si>
  <si>
    <t>SPLINTER GAL./CAT SCRATCH GAL./KNIFE EDGE GAL.</t>
  </si>
  <si>
    <t xml:space="preserve">UGC 10075         </t>
  </si>
  <si>
    <t xml:space="preserve">UGC 10359         </t>
  </si>
  <si>
    <t>LOST IN SPACE GALAXY</t>
  </si>
  <si>
    <t>CATSEYE NEBULA</t>
  </si>
  <si>
    <t xml:space="preserve">UGC 11218         </t>
  </si>
  <si>
    <t xml:space="preserve">UGC 11674         </t>
  </si>
  <si>
    <t xml:space="preserve">ESO 480-23        </t>
  </si>
  <si>
    <t>EYE OF GOD GALAXY</t>
  </si>
  <si>
    <t xml:space="preserve">ESO 547-31        </t>
  </si>
  <si>
    <t xml:space="preserve">ESO 548-18        </t>
  </si>
  <si>
    <t xml:space="preserve">IC 324           </t>
  </si>
  <si>
    <t xml:space="preserve">ESO 482-19        </t>
  </si>
  <si>
    <t xml:space="preserve">ESO 548-62        </t>
  </si>
  <si>
    <t xml:space="preserve">ESO 548-67        </t>
  </si>
  <si>
    <t xml:space="preserve">MCG - 2-10-  8    </t>
  </si>
  <si>
    <t xml:space="preserve">UGC 2947         </t>
  </si>
  <si>
    <t xml:space="preserve">ESO 359-26        </t>
  </si>
  <si>
    <t xml:space="preserve">ESO 359-27        </t>
  </si>
  <si>
    <t>CLEOPATRA'S EYE, THE ESKIMO'S WIFE</t>
  </si>
  <si>
    <t>FORNAX A elliptical</t>
  </si>
  <si>
    <t>COMET PLANETARY</t>
  </si>
  <si>
    <t xml:space="preserve">ESO 358-17        </t>
  </si>
  <si>
    <t xml:space="preserve">ESO 358-G034      </t>
  </si>
  <si>
    <t xml:space="preserve">ESO 358-45        </t>
  </si>
  <si>
    <t xml:space="preserve">ESO 358-46        </t>
  </si>
  <si>
    <t xml:space="preserve">OCL  467          </t>
  </si>
  <si>
    <t xml:space="preserve">OCL  468          </t>
  </si>
  <si>
    <t xml:space="preserve">OCL  471          </t>
  </si>
  <si>
    <t>THE ANT NEB.,DOUBLE BUBBLE NEB.,PEANUT NEB.,Dogbone Neb.</t>
  </si>
  <si>
    <t>PK197+17.1/Clown face Nebula/Eskimo Nebula</t>
  </si>
  <si>
    <t>TWINKLING COMET CLUSTER</t>
  </si>
  <si>
    <t>WHITE-EYED PEA NEBULA</t>
  </si>
  <si>
    <t>M13 HERCULES CLUST.(DARK LANES=THE PROPELLOR</t>
  </si>
  <si>
    <t xml:space="preserve">UGC 10521         </t>
  </si>
  <si>
    <t>TURTLE NEBULA</t>
  </si>
  <si>
    <t xml:space="preserve">PK239+13.1       </t>
  </si>
  <si>
    <t xml:space="preserve">ESO 497-32        </t>
  </si>
  <si>
    <t xml:space="preserve">ESO 566-41        </t>
  </si>
  <si>
    <t xml:space="preserve">ESO 499-36        </t>
  </si>
  <si>
    <t>THE GHOST OF JUPITER/The CBS Eye/DIAMOND NEB.</t>
  </si>
  <si>
    <t>FRAME GALAXY</t>
  </si>
  <si>
    <t>M83 SEASHELL GALAXY, SOUTHERN PINWHEEL</t>
  </si>
  <si>
    <t>THE STAR LIZARD CLUSTER/drunken lizard cluster</t>
  </si>
  <si>
    <t xml:space="preserve">Collinder 445            </t>
  </si>
  <si>
    <t xml:space="preserve">OCL  221          </t>
  </si>
  <si>
    <t xml:space="preserve">OCL  225          </t>
  </si>
  <si>
    <t xml:space="preserve">UGC 5079         </t>
  </si>
  <si>
    <t xml:space="preserve">UGC 5617         </t>
  </si>
  <si>
    <t xml:space="preserve">UGC 5620         </t>
  </si>
  <si>
    <t xml:space="preserve">UGC 6123         </t>
  </si>
  <si>
    <t xml:space="preserve">UGC 6150         </t>
  </si>
  <si>
    <t>M65/The Trio in Leo</t>
  </si>
  <si>
    <t>M66/The Trio in Leo</t>
  </si>
  <si>
    <t>KING HAMLET'S GHOST/The Trio in Leo,HOTDOG GAL</t>
  </si>
  <si>
    <t>SPIROGRAPH NEBULA, RASPBERRY NEBULA</t>
  </si>
  <si>
    <t xml:space="preserve">ESO 554-10        </t>
  </si>
  <si>
    <t>GHOST GLOBULAR</t>
  </si>
  <si>
    <t xml:space="preserve">UGC 5251         </t>
  </si>
  <si>
    <t>SLICED ONION GALAXY</t>
  </si>
  <si>
    <t>THE KNITTING NEEDLE GALAXY</t>
  </si>
  <si>
    <t xml:space="preserve">Dunlop 552        </t>
  </si>
  <si>
    <t xml:space="preserve">THE INTERGALACTIC WANDERER         </t>
  </si>
  <si>
    <t>Bear Paw Galaxy</t>
  </si>
  <si>
    <t>UFO GALAXY</t>
  </si>
  <si>
    <t>M57 RING NEBULA</t>
  </si>
  <si>
    <t xml:space="preserve">OCL  142          </t>
  </si>
  <si>
    <t>2226=ctr of cluster</t>
  </si>
  <si>
    <t xml:space="preserve">OCL  501          </t>
  </si>
  <si>
    <t>The Rosette Nebula</t>
  </si>
  <si>
    <t>cluster in the Rosette</t>
  </si>
  <si>
    <t xml:space="preserve">OCL  499          </t>
  </si>
  <si>
    <t xml:space="preserve">OCL  500          </t>
  </si>
  <si>
    <t xml:space="preserve">OCL  492          </t>
  </si>
  <si>
    <t>HUBBLE'S VARIABLE NEBULA</t>
  </si>
  <si>
    <t>CHRISTMAS TREE CLUSTER/CONE NEBULA</t>
  </si>
  <si>
    <t xml:space="preserve">OCL  524,Z95,HEAD HUNTER,STARFIGHTER         </t>
  </si>
  <si>
    <t xml:space="preserve">OCL  548          </t>
  </si>
  <si>
    <t>HAGRID'S DRAGON</t>
  </si>
  <si>
    <t xml:space="preserve">OCL  557          </t>
  </si>
  <si>
    <t>M50/Heart-Shaped Cluster</t>
  </si>
  <si>
    <t>AVERY'S ISLAND</t>
  </si>
  <si>
    <t xml:space="preserve">OCL  593          </t>
  </si>
  <si>
    <t>M107, THE CRUCIFIX CLUSTER</t>
  </si>
  <si>
    <t>M62 FLICKERING GLOBULAR</t>
  </si>
  <si>
    <t xml:space="preserve">GCL  53           </t>
  </si>
  <si>
    <t>The Box Nebula, THE SHOEPRINT NEB.,the exclamation mark!</t>
  </si>
  <si>
    <t xml:space="preserve">GCL  57           </t>
  </si>
  <si>
    <t xml:space="preserve">GCL  62           </t>
  </si>
  <si>
    <t>LITTLE GHOST NEBULA</t>
  </si>
  <si>
    <t>Poseidon'd Trident</t>
  </si>
  <si>
    <t>EMERALD EYE PLANETARY, BLUE RACQUETBALL</t>
  </si>
  <si>
    <t>MERMAID'S PURSE NEBULA/RUNNING MAN NEBULA</t>
  </si>
  <si>
    <t>COAL CAR CLUSTER-JUST N. OF 1973/5/7</t>
  </si>
  <si>
    <t>M42 ORION NEBULA</t>
  </si>
  <si>
    <t>CLUSTER IN NGC1973/1975</t>
  </si>
  <si>
    <t xml:space="preserve">The Lost Jewel of Orion=CLUSTER WITH NEBULA       </t>
  </si>
  <si>
    <t>M43/De Mairan's Nebula</t>
  </si>
  <si>
    <t>13TH PEARL NEBULA, BLACK EYE NEBULA</t>
  </si>
  <si>
    <t>LIPS NEBULA/FLAME NEBULA/MAPLE LEAF NEB./TANK NEB.</t>
  </si>
  <si>
    <t>KISSING CRESCENTS NEBULA, ORION'S COLLARBONE NEB.</t>
  </si>
  <si>
    <t>M78 CASPER THE FRIENDLY GHOST</t>
  </si>
  <si>
    <t xml:space="preserve">OCL  487          </t>
  </si>
  <si>
    <t>SHOPPING CART CLUSTER/"37" Cluster</t>
  </si>
  <si>
    <t xml:space="preserve">OCL  495          </t>
  </si>
  <si>
    <t>UGC 8 THE LITTLE SOMBRERO, ELECTRIC ARC GAL.</t>
  </si>
  <si>
    <t>M15 PEGASUS CLUSTER</t>
  </si>
  <si>
    <t xml:space="preserve">UGC 12113(Deer Lick Group with the companions)      </t>
  </si>
  <si>
    <t xml:space="preserve">UGC 12343, Superman Galaxy       </t>
  </si>
  <si>
    <t xml:space="preserve">M76 LITTLE DUMBBELL, the Barbell, The Cork          </t>
  </si>
  <si>
    <t>PERSEUS DOUBLE CLUSTER</t>
  </si>
  <si>
    <t xml:space="preserve">UGC 2137         </t>
  </si>
  <si>
    <t xml:space="preserve">UGC 2154, PERSEUS LENTICULAR       </t>
  </si>
  <si>
    <t xml:space="preserve">UGC 2475         </t>
  </si>
  <si>
    <t>PATRICK STARFISH</t>
  </si>
  <si>
    <t>EMBRYO NEBULA</t>
  </si>
  <si>
    <t>STINGRAY CLUSTER</t>
  </si>
  <si>
    <t xml:space="preserve">OCL  394          </t>
  </si>
  <si>
    <t>FOSSIL FOOTPRINT NEBULA</t>
  </si>
  <si>
    <t xml:space="preserve">OCL  397          </t>
  </si>
  <si>
    <t xml:space="preserve">OCL  399          </t>
  </si>
  <si>
    <t>THE NORTHERN TRIFID</t>
  </si>
  <si>
    <t xml:space="preserve">ESO 466-40        </t>
  </si>
  <si>
    <t xml:space="preserve">ESO 466-41        </t>
  </si>
  <si>
    <t xml:space="preserve">ESO 533-53        </t>
  </si>
  <si>
    <t xml:space="preserve">ESO 406-34        </t>
  </si>
  <si>
    <t xml:space="preserve">UGC 292         </t>
  </si>
  <si>
    <t>Whirligig galaxy</t>
  </si>
  <si>
    <t>M74 PHANTOM GALAXY</t>
  </si>
  <si>
    <t xml:space="preserve">UGC 12447         </t>
  </si>
  <si>
    <t xml:space="preserve">OCL  508          </t>
  </si>
  <si>
    <t xml:space="preserve">OCL  626          </t>
  </si>
  <si>
    <t xml:space="preserve">Collinder 155            </t>
  </si>
  <si>
    <t xml:space="preserve">OCL  599          </t>
  </si>
  <si>
    <t xml:space="preserve">OCL  688          </t>
  </si>
  <si>
    <t xml:space="preserve">PK231+4.2   (in M46)     </t>
  </si>
  <si>
    <t>ALBINO BUTTERFLY NEBULA,BURNING EMBER,BAT NEB.</t>
  </si>
  <si>
    <t>STINGING SCORPION CLUSTER</t>
  </si>
  <si>
    <t xml:space="preserve">PK243-1.1   (in same field as 2453)     </t>
  </si>
  <si>
    <t xml:space="preserve">OCL  670          </t>
  </si>
  <si>
    <t xml:space="preserve">TERMITE HOLE CLUSTER      </t>
  </si>
  <si>
    <t>OC HAFFNER 18 &amp; 19 WITHIN THE NEB.,CHAINED BROOCH NEB.,SKULL &amp; CROSSBONES NEB.</t>
  </si>
  <si>
    <t xml:space="preserve">OCL  623          </t>
  </si>
  <si>
    <t xml:space="preserve">OCL  690          </t>
  </si>
  <si>
    <t xml:space="preserve">OCL  630          </t>
  </si>
  <si>
    <t xml:space="preserve">OCL  695          </t>
  </si>
  <si>
    <t>THE DISH CLUSTER</t>
  </si>
  <si>
    <t>HEART&amp;DAGGER CLUSTER</t>
  </si>
  <si>
    <t xml:space="preserve">OCL  708          </t>
  </si>
  <si>
    <t xml:space="preserve">OCL  715          </t>
  </si>
  <si>
    <t xml:space="preserve">Dunlop 507        </t>
  </si>
  <si>
    <t>GIANT SQUID GALAXY</t>
  </si>
  <si>
    <t xml:space="preserve">ESO 474-29/Sculptor Galaxy/SILVER COIN GAL.  </t>
  </si>
  <si>
    <t xml:space="preserve">ESO 474-SC37      </t>
  </si>
  <si>
    <t xml:space="preserve">ESO 295-20        </t>
  </si>
  <si>
    <t>BOND'S GALAXY</t>
  </si>
  <si>
    <t xml:space="preserve">M80            </t>
  </si>
  <si>
    <t>M4 CRAB OR SPIDER GLOBULAR</t>
  </si>
  <si>
    <t xml:space="preserve">GCL  42           </t>
  </si>
  <si>
    <t xml:space="preserve">OCL 1001          </t>
  </si>
  <si>
    <t>MOTH WING CLUSTER</t>
  </si>
  <si>
    <t>BUG NEBULA/BUTTERFLY NEB.</t>
  </si>
  <si>
    <t xml:space="preserve">OCL 1024          </t>
  </si>
  <si>
    <t>PHANTOM CLUSTER</t>
  </si>
  <si>
    <t>M6 BUTTERFLY CLUSTER</t>
  </si>
  <si>
    <t xml:space="preserve">Ruprecht132            </t>
  </si>
  <si>
    <t>SILVER NUGGET CLUSTER</t>
  </si>
  <si>
    <t xml:space="preserve">OCL 1035/Tom Thumb Cluster      </t>
  </si>
  <si>
    <t xml:space="preserve">OCL   66          </t>
  </si>
  <si>
    <t>SANTA'S SLEIGH CLUSTER</t>
  </si>
  <si>
    <t>M11 WILD DUCK CLUSTER</t>
  </si>
  <si>
    <t xml:space="preserve">GCL 103           </t>
  </si>
  <si>
    <t>M5 ROSE CLUSTER</t>
  </si>
  <si>
    <t xml:space="preserve">GCL  85           </t>
  </si>
  <si>
    <t xml:space="preserve">Harvard 19        </t>
  </si>
  <si>
    <t>M16 EAGLE NEBULA--the cluster</t>
  </si>
  <si>
    <t>M16 EAGLE NEBULA--the nebula/Star Queen Nebula</t>
  </si>
  <si>
    <t>TWEEDLEDEE CLUSTER</t>
  </si>
  <si>
    <t xml:space="preserve">MCG - 1-26- 18 SPINDLE GAL.   </t>
  </si>
  <si>
    <t>M71 ANGELFISH CLUSTER (ARROWHEAD)</t>
  </si>
  <si>
    <t xml:space="preserve">GCL  77           </t>
  </si>
  <si>
    <t>BOX NEBULA (in same field as 6440)/COFFIN NEB.</t>
  </si>
  <si>
    <t xml:space="preserve">OCL   32          </t>
  </si>
  <si>
    <t>M20 TRIFID NEBULA</t>
  </si>
  <si>
    <t>Forms a pairing with NGC6520 open cluster, INKSPOT NEB.</t>
  </si>
  <si>
    <t>DEAD MAN'S CHEST CLUSTER, NEXT TO B86</t>
  </si>
  <si>
    <t xml:space="preserve">GCL  82           </t>
  </si>
  <si>
    <t>M8 LAGOON NEBULA (Cluster = 6530)</t>
  </si>
  <si>
    <t xml:space="preserve">OCL   19   in Lagoon Nebula(6523)    </t>
  </si>
  <si>
    <t xml:space="preserve">GCL  84           </t>
  </si>
  <si>
    <t>STARFISH CLUSTER</t>
  </si>
  <si>
    <t xml:space="preserve">GCL  88           </t>
  </si>
  <si>
    <t xml:space="preserve">GCL  89           </t>
  </si>
  <si>
    <t>THE SOUTHERN RING NEBULA</t>
  </si>
  <si>
    <t>on northside of M24</t>
  </si>
  <si>
    <t>in M24</t>
  </si>
  <si>
    <t>M18 BLACK SWAN CLUSTER</t>
  </si>
  <si>
    <t>M17 SWAN NEB./OMEGA NEBULA/CHECKMARK NEB.</t>
  </si>
  <si>
    <t xml:space="preserve">GCL  93           </t>
  </si>
  <si>
    <t>PK9-5.1;H II 204</t>
  </si>
  <si>
    <t xml:space="preserve">GCL  95           </t>
  </si>
  <si>
    <t xml:space="preserve">GCL  97           </t>
  </si>
  <si>
    <t xml:space="preserve">OCL   48          </t>
  </si>
  <si>
    <t>M22 GREAT SAGITTARIUS CLUSTER</t>
  </si>
  <si>
    <t xml:space="preserve">PK2-13.1         </t>
  </si>
  <si>
    <t xml:space="preserve">Palomar 9             </t>
  </si>
  <si>
    <t xml:space="preserve">Dunlop 573/CHANDELIER CLUSTER     </t>
  </si>
  <si>
    <t>M55 SPECTER CLUSTER</t>
  </si>
  <si>
    <t>LITTLE GEM NEBULA</t>
  </si>
  <si>
    <t xml:space="preserve">IC 4895/Barnard's Galaxy      </t>
  </si>
  <si>
    <t xml:space="preserve">CED  19I     in Pleiades=MEROPE NEB./TEMPEL'S NEBULA   </t>
  </si>
  <si>
    <t xml:space="preserve">Van den Bergh 22   in Pleiades         </t>
  </si>
  <si>
    <t>The PANSY or CRYSTAL BALL NEBULA</t>
  </si>
  <si>
    <t>Hind's Variable Nebula, STRUVE'S LOST NEBULA</t>
  </si>
  <si>
    <t>PIRATE MOON CLUSTER</t>
  </si>
  <si>
    <t xml:space="preserve">OCL  452          </t>
  </si>
  <si>
    <t>POOR MAN'S DOUBLE CLUSTER</t>
  </si>
  <si>
    <t>M1 CRAB NEBULA</t>
  </si>
  <si>
    <t>M33 TRIANGULUM GALAXY</t>
  </si>
  <si>
    <t xml:space="preserve">UGC 1248         </t>
  </si>
  <si>
    <t xml:space="preserve">UGC 1250         </t>
  </si>
  <si>
    <t xml:space="preserve">UGC 1256         </t>
  </si>
  <si>
    <t xml:space="preserve">IC 165           </t>
  </si>
  <si>
    <t xml:space="preserve">UGC 1431         </t>
  </si>
  <si>
    <t xml:space="preserve">UGC 1501         </t>
  </si>
  <si>
    <t xml:space="preserve">UGC 1913         </t>
  </si>
  <si>
    <t xml:space="preserve">UGC 1983         </t>
  </si>
  <si>
    <t xml:space="preserve">UGC 4645         </t>
  </si>
  <si>
    <t xml:space="preserve">UGC 4821         </t>
  </si>
  <si>
    <t>TIGER'S EYE GALAXY</t>
  </si>
  <si>
    <t>M81 BODE'S NEBULA</t>
  </si>
  <si>
    <t>M82 CIGAR GALAXY</t>
  </si>
  <si>
    <t xml:space="preserve">UGC 5387   THE PHANTOM FRISBEE      </t>
  </si>
  <si>
    <t xml:space="preserve">UGC 5398 THE GARLAND GAL.        </t>
  </si>
  <si>
    <t>LITTLE PINWHEEL GALAXY</t>
  </si>
  <si>
    <t>M97 OWL NEBULA</t>
  </si>
  <si>
    <t xml:space="preserve">UGC 6360         </t>
  </si>
  <si>
    <t xml:space="preserve">UGC 6439         </t>
  </si>
  <si>
    <t xml:space="preserve">UGC 6524         </t>
  </si>
  <si>
    <t xml:space="preserve">UGC 6537         </t>
  </si>
  <si>
    <t xml:space="preserve">UGC 6745         </t>
  </si>
  <si>
    <t xml:space="preserve">UGC 6778         </t>
  </si>
  <si>
    <t xml:space="preserve">UGC 6781         </t>
  </si>
  <si>
    <t xml:space="preserve">UGC 6815         </t>
  </si>
  <si>
    <t xml:space="preserve">UGC 6856         </t>
  </si>
  <si>
    <t xml:space="preserve">UGC 6860         </t>
  </si>
  <si>
    <t xml:space="preserve">UGC 6870         </t>
  </si>
  <si>
    <t>FABERGE EGG GALAXY</t>
  </si>
  <si>
    <t>M101 PINWHEEL GALAXY</t>
  </si>
  <si>
    <t>SILVER STREAK GALAXY</t>
  </si>
  <si>
    <t>M61 SWELLING SPIRAL</t>
  </si>
  <si>
    <t>UGC 7575/The "Eyes" , COPELAND'S EYES</t>
  </si>
  <si>
    <t xml:space="preserve">UGC 7574/The "Eyes" , COPELAND'S EYES    </t>
  </si>
  <si>
    <t>HAIRY EYEBROW GALAXY</t>
  </si>
  <si>
    <t xml:space="preserve">UGC 7727/The Lost Galaxy of Copeland    </t>
  </si>
  <si>
    <t xml:space="preserve">UGC 7732         </t>
  </si>
  <si>
    <t xml:space="preserve">UGC 7777/The Siamese Twins/FISH&amp; CHIPS GALS.      </t>
  </si>
  <si>
    <t>M104 SOMBRERO GALAXY</t>
  </si>
  <si>
    <t xml:space="preserve">UGC 7926         </t>
  </si>
  <si>
    <t>VINYL LP GALAXY</t>
  </si>
  <si>
    <t xml:space="preserve">MCG - 3-34- 39    </t>
  </si>
  <si>
    <t>near 5364</t>
  </si>
  <si>
    <t>near 5363</t>
  </si>
  <si>
    <t>BLADE&amp;PEARL GALAXY, The Mini Sombrero</t>
  </si>
  <si>
    <t xml:space="preserve">OCL  114          </t>
  </si>
  <si>
    <t xml:space="preserve">LBN  135   w/6823 cluster       </t>
  </si>
  <si>
    <t xml:space="preserve">OCL  124          </t>
  </si>
  <si>
    <t>POODLE CLUSTER</t>
  </si>
  <si>
    <t>M27 DUMBBELL NEBULA</t>
  </si>
  <si>
    <t xml:space="preserve">OCL  152/20 Vulpeculae Cluster       </t>
  </si>
  <si>
    <t>MOTHRA CLUSTER</t>
  </si>
  <si>
    <t>This spreadsheet lists the "best" 500 deep sky objects, and enables one to specify date/time/timezone and limits regarding the field of view (azimuth, altitude). The objects that are visible will be highlighted.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</si>
  <si>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15th May, 2024</t>
    </r>
  </si>
  <si>
    <t>Magnitude</t>
  </si>
  <si>
    <t>?</t>
  </si>
  <si>
    <t>10.0p</t>
  </si>
  <si>
    <t>12.5p</t>
  </si>
  <si>
    <t>14.0p</t>
  </si>
  <si>
    <t>n/a</t>
  </si>
  <si>
    <t>Source</t>
  </si>
  <si>
    <t>Date, time, location</t>
  </si>
  <si>
    <t>Field of view limits (azimuth, altitude)</t>
  </si>
  <si>
    <t>Visible objects (based on criteria)</t>
  </si>
  <si>
    <t>Location</t>
  </si>
  <si>
    <t>Home</t>
  </si>
  <si>
    <t>Marker name</t>
  </si>
  <si>
    <t>Observed?</t>
  </si>
  <si>
    <t>values</t>
  </si>
  <si>
    <t>Can for instance be used to indicate whether an object is of special interest</t>
  </si>
  <si>
    <t>-</t>
  </si>
  <si>
    <t>yes</t>
  </si>
  <si>
    <t>Locations</t>
  </si>
  <si>
    <t>Name</t>
  </si>
  <si>
    <t>φ (latitude)</t>
  </si>
  <si>
    <t>L (longitude)</t>
  </si>
  <si>
    <t>DtoR</t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</si>
  <si>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</si>
  <si>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</si>
  <si>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</si>
  <si>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</si>
  <si>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</si>
  <si>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</si>
  <si>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</si>
  <si>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</si>
  <si>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</si>
  <si>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</si>
  <si>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</si>
  <si>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</si>
  <si>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k</t>
  </si>
  <si>
    <t>x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</si>
  <si>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</si>
  <si>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</si>
  <si>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</si>
  <si>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</si>
  <si>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</si>
  <si>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</si>
  <si>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</si>
  <si>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</si>
  <si>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</si>
  <si>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</si>
  <si>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</si>
  <si>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</si>
  <si>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</si>
  <si>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</si>
  <si>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</si>
  <si>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</si>
  <si>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V1.2</t>
  </si>
  <si>
    <t>include?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</si>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</sst>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]hh:mm;@" x16r2:formatCode16="[$-en-CH,1]hh:mm;@"/>
    <numFmt numFmtId="166" formatCode="#,##0.000"/>
    <numFmt numFmtId="167" formatCode="0.0000"/>
  </numFmts>
  <fonts count="4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 (Body)"/>
    </font>
    <font>
      <sz val="12"/>
      <color theme="1"/>
      <name val="Calibri (Body)"/>
    </font>
    <font>
      <sz val="12"/>
      <color theme="0"/>
      <name val="Calibri"/>
      <family val="2"/>
      <scheme val="minor"/>
    </font>
    <font>
      <sz val="8"/>
      <color rgb="FF000000"/>
      <name val="Tahoma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</font>
    <font>
      <sz val="12"/>
      <color indexed="8"/>
      <name val="Calibri"/>
      <family val="2"/>
    </font>
    <font>
      <sz val="12"/>
      <color theme="0"/>
      <name val="Calibri"/>
      <family val="2"/>
    </font>
    <font>
      <u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bscript"/>
      <sz val="12"/>
      <name val="Calibri"/>
      <family val="2"/>
    </font>
    <font>
      <sz val="12"/>
      <color rgb="FFFFFFF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6" fillId="0" borderId="0"/>
    <xf numFmtId="0" fontId="22" fillId="0" borderId="0"/>
    <xf numFmtId="0" fontId="5" fillId="0" borderId="0"/>
    <xf numFmtId="0" fontId="30" fillId="7" borderId="14">
      <alignment horizontal="left"/>
    </xf>
    <xf numFmtId="0" fontId="32" fillId="7" borderId="0"/>
    <xf numFmtId="0" fontId="8" fillId="0" borderId="0" applyNumberFormat="0" applyFill="0" applyBorder="0" applyAlignment="0" applyProtection="0"/>
    <xf numFmtId="0" fontId="40" fillId="0" borderId="0"/>
    <xf numFmtId="0" fontId="41" fillId="0" borderId="0"/>
    <xf numFmtId="0" fontId="1" fillId="0" borderId="0"/>
    <xf numFmtId="0" fontId="42" fillId="0" borderId="0"/>
  </cellStyleXfs>
  <cellXfs count="199">
    <xf numFmtId="0" fontId="0" fillId="0" borderId="0" xfId="0"/>
    <xf numFmtId="0" fontId="12" fillId="2" borderId="1" xfId="41" applyFont="1" applyFill="1" applyBorder="1" applyAlignment="1">
      <alignment horizontal="left"/>
    </xf>
    <xf numFmtId="0" fontId="12" fillId="2" borderId="2" xfId="41" applyFont="1" applyFill="1" applyBorder="1" applyAlignment="1">
      <alignment horizontal="center"/>
    </xf>
    <xf numFmtId="0" fontId="12" fillId="2" borderId="2" xfId="41" applyFont="1" applyFill="1" applyBorder="1"/>
    <xf numFmtId="0" fontId="14" fillId="2" borderId="3" xfId="42" applyFont="1" applyFill="1" applyBorder="1" applyAlignment="1">
      <alignment horizontal="center"/>
    </xf>
    <xf numFmtId="0" fontId="15" fillId="2" borderId="4" xfId="42" applyFont="1" applyFill="1" applyBorder="1" applyAlignment="1">
      <alignment horizontal="left"/>
    </xf>
    <xf numFmtId="0" fontId="12" fillId="2" borderId="0" xfId="41" applyFont="1" applyFill="1" applyAlignment="1">
      <alignment horizontal="center"/>
    </xf>
    <xf numFmtId="0" fontId="12" fillId="2" borderId="0" xfId="41" applyFont="1" applyFill="1"/>
    <xf numFmtId="0" fontId="12" fillId="2" borderId="5" xfId="41" applyFont="1" applyFill="1" applyBorder="1" applyAlignment="1">
      <alignment horizontal="center"/>
    </xf>
    <xf numFmtId="0" fontId="12" fillId="2" borderId="6" xfId="42" applyFont="1" applyFill="1" applyBorder="1" applyAlignment="1">
      <alignment horizontal="left"/>
    </xf>
    <xf numFmtId="0" fontId="12" fillId="2" borderId="8" xfId="42" applyFont="1" applyFill="1" applyBorder="1" applyAlignment="1">
      <alignment horizontal="left"/>
    </xf>
    <xf numFmtId="0" fontId="12" fillId="2" borderId="8" xfId="41" applyFont="1" applyFill="1" applyBorder="1"/>
    <xf numFmtId="0" fontId="13" fillId="2" borderId="7" xfId="41" applyFont="1" applyFill="1" applyBorder="1" applyAlignment="1">
      <alignment horizontal="center"/>
    </xf>
    <xf numFmtId="0" fontId="6" fillId="0" borderId="0" xfId="43"/>
    <xf numFmtId="0" fontId="6" fillId="0" borderId="0" xfId="43" applyAlignment="1">
      <alignment horizontal="center"/>
    </xf>
    <xf numFmtId="0" fontId="18" fillId="0" borderId="0" xfId="43" applyFont="1"/>
    <xf numFmtId="0" fontId="18" fillId="0" borderId="12" xfId="43" applyFont="1" applyBorder="1" applyAlignment="1">
      <alignment horizontal="right"/>
    </xf>
    <xf numFmtId="2" fontId="19" fillId="3" borderId="12" xfId="43" applyNumberFormat="1" applyFont="1" applyFill="1" applyBorder="1" applyAlignment="1" applyProtection="1">
      <alignment horizontal="right"/>
      <protection locked="0"/>
    </xf>
    <xf numFmtId="0" fontId="23" fillId="0" borderId="12" xfId="44" applyFont="1" applyBorder="1" applyAlignment="1">
      <alignment vertical="center"/>
    </xf>
    <xf numFmtId="0" fontId="25" fillId="0" borderId="12" xfId="43" applyFont="1" applyBorder="1" applyAlignment="1">
      <alignment vertical="center"/>
    </xf>
    <xf numFmtId="1" fontId="24" fillId="3" borderId="12" xfId="44" applyNumberFormat="1" applyFont="1" applyFill="1" applyBorder="1" applyAlignment="1" applyProtection="1">
      <alignment horizontal="right" vertical="center"/>
      <protection locked="0"/>
    </xf>
    <xf numFmtId="0" fontId="27" fillId="4" borderId="12" xfId="43" applyFont="1" applyFill="1" applyBorder="1" applyAlignment="1">
      <alignment horizontal="center" vertical="center"/>
    </xf>
    <xf numFmtId="0" fontId="27" fillId="4" borderId="12" xfId="43" applyFont="1" applyFill="1" applyBorder="1" applyAlignment="1">
      <alignment horizontal="right" vertical="center"/>
    </xf>
    <xf numFmtId="0" fontId="28" fillId="0" borderId="0" xfId="43" applyFont="1"/>
    <xf numFmtId="0" fontId="29" fillId="4" borderId="12" xfId="43" applyFont="1" applyFill="1" applyBorder="1" applyAlignment="1">
      <alignment horizontal="center" vertical="center"/>
    </xf>
    <xf numFmtId="0" fontId="4" fillId="0" borderId="0" xfId="43" applyFont="1" applyAlignment="1">
      <alignment horizontal="center"/>
    </xf>
    <xf numFmtId="0" fontId="18" fillId="0" borderId="0" xfId="43" applyFont="1" applyAlignment="1">
      <alignment horizontal="center"/>
    </xf>
    <xf numFmtId="0" fontId="34" fillId="4" borderId="12" xfId="43" applyFont="1" applyFill="1" applyBorder="1" applyAlignment="1">
      <alignment horizontal="right" vertical="center"/>
    </xf>
    <xf numFmtId="0" fontId="18" fillId="0" borderId="12" xfId="43" applyFont="1" applyBorder="1" applyAlignment="1">
      <alignment vertical="center"/>
    </xf>
    <xf numFmtId="14" fontId="19" fillId="3" borderId="12" xfId="43" applyNumberFormat="1" applyFont="1" applyFill="1" applyBorder="1" applyAlignment="1" applyProtection="1">
      <alignment horizontal="right" vertical="center"/>
      <protection locked="0"/>
    </xf>
    <xf numFmtId="0" fontId="18" fillId="0" borderId="0" xfId="43" applyFont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2" fontId="6" fillId="0" borderId="12" xfId="43" applyNumberForma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vertical="center"/>
    </xf>
    <xf numFmtId="0" fontId="6" fillId="0" borderId="0" xfId="43" applyAlignment="1">
      <alignment vertical="center"/>
    </xf>
    <xf numFmtId="0" fontId="6" fillId="6" borderId="0" xfId="43" applyFill="1" applyAlignment="1">
      <alignment horizontal="center" vertical="center"/>
    </xf>
    <xf numFmtId="0" fontId="6" fillId="0" borderId="0" xfId="43" applyAlignment="1">
      <alignment horizontal="center" vertical="center"/>
    </xf>
    <xf numFmtId="0" fontId="18" fillId="0" borderId="12" xfId="43" applyFont="1" applyBorder="1" applyAlignment="1">
      <alignment horizontal="right" vertical="center"/>
    </xf>
    <xf numFmtId="1" fontId="18" fillId="0" borderId="12" xfId="43" applyNumberFormat="1" applyFont="1" applyBorder="1" applyAlignment="1">
      <alignment horizontal="right" vertical="center"/>
    </xf>
    <xf numFmtId="0" fontId="31" fillId="0" borderId="1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2" fontId="6" fillId="0" borderId="12" xfId="43" applyNumberFormat="1" applyBorder="1" applyAlignment="1">
      <alignment horizontal="right" vertical="center"/>
    </xf>
    <xf numFmtId="0" fontId="18" fillId="0" borderId="12" xfId="0" applyFont="1" applyBorder="1" applyAlignment="1">
      <alignment horizontal="center" vertical="center" wrapText="1"/>
    </xf>
    <xf numFmtId="0" fontId="6" fillId="0" borderId="12" xfId="43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34" fillId="4" borderId="12" xfId="43" applyFont="1" applyFill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33" fillId="0" borderId="12" xfId="0" applyNumberFormat="1" applyFont="1" applyBorder="1" applyAlignment="1">
      <alignment horizontal="center" vertical="center"/>
    </xf>
    <xf numFmtId="164" fontId="18" fillId="0" borderId="12" xfId="0" applyNumberFormat="1" applyFont="1" applyBorder="1" applyAlignment="1">
      <alignment horizontal="center" vertical="center"/>
    </xf>
    <xf numFmtId="0" fontId="7" fillId="2" borderId="0" xfId="41" applyFill="1"/>
    <xf numFmtId="0" fontId="0" fillId="2" borderId="0" xfId="0" applyFill="1"/>
    <xf numFmtId="0" fontId="12" fillId="2" borderId="0" xfId="42" applyFont="1" applyFill="1" applyBorder="1" applyAlignment="1">
      <alignment horizontal="left"/>
    </xf>
    <xf numFmtId="0" fontId="13" fillId="2" borderId="0" xfId="41" applyFont="1" applyFill="1" applyAlignment="1">
      <alignment horizontal="center"/>
    </xf>
    <xf numFmtId="0" fontId="37" fillId="9" borderId="16" xfId="0" applyFont="1" applyFill="1" applyBorder="1"/>
    <xf numFmtId="0" fontId="6" fillId="0" borderId="4" xfId="43" applyBorder="1"/>
    <xf numFmtId="0" fontId="6" fillId="0" borderId="5" xfId="43" applyBorder="1"/>
    <xf numFmtId="0" fontId="19" fillId="3" borderId="7" xfId="43" applyFont="1" applyFill="1" applyBorder="1" applyAlignment="1">
      <alignment horizontal="right"/>
    </xf>
    <xf numFmtId="0" fontId="26" fillId="5" borderId="15" xfId="43" applyFont="1" applyFill="1" applyBorder="1"/>
    <xf numFmtId="0" fontId="27" fillId="4" borderId="15" xfId="43" applyFont="1" applyFill="1" applyBorder="1" applyAlignment="1">
      <alignment horizontal="center" vertical="center"/>
    </xf>
    <xf numFmtId="49" fontId="6" fillId="0" borderId="4" xfId="43" applyNumberFormat="1" applyBorder="1" applyAlignment="1">
      <alignment horizontal="center" vertical="center"/>
    </xf>
    <xf numFmtId="0" fontId="6" fillId="0" borderId="4" xfId="43" applyBorder="1" applyAlignment="1">
      <alignment horizontal="center" vertical="center"/>
    </xf>
    <xf numFmtId="0" fontId="6" fillId="0" borderId="6" xfId="43" applyBorder="1" applyAlignment="1">
      <alignment horizontal="center" vertical="center"/>
    </xf>
    <xf numFmtId="2" fontId="6" fillId="0" borderId="8" xfId="43" applyNumberFormat="1" applyBorder="1" applyAlignment="1">
      <alignment vertical="center"/>
    </xf>
    <xf numFmtId="0" fontId="29" fillId="4" borderId="17" xfId="43" applyFont="1" applyFill="1" applyBorder="1" applyAlignment="1">
      <alignment horizontal="center" vertical="center"/>
    </xf>
    <xf numFmtId="0" fontId="6" fillId="0" borderId="0" xfId="43" applyAlignment="1">
      <alignment horizontal="right"/>
    </xf>
    <xf numFmtId="0" fontId="6" fillId="0" borderId="4" xfId="43" applyBorder="1" applyAlignment="1">
      <alignment vertical="center"/>
    </xf>
    <xf numFmtId="49" fontId="6" fillId="6" borderId="4" xfId="43" applyNumberFormat="1" applyFill="1" applyBorder="1" applyAlignment="1">
      <alignment horizontal="center" vertical="center"/>
    </xf>
    <xf numFmtId="2" fontId="6" fillId="0" borderId="8" xfId="43" applyNumberFormat="1" applyBorder="1" applyAlignment="1">
      <alignment horizontal="right" vertical="center"/>
    </xf>
    <xf numFmtId="0" fontId="6" fillId="0" borderId="8" xfId="43" applyBorder="1" applyAlignment="1">
      <alignment horizontal="center" vertical="center"/>
    </xf>
    <xf numFmtId="0" fontId="27" fillId="4" borderId="17" xfId="43" applyFont="1" applyFill="1" applyBorder="1" applyAlignment="1">
      <alignment horizontal="right" vertical="center"/>
    </xf>
    <xf numFmtId="0" fontId="6" fillId="10" borderId="0" xfId="43" applyFill="1"/>
    <xf numFmtId="0" fontId="34" fillId="4" borderId="17" xfId="43" applyFont="1" applyFill="1" applyBorder="1" applyAlignment="1">
      <alignment horizontal="center" vertical="center"/>
    </xf>
    <xf numFmtId="0" fontId="18" fillId="0" borderId="12" xfId="0" applyFont="1" applyBorder="1"/>
    <xf numFmtId="0" fontId="19" fillId="3" borderId="13" xfId="0" applyFont="1" applyFill="1" applyBorder="1" applyAlignment="1" applyProtection="1">
      <alignment horizontal="right"/>
      <protection locked="0"/>
    </xf>
    <xf numFmtId="0" fontId="18" fillId="0" borderId="12" xfId="0" applyFont="1" applyBorder="1" applyAlignment="1">
      <alignment horizontal="center"/>
    </xf>
    <xf numFmtId="0" fontId="19" fillId="3" borderId="18" xfId="0" applyFont="1" applyFill="1" applyBorder="1" applyAlignment="1" applyProtection="1">
      <alignment horizontal="center"/>
      <protection locked="0"/>
    </xf>
    <xf numFmtId="0" fontId="19" fillId="3" borderId="19" xfId="0" applyFont="1" applyFill="1" applyBorder="1" applyAlignment="1" applyProtection="1">
      <alignment horizontal="center"/>
      <protection locked="0"/>
    </xf>
    <xf numFmtId="0" fontId="19" fillId="3" borderId="17" xfId="0" applyFont="1" applyFill="1" applyBorder="1" applyAlignment="1" applyProtection="1">
      <alignment horizontal="center"/>
      <protection locked="0"/>
    </xf>
    <xf numFmtId="0" fontId="19" fillId="3" borderId="13" xfId="0" applyFont="1" applyFill="1" applyBorder="1" applyAlignment="1" applyProtection="1">
      <alignment horizontal="center"/>
      <protection locked="0"/>
    </xf>
    <xf numFmtId="0" fontId="27" fillId="4" borderId="17" xfId="43" applyFont="1" applyFill="1" applyBorder="1" applyAlignment="1">
      <alignment horizontal="center" vertical="center"/>
    </xf>
    <xf numFmtId="0" fontId="6" fillId="10" borderId="6" xfId="43" applyFill="1" applyBorder="1" applyAlignment="1">
      <alignment horizontal="center"/>
    </xf>
    <xf numFmtId="0" fontId="6" fillId="10" borderId="8" xfId="43" applyFill="1" applyBorder="1"/>
    <xf numFmtId="0" fontId="3" fillId="10" borderId="8" xfId="43" applyFont="1" applyFill="1" applyBorder="1"/>
    <xf numFmtId="2" fontId="6" fillId="10" borderId="8" xfId="43" applyNumberFormat="1" applyFill="1" applyBorder="1" applyAlignment="1">
      <alignment horizontal="right"/>
    </xf>
    <xf numFmtId="0" fontId="6" fillId="10" borderId="7" xfId="43" applyFill="1" applyBorder="1" applyAlignment="1">
      <alignment horizontal="center"/>
    </xf>
    <xf numFmtId="2" fontId="21" fillId="0" borderId="12" xfId="43" applyNumberFormat="1" applyFont="1" applyBorder="1" applyAlignment="1">
      <alignment horizontal="right" vertical="center"/>
    </xf>
    <xf numFmtId="4" fontId="18" fillId="0" borderId="12" xfId="43" applyNumberFormat="1" applyFont="1" applyBorder="1" applyAlignment="1">
      <alignment horizontal="right" vertical="center"/>
    </xf>
    <xf numFmtId="0" fontId="4" fillId="10" borderId="4" xfId="43" applyFont="1" applyFill="1" applyBorder="1" applyAlignment="1">
      <alignment horizontal="center"/>
    </xf>
    <xf numFmtId="0" fontId="4" fillId="10" borderId="0" xfId="43" applyFont="1" applyFill="1" applyAlignment="1">
      <alignment horizontal="center"/>
    </xf>
    <xf numFmtId="0" fontId="6" fillId="10" borderId="0" xfId="43" applyFill="1" applyAlignment="1">
      <alignment horizontal="center"/>
    </xf>
    <xf numFmtId="0" fontId="18" fillId="10" borderId="0" xfId="43" applyFont="1" applyFill="1" applyAlignment="1">
      <alignment horizontal="center"/>
    </xf>
    <xf numFmtId="0" fontId="6" fillId="10" borderId="5" xfId="43" applyFill="1" applyBorder="1"/>
    <xf numFmtId="0" fontId="4" fillId="10" borderId="8" xfId="43" applyFont="1" applyFill="1" applyBorder="1" applyAlignment="1">
      <alignment horizontal="center"/>
    </xf>
    <xf numFmtId="0" fontId="6" fillId="10" borderId="8" xfId="43" applyFill="1" applyBorder="1" applyAlignment="1">
      <alignment horizontal="center"/>
    </xf>
    <xf numFmtId="0" fontId="18" fillId="10" borderId="8" xfId="43" applyFont="1" applyFill="1" applyBorder="1" applyAlignment="1">
      <alignment horizontal="center"/>
    </xf>
    <xf numFmtId="0" fontId="6" fillId="10" borderId="7" xfId="43" applyFill="1" applyBorder="1"/>
    <xf numFmtId="165" fontId="24" fillId="3" borderId="12" xfId="44" applyNumberFormat="1" applyFont="1" applyFill="1" applyBorder="1" applyAlignment="1" applyProtection="1">
      <alignment horizontal="right" vertical="center"/>
      <protection locked="0"/>
    </xf>
    <xf numFmtId="0" fontId="3" fillId="10" borderId="0" xfId="43" applyFont="1" applyFill="1"/>
    <xf numFmtId="21" fontId="6" fillId="10" borderId="0" xfId="43" applyNumberFormat="1" applyFill="1"/>
    <xf numFmtId="0" fontId="6" fillId="10" borderId="0" xfId="43" applyFill="1" applyAlignment="1">
      <alignment horizontal="right"/>
    </xf>
    <xf numFmtId="2" fontId="6" fillId="10" borderId="0" xfId="43" applyNumberFormat="1" applyFill="1"/>
    <xf numFmtId="2" fontId="6" fillId="0" borderId="0" xfId="43" applyNumberFormat="1" applyAlignment="1">
      <alignment vertical="center"/>
    </xf>
    <xf numFmtId="2" fontId="6" fillId="0" borderId="0" xfId="43" applyNumberFormat="1" applyAlignment="1">
      <alignment horizontal="right" vertical="center"/>
    </xf>
    <xf numFmtId="0" fontId="6" fillId="0" borderId="5" xfId="43" applyBorder="1" applyAlignment="1">
      <alignment vertical="center"/>
    </xf>
    <xf numFmtId="0" fontId="39" fillId="10" borderId="5" xfId="0" applyFont="1" applyFill="1" applyBorder="1" applyAlignment="1">
      <alignment horizontal="right"/>
    </xf>
    <xf numFmtId="0" fontId="20" fillId="0" borderId="12" xfId="0" applyFont="1" applyBorder="1" applyAlignment="1" applyProtection="1">
      <alignment horizontal="center" vertical="center"/>
      <protection locked="0"/>
    </xf>
    <xf numFmtId="0" fontId="36" fillId="0" borderId="0" xfId="43" applyFont="1" applyAlignment="1">
      <alignment horizontal="center"/>
    </xf>
    <xf numFmtId="0" fontId="19" fillId="0" borderId="0" xfId="43" applyFont="1" applyAlignment="1">
      <alignment horizontal="right"/>
    </xf>
    <xf numFmtId="14" fontId="19" fillId="0" borderId="0" xfId="43" applyNumberFormat="1" applyFont="1" applyAlignment="1" applyProtection="1">
      <alignment horizontal="right" vertical="center"/>
      <protection locked="0"/>
    </xf>
    <xf numFmtId="165" fontId="24" fillId="0" borderId="0" xfId="44" applyNumberFormat="1" applyFont="1" applyAlignment="1" applyProtection="1">
      <alignment horizontal="right" vertical="center"/>
      <protection locked="0"/>
    </xf>
    <xf numFmtId="1" fontId="24" fillId="0" borderId="0" xfId="44" applyNumberFormat="1" applyFont="1" applyAlignment="1" applyProtection="1">
      <alignment horizontal="right" vertical="center"/>
      <protection locked="0"/>
    </xf>
    <xf numFmtId="1" fontId="18" fillId="0" borderId="0" xfId="43" applyNumberFormat="1" applyFont="1" applyAlignment="1">
      <alignment horizontal="right" vertical="center"/>
    </xf>
    <xf numFmtId="4" fontId="18" fillId="0" borderId="0" xfId="43" applyNumberFormat="1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2" fontId="19" fillId="0" borderId="0" xfId="43" applyNumberFormat="1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" fillId="0" borderId="12" xfId="43" applyFont="1" applyBorder="1" applyAlignment="1">
      <alignment vertical="center"/>
    </xf>
    <xf numFmtId="0" fontId="26" fillId="3" borderId="12" xfId="43" applyFont="1" applyFill="1" applyBorder="1" applyAlignment="1" applyProtection="1">
      <alignment vertical="center"/>
      <protection locked="0"/>
    </xf>
    <xf numFmtId="0" fontId="25" fillId="0" borderId="12" xfId="43" applyFont="1" applyBorder="1" applyAlignment="1">
      <alignment horizontal="right" vertical="center"/>
    </xf>
    <xf numFmtId="0" fontId="23" fillId="0" borderId="0" xfId="49" applyFont="1"/>
    <xf numFmtId="0" fontId="1" fillId="11" borderId="1" xfId="50" applyFont="1" applyFill="1" applyBorder="1"/>
    <xf numFmtId="0" fontId="1" fillId="11" borderId="3" xfId="50" applyFont="1" applyFill="1" applyBorder="1"/>
    <xf numFmtId="0" fontId="19" fillId="11" borderId="1" xfId="51" applyFont="1" applyFill="1" applyBorder="1" applyAlignment="1">
      <alignment horizontal="left"/>
    </xf>
    <xf numFmtId="166" fontId="18" fillId="11" borderId="2" xfId="51" applyNumberFormat="1" applyFont="1" applyFill="1" applyBorder="1"/>
    <xf numFmtId="0" fontId="18" fillId="11" borderId="2" xfId="52" applyFont="1" applyFill="1" applyBorder="1"/>
    <xf numFmtId="0" fontId="18" fillId="11" borderId="2" xfId="51" applyFont="1" applyFill="1" applyBorder="1"/>
    <xf numFmtId="0" fontId="18" fillId="11" borderId="3" xfId="52" applyFont="1" applyFill="1" applyBorder="1"/>
    <xf numFmtId="0" fontId="1" fillId="11" borderId="4" xfId="50" applyFont="1" applyFill="1" applyBorder="1"/>
    <xf numFmtId="0" fontId="1" fillId="11" borderId="5" xfId="50" applyFont="1" applyFill="1" applyBorder="1"/>
    <xf numFmtId="0" fontId="18" fillId="11" borderId="4" xfId="52" applyFont="1" applyFill="1" applyBorder="1"/>
    <xf numFmtId="0" fontId="18" fillId="11" borderId="0" xfId="52" applyFont="1" applyFill="1"/>
    <xf numFmtId="166" fontId="18" fillId="11" borderId="5" xfId="52" applyNumberFormat="1" applyFont="1" applyFill="1" applyBorder="1"/>
    <xf numFmtId="2" fontId="18" fillId="11" borderId="5" xfId="52" applyNumberFormat="1" applyFont="1" applyFill="1" applyBorder="1"/>
    <xf numFmtId="0" fontId="18" fillId="11" borderId="5" xfId="52" applyFont="1" applyFill="1" applyBorder="1"/>
    <xf numFmtId="0" fontId="18" fillId="11" borderId="6" xfId="52" applyFont="1" applyFill="1" applyBorder="1"/>
    <xf numFmtId="0" fontId="18" fillId="11" borderId="8" xfId="52" applyFont="1" applyFill="1" applyBorder="1"/>
    <xf numFmtId="0" fontId="18" fillId="11" borderId="7" xfId="52" applyFont="1" applyFill="1" applyBorder="1"/>
    <xf numFmtId="0" fontId="1" fillId="11" borderId="6" xfId="50" applyFont="1" applyFill="1" applyBorder="1"/>
    <xf numFmtId="0" fontId="1" fillId="11" borderId="7" xfId="50" applyFont="1" applyFill="1" applyBorder="1"/>
    <xf numFmtId="0" fontId="19" fillId="11" borderId="4" xfId="52" applyFont="1" applyFill="1" applyBorder="1" applyAlignment="1">
      <alignment horizontal="right"/>
    </xf>
    <xf numFmtId="0" fontId="19" fillId="11" borderId="0" xfId="52" applyFont="1" applyFill="1" applyAlignment="1">
      <alignment horizontal="right"/>
    </xf>
    <xf numFmtId="0" fontId="19" fillId="11" borderId="5" xfId="52" applyFont="1" applyFill="1" applyBorder="1" applyAlignment="1">
      <alignment horizontal="right"/>
    </xf>
    <xf numFmtId="2" fontId="18" fillId="11" borderId="4" xfId="52" applyNumberFormat="1" applyFont="1" applyFill="1" applyBorder="1"/>
    <xf numFmtId="2" fontId="18" fillId="11" borderId="0" xfId="52" applyNumberFormat="1" applyFont="1" applyFill="1"/>
    <xf numFmtId="0" fontId="43" fillId="0" borderId="0" xfId="0" applyFont="1"/>
    <xf numFmtId="0" fontId="23" fillId="11" borderId="1" xfId="49" applyFont="1" applyFill="1" applyBorder="1"/>
    <xf numFmtId="4" fontId="23" fillId="11" borderId="3" xfId="49" applyNumberFormat="1" applyFont="1" applyFill="1" applyBorder="1"/>
    <xf numFmtId="0" fontId="23" fillId="11" borderId="4" xfId="49" applyFont="1" applyFill="1" applyBorder="1"/>
    <xf numFmtId="0" fontId="23" fillId="11" borderId="5" xfId="49" applyFont="1" applyFill="1" applyBorder="1"/>
    <xf numFmtId="0" fontId="1" fillId="11" borderId="7" xfId="50" applyFont="1" applyFill="1" applyBorder="1" applyAlignment="1">
      <alignment horizontal="right"/>
    </xf>
    <xf numFmtId="0" fontId="1" fillId="11" borderId="1" xfId="0" applyFont="1" applyFill="1" applyBorder="1"/>
    <xf numFmtId="0" fontId="1" fillId="11" borderId="2" xfId="0" applyFont="1" applyFill="1" applyBorder="1"/>
    <xf numFmtId="0" fontId="1" fillId="11" borderId="3" xfId="0" applyFont="1" applyFill="1" applyBorder="1"/>
    <xf numFmtId="0" fontId="1" fillId="11" borderId="4" xfId="0" applyFont="1" applyFill="1" applyBorder="1"/>
    <xf numFmtId="0" fontId="1" fillId="11" borderId="0" xfId="0" applyFont="1" applyFill="1"/>
    <xf numFmtId="0" fontId="1" fillId="11" borderId="5" xfId="0" applyFont="1" applyFill="1" applyBorder="1"/>
    <xf numFmtId="0" fontId="1" fillId="11" borderId="6" xfId="0" applyFont="1" applyFill="1" applyBorder="1"/>
    <xf numFmtId="0" fontId="1" fillId="11" borderId="8" xfId="0" applyFont="1" applyFill="1" applyBorder="1"/>
    <xf numFmtId="0" fontId="1" fillId="11" borderId="7" xfId="0" applyFont="1" applyFill="1" applyBorder="1"/>
    <xf numFmtId="0" fontId="40" fillId="0" borderId="0" xfId="49"/>
    <xf numFmtId="2" fontId="18" fillId="11" borderId="6" xfId="52" applyNumberFormat="1" applyFont="1" applyFill="1" applyBorder="1"/>
    <xf numFmtId="2" fontId="18" fillId="11" borderId="8" xfId="52" applyNumberFormat="1" applyFont="1" applyFill="1" applyBorder="1"/>
    <xf numFmtId="2" fontId="18" fillId="11" borderId="7" xfId="52" applyNumberFormat="1" applyFont="1" applyFill="1" applyBorder="1"/>
    <xf numFmtId="0" fontId="26" fillId="10" borderId="5" xfId="43" applyFont="1" applyFill="1" applyBorder="1" applyAlignment="1">
      <alignment horizontal="right"/>
    </xf>
    <xf numFmtId="0" fontId="18" fillId="0" borderId="6" xfId="43" applyFont="1" applyBorder="1"/>
    <xf numFmtId="0" fontId="18" fillId="10" borderId="1" xfId="43" applyFont="1" applyFill="1" applyBorder="1"/>
    <xf numFmtId="0" fontId="18" fillId="10" borderId="4" xfId="43" applyFont="1" applyFill="1" applyBorder="1"/>
    <xf numFmtId="2" fontId="6" fillId="10" borderId="4" xfId="43" applyNumberFormat="1" applyFill="1" applyBorder="1"/>
    <xf numFmtId="167" fontId="26" fillId="3" borderId="12" xfId="43" applyNumberFormat="1" applyFont="1" applyFill="1" applyBorder="1" applyAlignment="1" applyProtection="1">
      <alignment vertical="center"/>
      <protection locked="0"/>
    </xf>
    <xf numFmtId="167" fontId="18" fillId="0" borderId="12" xfId="43" applyNumberFormat="1" applyFont="1" applyBorder="1" applyAlignment="1">
      <alignment horizontal="right" vertical="center"/>
    </xf>
    <xf numFmtId="0" fontId="20" fillId="0" borderId="12" xfId="0" applyFont="1" applyBorder="1" applyAlignment="1" applyProtection="1">
      <alignment horizontal="center"/>
      <protection locked="0"/>
    </xf>
    <xf numFmtId="0" fontId="39" fillId="12" borderId="17" xfId="0" applyFont="1" applyFill="1" applyBorder="1" applyAlignment="1" applyProtection="1">
      <alignment horizontal="center"/>
      <protection locked="0"/>
    </xf>
    <xf numFmtId="0" fontId="20" fillId="6" borderId="0" xfId="0" applyFont="1" applyFill="1"/>
    <xf numFmtId="0" fontId="45" fillId="6" borderId="0" xfId="0" applyFont="1" applyFill="1"/>
    <xf numFmtId="0" fontId="6" fillId="6" borderId="0" xfId="43" applyFill="1" applyAlignment="1">
      <alignment vertical="center"/>
    </xf>
    <xf numFmtId="0" fontId="11" fillId="2" borderId="0" xfId="41" applyFont="1" applyFill="1" applyAlignment="1">
      <alignment horizontal="center" vertical="center" wrapText="1"/>
    </xf>
    <xf numFmtId="0" fontId="16" fillId="2" borderId="1" xfId="42" applyFont="1" applyFill="1" applyBorder="1" applyAlignment="1">
      <alignment horizontal="center"/>
    </xf>
    <xf numFmtId="0" fontId="16" fillId="2" borderId="2" xfId="42" applyFont="1" applyFill="1" applyBorder="1" applyAlignment="1">
      <alignment horizontal="center"/>
    </xf>
    <xf numFmtId="0" fontId="16" fillId="2" borderId="9" xfId="42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35" fillId="2" borderId="2" xfId="48" applyFont="1" applyFill="1" applyBorder="1" applyAlignment="1">
      <alignment horizontal="center"/>
    </xf>
    <xf numFmtId="0" fontId="6" fillId="0" borderId="15" xfId="43" applyBorder="1" applyAlignment="1">
      <alignment horizontal="center" vertical="center"/>
    </xf>
    <xf numFmtId="0" fontId="6" fillId="0" borderId="16" xfId="43" applyBorder="1" applyAlignment="1">
      <alignment horizontal="center" vertical="center"/>
    </xf>
    <xf numFmtId="0" fontId="6" fillId="0" borderId="13" xfId="43" applyBorder="1" applyAlignment="1">
      <alignment horizontal="center" vertical="center"/>
    </xf>
    <xf numFmtId="0" fontId="36" fillId="8" borderId="15" xfId="43" applyFont="1" applyFill="1" applyBorder="1" applyAlignment="1">
      <alignment horizontal="center"/>
    </xf>
    <xf numFmtId="0" fontId="36" fillId="8" borderId="13" xfId="43" applyFont="1" applyFill="1" applyBorder="1" applyAlignment="1">
      <alignment horizontal="center"/>
    </xf>
    <xf numFmtId="0" fontId="37" fillId="9" borderId="15" xfId="0" applyFont="1" applyFill="1" applyBorder="1" applyAlignment="1">
      <alignment horizontal="center"/>
    </xf>
    <xf numFmtId="0" fontId="37" fillId="9" borderId="16" xfId="0" applyFont="1" applyFill="1" applyBorder="1" applyAlignment="1">
      <alignment horizontal="center"/>
    </xf>
    <xf numFmtId="0" fontId="37" fillId="9" borderId="13" xfId="0" applyFont="1" applyFill="1" applyBorder="1" applyAlignment="1">
      <alignment horizontal="center"/>
    </xf>
    <xf numFmtId="0" fontId="36" fillId="8" borderId="16" xfId="43" applyFont="1" applyFill="1" applyBorder="1" applyAlignment="1">
      <alignment horizont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2" fillId="0" borderId="0" xfId="43" applyFont="1" applyAlignment="1">
      <alignment horizontal="center" vertical="center"/>
    </xf>
  </cellXfs>
  <cellStyles count="53">
    <cellStyle name="Excel_BuiltIn_20% - Accent1" xfId="47" xr:uid="{0A5E4CBF-E4EC-FC44-A883-B1E9AC9E59DF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8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3" xr:uid="{D0C399E2-A941-AA4F-B42F-87A7CE497740}"/>
    <cellStyle name="Normal 3 2" xfId="44" xr:uid="{053FA022-145E-5B4C-8FD3-7620CDCF3F7A}"/>
    <cellStyle name="Normal 3 3" xfId="52" xr:uid="{45FCAD38-55AC-EE4A-BDE1-28FE2245B7ED}"/>
    <cellStyle name="Normal 4" xfId="45" xr:uid="{0E1916BE-0CB3-DE44-BD3A-C9A53A0F672B}"/>
    <cellStyle name="Normal 5 2" xfId="50" xr:uid="{7AA9C50F-AAD1-1345-A2D5-C255082F9A18}"/>
    <cellStyle name="Normal 6 2" xfId="49" xr:uid="{73A51030-4B2E-BF4E-8112-F31B96C55806}"/>
    <cellStyle name="Normal 7" xfId="51" xr:uid="{C147196D-9265-0E4C-AE42-8BBC1A6C390F}"/>
    <cellStyle name="Style 1" xfId="46" xr:uid="{8A4362C6-84E9-774D-98CE-86D751E143AA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Illumination!$H$8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Illumination!$H$9:$H$209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C-1C4F-B682-D6ED27BE69BA}"/>
            </c:ext>
          </c:extLst>
        </c:ser>
        <c:ser>
          <c:idx val="0"/>
          <c:order val="1"/>
          <c:tx>
            <c:strRef>
              <c:f>Illumination!$I$8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Illumination!$I$9:$I$209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1.0198673051076135E-4</c:v>
                </c:pt>
                <c:pt idx="102">
                  <c:v>4.0800935527351978E-4</c:v>
                </c:pt>
                <c:pt idx="103">
                  <c:v>9.1825536523493234E-4</c:v>
                </c:pt>
                <c:pt idx="104">
                  <c:v>1.6330378841915572E-3</c:v>
                </c:pt>
                <c:pt idx="105">
                  <c:v>2.5527966319248696E-3</c:v>
                </c:pt>
                <c:pt idx="106">
                  <c:v>3.6780992822733616E-3</c:v>
                </c:pt>
                <c:pt idx="107">
                  <c:v>5.0096432259674195E-3</c:v>
                </c:pt>
                <c:pt idx="108">
                  <c:v>6.5482577510908024E-3</c:v>
                </c:pt>
                <c:pt idx="109">
                  <c:v>8.2949066572194363E-3</c:v>
                </c:pt>
                <c:pt idx="110">
                  <c:v>1.0250691322708394E-2</c:v>
                </c:pt>
                <c:pt idx="111">
                  <c:v>1.2416854248269438E-2</c:v>
                </c:pt>
                <c:pt idx="112">
                  <c:v>1.4794783103979636E-2</c:v>
                </c:pt>
                <c:pt idx="113">
                  <c:v>1.7386015311236847E-2</c:v>
                </c:pt>
                <c:pt idx="114">
                  <c:v>2.0192243196010096E-2</c:v>
                </c:pt>
                <c:pt idx="115">
                  <c:v>2.3215319755091612E-2</c:v>
                </c:pt>
                <c:pt idx="116">
                  <c:v>2.6457265083051018E-2</c:v>
                </c:pt>
                <c:pt idx="117">
                  <c:v>2.9920273514315143E-2</c:v>
                </c:pt>
                <c:pt idx="118">
                  <c:v>3.3606721542387308E-2</c:v>
                </c:pt>
                <c:pt idx="119">
                  <c:v>3.7519176586822356E-2</c:v>
                </c:pt>
                <c:pt idx="120">
                  <c:v>4.1660406688366347E-2</c:v>
                </c:pt>
                <c:pt idx="121">
                  <c:v>4.603339122385941E-2</c:v>
                </c:pt>
                <c:pt idx="122">
                  <c:v>5.0641332745344325E-2</c:v>
                </c:pt>
                <c:pt idx="123">
                  <c:v>5.5487670062605465E-2</c:v>
                </c:pt>
                <c:pt idx="124">
                  <c:v>6.0576092705460827E-2</c:v>
                </c:pt>
                <c:pt idx="125">
                  <c:v>6.5910556921953245E-2</c:v>
                </c:pt>
                <c:pt idx="126">
                  <c:v>7.1495303391675979E-2</c:v>
                </c:pt>
                <c:pt idx="127">
                  <c:v>7.7334876860450708E-2</c:v>
                </c:pt>
                <c:pt idx="128">
                  <c:v>8.3434147934221325E-2</c:v>
                </c:pt>
                <c:pt idx="129">
                  <c:v>8.9798337307298803E-2</c:v>
                </c:pt>
                <c:pt idx="130">
                  <c:v>9.6433042744151654E-2</c:v>
                </c:pt>
                <c:pt idx="131">
                  <c:v>0.1033442691862333</c:v>
                </c:pt>
                <c:pt idx="132">
                  <c:v>0.1105384624176875</c:v>
                </c:pt>
                <c:pt idx="133">
                  <c:v>0.11802254679841362</c:v>
                </c:pt>
                <c:pt idx="134">
                  <c:v>0.12580396766276436</c:v>
                </c:pt>
                <c:pt idx="135">
                  <c:v>0.1338907390906634</c:v>
                </c:pt>
                <c:pt idx="136">
                  <c:v>0.1422914978897476</c:v>
                </c:pt>
                <c:pt idx="137">
                  <c:v>0.15101556478810985</c:v>
                </c:pt>
                <c:pt idx="138">
                  <c:v>0.1600730140348896</c:v>
                </c:pt>
                <c:pt idx="139">
                  <c:v>0.16947475285012492</c:v>
                </c:pt>
                <c:pt idx="140">
                  <c:v>0.17923261246877575</c:v>
                </c:pt>
                <c:pt idx="141">
                  <c:v>0.18935945290354239</c:v>
                </c:pt>
                <c:pt idx="142">
                  <c:v>0.19986928402953985</c:v>
                </c:pt>
                <c:pt idx="143">
                  <c:v>0.21077740620120267</c:v>
                </c:pt>
                <c:pt idx="144">
                  <c:v>0.22210057438885755</c:v>
                </c:pt>
                <c:pt idx="145">
                  <c:v>0.23385719082514855</c:v>
                </c:pt>
                <c:pt idx="146">
                  <c:v>0.24606753245727375</c:v>
                </c:pt>
                <c:pt idx="147">
                  <c:v>0.25875402121809887</c:v>
                </c:pt>
                <c:pt idx="148">
                  <c:v>0.27194154741109111</c:v>
                </c:pt>
                <c:pt idx="149">
                  <c:v>0.28565785957111678</c:v>
                </c:pt>
                <c:pt idx="150">
                  <c:v>0.29993403833679821</c:v>
                </c:pt>
                <c:pt idx="151">
                  <c:v>0.31480507762617482</c:v>
                </c:pt>
                <c:pt idx="152">
                  <c:v>0.3303106044628864</c:v>
                </c:pt>
                <c:pt idx="153">
                  <c:v>0.34649578025585759</c:v>
                </c:pt>
                <c:pt idx="154">
                  <c:v>0.36341244291733155</c:v>
                </c:pt>
                <c:pt idx="155">
                  <c:v>0.38112057368005636</c:v>
                </c:pt>
                <c:pt idx="156">
                  <c:v>0.39969020939828981</c:v>
                </c:pt>
                <c:pt idx="157">
                  <c:v>0.41920397819632138</c:v>
                </c:pt>
                <c:pt idx="158">
                  <c:v>0.43976052702952773</c:v>
                </c:pt>
                <c:pt idx="159">
                  <c:v>0.46147925844399484</c:v>
                </c:pt>
                <c:pt idx="160">
                  <c:v>0.4845070466258824</c:v>
                </c:pt>
                <c:pt idx="161">
                  <c:v>0.50902805095275105</c:v>
                </c:pt>
                <c:pt idx="162">
                  <c:v>0.53527857978711357</c:v>
                </c:pt>
                <c:pt idx="163">
                  <c:v>0.56357060600980002</c:v>
                </c:pt>
                <c:pt idx="164">
                  <c:v>0.59433103723211955</c:v>
                </c:pt>
                <c:pt idx="165">
                  <c:v>0.62817198512184924</c:v>
                </c:pt>
                <c:pt idx="166">
                  <c:v>0.66602857633649526</c:v>
                </c:pt>
                <c:pt idx="167">
                  <c:v>0.70946631024961393</c:v>
                </c:pt>
                <c:pt idx="168">
                  <c:v>0.76151559418556858</c:v>
                </c:pt>
                <c:pt idx="169">
                  <c:v>0.82990628279123635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C-1C4F-B682-D6ED27BE69BA}"/>
            </c:ext>
          </c:extLst>
        </c:ser>
        <c:ser>
          <c:idx val="3"/>
          <c:order val="2"/>
          <c:tx>
            <c:strRef>
              <c:f>Illumination!$J$8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Illumination!$J$9:$J$209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1.9997960265389785</c:v>
                </c:pt>
                <c:pt idx="102">
                  <c:v>1.999183981289453</c:v>
                </c:pt>
                <c:pt idx="103">
                  <c:v>1.9981634892695301</c:v>
                </c:pt>
                <c:pt idx="104">
                  <c:v>1.9967339242316169</c:v>
                </c:pt>
                <c:pt idx="105">
                  <c:v>1.9948944067361503</c:v>
                </c:pt>
                <c:pt idx="106">
                  <c:v>1.9926438014354533</c:v>
                </c:pt>
                <c:pt idx="107">
                  <c:v>1.9899807135480652</c:v>
                </c:pt>
                <c:pt idx="108">
                  <c:v>1.9869034844978184</c:v>
                </c:pt>
                <c:pt idx="109">
                  <c:v>1.9834101866855611</c:v>
                </c:pt>
                <c:pt idx="110">
                  <c:v>1.9794986173545832</c:v>
                </c:pt>
                <c:pt idx="111">
                  <c:v>1.9751662915034611</c:v>
                </c:pt>
                <c:pt idx="112">
                  <c:v>1.9704104337920407</c:v>
                </c:pt>
                <c:pt idx="113">
                  <c:v>1.9652279693775263</c:v>
                </c:pt>
                <c:pt idx="114">
                  <c:v>1.9596155136079798</c:v>
                </c:pt>
                <c:pt idx="115">
                  <c:v>1.9535693604898168</c:v>
                </c:pt>
                <c:pt idx="116">
                  <c:v>1.947085469833898</c:v>
                </c:pt>
                <c:pt idx="117">
                  <c:v>1.9401594529713697</c:v>
                </c:pt>
                <c:pt idx="118">
                  <c:v>1.9327865569152254</c:v>
                </c:pt>
                <c:pt idx="119">
                  <c:v>1.9249616468263553</c:v>
                </c:pt>
                <c:pt idx="120">
                  <c:v>1.9166791866232673</c:v>
                </c:pt>
                <c:pt idx="121">
                  <c:v>1.9079332175522812</c:v>
                </c:pt>
                <c:pt idx="122">
                  <c:v>1.8987173345093113</c:v>
                </c:pt>
                <c:pt idx="123">
                  <c:v>1.8890246598747891</c:v>
                </c:pt>
                <c:pt idx="124">
                  <c:v>1.8788478145890783</c:v>
                </c:pt>
                <c:pt idx="125">
                  <c:v>1.8681788861560935</c:v>
                </c:pt>
                <c:pt idx="126">
                  <c:v>1.857009393216648</c:v>
                </c:pt>
                <c:pt idx="127">
                  <c:v>1.8453302462790986</c:v>
                </c:pt>
                <c:pt idx="128">
                  <c:v>1.8331317041315573</c:v>
                </c:pt>
                <c:pt idx="129">
                  <c:v>1.8204033253854024</c:v>
                </c:pt>
                <c:pt idx="130">
                  <c:v>1.8071339145116967</c:v>
                </c:pt>
                <c:pt idx="131">
                  <c:v>1.7933114616275334</c:v>
                </c:pt>
                <c:pt idx="132">
                  <c:v>1.778923075164625</c:v>
                </c:pt>
                <c:pt idx="133">
                  <c:v>1.7639549064031728</c:v>
                </c:pt>
                <c:pt idx="134">
                  <c:v>1.7483920646744713</c:v>
                </c:pt>
                <c:pt idx="135">
                  <c:v>1.7322185218186732</c:v>
                </c:pt>
                <c:pt idx="136">
                  <c:v>1.7154170042205048</c:v>
                </c:pt>
                <c:pt idx="137">
                  <c:v>1.6979688704237803</c:v>
                </c:pt>
                <c:pt idx="138">
                  <c:v>1.6798539719302208</c:v>
                </c:pt>
                <c:pt idx="139">
                  <c:v>1.6610504942997502</c:v>
                </c:pt>
                <c:pt idx="140">
                  <c:v>1.6415347750624485</c:v>
                </c:pt>
                <c:pt idx="141">
                  <c:v>1.6212810941929152</c:v>
                </c:pt>
                <c:pt idx="142">
                  <c:v>1.6002614319409203</c:v>
                </c:pt>
                <c:pt idx="143">
                  <c:v>1.5784451875975947</c:v>
                </c:pt>
                <c:pt idx="144">
                  <c:v>1.5557988512222849</c:v>
                </c:pt>
                <c:pt idx="145">
                  <c:v>1.5322856183497029</c:v>
                </c:pt>
                <c:pt idx="146">
                  <c:v>1.5078649350854525</c:v>
                </c:pt>
                <c:pt idx="147">
                  <c:v>1.4824919575638023</c:v>
                </c:pt>
                <c:pt idx="148">
                  <c:v>1.4561169051778178</c:v>
                </c:pt>
                <c:pt idx="149">
                  <c:v>1.4286842808577664</c:v>
                </c:pt>
                <c:pt idx="150">
                  <c:v>1.4001319233264036</c:v>
                </c:pt>
                <c:pt idx="151">
                  <c:v>1.3703898447476504</c:v>
                </c:pt>
                <c:pt idx="152">
                  <c:v>1.3393787910742272</c:v>
                </c:pt>
                <c:pt idx="153">
                  <c:v>1.3070084394882848</c:v>
                </c:pt>
                <c:pt idx="154">
                  <c:v>1.2731751141653369</c:v>
                </c:pt>
                <c:pt idx="155">
                  <c:v>1.2377588526398873</c:v>
                </c:pt>
                <c:pt idx="156">
                  <c:v>1.2006195812034204</c:v>
                </c:pt>
                <c:pt idx="157">
                  <c:v>1.1615920436073572</c:v>
                </c:pt>
                <c:pt idx="158">
                  <c:v>1.1204789459409445</c:v>
                </c:pt>
                <c:pt idx="159">
                  <c:v>1.0770414831120103</c:v>
                </c:pt>
                <c:pt idx="160">
                  <c:v>1.0309859067482352</c:v>
                </c:pt>
                <c:pt idx="161">
                  <c:v>0.98194389809449789</c:v>
                </c:pt>
                <c:pt idx="162">
                  <c:v>0.92944284042577274</c:v>
                </c:pt>
                <c:pt idx="163">
                  <c:v>0.87285878798039995</c:v>
                </c:pt>
                <c:pt idx="164">
                  <c:v>0.81133792553576078</c:v>
                </c:pt>
                <c:pt idx="165">
                  <c:v>0.74365602975630141</c:v>
                </c:pt>
                <c:pt idx="166">
                  <c:v>0.66794284732700948</c:v>
                </c:pt>
                <c:pt idx="167">
                  <c:v>0.58106737950077225</c:v>
                </c:pt>
                <c:pt idx="168">
                  <c:v>0.4769688116288629</c:v>
                </c:pt>
                <c:pt idx="169">
                  <c:v>0.34018743441752725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7C-1C4F-B682-D6ED27BE6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43</xdr:row>
      <xdr:rowOff>114300</xdr:rowOff>
    </xdr:from>
    <xdr:to>
      <xdr:col>9</xdr:col>
      <xdr:colOff>215900</xdr:colOff>
      <xdr:row>53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457200</xdr:colOff>
      <xdr:row>18</xdr:row>
      <xdr:rowOff>12700</xdr:rowOff>
    </xdr:from>
    <xdr:to>
      <xdr:col>8</xdr:col>
      <xdr:colOff>292100</xdr:colOff>
      <xdr:row>37</xdr:row>
      <xdr:rowOff>114300</xdr:rowOff>
    </xdr:to>
    <xdr:pic>
      <xdr:nvPicPr>
        <xdr:cNvPr id="4" name="Picture 3" descr="Collage of my best Deep Sky Objects so far : r/space">
          <a:extLst>
            <a:ext uri="{FF2B5EF4-FFF2-40B4-BE49-F238E27FC236}">
              <a16:creationId xmlns:a16="http://schemas.microsoft.com/office/drawing/2014/main" id="{21717A99-B89B-D138-C892-DF9F0C71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3568700"/>
          <a:ext cx="396240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0</xdr:colOff>
      <xdr:row>49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C6F469-37EF-8E4D-9EF0-8E79FBF3A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7A5D85F0-11E5-A042-B1AB-12B2E98A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2BB8383F-DE84-5644-89F3-55AF1521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9E9DE442-9437-C142-9F8A-815F750A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6B3826A3-4639-E545-81F5-BE1EE5161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D05659F-444D-C147-A71E-C8007E7A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tro.catshill.com/top-500-binary-stars/" TargetMode="Externa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4"/>
  <sheetViews>
    <sheetView showGridLines="0" tabSelected="1" workbookViewId="0">
      <selection activeCell="I16" sqref="I16"/>
    </sheetView>
  </sheetViews>
  <sheetFormatPr baseColWidth="10" defaultRowHeight="16"/>
  <cols>
    <col min="1" max="16384" width="10.83203125" style="50"/>
  </cols>
  <sheetData>
    <row r="2" spans="2:11" ht="15" customHeight="1"/>
    <row r="3" spans="2:11" ht="16" customHeight="1">
      <c r="B3" s="176" t="s">
        <v>546</v>
      </c>
      <c r="C3" s="176"/>
      <c r="D3" s="176"/>
      <c r="E3" s="176"/>
      <c r="F3" s="176"/>
      <c r="G3" s="176"/>
      <c r="H3" s="176"/>
      <c r="I3" s="176"/>
      <c r="J3" s="176"/>
      <c r="K3" s="176"/>
    </row>
    <row r="4" spans="2:11" ht="16" customHeight="1">
      <c r="B4" s="176"/>
      <c r="C4" s="176"/>
      <c r="D4" s="176"/>
      <c r="E4" s="176"/>
      <c r="F4" s="176"/>
      <c r="G4" s="176"/>
      <c r="H4" s="176"/>
      <c r="I4" s="176"/>
      <c r="J4" s="176"/>
      <c r="K4" s="176"/>
    </row>
    <row r="5" spans="2:11" ht="16" customHeight="1">
      <c r="B5" s="176"/>
      <c r="C5" s="176"/>
      <c r="D5" s="176"/>
      <c r="E5" s="176"/>
      <c r="F5" s="176"/>
      <c r="G5" s="176"/>
      <c r="H5" s="176"/>
      <c r="I5" s="176"/>
      <c r="J5" s="176"/>
      <c r="K5" s="176"/>
    </row>
    <row r="6" spans="2:11" ht="16" customHeight="1">
      <c r="B6" s="176"/>
      <c r="C6" s="176"/>
      <c r="D6" s="176"/>
      <c r="E6" s="176"/>
      <c r="F6" s="176"/>
      <c r="G6" s="176"/>
      <c r="H6" s="176"/>
      <c r="I6" s="176"/>
      <c r="J6" s="176"/>
      <c r="K6" s="176"/>
    </row>
    <row r="7" spans="2:11" ht="16" customHeight="1">
      <c r="B7" s="176"/>
      <c r="C7" s="176"/>
      <c r="D7" s="176"/>
      <c r="E7" s="176"/>
      <c r="F7" s="176"/>
      <c r="G7" s="176"/>
      <c r="H7" s="176"/>
      <c r="I7" s="176"/>
      <c r="J7" s="176"/>
      <c r="K7" s="176"/>
    </row>
    <row r="8" spans="2:11" ht="16" customHeight="1">
      <c r="B8" s="176"/>
      <c r="C8" s="176"/>
      <c r="D8" s="176"/>
      <c r="E8" s="176"/>
      <c r="F8" s="176"/>
      <c r="G8" s="176"/>
      <c r="H8" s="176"/>
      <c r="I8" s="176"/>
      <c r="J8" s="176"/>
      <c r="K8" s="176"/>
    </row>
    <row r="9" spans="2:11" ht="16" customHeight="1">
      <c r="B9" s="176"/>
      <c r="C9" s="176"/>
      <c r="D9" s="176"/>
      <c r="E9" s="176"/>
      <c r="F9" s="176"/>
      <c r="G9" s="176"/>
      <c r="H9" s="176"/>
      <c r="I9" s="176"/>
      <c r="J9" s="176"/>
      <c r="K9" s="176"/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547</v>
      </c>
      <c r="E15" s="10"/>
      <c r="F15" s="11"/>
      <c r="G15" s="11"/>
      <c r="H15" s="11"/>
      <c r="I15" s="12" t="s">
        <v>601</v>
      </c>
    </row>
    <row r="16" spans="2:11" ht="19">
      <c r="D16" s="52"/>
      <c r="E16" s="52"/>
      <c r="F16" s="7"/>
      <c r="G16" s="7"/>
      <c r="H16" s="7"/>
      <c r="I16" s="53"/>
    </row>
    <row r="17" spans="3:15">
      <c r="D17" s="186" t="s">
        <v>554</v>
      </c>
      <c r="E17" s="186"/>
      <c r="F17" s="186"/>
      <c r="G17" s="186"/>
      <c r="H17" s="186"/>
      <c r="I17" s="186"/>
    </row>
    <row r="25" spans="3:15">
      <c r="O25" s="51"/>
    </row>
    <row r="26" spans="3:15">
      <c r="O26" s="51"/>
    </row>
    <row r="27" spans="3:15">
      <c r="O27" s="51"/>
    </row>
    <row r="28" spans="3:15">
      <c r="O28" s="51"/>
    </row>
    <row r="30" spans="3:15">
      <c r="C30" s="51"/>
    </row>
    <row r="33" spans="1:17">
      <c r="D33" s="51"/>
    </row>
    <row r="38" spans="1:17">
      <c r="Q38" s="51"/>
    </row>
    <row r="39" spans="1:17">
      <c r="A39" s="51"/>
    </row>
    <row r="40" spans="1:17">
      <c r="B40" s="177" t="s">
        <v>1</v>
      </c>
      <c r="C40" s="178"/>
      <c r="D40" s="178"/>
      <c r="E40" s="178"/>
      <c r="F40" s="178"/>
      <c r="G40" s="178"/>
      <c r="H40" s="178"/>
      <c r="I40" s="178"/>
      <c r="J40" s="178"/>
      <c r="K40" s="179"/>
    </row>
    <row r="41" spans="1:17">
      <c r="B41" s="180" t="s">
        <v>2</v>
      </c>
      <c r="C41" s="181"/>
      <c r="D41" s="181"/>
      <c r="E41" s="181"/>
      <c r="F41" s="181"/>
      <c r="G41" s="181"/>
      <c r="H41" s="181"/>
      <c r="I41" s="181"/>
      <c r="J41" s="181"/>
      <c r="K41" s="182"/>
    </row>
    <row r="42" spans="1:17">
      <c r="B42" s="183" t="s">
        <v>3</v>
      </c>
      <c r="C42" s="184"/>
      <c r="D42" s="184"/>
      <c r="E42" s="184"/>
      <c r="F42" s="184"/>
      <c r="G42" s="184"/>
      <c r="H42" s="184"/>
      <c r="I42" s="184"/>
      <c r="J42" s="184"/>
      <c r="K42" s="185"/>
    </row>
    <row r="44" spans="1:17">
      <c r="Q44" s="51"/>
    </row>
  </sheetData>
  <sheetProtection sheet="1" objects="1" scenarios="1"/>
  <mergeCells count="5">
    <mergeCell ref="B3:K9"/>
    <mergeCell ref="B40:K40"/>
    <mergeCell ref="B41:K41"/>
    <mergeCell ref="B42:K42"/>
    <mergeCell ref="D17:I17"/>
  </mergeCells>
  <hyperlinks>
    <hyperlink ref="I13" r:id="rId1" xr:uid="{60E68FAD-CE54-204D-BE8F-AA8992F34899}"/>
    <hyperlink ref="B40" r:id="rId2" display="http://www.astronomy-morsels.ch/" xr:uid="{658673F1-EC19-9849-A093-CD89D563BEA6}"/>
    <hyperlink ref="D17:I17" r:id="rId3" display="Source" xr:uid="{F53D04BC-FDF4-5D40-9016-EF070BB43245}"/>
  </hyperlinks>
  <pageMargins left="0.7" right="0.7" top="0.75" bottom="0.75" header="0.3" footer="0.3"/>
  <pageSetup paperSize="9" orientation="portrait" horizontalDpi="0" verticalDpi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5CC5-610B-8844-8C0F-9B63B3EF5C5D}">
  <sheetPr codeName="Sheet1"/>
  <dimension ref="B2:Z512"/>
  <sheetViews>
    <sheetView showGridLines="0" workbookViewId="0">
      <selection activeCell="D15" sqref="D15"/>
    </sheetView>
  </sheetViews>
  <sheetFormatPr baseColWidth="10" defaultRowHeight="16"/>
  <cols>
    <col min="1" max="1" width="10.83203125" style="13"/>
    <col min="2" max="2" width="13.33203125" style="13" customWidth="1"/>
    <col min="3" max="4" width="11.33203125" style="13" customWidth="1"/>
    <col min="5" max="5" width="5.83203125" style="13" customWidth="1"/>
    <col min="6" max="6" width="20.83203125" style="25" customWidth="1"/>
    <col min="7" max="7" width="11.33203125" style="25" customWidth="1"/>
    <col min="8" max="8" width="10.83203125" style="14" customWidth="1"/>
    <col min="9" max="9" width="10.83203125" style="13"/>
    <col min="10" max="10" width="60.83203125" style="14" customWidth="1"/>
    <col min="11" max="12" width="10.83203125" style="26" customWidth="1"/>
    <col min="13" max="14" width="10.83203125" style="13"/>
    <col min="15" max="15" width="5.83203125" style="13" customWidth="1"/>
    <col min="16" max="16" width="5" style="14" hidden="1" customWidth="1"/>
    <col min="17" max="17" width="11.33203125" style="14" customWidth="1"/>
    <col min="18" max="19" width="11.33203125" style="13" customWidth="1"/>
    <col min="20" max="20" width="11.33203125" style="65" customWidth="1"/>
    <col min="21" max="21" width="60.83203125" style="14" customWidth="1"/>
    <col min="22" max="22" width="3.5" style="13" hidden="1" customWidth="1"/>
    <col min="23" max="23" width="15.6640625" style="13" hidden="1" customWidth="1"/>
    <col min="24" max="25" width="0.1640625" style="13" hidden="1" customWidth="1"/>
    <col min="26" max="16384" width="10.83203125" style="13"/>
  </cols>
  <sheetData>
    <row r="2" spans="2:26" ht="19">
      <c r="B2" s="190" t="s">
        <v>555</v>
      </c>
      <c r="C2" s="191"/>
      <c r="D2" s="107"/>
      <c r="F2" s="192" t="s">
        <v>556</v>
      </c>
      <c r="G2" s="193"/>
      <c r="H2" s="193"/>
      <c r="I2" s="193"/>
      <c r="J2" s="193"/>
      <c r="K2" s="193"/>
      <c r="L2" s="193"/>
      <c r="M2" s="193"/>
      <c r="N2" s="194"/>
      <c r="P2" s="54"/>
      <c r="Q2" s="190" t="s">
        <v>557</v>
      </c>
      <c r="R2" s="195"/>
      <c r="S2" s="195"/>
      <c r="T2" s="195"/>
      <c r="U2" s="195"/>
      <c r="V2" s="195"/>
      <c r="W2" s="191"/>
      <c r="Y2" s="55"/>
      <c r="Z2" s="55"/>
    </row>
    <row r="3" spans="2:26">
      <c r="B3" s="165"/>
      <c r="C3" s="57" t="s">
        <v>7</v>
      </c>
      <c r="D3" s="108"/>
      <c r="E3" s="15"/>
      <c r="F3" s="88"/>
      <c r="G3" s="89"/>
      <c r="H3" s="16" t="s">
        <v>5</v>
      </c>
      <c r="I3" s="16" t="s">
        <v>5</v>
      </c>
      <c r="J3" s="90"/>
      <c r="K3" s="91"/>
      <c r="L3" s="91"/>
      <c r="M3" s="90"/>
      <c r="N3" s="92"/>
      <c r="Q3" s="166" t="str">
        <f>CONCATENATE("Date: ",TEXT(C4,"DD.MM.YYYY"),",   Time: ",TEXT(C5,"HH:MM"))</f>
        <v>Date: 12.05.2024,   Time: 21:00</v>
      </c>
      <c r="R3" s="98"/>
      <c r="S3" s="98"/>
      <c r="T3" s="99"/>
      <c r="U3" s="164" t="str">
        <f>CONCATENATE("Moon: ",TEXT(Illumination!C8*100,"0.00"),"%")</f>
        <v>Moon: 25.31%</v>
      </c>
      <c r="W3" s="56"/>
      <c r="Y3" s="55"/>
      <c r="Z3" s="55"/>
    </row>
    <row r="4" spans="2:26">
      <c r="B4" s="28" t="s">
        <v>13</v>
      </c>
      <c r="C4" s="29">
        <v>45424</v>
      </c>
      <c r="D4" s="109"/>
      <c r="E4" s="15"/>
      <c r="F4" s="88"/>
      <c r="G4" s="89"/>
      <c r="H4" s="17">
        <v>170</v>
      </c>
      <c r="I4" s="17">
        <v>45</v>
      </c>
      <c r="J4" s="90"/>
      <c r="K4" s="91"/>
      <c r="L4" s="91"/>
      <c r="M4" s="90"/>
      <c r="N4" s="92"/>
      <c r="Q4" s="167" t="str">
        <f>CONCATENATE("Latitude: ",TEXT(C13,"0.00"),",      Longitude: ",TEXT(C14,"0.00"),"   (",C12,")")</f>
        <v>Latitude: 46.45,      Longitude: 7.42   (Home)</v>
      </c>
      <c r="R4" s="71"/>
      <c r="S4" s="71"/>
      <c r="T4" s="100"/>
      <c r="U4" s="105" t="str">
        <f>CONCATENATE("# total:       ",TEXT(502-COUNTBLANK(($E$8:$E$509)),"0"))</f>
        <v># total:       2</v>
      </c>
      <c r="W4" s="56"/>
      <c r="Y4" s="55"/>
      <c r="Z4" s="55"/>
    </row>
    <row r="5" spans="2:26">
      <c r="B5" s="18" t="s">
        <v>14</v>
      </c>
      <c r="C5" s="97">
        <v>0.875</v>
      </c>
      <c r="D5" s="110"/>
      <c r="E5" s="15"/>
      <c r="F5" s="88"/>
      <c r="G5" s="89"/>
      <c r="H5" s="16" t="s">
        <v>6</v>
      </c>
      <c r="I5" s="16" t="s">
        <v>6</v>
      </c>
      <c r="J5" s="90"/>
      <c r="K5" s="91"/>
      <c r="L5" s="91"/>
      <c r="M5" s="90"/>
      <c r="N5" s="92"/>
      <c r="Q5" s="168" t="str">
        <f>CONCATENATE("Limits: ",TEXT(H4,"0")," &lt;= azimuth &lt;= ",TEXT(H6,"0"),",   ",TEXT(I4,"0")," &lt;= altitude &lt;= ",TEXT(I6,"0"))</f>
        <v>Limits: 170 &lt;= azimuth &lt;= 190,   45 &lt;= altitude &lt;= 60</v>
      </c>
      <c r="R5" s="98"/>
      <c r="S5" s="98"/>
      <c r="T5" s="101"/>
      <c r="U5" s="164" t="str">
        <f>CONCATENATE("# selected: ",TEXT(502-COUNTBLANK(($Q$8:$Q$509)),"0"))</f>
        <v># selected: 2</v>
      </c>
      <c r="W5" s="56"/>
      <c r="Y5" s="55"/>
      <c r="Z5" s="55"/>
    </row>
    <row r="6" spans="2:26">
      <c r="B6" s="18" t="s">
        <v>16</v>
      </c>
      <c r="C6" s="20">
        <v>1</v>
      </c>
      <c r="D6" s="111"/>
      <c r="E6" s="15"/>
      <c r="F6" s="88"/>
      <c r="G6" s="93"/>
      <c r="H6" s="17">
        <v>190</v>
      </c>
      <c r="I6" s="17">
        <v>60</v>
      </c>
      <c r="J6" s="94"/>
      <c r="K6" s="95"/>
      <c r="L6" s="95"/>
      <c r="M6" s="94"/>
      <c r="N6" s="96"/>
      <c r="P6" s="58" t="s">
        <v>81</v>
      </c>
      <c r="Q6" s="81"/>
      <c r="R6" s="82"/>
      <c r="S6" s="83"/>
      <c r="T6" s="84"/>
      <c r="U6" s="85"/>
      <c r="W6" s="56"/>
      <c r="Y6" s="55"/>
      <c r="Z6" s="55"/>
    </row>
    <row r="7" spans="2:26">
      <c r="B7" s="28" t="s">
        <v>18</v>
      </c>
      <c r="C7" s="38" t="str">
        <f>IF(OR(MOD(YEAR(C4),400)=0,AND(MOD(YEAR(C4),4)=0,MOD(YEAR(C4),100)&lt;&gt;0)),"Y", "N")</f>
        <v>Y</v>
      </c>
      <c r="D7" s="30"/>
      <c r="E7" s="15"/>
      <c r="F7" s="64" t="s">
        <v>119</v>
      </c>
      <c r="G7" s="24" t="str">
        <f>C17</f>
        <v>Observed?</v>
      </c>
      <c r="H7" s="22" t="s">
        <v>8</v>
      </c>
      <c r="I7" s="22" t="s">
        <v>9</v>
      </c>
      <c r="J7" s="21" t="s">
        <v>80</v>
      </c>
      <c r="K7" s="46" t="s">
        <v>548</v>
      </c>
      <c r="L7" s="27" t="s">
        <v>10</v>
      </c>
      <c r="M7" s="22" t="s">
        <v>11</v>
      </c>
      <c r="N7" s="22" t="s">
        <v>12</v>
      </c>
      <c r="O7" s="23"/>
      <c r="P7" s="59" t="s">
        <v>119</v>
      </c>
      <c r="Q7" s="64" t="s">
        <v>119</v>
      </c>
      <c r="R7" s="80" t="str">
        <f>C17</f>
        <v>Observed?</v>
      </c>
      <c r="S7" s="70" t="s">
        <v>8</v>
      </c>
      <c r="T7" s="70" t="s">
        <v>9</v>
      </c>
      <c r="U7" s="72" t="s">
        <v>80</v>
      </c>
      <c r="V7" s="22" t="s">
        <v>11</v>
      </c>
      <c r="W7" s="22" t="s">
        <v>12</v>
      </c>
      <c r="Z7" s="55"/>
    </row>
    <row r="8" spans="2:26" s="35" customFormat="1">
      <c r="B8" s="28" t="s">
        <v>19</v>
      </c>
      <c r="C8" s="39">
        <f>INT(275*MONTH(C4)/9)-IF(C7="Y",1,2)*INT((MONTH(C4)+9)/12)+DAY(C4)-30</f>
        <v>133</v>
      </c>
      <c r="D8" s="112"/>
      <c r="E8" s="30" t="str">
        <f>IF(AND(I8&gt;=$I$4,I8&lt;=$I$6,H8&gt;=$H$4,H8&lt;=$H$6),IF(VLOOKUP(G8,$C$19:$D$24,2,FALSE)="yes","*","-"),"")</f>
        <v/>
      </c>
      <c r="F8" s="31">
        <v>205</v>
      </c>
      <c r="G8" s="106" t="s">
        <v>564</v>
      </c>
      <c r="H8" s="32">
        <f t="shared" ref="H8:H71" si="0">IF(SIN($C$14*N8)&lt;0,ACOS((SIN($M$512*M8)-SIN($M$512*I8)*SIN($M$512*$C$13))/(COS($M$512*I8)*COS($M$512*$C$13)))/$M$512,360-ACOS((SIN($M$512*M8)-SIN($M$512*I8)*SIN($M$512*$C$13))/(COS($M$512*I8)*COS($M$512*$C$13)))/$M$512)</f>
        <v>8.6118810042985903</v>
      </c>
      <c r="I8" s="32">
        <f t="shared" ref="I8:I71" si="1">ASIN(SIN($M$512*M8)*SIN($M$512*$C$13)+COS($M$512*M8)*COS($M$512*$C$13)*COS($M$512*N8))/$M$512</f>
        <v>-1.2680613940399061</v>
      </c>
      <c r="J8" s="33" t="s">
        <v>79</v>
      </c>
      <c r="K8" s="47">
        <v>8.1</v>
      </c>
      <c r="L8" s="34">
        <v>0.67333333333333334</v>
      </c>
      <c r="M8" s="86">
        <v>41.68333333333333</v>
      </c>
      <c r="N8" s="32">
        <f t="shared" ref="N8:N71" si="2">$C$16-((L8/24)*360)</f>
        <v>168.43662362499927</v>
      </c>
      <c r="P8" s="36" t="str" cm="1">
        <f t="array" ref="P8:Y9">_xlfn._xlws.FILTER(E8:N507,E8:E507="*","")</f>
        <v>*</v>
      </c>
      <c r="Q8" s="67">
        <v>4192</v>
      </c>
      <c r="R8" s="36" t="str">
        <v>-</v>
      </c>
      <c r="S8" s="102">
        <v>189.03261407807824</v>
      </c>
      <c r="T8" s="103">
        <v>58.183097313067059</v>
      </c>
      <c r="U8" s="37" t="str">
        <v>M98</v>
      </c>
      <c r="V8" s="35">
        <v>10.1</v>
      </c>
      <c r="W8" s="104">
        <v>12.23</v>
      </c>
      <c r="X8" s="35">
        <v>14.9</v>
      </c>
      <c r="Y8" s="35">
        <v>-4.9133763750007518</v>
      </c>
      <c r="Z8" s="66"/>
    </row>
    <row r="9" spans="2:26" s="35" customFormat="1">
      <c r="B9" s="28" t="s">
        <v>20</v>
      </c>
      <c r="C9" s="39" t="str">
        <f>IF(INT(MOD(C10+1.5,7))=1,"Monday",IF(INT(MOD(C10+1.5,7))=2,"Tuesday",IF(INT(MOD(C10+1.5,7))=3,"Wednesday",IF(INT(MOD(C10+1.5,7))=4,"Thursday",IF(INT(MOD(C10+1.5,7))=5,"Friday",IF(INT(MOD(C10+1.5,7))=6,"Saturday","Sunday"))))))</f>
        <v>Sunday</v>
      </c>
      <c r="D9" s="112"/>
      <c r="E9" s="30" t="str">
        <f t="shared" ref="E9:E72" si="3">IF(AND(I9&gt;=$I$4,I9&lt;=$I$6,H9&gt;=$H$4,H9&lt;=$H$6),IF(VLOOKUP(G9,$C$19:$D$24,2,FALSE)="yes","*","-"),"")</f>
        <v/>
      </c>
      <c r="F9" s="31">
        <v>206</v>
      </c>
      <c r="G9" s="106" t="s">
        <v>564</v>
      </c>
      <c r="H9" s="32">
        <f t="shared" si="0"/>
        <v>8.7619837087876853</v>
      </c>
      <c r="I9" s="32">
        <f t="shared" si="1"/>
        <v>-2.2063279349482743</v>
      </c>
      <c r="J9" s="33" t="s">
        <v>120</v>
      </c>
      <c r="K9" s="47">
        <v>12.8</v>
      </c>
      <c r="L9" s="34">
        <v>0.67500000000000004</v>
      </c>
      <c r="M9" s="86">
        <v>40.733333333333334</v>
      </c>
      <c r="N9" s="32">
        <f t="shared" si="2"/>
        <v>168.41162362499927</v>
      </c>
      <c r="P9" s="37" t="str">
        <v>*</v>
      </c>
      <c r="Q9" s="60">
        <v>4216</v>
      </c>
      <c r="R9" s="37" t="str">
        <v>-</v>
      </c>
      <c r="S9" s="102">
        <v>170.4033706144694</v>
      </c>
      <c r="T9" s="103">
        <v>56.38614026957881</v>
      </c>
      <c r="U9" s="37" t="str">
        <v>SILVER STREAK GALAXY</v>
      </c>
      <c r="V9" s="35">
        <v>10</v>
      </c>
      <c r="W9" s="104">
        <v>12.265000000000001</v>
      </c>
      <c r="X9" s="35">
        <v>13.15</v>
      </c>
      <c r="Y9" s="35">
        <v>-5.4383763750007574</v>
      </c>
      <c r="Z9" s="66"/>
    </row>
    <row r="10" spans="2:26" s="35" customFormat="1">
      <c r="B10" s="28" t="s">
        <v>21</v>
      </c>
      <c r="C10" s="87">
        <f>367*YEAR(C4)-INT(7/4*YEAR(C4))-INT(3*(INT((YEAR(C4)-8/7)/100)+1)/4)+1721059.5-1+C8+(3600*HOUR(C5)+60*MINUTE(C5)+SECOND(C5))/(24*3600)</f>
        <v>2460443.375</v>
      </c>
      <c r="D10" s="113"/>
      <c r="E10" s="30" t="str">
        <f t="shared" si="3"/>
        <v/>
      </c>
      <c r="F10" s="31">
        <v>221</v>
      </c>
      <c r="G10" s="106" t="s">
        <v>564</v>
      </c>
      <c r="H10" s="32">
        <f t="shared" si="0"/>
        <v>350.84450402746552</v>
      </c>
      <c r="I10" s="32">
        <f t="shared" si="1"/>
        <v>-2.0153296746272544</v>
      </c>
      <c r="J10" s="33" t="s">
        <v>38</v>
      </c>
      <c r="K10" s="47">
        <v>8.1</v>
      </c>
      <c r="L10" s="34">
        <v>0.71166666666666667</v>
      </c>
      <c r="M10" s="86">
        <v>40.866666666666667</v>
      </c>
      <c r="N10" s="32">
        <f t="shared" si="2"/>
        <v>167.86162362499925</v>
      </c>
      <c r="P10" s="37"/>
      <c r="Q10" s="60"/>
      <c r="R10" s="37"/>
      <c r="S10" s="102"/>
      <c r="T10" s="103"/>
      <c r="U10" s="37"/>
      <c r="W10" s="104"/>
      <c r="Z10" s="66"/>
    </row>
    <row r="11" spans="2:26" s="35" customFormat="1">
      <c r="B11" s="28" t="s">
        <v>22</v>
      </c>
      <c r="C11" s="87">
        <f>C10-2451545</f>
        <v>8898.375</v>
      </c>
      <c r="D11" s="113"/>
      <c r="E11" s="30" t="str">
        <f t="shared" si="3"/>
        <v/>
      </c>
      <c r="F11" s="31">
        <v>224</v>
      </c>
      <c r="G11" s="106" t="s">
        <v>564</v>
      </c>
      <c r="H11" s="32">
        <f t="shared" si="0"/>
        <v>350.90251289717639</v>
      </c>
      <c r="I11" s="32">
        <f t="shared" si="1"/>
        <v>-1.6195540195745122</v>
      </c>
      <c r="J11" s="33" t="s">
        <v>121</v>
      </c>
      <c r="K11" s="47">
        <v>3.5</v>
      </c>
      <c r="L11" s="34">
        <v>0.71166666666666667</v>
      </c>
      <c r="M11" s="86">
        <v>41.266666666666666</v>
      </c>
      <c r="N11" s="32">
        <f t="shared" si="2"/>
        <v>167.86162362499925</v>
      </c>
      <c r="P11" s="37"/>
      <c r="Q11" s="60"/>
      <c r="R11" s="37"/>
      <c r="S11" s="102"/>
      <c r="T11" s="103"/>
      <c r="U11" s="37"/>
      <c r="W11" s="104"/>
      <c r="Z11" s="66"/>
    </row>
    <row r="12" spans="2:26" s="35" customFormat="1">
      <c r="B12" s="73" t="s">
        <v>558</v>
      </c>
      <c r="C12" s="74" t="s">
        <v>559</v>
      </c>
      <c r="D12" s="114"/>
      <c r="E12" s="30" t="str">
        <f t="shared" si="3"/>
        <v/>
      </c>
      <c r="F12" s="31">
        <v>404</v>
      </c>
      <c r="G12" s="106" t="s">
        <v>564</v>
      </c>
      <c r="H12" s="32">
        <f t="shared" si="0"/>
        <v>344.73247318635504</v>
      </c>
      <c r="I12" s="32">
        <f t="shared" si="1"/>
        <v>-6.1081511635017574</v>
      </c>
      <c r="J12" s="33" t="s">
        <v>122</v>
      </c>
      <c r="K12" s="47">
        <v>10.3</v>
      </c>
      <c r="L12" s="34">
        <v>1.1566666666666667</v>
      </c>
      <c r="M12" s="86">
        <v>35.716666666666669</v>
      </c>
      <c r="N12" s="32">
        <f t="shared" si="2"/>
        <v>161.18662362499927</v>
      </c>
      <c r="P12" s="37"/>
      <c r="Q12" s="60"/>
      <c r="R12" s="37"/>
      <c r="S12" s="102"/>
      <c r="T12" s="103"/>
      <c r="U12" s="37"/>
      <c r="W12" s="104"/>
      <c r="Z12" s="66"/>
    </row>
    <row r="13" spans="2:26" s="35" customFormat="1">
      <c r="B13" s="19" t="s">
        <v>23</v>
      </c>
      <c r="C13" s="170">
        <f>VLOOKUP(C12,$B$29:$D$33,2,FALSE)</f>
        <v>46.45</v>
      </c>
      <c r="D13" s="115"/>
      <c r="E13" s="30" t="str">
        <f t="shared" si="3"/>
        <v/>
      </c>
      <c r="F13" s="31">
        <v>891</v>
      </c>
      <c r="G13" s="106" t="s">
        <v>564</v>
      </c>
      <c r="H13" s="32">
        <f t="shared" si="0"/>
        <v>26.580112424155679</v>
      </c>
      <c r="I13" s="32">
        <f t="shared" si="1"/>
        <v>4.7149101519612753</v>
      </c>
      <c r="J13" s="33" t="s">
        <v>123</v>
      </c>
      <c r="K13" s="47">
        <v>9.9</v>
      </c>
      <c r="L13" s="34">
        <v>2.3766666666666669</v>
      </c>
      <c r="M13" s="86">
        <v>42.35</v>
      </c>
      <c r="N13" s="32">
        <f t="shared" si="2"/>
        <v>142.88662362499926</v>
      </c>
      <c r="P13" s="37"/>
      <c r="Q13" s="60"/>
      <c r="R13" s="37"/>
      <c r="S13" s="102"/>
      <c r="T13" s="103"/>
      <c r="U13" s="37"/>
      <c r="W13" s="104"/>
      <c r="Z13" s="66"/>
    </row>
    <row r="14" spans="2:26" s="35" customFormat="1">
      <c r="B14" s="28" t="s">
        <v>25</v>
      </c>
      <c r="C14" s="170">
        <f>VLOOKUP(C12,$B$29:$D$33,3,FALSE)</f>
        <v>7.42</v>
      </c>
      <c r="D14" s="115"/>
      <c r="E14" s="30" t="str">
        <f t="shared" si="3"/>
        <v/>
      </c>
      <c r="F14" s="31">
        <v>7662</v>
      </c>
      <c r="G14" s="106" t="s">
        <v>564</v>
      </c>
      <c r="H14" s="32">
        <f t="shared" si="0"/>
        <v>5.1980633236964939</v>
      </c>
      <c r="I14" s="32">
        <f t="shared" si="1"/>
        <v>-0.79598220997495295</v>
      </c>
      <c r="J14" s="33" t="s">
        <v>124</v>
      </c>
      <c r="K14" s="47">
        <v>8.6</v>
      </c>
      <c r="L14" s="34">
        <v>23.431666666666665</v>
      </c>
      <c r="M14" s="86">
        <v>42.533333333333331</v>
      </c>
      <c r="N14" s="32">
        <f t="shared" si="2"/>
        <v>-172.9383763750007</v>
      </c>
      <c r="P14" s="37"/>
      <c r="Q14" s="60"/>
      <c r="R14" s="37"/>
      <c r="S14" s="102"/>
      <c r="T14" s="103"/>
      <c r="U14" s="37"/>
      <c r="W14" s="104"/>
      <c r="Z14" s="66"/>
    </row>
    <row r="15" spans="2:26" s="35" customFormat="1">
      <c r="B15" s="28" t="s">
        <v>27</v>
      </c>
      <c r="C15" s="42">
        <f>MOD(HOUR(C5)+(MINUTE(C5)/60)+(SECOND(C5)/60)-C6,24)</f>
        <v>20</v>
      </c>
      <c r="D15" s="103"/>
      <c r="E15" s="30" t="str">
        <f t="shared" si="3"/>
        <v/>
      </c>
      <c r="F15" s="40">
        <v>6709</v>
      </c>
      <c r="G15" s="106" t="s">
        <v>564</v>
      </c>
      <c r="H15" s="32">
        <f t="shared" si="0"/>
        <v>72.5195947347936</v>
      </c>
      <c r="I15" s="32">
        <f t="shared" si="1"/>
        <v>-2.169334818143998</v>
      </c>
      <c r="J15" s="41" t="s">
        <v>125</v>
      </c>
      <c r="K15" s="48">
        <v>6.7</v>
      </c>
      <c r="L15" s="34">
        <v>18.858333333333334</v>
      </c>
      <c r="M15" s="86">
        <v>10.333333333333334</v>
      </c>
      <c r="N15" s="32">
        <f t="shared" si="2"/>
        <v>-104.33837637500073</v>
      </c>
      <c r="P15" s="37"/>
      <c r="Q15" s="60"/>
      <c r="R15" s="37"/>
      <c r="S15" s="102"/>
      <c r="T15" s="103"/>
      <c r="U15" s="37"/>
      <c r="W15" s="104"/>
      <c r="Z15" s="66"/>
    </row>
    <row r="16" spans="2:26" s="35" customFormat="1">
      <c r="B16" s="28" t="s">
        <v>28</v>
      </c>
      <c r="C16" s="42">
        <f>MOD(100.46+0.985647*C11+C14+15*C15, 360)</f>
        <v>178.53662362499927</v>
      </c>
      <c r="D16" s="103"/>
      <c r="E16" s="30" t="str">
        <f t="shared" si="3"/>
        <v/>
      </c>
      <c r="F16" s="40">
        <v>6755</v>
      </c>
      <c r="G16" s="106" t="s">
        <v>564</v>
      </c>
      <c r="H16" s="32">
        <f t="shared" si="0"/>
        <v>73.539498956450856</v>
      </c>
      <c r="I16" s="32">
        <f t="shared" si="1"/>
        <v>-9.387199925840271</v>
      </c>
      <c r="J16" s="41" t="s">
        <v>126</v>
      </c>
      <c r="K16" s="48">
        <v>7.5</v>
      </c>
      <c r="L16" s="34">
        <v>19.13</v>
      </c>
      <c r="M16" s="86">
        <v>4.2666666666666666</v>
      </c>
      <c r="N16" s="32">
        <f t="shared" si="2"/>
        <v>-108.41337637500072</v>
      </c>
      <c r="P16" s="37"/>
      <c r="Q16" s="60"/>
      <c r="R16" s="37"/>
      <c r="S16" s="102"/>
      <c r="T16" s="103"/>
      <c r="U16" s="37"/>
      <c r="W16" s="104"/>
      <c r="Z16" s="66"/>
    </row>
    <row r="17" spans="2:26" s="35" customFormat="1">
      <c r="B17" s="75" t="s">
        <v>560</v>
      </c>
      <c r="C17" s="79" t="s">
        <v>561</v>
      </c>
      <c r="D17" s="116"/>
      <c r="E17" s="30" t="str">
        <f t="shared" si="3"/>
        <v/>
      </c>
      <c r="F17" s="40">
        <v>6756</v>
      </c>
      <c r="G17" s="106" t="s">
        <v>564</v>
      </c>
      <c r="H17" s="32">
        <f t="shared" si="0"/>
        <v>73.078455065897487</v>
      </c>
      <c r="I17" s="32">
        <f t="shared" si="1"/>
        <v>-9.2108989974712916</v>
      </c>
      <c r="J17" s="41" t="s">
        <v>127</v>
      </c>
      <c r="K17" s="48">
        <v>10.6</v>
      </c>
      <c r="L17" s="34">
        <v>19.145</v>
      </c>
      <c r="M17" s="86">
        <v>4.7</v>
      </c>
      <c r="N17" s="32">
        <f t="shared" si="2"/>
        <v>-108.63837637500075</v>
      </c>
      <c r="P17" s="37"/>
      <c r="Q17" s="60"/>
      <c r="R17" s="37"/>
      <c r="S17" s="102"/>
      <c r="T17" s="103"/>
      <c r="U17" s="37"/>
      <c r="W17" s="104"/>
      <c r="Z17" s="66"/>
    </row>
    <row r="18" spans="2:26" s="35" customFormat="1" ht="17">
      <c r="B18" s="66"/>
      <c r="C18" s="75" t="s">
        <v>562</v>
      </c>
      <c r="D18" s="171" t="s">
        <v>602</v>
      </c>
      <c r="E18" s="30" t="str">
        <f t="shared" si="3"/>
        <v/>
      </c>
      <c r="F18" s="31">
        <v>6781</v>
      </c>
      <c r="G18" s="106" t="s">
        <v>564</v>
      </c>
      <c r="H18" s="32">
        <f t="shared" si="0"/>
        <v>69.995049912021372</v>
      </c>
      <c r="I18" s="32">
        <f t="shared" si="1"/>
        <v>-9.4291164595492596</v>
      </c>
      <c r="J18" s="43" t="s">
        <v>128</v>
      </c>
      <c r="K18" s="47">
        <v>11.8</v>
      </c>
      <c r="L18" s="34">
        <v>19.308333333333334</v>
      </c>
      <c r="M18" s="86">
        <v>6.5333333333333332</v>
      </c>
      <c r="N18" s="32">
        <f t="shared" si="2"/>
        <v>-111.08837637500073</v>
      </c>
      <c r="P18" s="37"/>
      <c r="Q18" s="60"/>
      <c r="R18" s="37"/>
      <c r="S18" s="102"/>
      <c r="T18" s="103"/>
      <c r="U18" s="37"/>
      <c r="W18" s="104"/>
      <c r="Z18" s="66"/>
    </row>
    <row r="19" spans="2:26" s="35" customFormat="1">
      <c r="B19" s="196" t="s">
        <v>563</v>
      </c>
      <c r="C19" s="76" t="s">
        <v>564</v>
      </c>
      <c r="D19" s="172" t="s">
        <v>565</v>
      </c>
      <c r="E19" s="30" t="str">
        <f t="shared" si="3"/>
        <v/>
      </c>
      <c r="F19" s="31">
        <v>6804</v>
      </c>
      <c r="G19" s="106" t="s">
        <v>564</v>
      </c>
      <c r="H19" s="32">
        <f t="shared" si="0"/>
        <v>65.716744699583629</v>
      </c>
      <c r="I19" s="32">
        <f t="shared" si="1"/>
        <v>-9.4534415544395181</v>
      </c>
      <c r="J19" s="33" t="s">
        <v>129</v>
      </c>
      <c r="K19" s="47">
        <v>12.4</v>
      </c>
      <c r="L19" s="34">
        <v>19.526666666666667</v>
      </c>
      <c r="M19" s="86">
        <v>9.2333333333333325</v>
      </c>
      <c r="N19" s="32">
        <f t="shared" si="2"/>
        <v>-114.36337637500077</v>
      </c>
      <c r="P19" s="37"/>
      <c r="Q19" s="60"/>
      <c r="R19" s="37"/>
      <c r="S19" s="102"/>
      <c r="T19" s="103"/>
      <c r="U19" s="37"/>
      <c r="W19" s="104"/>
      <c r="Z19" s="66"/>
    </row>
    <row r="20" spans="2:26" s="35" customFormat="1">
      <c r="B20" s="196"/>
      <c r="C20" s="77" t="s">
        <v>584</v>
      </c>
      <c r="D20" s="172" t="s">
        <v>565</v>
      </c>
      <c r="E20" s="30" t="str">
        <f t="shared" si="3"/>
        <v/>
      </c>
      <c r="F20" s="31">
        <v>6981</v>
      </c>
      <c r="G20" s="106" t="s">
        <v>564</v>
      </c>
      <c r="H20" s="32">
        <f t="shared" si="0"/>
        <v>63.220115353729952</v>
      </c>
      <c r="I20" s="32">
        <f t="shared" si="1"/>
        <v>-39.162041729595991</v>
      </c>
      <c r="J20" s="33" t="s">
        <v>57</v>
      </c>
      <c r="K20" s="47">
        <v>9.1999999999999993</v>
      </c>
      <c r="L20" s="34">
        <v>20.891666666666666</v>
      </c>
      <c r="M20" s="86">
        <v>-12.533333333333333</v>
      </c>
      <c r="N20" s="32">
        <f t="shared" si="2"/>
        <v>-134.83837637500073</v>
      </c>
      <c r="P20" s="37"/>
      <c r="Q20" s="60"/>
      <c r="R20" s="37"/>
      <c r="S20" s="102"/>
      <c r="T20" s="103"/>
      <c r="U20" s="37"/>
      <c r="W20" s="104"/>
      <c r="Z20" s="66"/>
    </row>
    <row r="21" spans="2:26" s="35" customFormat="1">
      <c r="B21" s="196"/>
      <c r="C21" s="77"/>
      <c r="D21" s="172"/>
      <c r="E21" s="30" t="str">
        <f t="shared" si="3"/>
        <v/>
      </c>
      <c r="F21" s="31">
        <v>7009</v>
      </c>
      <c r="G21" s="106" t="s">
        <v>564</v>
      </c>
      <c r="H21" s="32">
        <f t="shared" si="0"/>
        <v>59.618889016854588</v>
      </c>
      <c r="I21" s="32">
        <f t="shared" si="1"/>
        <v>-39.863536135164253</v>
      </c>
      <c r="J21" s="33" t="s">
        <v>130</v>
      </c>
      <c r="K21" s="47">
        <v>8.3000000000000007</v>
      </c>
      <c r="L21" s="34">
        <v>21.07</v>
      </c>
      <c r="M21" s="86">
        <v>-11.366666666666667</v>
      </c>
      <c r="N21" s="32">
        <f t="shared" si="2"/>
        <v>-137.51337637500075</v>
      </c>
      <c r="P21" s="37"/>
      <c r="Q21" s="60"/>
      <c r="R21" s="37"/>
      <c r="S21" s="102"/>
      <c r="T21" s="103"/>
      <c r="U21" s="37"/>
      <c r="W21" s="104"/>
      <c r="Z21" s="66"/>
    </row>
    <row r="22" spans="2:26" s="35" customFormat="1">
      <c r="B22" s="196"/>
      <c r="C22" s="77"/>
      <c r="D22" s="172"/>
      <c r="E22" s="30" t="str">
        <f t="shared" si="3"/>
        <v/>
      </c>
      <c r="F22" s="31">
        <v>7089</v>
      </c>
      <c r="G22" s="106" t="s">
        <v>564</v>
      </c>
      <c r="H22" s="32">
        <f t="shared" si="0"/>
        <v>43.713459594137589</v>
      </c>
      <c r="I22" s="32">
        <f t="shared" si="1"/>
        <v>-33.564881511944691</v>
      </c>
      <c r="J22" s="33" t="s">
        <v>15</v>
      </c>
      <c r="K22" s="47">
        <v>6.6</v>
      </c>
      <c r="L22" s="34">
        <v>21.558333333333334</v>
      </c>
      <c r="M22" s="86">
        <v>0.81666666666666665</v>
      </c>
      <c r="N22" s="32">
        <f t="shared" si="2"/>
        <v>-144.83837637500073</v>
      </c>
      <c r="P22" s="37"/>
      <c r="Q22" s="60"/>
      <c r="R22" s="37"/>
      <c r="S22" s="102"/>
      <c r="T22" s="103"/>
      <c r="U22" s="37"/>
      <c r="W22" s="104"/>
      <c r="Z22" s="66"/>
    </row>
    <row r="23" spans="2:26" s="35" customFormat="1">
      <c r="B23" s="196"/>
      <c r="C23" s="77"/>
      <c r="D23" s="172"/>
      <c r="E23" s="30" t="str">
        <f t="shared" si="3"/>
        <v/>
      </c>
      <c r="F23" s="31">
        <v>7293</v>
      </c>
      <c r="G23" s="106" t="s">
        <v>564</v>
      </c>
      <c r="H23" s="32">
        <f t="shared" si="0"/>
        <v>318.93272208007761</v>
      </c>
      <c r="I23" s="32">
        <f t="shared" si="1"/>
        <v>-59.135682239114324</v>
      </c>
      <c r="J23" s="33" t="s">
        <v>131</v>
      </c>
      <c r="K23" s="47">
        <v>6.3</v>
      </c>
      <c r="L23" s="34">
        <v>22.493333333333332</v>
      </c>
      <c r="M23" s="86">
        <v>-20.833333333333332</v>
      </c>
      <c r="N23" s="32">
        <f t="shared" si="2"/>
        <v>-158.86337637500071</v>
      </c>
      <c r="P23" s="37"/>
      <c r="Q23" s="60"/>
      <c r="R23" s="37"/>
      <c r="S23" s="102"/>
      <c r="T23" s="103"/>
      <c r="U23" s="37"/>
      <c r="W23" s="104"/>
      <c r="Z23" s="66"/>
    </row>
    <row r="24" spans="2:26" s="35" customFormat="1">
      <c r="B24" s="197"/>
      <c r="C24" s="78"/>
      <c r="D24" s="172"/>
      <c r="E24" s="30" t="str">
        <f t="shared" si="3"/>
        <v/>
      </c>
      <c r="F24" s="31">
        <v>7606</v>
      </c>
      <c r="G24" s="106" t="s">
        <v>564</v>
      </c>
      <c r="H24" s="32">
        <f t="shared" si="0"/>
        <v>13.942706920433007</v>
      </c>
      <c r="I24" s="32">
        <f t="shared" si="1"/>
        <v>-51.298745408725942</v>
      </c>
      <c r="J24" s="33" t="s">
        <v>132</v>
      </c>
      <c r="K24" s="47">
        <v>10.8</v>
      </c>
      <c r="L24" s="34">
        <v>23.318333333333335</v>
      </c>
      <c r="M24" s="86">
        <v>-8.4833333333333325</v>
      </c>
      <c r="N24" s="32">
        <f t="shared" si="2"/>
        <v>-171.23837637500077</v>
      </c>
      <c r="P24" s="37"/>
      <c r="Q24" s="60"/>
      <c r="R24" s="37"/>
      <c r="S24" s="102"/>
      <c r="T24" s="103"/>
      <c r="U24" s="37"/>
      <c r="W24" s="104"/>
      <c r="Z24" s="66"/>
    </row>
    <row r="25" spans="2:26" s="35" customFormat="1">
      <c r="E25" s="30" t="str">
        <f t="shared" si="3"/>
        <v/>
      </c>
      <c r="F25" s="31">
        <v>772</v>
      </c>
      <c r="G25" s="106" t="s">
        <v>564</v>
      </c>
      <c r="H25" s="32">
        <f t="shared" si="0"/>
        <v>31.227822077066079</v>
      </c>
      <c r="I25" s="32">
        <f t="shared" si="1"/>
        <v>-18.707863318746654</v>
      </c>
      <c r="J25" s="33" t="s">
        <v>133</v>
      </c>
      <c r="K25" s="47">
        <v>10.3</v>
      </c>
      <c r="L25" s="34">
        <v>1.9883333333333333</v>
      </c>
      <c r="M25" s="86">
        <v>19</v>
      </c>
      <c r="N25" s="32">
        <f t="shared" si="2"/>
        <v>148.71162362499928</v>
      </c>
      <c r="P25" s="37"/>
      <c r="Q25" s="60"/>
      <c r="R25" s="37"/>
      <c r="S25" s="102"/>
      <c r="T25" s="103"/>
      <c r="U25" s="37"/>
      <c r="W25" s="104"/>
      <c r="Z25" s="66"/>
    </row>
    <row r="26" spans="2:26" s="35" customFormat="1">
      <c r="E26" s="30" t="str">
        <f t="shared" si="3"/>
        <v/>
      </c>
      <c r="F26" s="31">
        <v>877</v>
      </c>
      <c r="G26" s="106" t="s">
        <v>564</v>
      </c>
      <c r="H26" s="32">
        <f t="shared" si="0"/>
        <v>322.50395739273313</v>
      </c>
      <c r="I26" s="32">
        <f t="shared" si="1"/>
        <v>-20.95872310084718</v>
      </c>
      <c r="J26" s="33" t="s">
        <v>134</v>
      </c>
      <c r="K26" s="47">
        <v>11.9</v>
      </c>
      <c r="L26" s="34">
        <v>2.2999999999999998</v>
      </c>
      <c r="M26" s="86">
        <v>14.55</v>
      </c>
      <c r="N26" s="32">
        <f t="shared" si="2"/>
        <v>144.03662362499927</v>
      </c>
      <c r="P26" s="37"/>
      <c r="Q26" s="60"/>
      <c r="R26" s="37"/>
      <c r="S26" s="102"/>
      <c r="T26" s="103"/>
      <c r="U26" s="37"/>
      <c r="W26" s="104"/>
      <c r="Z26" s="66"/>
    </row>
    <row r="27" spans="2:26" s="35" customFormat="1">
      <c r="B27" s="198" t="s">
        <v>566</v>
      </c>
      <c r="C27" s="198"/>
      <c r="D27" s="198"/>
      <c r="E27" s="30" t="str">
        <f t="shared" si="3"/>
        <v/>
      </c>
      <c r="F27" s="31">
        <v>972</v>
      </c>
      <c r="G27" s="106" t="s">
        <v>564</v>
      </c>
      <c r="H27" s="32">
        <f t="shared" si="0"/>
        <v>325.68447314066157</v>
      </c>
      <c r="I27" s="32">
        <f t="shared" si="1"/>
        <v>-6.0406013915525767</v>
      </c>
      <c r="J27" s="33" t="s">
        <v>135</v>
      </c>
      <c r="K27" s="47">
        <v>11.4</v>
      </c>
      <c r="L27" s="34">
        <v>2.5700000000000003</v>
      </c>
      <c r="M27" s="86">
        <v>29.316666666666666</v>
      </c>
      <c r="N27" s="32">
        <f t="shared" si="2"/>
        <v>139.98662362499925</v>
      </c>
      <c r="P27" s="37"/>
      <c r="Q27" s="60"/>
      <c r="R27" s="37"/>
      <c r="S27" s="102"/>
      <c r="T27" s="103"/>
      <c r="U27" s="37"/>
      <c r="W27" s="104"/>
      <c r="Z27" s="66"/>
    </row>
    <row r="28" spans="2:26" s="35" customFormat="1">
      <c r="B28" s="117" t="s">
        <v>567</v>
      </c>
      <c r="C28" s="119" t="s">
        <v>568</v>
      </c>
      <c r="D28" s="38" t="s">
        <v>569</v>
      </c>
      <c r="E28" s="30" t="str">
        <f t="shared" si="3"/>
        <v/>
      </c>
      <c r="F28" s="31">
        <v>1664</v>
      </c>
      <c r="G28" s="106" t="s">
        <v>564</v>
      </c>
      <c r="H28" s="32">
        <f t="shared" si="0"/>
        <v>48.385263804555493</v>
      </c>
      <c r="I28" s="32">
        <f t="shared" si="1"/>
        <v>21.422185421616447</v>
      </c>
      <c r="J28" s="33" t="s">
        <v>136</v>
      </c>
      <c r="K28" s="47">
        <v>7.6</v>
      </c>
      <c r="L28" s="34">
        <v>4.8516666666666666</v>
      </c>
      <c r="M28" s="86">
        <v>43.68333333333333</v>
      </c>
      <c r="N28" s="32">
        <f t="shared" si="2"/>
        <v>105.76162362499927</v>
      </c>
      <c r="P28" s="37"/>
      <c r="Q28" s="60"/>
      <c r="R28" s="37"/>
      <c r="S28" s="102"/>
      <c r="T28" s="103"/>
      <c r="U28" s="37"/>
      <c r="W28" s="104"/>
      <c r="Z28" s="66"/>
    </row>
    <row r="29" spans="2:26" s="35" customFormat="1">
      <c r="B29" s="118" t="s">
        <v>559</v>
      </c>
      <c r="C29" s="169">
        <v>46.45</v>
      </c>
      <c r="D29" s="169">
        <v>7.42</v>
      </c>
      <c r="E29" s="30" t="str">
        <f t="shared" si="3"/>
        <v/>
      </c>
      <c r="F29" s="31">
        <v>1778</v>
      </c>
      <c r="G29" s="106" t="s">
        <v>564</v>
      </c>
      <c r="H29" s="32">
        <f t="shared" si="0"/>
        <v>55.871437969367186</v>
      </c>
      <c r="I29" s="32">
        <f t="shared" si="1"/>
        <v>19.060138598570287</v>
      </c>
      <c r="J29" s="33" t="s">
        <v>137</v>
      </c>
      <c r="K29" s="47">
        <v>7.7</v>
      </c>
      <c r="L29" s="34">
        <v>5.1349999999999998</v>
      </c>
      <c r="M29" s="86">
        <v>37.016666666666666</v>
      </c>
      <c r="N29" s="32">
        <f t="shared" si="2"/>
        <v>101.51162362499926</v>
      </c>
      <c r="P29" s="37"/>
      <c r="Q29" s="60"/>
      <c r="R29" s="37"/>
      <c r="S29" s="102"/>
      <c r="T29" s="103"/>
      <c r="U29" s="37"/>
      <c r="W29" s="104"/>
      <c r="Z29" s="66"/>
    </row>
    <row r="30" spans="2:26" s="35" customFormat="1">
      <c r="B30" s="118"/>
      <c r="C30" s="169"/>
      <c r="D30" s="169"/>
      <c r="E30" s="30" t="str">
        <f t="shared" si="3"/>
        <v/>
      </c>
      <c r="F30" s="31">
        <v>1798</v>
      </c>
      <c r="G30" s="106" t="s">
        <v>564</v>
      </c>
      <c r="H30" s="32">
        <f t="shared" si="0"/>
        <v>47.818647812999991</v>
      </c>
      <c r="I30" s="32">
        <f t="shared" si="1"/>
        <v>26.786984633737962</v>
      </c>
      <c r="J30" s="33" t="s">
        <v>138</v>
      </c>
      <c r="K30" s="47">
        <v>10</v>
      </c>
      <c r="L30" s="34">
        <v>5.1950000000000003</v>
      </c>
      <c r="M30" s="86">
        <v>47.7</v>
      </c>
      <c r="N30" s="32">
        <f t="shared" si="2"/>
        <v>100.61162362499927</v>
      </c>
      <c r="P30" s="37"/>
      <c r="Q30" s="60"/>
      <c r="R30" s="37"/>
      <c r="S30" s="102"/>
      <c r="T30" s="103"/>
      <c r="U30" s="37"/>
      <c r="W30" s="104"/>
      <c r="Z30" s="66"/>
    </row>
    <row r="31" spans="2:26" s="35" customFormat="1">
      <c r="B31" s="118"/>
      <c r="C31" s="169"/>
      <c r="D31" s="169"/>
      <c r="E31" s="30" t="str">
        <f t="shared" si="3"/>
        <v/>
      </c>
      <c r="F31" s="31">
        <v>1857</v>
      </c>
      <c r="G31" s="106" t="s">
        <v>564</v>
      </c>
      <c r="H31" s="32">
        <f t="shared" si="0"/>
        <v>304.20372549689898</v>
      </c>
      <c r="I31" s="32">
        <f t="shared" si="1"/>
        <v>22.376387614845175</v>
      </c>
      <c r="J31" s="33" t="s">
        <v>139</v>
      </c>
      <c r="K31" s="47">
        <v>7</v>
      </c>
      <c r="L31" s="34">
        <v>5.335</v>
      </c>
      <c r="M31" s="86">
        <v>39.35</v>
      </c>
      <c r="N31" s="32">
        <f t="shared" si="2"/>
        <v>98.51162362499926</v>
      </c>
      <c r="P31" s="37"/>
      <c r="Q31" s="60"/>
      <c r="R31" s="37"/>
      <c r="S31" s="102"/>
      <c r="T31" s="103"/>
      <c r="U31" s="37"/>
      <c r="W31" s="104"/>
      <c r="Z31" s="66"/>
    </row>
    <row r="32" spans="2:26" s="35" customFormat="1">
      <c r="B32" s="118"/>
      <c r="C32" s="169"/>
      <c r="D32" s="169"/>
      <c r="E32" s="30" t="str">
        <f t="shared" si="3"/>
        <v/>
      </c>
      <c r="F32" s="45" t="s">
        <v>82</v>
      </c>
      <c r="G32" s="106" t="s">
        <v>564</v>
      </c>
      <c r="H32" s="32">
        <f t="shared" si="0"/>
        <v>60.795682027726876</v>
      </c>
      <c r="I32" s="32">
        <f t="shared" si="1"/>
        <v>18.692467395930532</v>
      </c>
      <c r="J32" s="33">
        <v>1893</v>
      </c>
      <c r="K32" s="47">
        <v>7.5</v>
      </c>
      <c r="L32" s="34">
        <v>5.378333333333333</v>
      </c>
      <c r="M32" s="86">
        <v>33.416666666666664</v>
      </c>
      <c r="N32" s="32">
        <f t="shared" si="2"/>
        <v>97.861623624999268</v>
      </c>
      <c r="P32" s="37"/>
      <c r="Q32" s="60"/>
      <c r="R32" s="37"/>
      <c r="S32" s="102"/>
      <c r="T32" s="103"/>
      <c r="U32" s="37"/>
      <c r="W32" s="104"/>
      <c r="Z32" s="66"/>
    </row>
    <row r="33" spans="2:26" s="35" customFormat="1">
      <c r="B33" s="118"/>
      <c r="C33" s="169"/>
      <c r="D33" s="169"/>
      <c r="E33" s="30" t="str">
        <f t="shared" si="3"/>
        <v/>
      </c>
      <c r="F33" s="31">
        <v>1893</v>
      </c>
      <c r="G33" s="106" t="s">
        <v>564</v>
      </c>
      <c r="H33" s="32">
        <f t="shared" si="0"/>
        <v>60.810957324144056</v>
      </c>
      <c r="I33" s="32">
        <f t="shared" si="1"/>
        <v>18.707503688860818</v>
      </c>
      <c r="J33" s="33" t="s">
        <v>140</v>
      </c>
      <c r="K33" s="47">
        <v>7.5</v>
      </c>
      <c r="L33" s="34">
        <v>5.38</v>
      </c>
      <c r="M33" s="86">
        <v>33.416666666666664</v>
      </c>
      <c r="N33" s="32">
        <f t="shared" si="2"/>
        <v>97.836623624999277</v>
      </c>
      <c r="P33" s="37"/>
      <c r="Q33" s="60"/>
      <c r="R33" s="37"/>
      <c r="S33" s="102"/>
      <c r="T33" s="103"/>
      <c r="U33" s="37"/>
      <c r="W33" s="104"/>
      <c r="Z33" s="66"/>
    </row>
    <row r="34" spans="2:26" s="35" customFormat="1">
      <c r="E34" s="30" t="str">
        <f t="shared" si="3"/>
        <v/>
      </c>
      <c r="F34" s="31">
        <v>1883</v>
      </c>
      <c r="G34" s="106" t="s">
        <v>564</v>
      </c>
      <c r="H34" s="32">
        <f t="shared" si="0"/>
        <v>50.615821716381163</v>
      </c>
      <c r="I34" s="32">
        <f t="shared" si="1"/>
        <v>27.856848952503022</v>
      </c>
      <c r="J34" s="33" t="s">
        <v>141</v>
      </c>
      <c r="K34" s="47">
        <v>12</v>
      </c>
      <c r="L34" s="34">
        <v>5.4316666666666666</v>
      </c>
      <c r="M34" s="86">
        <v>46.483333333333334</v>
      </c>
      <c r="N34" s="32">
        <f t="shared" si="2"/>
        <v>97.061623624999271</v>
      </c>
      <c r="P34" s="37"/>
      <c r="Q34" s="60"/>
      <c r="R34" s="37"/>
      <c r="S34" s="102"/>
      <c r="T34" s="103"/>
      <c r="U34" s="37"/>
      <c r="W34" s="104"/>
      <c r="Z34" s="66"/>
    </row>
    <row r="35" spans="2:26" s="35" customFormat="1">
      <c r="E35" s="30" t="str">
        <f t="shared" si="3"/>
        <v/>
      </c>
      <c r="F35" s="31">
        <v>1907</v>
      </c>
      <c r="G35" s="106" t="s">
        <v>564</v>
      </c>
      <c r="H35" s="32">
        <f t="shared" si="0"/>
        <v>60.129952271707523</v>
      </c>
      <c r="I35" s="32">
        <f t="shared" si="1"/>
        <v>20.819046553327606</v>
      </c>
      <c r="J35" s="33" t="s">
        <v>142</v>
      </c>
      <c r="K35" s="47">
        <v>8.1999999999999993</v>
      </c>
      <c r="L35" s="34">
        <v>5.4683333333333337</v>
      </c>
      <c r="M35" s="86">
        <v>35.333333333333336</v>
      </c>
      <c r="N35" s="32">
        <f t="shared" si="2"/>
        <v>96.51162362499926</v>
      </c>
      <c r="P35" s="37"/>
      <c r="Q35" s="60"/>
      <c r="R35" s="37"/>
      <c r="S35" s="102"/>
      <c r="T35" s="103"/>
      <c r="U35" s="37"/>
      <c r="W35" s="104"/>
      <c r="Z35" s="66"/>
    </row>
    <row r="36" spans="2:26" s="35" customFormat="1">
      <c r="B36" s="187" t="str">
        <f>CONCATENATE("Moon's illuminated fraction: ",TEXT(Illumination!C8*100,"0.00"),"%")</f>
        <v>Moon's illuminated fraction: 25.31%</v>
      </c>
      <c r="C36" s="188"/>
      <c r="D36" s="189"/>
      <c r="E36" s="30" t="str">
        <f t="shared" si="3"/>
        <v/>
      </c>
      <c r="F36" s="31">
        <v>1912</v>
      </c>
      <c r="G36" s="106" t="s">
        <v>564</v>
      </c>
      <c r="H36" s="32">
        <f t="shared" si="0"/>
        <v>59.812700224754465</v>
      </c>
      <c r="I36" s="32">
        <f t="shared" si="1"/>
        <v>21.259667650595929</v>
      </c>
      <c r="J36" s="33" t="s">
        <v>42</v>
      </c>
      <c r="K36" s="47">
        <v>6.4</v>
      </c>
      <c r="L36" s="34">
        <v>5.4783333333333335</v>
      </c>
      <c r="M36" s="86">
        <v>35.85</v>
      </c>
      <c r="N36" s="32">
        <f t="shared" si="2"/>
        <v>96.361623624999254</v>
      </c>
      <c r="P36" s="37"/>
      <c r="Q36" s="60"/>
      <c r="R36" s="37"/>
      <c r="S36" s="102"/>
      <c r="T36" s="103"/>
      <c r="U36" s="37"/>
      <c r="W36" s="104"/>
      <c r="Z36" s="66"/>
    </row>
    <row r="37" spans="2:26" s="35" customFormat="1">
      <c r="E37" s="30" t="str">
        <f t="shared" si="3"/>
        <v/>
      </c>
      <c r="F37" s="31">
        <v>1931</v>
      </c>
      <c r="G37" s="106" t="s">
        <v>564</v>
      </c>
      <c r="H37" s="32">
        <f t="shared" si="0"/>
        <v>61.471234238275976</v>
      </c>
      <c r="I37" s="32">
        <f t="shared" si="1"/>
        <v>20.577544762491808</v>
      </c>
      <c r="J37" s="33" t="s">
        <v>143</v>
      </c>
      <c r="K37" s="47">
        <v>10.1</v>
      </c>
      <c r="L37" s="34">
        <v>5.5233333333333334</v>
      </c>
      <c r="M37" s="86">
        <v>34.25</v>
      </c>
      <c r="N37" s="32">
        <f t="shared" si="2"/>
        <v>95.686623624999271</v>
      </c>
      <c r="P37" s="37"/>
      <c r="Q37" s="60"/>
      <c r="R37" s="37"/>
      <c r="S37" s="102"/>
      <c r="T37" s="103"/>
      <c r="U37" s="37"/>
      <c r="W37" s="104"/>
      <c r="Z37" s="66"/>
    </row>
    <row r="38" spans="2:26" s="35" customFormat="1">
      <c r="E38" s="30" t="str">
        <f t="shared" si="3"/>
        <v/>
      </c>
      <c r="F38" s="31">
        <v>1960</v>
      </c>
      <c r="G38" s="106" t="s">
        <v>564</v>
      </c>
      <c r="H38" s="32">
        <f t="shared" si="0"/>
        <v>62.298890761358486</v>
      </c>
      <c r="I38" s="32">
        <f t="shared" si="1"/>
        <v>21.242807850258874</v>
      </c>
      <c r="J38" s="33" t="s">
        <v>41</v>
      </c>
      <c r="K38" s="47">
        <v>6</v>
      </c>
      <c r="L38" s="34">
        <v>5.6050000000000004</v>
      </c>
      <c r="M38" s="86">
        <v>34.133333333333333</v>
      </c>
      <c r="N38" s="32">
        <f t="shared" si="2"/>
        <v>94.461623624999262</v>
      </c>
      <c r="P38" s="37"/>
      <c r="Q38" s="60"/>
      <c r="R38" s="37"/>
      <c r="S38" s="102"/>
      <c r="T38" s="103"/>
      <c r="U38" s="37"/>
      <c r="W38" s="104"/>
      <c r="Z38" s="66"/>
    </row>
    <row r="39" spans="2:26" s="35" customFormat="1">
      <c r="E39" s="30" t="str">
        <f t="shared" si="3"/>
        <v/>
      </c>
      <c r="F39" s="31">
        <v>2099</v>
      </c>
      <c r="G39" s="106" t="s">
        <v>564</v>
      </c>
      <c r="H39" s="32">
        <f t="shared" si="0"/>
        <v>65.980675731100732</v>
      </c>
      <c r="I39" s="32">
        <f t="shared" si="1"/>
        <v>22.660793428976206</v>
      </c>
      <c r="J39" s="33" t="s">
        <v>144</v>
      </c>
      <c r="K39" s="47">
        <v>5.6</v>
      </c>
      <c r="L39" s="34">
        <v>5.8716666666666661</v>
      </c>
      <c r="M39" s="86">
        <v>32.549999999999997</v>
      </c>
      <c r="N39" s="32">
        <f t="shared" si="2"/>
        <v>90.461623624999277</v>
      </c>
      <c r="P39" s="37"/>
      <c r="Q39" s="60"/>
      <c r="R39" s="37"/>
      <c r="S39" s="102"/>
      <c r="T39" s="103"/>
      <c r="U39" s="37"/>
      <c r="W39" s="104"/>
      <c r="Z39" s="66"/>
    </row>
    <row r="40" spans="2:26" s="35" customFormat="1">
      <c r="E40" s="30" t="str">
        <f t="shared" si="3"/>
        <v/>
      </c>
      <c r="F40" s="45" t="s">
        <v>83</v>
      </c>
      <c r="G40" s="106" t="s">
        <v>564</v>
      </c>
      <c r="H40" s="32">
        <f t="shared" si="0"/>
        <v>54.668254828301471</v>
      </c>
      <c r="I40" s="32">
        <f t="shared" si="1"/>
        <v>31.798514241114034</v>
      </c>
      <c r="J40" s="33" t="s">
        <v>145</v>
      </c>
      <c r="K40" s="47">
        <v>10</v>
      </c>
      <c r="L40" s="34">
        <v>5.9399999999999995</v>
      </c>
      <c r="M40" s="86">
        <v>46.1</v>
      </c>
      <c r="N40" s="32">
        <f t="shared" si="2"/>
        <v>89.436623624999271</v>
      </c>
      <c r="P40" s="37"/>
      <c r="Q40" s="60"/>
      <c r="R40" s="37"/>
      <c r="S40" s="102"/>
      <c r="T40" s="103"/>
      <c r="U40" s="37"/>
      <c r="W40" s="104"/>
      <c r="Z40" s="66"/>
    </row>
    <row r="41" spans="2:26" s="35" customFormat="1">
      <c r="E41" s="30" t="str">
        <f t="shared" si="3"/>
        <v/>
      </c>
      <c r="F41" s="31">
        <v>2126</v>
      </c>
      <c r="G41" s="106" t="s">
        <v>564</v>
      </c>
      <c r="H41" s="32">
        <f t="shared" si="0"/>
        <v>51.654456581458554</v>
      </c>
      <c r="I41" s="32">
        <f t="shared" si="1"/>
        <v>34.785103176693987</v>
      </c>
      <c r="J41" s="33" t="s">
        <v>146</v>
      </c>
      <c r="K41" s="47">
        <v>10.199999999999999</v>
      </c>
      <c r="L41" s="34">
        <v>6.043333333333333</v>
      </c>
      <c r="M41" s="86">
        <v>49.866666666666667</v>
      </c>
      <c r="N41" s="32">
        <f t="shared" si="2"/>
        <v>87.88662362499926</v>
      </c>
      <c r="P41" s="37"/>
      <c r="Q41" s="60"/>
      <c r="R41" s="37"/>
      <c r="S41" s="102"/>
      <c r="T41" s="103"/>
      <c r="U41" s="37"/>
      <c r="W41" s="104"/>
      <c r="Z41" s="66"/>
    </row>
    <row r="42" spans="2:26" s="35" customFormat="1">
      <c r="E42" s="30" t="str">
        <f t="shared" si="3"/>
        <v/>
      </c>
      <c r="F42" s="31">
        <v>2192</v>
      </c>
      <c r="G42" s="106" t="s">
        <v>564</v>
      </c>
      <c r="H42" s="32">
        <f t="shared" si="0"/>
        <v>297.04128132697156</v>
      </c>
      <c r="I42" s="32">
        <f t="shared" si="1"/>
        <v>30.875416049512907</v>
      </c>
      <c r="J42" s="33" t="s">
        <v>147</v>
      </c>
      <c r="K42" s="47">
        <v>10.9</v>
      </c>
      <c r="L42" s="34">
        <v>6.2549999999999999</v>
      </c>
      <c r="M42" s="86">
        <v>39.85</v>
      </c>
      <c r="N42" s="32">
        <f t="shared" si="2"/>
        <v>84.711623624999262</v>
      </c>
      <c r="P42" s="37"/>
      <c r="Q42" s="60"/>
      <c r="R42" s="37"/>
      <c r="S42" s="102"/>
      <c r="T42" s="103"/>
      <c r="U42" s="37"/>
      <c r="W42" s="104"/>
      <c r="Z42" s="66"/>
    </row>
    <row r="43" spans="2:26" s="35" customFormat="1">
      <c r="E43" s="30" t="str">
        <f t="shared" si="3"/>
        <v/>
      </c>
      <c r="F43" s="31">
        <v>2281</v>
      </c>
      <c r="G43" s="106" t="s">
        <v>564</v>
      </c>
      <c r="H43" s="32">
        <f t="shared" si="0"/>
        <v>293.90967707157927</v>
      </c>
      <c r="I43" s="32">
        <f t="shared" si="1"/>
        <v>36.716924874500513</v>
      </c>
      <c r="J43" s="33" t="s">
        <v>148</v>
      </c>
      <c r="K43" s="47">
        <v>5.4</v>
      </c>
      <c r="L43" s="34">
        <v>6.8049999999999997</v>
      </c>
      <c r="M43" s="86">
        <v>41.083333333333336</v>
      </c>
      <c r="N43" s="32">
        <f t="shared" si="2"/>
        <v>76.461623624999277</v>
      </c>
      <c r="P43" s="37"/>
      <c r="Q43" s="60"/>
      <c r="R43" s="37"/>
      <c r="S43" s="102"/>
      <c r="T43" s="103"/>
      <c r="U43" s="37"/>
      <c r="W43" s="104"/>
      <c r="Z43" s="66"/>
    </row>
    <row r="44" spans="2:26" s="35" customFormat="1">
      <c r="E44" s="30" t="str">
        <f t="shared" si="3"/>
        <v/>
      </c>
      <c r="F44" s="31">
        <v>5248</v>
      </c>
      <c r="G44" s="106" t="s">
        <v>564</v>
      </c>
      <c r="H44" s="32">
        <f t="shared" si="0"/>
        <v>218.66822790261395</v>
      </c>
      <c r="I44" s="32">
        <f t="shared" si="1"/>
        <v>46.434802371711307</v>
      </c>
      <c r="J44" s="33" t="s">
        <v>149</v>
      </c>
      <c r="K44" s="47">
        <v>10.3</v>
      </c>
      <c r="L44" s="34">
        <v>13.625</v>
      </c>
      <c r="M44" s="86">
        <v>8.8833333333333329</v>
      </c>
      <c r="N44" s="32">
        <f t="shared" si="2"/>
        <v>-25.838376375000735</v>
      </c>
      <c r="P44" s="37"/>
      <c r="Q44" s="60"/>
      <c r="R44" s="37"/>
      <c r="S44" s="102"/>
      <c r="T44" s="103"/>
      <c r="U44" s="37"/>
      <c r="W44" s="104"/>
      <c r="Z44" s="66"/>
    </row>
    <row r="45" spans="2:26" s="35" customFormat="1">
      <c r="E45" s="30" t="str">
        <f t="shared" si="3"/>
        <v/>
      </c>
      <c r="F45" s="31">
        <v>5466</v>
      </c>
      <c r="G45" s="106" t="s">
        <v>564</v>
      </c>
      <c r="H45" s="32">
        <f t="shared" si="0"/>
        <v>246.62788033050151</v>
      </c>
      <c r="I45" s="32">
        <f t="shared" si="1"/>
        <v>58.735415274822856</v>
      </c>
      <c r="J45" s="33"/>
      <c r="K45" s="47">
        <v>9.1999999999999993</v>
      </c>
      <c r="L45" s="34">
        <v>14.091666666666667</v>
      </c>
      <c r="M45" s="86">
        <v>28.533333333333335</v>
      </c>
      <c r="N45" s="32">
        <f t="shared" si="2"/>
        <v>-32.838376375000735</v>
      </c>
      <c r="P45" s="37"/>
      <c r="Q45" s="60"/>
      <c r="R45" s="37"/>
      <c r="S45" s="102"/>
      <c r="T45" s="103"/>
      <c r="U45" s="37"/>
      <c r="W45" s="104"/>
      <c r="Z45" s="66"/>
    </row>
    <row r="46" spans="2:26" s="35" customFormat="1">
      <c r="E46" s="30" t="str">
        <f t="shared" si="3"/>
        <v/>
      </c>
      <c r="F46" s="31">
        <v>5676</v>
      </c>
      <c r="G46" s="106" t="s">
        <v>564</v>
      </c>
      <c r="H46" s="32">
        <f t="shared" si="0"/>
        <v>291.18200587389987</v>
      </c>
      <c r="I46" s="32">
        <f t="shared" si="1"/>
        <v>63.575576663309072</v>
      </c>
      <c r="J46" s="33" t="s">
        <v>150</v>
      </c>
      <c r="K46" s="47">
        <v>11.2</v>
      </c>
      <c r="L46" s="34">
        <v>14.546666666666667</v>
      </c>
      <c r="M46" s="86">
        <v>49.45</v>
      </c>
      <c r="N46" s="32">
        <f t="shared" si="2"/>
        <v>-39.663376375000752</v>
      </c>
      <c r="P46" s="37"/>
      <c r="Q46" s="60"/>
      <c r="R46" s="37"/>
      <c r="S46" s="102"/>
      <c r="T46" s="103"/>
      <c r="U46" s="37"/>
      <c r="W46" s="104"/>
      <c r="Z46" s="66"/>
    </row>
    <row r="47" spans="2:26" s="35" customFormat="1">
      <c r="E47" s="30" t="str">
        <f t="shared" si="3"/>
        <v/>
      </c>
      <c r="F47" s="31">
        <v>5689</v>
      </c>
      <c r="G47" s="106" t="s">
        <v>564</v>
      </c>
      <c r="H47" s="32">
        <f t="shared" si="0"/>
        <v>289.77558746920585</v>
      </c>
      <c r="I47" s="32">
        <f t="shared" si="1"/>
        <v>63.019133120168547</v>
      </c>
      <c r="J47" s="33" t="s">
        <v>151</v>
      </c>
      <c r="K47" s="47">
        <v>11.9</v>
      </c>
      <c r="L47" s="34">
        <v>14.591666666666667</v>
      </c>
      <c r="M47" s="86">
        <v>48.733333333333334</v>
      </c>
      <c r="N47" s="32">
        <f t="shared" si="2"/>
        <v>-40.338376375000735</v>
      </c>
      <c r="P47" s="37"/>
      <c r="Q47" s="60"/>
      <c r="R47" s="37"/>
      <c r="S47" s="102"/>
      <c r="T47" s="103"/>
      <c r="U47" s="37"/>
      <c r="W47" s="104"/>
      <c r="Z47" s="66"/>
    </row>
    <row r="48" spans="2:26" s="35" customFormat="1">
      <c r="E48" s="30" t="str">
        <f t="shared" si="3"/>
        <v/>
      </c>
      <c r="F48" s="31">
        <v>1501</v>
      </c>
      <c r="G48" s="106" t="s">
        <v>564</v>
      </c>
      <c r="H48" s="32">
        <f t="shared" si="0"/>
        <v>29.695389346691549</v>
      </c>
      <c r="I48" s="32">
        <f t="shared" si="1"/>
        <v>28.846098317295262</v>
      </c>
      <c r="J48" s="33" t="s">
        <v>152</v>
      </c>
      <c r="K48" s="47">
        <v>12</v>
      </c>
      <c r="L48" s="34">
        <v>4.1166666666666663</v>
      </c>
      <c r="M48" s="86">
        <v>60.916666666666664</v>
      </c>
      <c r="N48" s="32">
        <f t="shared" si="2"/>
        <v>116.78662362499927</v>
      </c>
      <c r="P48" s="37"/>
      <c r="Q48" s="60"/>
      <c r="R48" s="37"/>
      <c r="S48" s="102"/>
      <c r="T48" s="103"/>
      <c r="U48" s="37"/>
      <c r="W48" s="104"/>
      <c r="Z48" s="66"/>
    </row>
    <row r="49" spans="2:26" s="35" customFormat="1">
      <c r="E49" s="30" t="str">
        <f t="shared" si="3"/>
        <v/>
      </c>
      <c r="F49" s="31">
        <v>1502</v>
      </c>
      <c r="G49" s="106" t="s">
        <v>564</v>
      </c>
      <c r="H49" s="32">
        <f t="shared" si="0"/>
        <v>28.623940788480848</v>
      </c>
      <c r="I49" s="32">
        <f t="shared" si="1"/>
        <v>29.915843053016566</v>
      </c>
      <c r="J49" s="33" t="s">
        <v>153</v>
      </c>
      <c r="K49" s="47">
        <v>6.9</v>
      </c>
      <c r="L49" s="34">
        <v>4.13</v>
      </c>
      <c r="M49" s="86">
        <v>62.333333333333336</v>
      </c>
      <c r="N49" s="32">
        <f t="shared" si="2"/>
        <v>116.58662362499926</v>
      </c>
      <c r="P49" s="37"/>
      <c r="Q49" s="60"/>
      <c r="R49" s="37"/>
      <c r="S49" s="102"/>
      <c r="T49" s="103"/>
      <c r="U49" s="37"/>
      <c r="W49" s="104"/>
      <c r="Z49" s="66"/>
    </row>
    <row r="50" spans="2:26" s="35" customFormat="1">
      <c r="E50" s="30" t="str">
        <f t="shared" si="3"/>
        <v/>
      </c>
      <c r="F50" s="31">
        <v>2146</v>
      </c>
      <c r="G50" s="106" t="s">
        <v>564</v>
      </c>
      <c r="H50" s="32">
        <f t="shared" si="0"/>
        <v>343.06008190548073</v>
      </c>
      <c r="I50" s="32">
        <f t="shared" si="1"/>
        <v>46.440516729031629</v>
      </c>
      <c r="J50" s="33" t="s">
        <v>154</v>
      </c>
      <c r="K50" s="47">
        <v>10.6</v>
      </c>
      <c r="L50" s="34">
        <v>6.31</v>
      </c>
      <c r="M50" s="86">
        <v>78.349999999999994</v>
      </c>
      <c r="N50" s="32">
        <f t="shared" si="2"/>
        <v>83.886623624999274</v>
      </c>
      <c r="P50" s="37"/>
      <c r="Q50" s="60"/>
      <c r="R50" s="37"/>
      <c r="S50" s="102"/>
      <c r="T50" s="103"/>
      <c r="U50" s="37"/>
      <c r="W50" s="104"/>
      <c r="Z50" s="66"/>
    </row>
    <row r="51" spans="2:26" s="35" customFormat="1">
      <c r="E51" s="30" t="str">
        <f t="shared" si="3"/>
        <v/>
      </c>
      <c r="F51" s="31">
        <v>2268</v>
      </c>
      <c r="G51" s="106" t="s">
        <v>564</v>
      </c>
      <c r="H51" s="32">
        <f t="shared" si="0"/>
        <v>7.9148196353742692</v>
      </c>
      <c r="I51" s="32">
        <f t="shared" si="1"/>
        <v>48.107551709163467</v>
      </c>
      <c r="J51" s="33" t="s">
        <v>155</v>
      </c>
      <c r="K51" s="47">
        <v>11.5</v>
      </c>
      <c r="L51" s="34">
        <v>7.2383333333333333</v>
      </c>
      <c r="M51" s="86">
        <v>84.38333333333334</v>
      </c>
      <c r="N51" s="32">
        <f t="shared" si="2"/>
        <v>69.961623624999262</v>
      </c>
      <c r="P51" s="37"/>
      <c r="Q51" s="60"/>
      <c r="R51" s="37"/>
      <c r="S51" s="102"/>
      <c r="T51" s="103"/>
      <c r="U51" s="37"/>
      <c r="W51" s="104"/>
      <c r="Z51" s="66"/>
    </row>
    <row r="52" spans="2:26" s="35" customFormat="1">
      <c r="E52" s="30" t="str">
        <f t="shared" si="3"/>
        <v/>
      </c>
      <c r="F52" s="31">
        <v>2336</v>
      </c>
      <c r="G52" s="106" t="s">
        <v>564</v>
      </c>
      <c r="H52" s="32">
        <f t="shared" si="0"/>
        <v>13.961606839872152</v>
      </c>
      <c r="I52" s="32">
        <f t="shared" si="1"/>
        <v>49.509183086685496</v>
      </c>
      <c r="J52" s="33" t="s">
        <v>156</v>
      </c>
      <c r="K52" s="47">
        <v>10.4</v>
      </c>
      <c r="L52" s="34">
        <v>7.4516666666666671</v>
      </c>
      <c r="M52" s="86">
        <v>80.183333333333337</v>
      </c>
      <c r="N52" s="32">
        <f t="shared" si="2"/>
        <v>66.76162362499926</v>
      </c>
      <c r="P52" s="37"/>
      <c r="Q52" s="60"/>
      <c r="R52" s="37"/>
      <c r="S52" s="102"/>
      <c r="T52" s="103"/>
      <c r="U52" s="37"/>
      <c r="W52" s="104"/>
      <c r="Z52" s="66"/>
    </row>
    <row r="53" spans="2:26" s="35" customFormat="1">
      <c r="B53" s="173"/>
      <c r="C53" s="173"/>
      <c r="D53" s="173"/>
      <c r="E53" s="30" t="str">
        <f t="shared" si="3"/>
        <v/>
      </c>
      <c r="F53" s="31">
        <v>2403</v>
      </c>
      <c r="G53" s="106" t="s">
        <v>564</v>
      </c>
      <c r="H53" s="32">
        <f t="shared" si="0"/>
        <v>36.797439482025865</v>
      </c>
      <c r="I53" s="32">
        <f t="shared" si="1"/>
        <v>51.564180788080485</v>
      </c>
      <c r="J53" s="33" t="s">
        <v>157</v>
      </c>
      <c r="K53" s="47">
        <v>8.5</v>
      </c>
      <c r="L53" s="34">
        <v>7.6133333333333333</v>
      </c>
      <c r="M53" s="86">
        <v>65.599999999999994</v>
      </c>
      <c r="N53" s="32">
        <f t="shared" si="2"/>
        <v>64.336623624999262</v>
      </c>
      <c r="P53" s="37"/>
      <c r="Q53" s="60"/>
      <c r="R53" s="37"/>
      <c r="S53" s="102"/>
      <c r="T53" s="103"/>
      <c r="U53" s="37"/>
      <c r="W53" s="104"/>
      <c r="Z53" s="66"/>
    </row>
    <row r="54" spans="2:26" s="35" customFormat="1">
      <c r="B54" s="173"/>
      <c r="C54" s="173"/>
      <c r="D54" s="173"/>
      <c r="E54" s="30" t="str">
        <f t="shared" si="3"/>
        <v/>
      </c>
      <c r="F54" s="31">
        <v>2655</v>
      </c>
      <c r="G54" s="106" t="s">
        <v>564</v>
      </c>
      <c r="H54" s="32">
        <f t="shared" si="0"/>
        <v>14.149225069987724</v>
      </c>
      <c r="I54" s="32">
        <f t="shared" si="1"/>
        <v>54.058655435385838</v>
      </c>
      <c r="J54" s="33" t="s">
        <v>158</v>
      </c>
      <c r="K54" s="47">
        <v>10.1</v>
      </c>
      <c r="L54" s="34">
        <v>8.9266666666666659</v>
      </c>
      <c r="M54" s="86">
        <v>78.216666666666669</v>
      </c>
      <c r="N54" s="32">
        <f t="shared" si="2"/>
        <v>44.636623624999288</v>
      </c>
      <c r="P54" s="37"/>
      <c r="Q54" s="60"/>
      <c r="R54" s="37"/>
      <c r="S54" s="102"/>
      <c r="T54" s="103"/>
      <c r="U54" s="37"/>
      <c r="W54" s="104"/>
      <c r="Z54" s="66"/>
    </row>
    <row r="55" spans="2:26" s="35" customFormat="1">
      <c r="B55" s="174" t="s">
        <v>565</v>
      </c>
      <c r="C55" s="173"/>
      <c r="D55" s="173"/>
      <c r="E55" s="30" t="str">
        <f t="shared" si="3"/>
        <v/>
      </c>
      <c r="F55" s="45" t="s">
        <v>84</v>
      </c>
      <c r="G55" s="106" t="s">
        <v>564</v>
      </c>
      <c r="H55" s="32">
        <f t="shared" si="0"/>
        <v>357.87866445314785</v>
      </c>
      <c r="I55" s="32">
        <f t="shared" si="1"/>
        <v>53.758667344764874</v>
      </c>
      <c r="J55" s="33" t="s">
        <v>159</v>
      </c>
      <c r="K55" s="47">
        <v>10.6</v>
      </c>
      <c r="L55" s="34">
        <v>12.551666666666666</v>
      </c>
      <c r="M55" s="86">
        <v>82.566666666666663</v>
      </c>
      <c r="N55" s="32">
        <f t="shared" si="2"/>
        <v>-9.738376375000712</v>
      </c>
      <c r="P55" s="37"/>
      <c r="Q55" s="60"/>
      <c r="R55" s="37"/>
      <c r="S55" s="102"/>
      <c r="T55" s="103"/>
      <c r="U55" s="37"/>
      <c r="W55" s="104"/>
      <c r="Z55" s="66"/>
    </row>
    <row r="56" spans="2:26" s="35" customFormat="1">
      <c r="B56" s="174" t="s">
        <v>603</v>
      </c>
      <c r="C56" s="173"/>
      <c r="D56" s="173"/>
      <c r="E56" s="30" t="str">
        <f t="shared" si="3"/>
        <v/>
      </c>
      <c r="F56" s="31">
        <v>7099</v>
      </c>
      <c r="G56" s="106" t="s">
        <v>564</v>
      </c>
      <c r="H56" s="32">
        <f t="shared" si="0"/>
        <v>60.657121818141924</v>
      </c>
      <c r="I56" s="32">
        <f t="shared" si="1"/>
        <v>-54.474207377661941</v>
      </c>
      <c r="J56" s="33" t="s">
        <v>160</v>
      </c>
      <c r="K56" s="47">
        <v>6.9</v>
      </c>
      <c r="L56" s="34">
        <v>21.673333333333332</v>
      </c>
      <c r="M56" s="86">
        <v>-23.183333333333334</v>
      </c>
      <c r="N56" s="32">
        <f t="shared" si="2"/>
        <v>-146.5633763750007</v>
      </c>
      <c r="P56" s="37"/>
      <c r="Q56" s="60"/>
      <c r="R56" s="37"/>
      <c r="S56" s="102"/>
      <c r="T56" s="103"/>
      <c r="U56" s="37"/>
      <c r="W56" s="104"/>
      <c r="Z56" s="66"/>
    </row>
    <row r="57" spans="2:26" s="35" customFormat="1">
      <c r="B57" s="173"/>
      <c r="C57" s="173"/>
      <c r="D57" s="173"/>
      <c r="E57" s="30" t="str">
        <f t="shared" si="3"/>
        <v/>
      </c>
      <c r="F57" s="45" t="s">
        <v>85</v>
      </c>
      <c r="G57" s="106" t="s">
        <v>564</v>
      </c>
      <c r="H57" s="32">
        <f t="shared" si="0"/>
        <v>3.4784874930976097</v>
      </c>
      <c r="I57" s="32">
        <f t="shared" si="1"/>
        <v>15.887289448382996</v>
      </c>
      <c r="J57" s="33" t="s">
        <v>161</v>
      </c>
      <c r="K57" s="47">
        <v>13.3</v>
      </c>
      <c r="L57" s="34">
        <v>0.33999999999999997</v>
      </c>
      <c r="M57" s="86">
        <v>59.3</v>
      </c>
      <c r="N57" s="32">
        <f t="shared" si="2"/>
        <v>173.43662362499927</v>
      </c>
      <c r="P57" s="37"/>
      <c r="Q57" s="60"/>
      <c r="R57" s="37"/>
      <c r="S57" s="102"/>
      <c r="T57" s="103"/>
      <c r="U57" s="37"/>
      <c r="W57" s="104"/>
      <c r="Z57" s="66"/>
    </row>
    <row r="58" spans="2:26" s="35" customFormat="1">
      <c r="B58" s="173"/>
      <c r="C58" s="173"/>
      <c r="D58" s="173"/>
      <c r="E58" s="30" t="str">
        <f t="shared" si="3"/>
        <v/>
      </c>
      <c r="F58" s="31">
        <v>147</v>
      </c>
      <c r="G58" s="106" t="s">
        <v>564</v>
      </c>
      <c r="H58" s="32">
        <f t="shared" si="0"/>
        <v>353.52008746811509</v>
      </c>
      <c r="I58" s="32">
        <f t="shared" si="1"/>
        <v>5.330384614074239</v>
      </c>
      <c r="J58" s="33" t="s">
        <v>162</v>
      </c>
      <c r="K58" s="47">
        <v>9.5</v>
      </c>
      <c r="L58" s="34">
        <v>0.55333333333333334</v>
      </c>
      <c r="M58" s="86">
        <v>48.5</v>
      </c>
      <c r="N58" s="32">
        <f t="shared" si="2"/>
        <v>170.23662362499925</v>
      </c>
      <c r="P58" s="37"/>
      <c r="Q58" s="60"/>
      <c r="R58" s="37"/>
      <c r="S58" s="102"/>
      <c r="T58" s="103"/>
      <c r="U58" s="37"/>
      <c r="W58" s="104"/>
      <c r="Z58" s="66"/>
    </row>
    <row r="59" spans="2:26" s="35" customFormat="1">
      <c r="B59" s="173"/>
      <c r="C59" s="173"/>
      <c r="D59" s="173"/>
      <c r="E59" s="30" t="str">
        <f t="shared" si="3"/>
        <v/>
      </c>
      <c r="F59" s="31">
        <v>185</v>
      </c>
      <c r="G59" s="106" t="s">
        <v>564</v>
      </c>
      <c r="H59" s="32">
        <f t="shared" si="0"/>
        <v>352.54019459650084</v>
      </c>
      <c r="I59" s="32">
        <f t="shared" si="1"/>
        <v>5.2862700952898525</v>
      </c>
      <c r="J59" s="33" t="s">
        <v>163</v>
      </c>
      <c r="K59" s="47">
        <v>9.1999999999999993</v>
      </c>
      <c r="L59" s="34">
        <v>0.65</v>
      </c>
      <c r="M59" s="86">
        <v>48.333333333333336</v>
      </c>
      <c r="N59" s="32">
        <f t="shared" si="2"/>
        <v>168.78662362499927</v>
      </c>
      <c r="P59" s="37"/>
      <c r="Q59" s="60"/>
      <c r="R59" s="37"/>
      <c r="S59" s="102"/>
      <c r="T59" s="103"/>
      <c r="U59" s="37"/>
      <c r="W59" s="104"/>
      <c r="Z59" s="66"/>
    </row>
    <row r="60" spans="2:26" s="35" customFormat="1">
      <c r="B60" s="173"/>
      <c r="C60" s="173"/>
      <c r="D60" s="173"/>
      <c r="E60" s="30" t="str">
        <f t="shared" si="3"/>
        <v/>
      </c>
      <c r="F60" s="31">
        <v>189</v>
      </c>
      <c r="G60" s="106" t="s">
        <v>564</v>
      </c>
      <c r="H60" s="32">
        <f t="shared" si="0"/>
        <v>354.25568796096417</v>
      </c>
      <c r="I60" s="32">
        <f t="shared" si="1"/>
        <v>17.942667373361314</v>
      </c>
      <c r="J60" s="33" t="s">
        <v>164</v>
      </c>
      <c r="K60" s="47">
        <v>8.8000000000000007</v>
      </c>
      <c r="L60" s="34">
        <v>0.66</v>
      </c>
      <c r="M60" s="86">
        <v>61.1</v>
      </c>
      <c r="N60" s="32">
        <f t="shared" si="2"/>
        <v>168.63662362499926</v>
      </c>
      <c r="P60" s="37"/>
      <c r="Q60" s="60"/>
      <c r="R60" s="37"/>
      <c r="S60" s="102"/>
      <c r="T60" s="103"/>
      <c r="U60" s="37"/>
      <c r="W60" s="104"/>
      <c r="Z60" s="66"/>
    </row>
    <row r="61" spans="2:26" s="35" customFormat="1">
      <c r="B61" s="173"/>
      <c r="C61" s="173"/>
      <c r="D61" s="173"/>
      <c r="E61" s="30" t="str">
        <f t="shared" si="3"/>
        <v/>
      </c>
      <c r="F61" s="31">
        <v>225</v>
      </c>
      <c r="G61" s="106" t="s">
        <v>564</v>
      </c>
      <c r="H61" s="32">
        <f t="shared" si="0"/>
        <v>6.137573935395352</v>
      </c>
      <c r="I61" s="32">
        <f t="shared" si="1"/>
        <v>18.67319894270193</v>
      </c>
      <c r="J61" s="33" t="s">
        <v>165</v>
      </c>
      <c r="K61" s="47">
        <v>7</v>
      </c>
      <c r="L61" s="34">
        <v>0.72666666666666668</v>
      </c>
      <c r="M61" s="86">
        <v>61.766666666666666</v>
      </c>
      <c r="N61" s="32">
        <f t="shared" si="2"/>
        <v>167.63662362499926</v>
      </c>
      <c r="P61" s="37"/>
      <c r="Q61" s="60"/>
      <c r="R61" s="37"/>
      <c r="S61" s="102"/>
      <c r="T61" s="103"/>
      <c r="U61" s="37"/>
      <c r="W61" s="104"/>
      <c r="Z61" s="66"/>
    </row>
    <row r="62" spans="2:26" s="35" customFormat="1">
      <c r="B62" s="173"/>
      <c r="C62" s="173"/>
      <c r="D62" s="173"/>
      <c r="E62" s="30" t="str">
        <f t="shared" si="3"/>
        <v/>
      </c>
      <c r="F62" s="31">
        <v>278</v>
      </c>
      <c r="G62" s="106" t="s">
        <v>564</v>
      </c>
      <c r="H62" s="32">
        <f t="shared" si="0"/>
        <v>350.24315152063053</v>
      </c>
      <c r="I62" s="32">
        <f t="shared" si="1"/>
        <v>4.8498698849644137</v>
      </c>
      <c r="J62" s="33" t="s">
        <v>166</v>
      </c>
      <c r="K62" s="47">
        <v>10.8</v>
      </c>
      <c r="L62" s="34">
        <v>0.8683333333333334</v>
      </c>
      <c r="M62" s="86">
        <v>47.55</v>
      </c>
      <c r="N62" s="32">
        <f t="shared" si="2"/>
        <v>165.51162362499926</v>
      </c>
      <c r="P62" s="37"/>
      <c r="Q62" s="60"/>
      <c r="R62" s="37"/>
      <c r="S62" s="102"/>
      <c r="T62" s="103"/>
      <c r="U62" s="37"/>
      <c r="W62" s="104"/>
      <c r="Z62" s="66"/>
    </row>
    <row r="63" spans="2:26" s="35" customFormat="1">
      <c r="B63" s="173"/>
      <c r="C63" s="173"/>
      <c r="D63" s="173"/>
      <c r="E63" s="30" t="str">
        <f t="shared" si="3"/>
        <v/>
      </c>
      <c r="F63" s="31">
        <v>281</v>
      </c>
      <c r="G63" s="106" t="s">
        <v>564</v>
      </c>
      <c r="H63" s="32">
        <f t="shared" si="0"/>
        <v>351.72613718065446</v>
      </c>
      <c r="I63" s="32">
        <f t="shared" si="1"/>
        <v>13.798977312509168</v>
      </c>
      <c r="J63" s="33" t="s">
        <v>167</v>
      </c>
      <c r="K63" s="47">
        <v>7.4</v>
      </c>
      <c r="L63" s="34">
        <v>0.8833333333333333</v>
      </c>
      <c r="M63" s="86">
        <v>56.616666666666667</v>
      </c>
      <c r="N63" s="32">
        <f t="shared" si="2"/>
        <v>165.28662362499927</v>
      </c>
      <c r="P63" s="37"/>
      <c r="Q63" s="60"/>
      <c r="R63" s="37"/>
      <c r="S63" s="102"/>
      <c r="T63" s="103"/>
      <c r="U63" s="37"/>
      <c r="W63" s="104"/>
      <c r="Z63" s="66"/>
    </row>
    <row r="64" spans="2:26" s="35" customFormat="1">
      <c r="B64" s="173"/>
      <c r="C64" s="173"/>
      <c r="D64" s="173"/>
      <c r="E64" s="30" t="str">
        <f t="shared" si="3"/>
        <v/>
      </c>
      <c r="F64" s="31">
        <v>381</v>
      </c>
      <c r="G64" s="106" t="s">
        <v>564</v>
      </c>
      <c r="H64" s="32">
        <f t="shared" si="0"/>
        <v>9.2114563426503988</v>
      </c>
      <c r="I64" s="32">
        <f t="shared" si="1"/>
        <v>19.061532172362149</v>
      </c>
      <c r="J64" s="33" t="s">
        <v>168</v>
      </c>
      <c r="K64" s="47">
        <v>9.3000000000000007</v>
      </c>
      <c r="L64" s="34">
        <v>1.1383333333333334</v>
      </c>
      <c r="M64" s="86">
        <v>61.583333333333336</v>
      </c>
      <c r="N64" s="32">
        <f t="shared" si="2"/>
        <v>161.46162362499928</v>
      </c>
      <c r="P64" s="37"/>
      <c r="Q64" s="60"/>
      <c r="R64" s="37"/>
      <c r="S64" s="102"/>
      <c r="T64" s="103"/>
      <c r="U64" s="37"/>
      <c r="W64" s="104"/>
      <c r="Z64" s="66"/>
    </row>
    <row r="65" spans="2:26" s="35" customFormat="1">
      <c r="B65" s="173"/>
      <c r="C65" s="173"/>
      <c r="D65" s="173"/>
      <c r="E65" s="30" t="str">
        <f t="shared" si="3"/>
        <v/>
      </c>
      <c r="F65" s="31">
        <v>436</v>
      </c>
      <c r="G65" s="106" t="s">
        <v>564</v>
      </c>
      <c r="H65" s="32">
        <f t="shared" si="0"/>
        <v>349.11139211452218</v>
      </c>
      <c r="I65" s="32">
        <f t="shared" si="1"/>
        <v>16.608096541820402</v>
      </c>
      <c r="J65" s="33" t="s">
        <v>169</v>
      </c>
      <c r="K65" s="47">
        <v>8.8000000000000007</v>
      </c>
      <c r="L65" s="34">
        <v>1.2666666666666666</v>
      </c>
      <c r="M65" s="86">
        <v>58.81666666666667</v>
      </c>
      <c r="N65" s="32">
        <f t="shared" si="2"/>
        <v>159.53662362499927</v>
      </c>
      <c r="P65" s="37"/>
      <c r="Q65" s="60"/>
      <c r="R65" s="37"/>
      <c r="S65" s="102"/>
      <c r="T65" s="103"/>
      <c r="U65" s="37"/>
      <c r="W65" s="104"/>
      <c r="Z65" s="66"/>
    </row>
    <row r="66" spans="2:26" s="35" customFormat="1">
      <c r="B66" s="173"/>
      <c r="C66" s="173"/>
      <c r="D66" s="173"/>
      <c r="E66" s="30" t="str">
        <f t="shared" si="3"/>
        <v/>
      </c>
      <c r="F66" s="31">
        <v>457</v>
      </c>
      <c r="G66" s="106" t="s">
        <v>564</v>
      </c>
      <c r="H66" s="32">
        <f t="shared" si="0"/>
        <v>348.50891094128076</v>
      </c>
      <c r="I66" s="32">
        <f t="shared" si="1"/>
        <v>16.209553369810941</v>
      </c>
      <c r="J66" s="33" t="s">
        <v>170</v>
      </c>
      <c r="K66" s="47">
        <v>6.4</v>
      </c>
      <c r="L66" s="34">
        <v>1.325</v>
      </c>
      <c r="M66" s="86">
        <v>58.283333333333331</v>
      </c>
      <c r="N66" s="32">
        <f t="shared" si="2"/>
        <v>158.66162362499927</v>
      </c>
      <c r="P66" s="37"/>
      <c r="Q66" s="60"/>
      <c r="R66" s="37"/>
      <c r="S66" s="102"/>
      <c r="T66" s="103"/>
      <c r="U66" s="37"/>
      <c r="W66" s="104"/>
      <c r="Z66" s="66"/>
    </row>
    <row r="67" spans="2:26" s="35" customFormat="1">
      <c r="B67" s="173"/>
      <c r="C67" s="173"/>
      <c r="D67" s="173"/>
      <c r="E67" s="30" t="str">
        <f t="shared" si="3"/>
        <v/>
      </c>
      <c r="F67" s="31">
        <v>581</v>
      </c>
      <c r="G67" s="106" t="s">
        <v>564</v>
      </c>
      <c r="H67" s="32">
        <f t="shared" si="0"/>
        <v>347.43658630806277</v>
      </c>
      <c r="I67" s="32">
        <f t="shared" si="1"/>
        <v>18.978733327830952</v>
      </c>
      <c r="J67" s="33" t="s">
        <v>74</v>
      </c>
      <c r="K67" s="47">
        <v>7.4</v>
      </c>
      <c r="L67" s="34">
        <v>1.5566666666666666</v>
      </c>
      <c r="M67" s="86">
        <v>60.65</v>
      </c>
      <c r="N67" s="32">
        <f t="shared" si="2"/>
        <v>155.18662362499927</v>
      </c>
      <c r="P67" s="37"/>
      <c r="Q67" s="60"/>
      <c r="R67" s="37"/>
      <c r="S67" s="102"/>
      <c r="T67" s="103"/>
      <c r="U67" s="37"/>
      <c r="W67" s="104"/>
      <c r="Z67" s="66"/>
    </row>
    <row r="68" spans="2:26" s="35" customFormat="1">
      <c r="B68" s="173"/>
      <c r="C68" s="173"/>
      <c r="D68" s="173"/>
      <c r="E68" s="30" t="str">
        <f t="shared" si="3"/>
        <v/>
      </c>
      <c r="F68" s="40" t="s">
        <v>86</v>
      </c>
      <c r="G68" s="106" t="s">
        <v>564</v>
      </c>
      <c r="H68" s="32">
        <f t="shared" si="0"/>
        <v>12.636712416602847</v>
      </c>
      <c r="I68" s="32">
        <f t="shared" si="1"/>
        <v>19.667348705221741</v>
      </c>
      <c r="J68" s="33" t="s">
        <v>171</v>
      </c>
      <c r="K68" s="48">
        <v>8.1</v>
      </c>
      <c r="L68" s="34">
        <v>1.5950000000000002</v>
      </c>
      <c r="M68" s="86">
        <v>61.283333333333331</v>
      </c>
      <c r="N68" s="32">
        <f t="shared" si="2"/>
        <v>154.61162362499925</v>
      </c>
      <c r="P68" s="37"/>
      <c r="Q68" s="60"/>
      <c r="R68" s="37"/>
      <c r="S68" s="102"/>
      <c r="T68" s="103"/>
      <c r="U68" s="37"/>
      <c r="W68" s="104"/>
      <c r="Z68" s="66"/>
    </row>
    <row r="69" spans="2:26" s="35" customFormat="1">
      <c r="B69" s="173"/>
      <c r="C69" s="173"/>
      <c r="D69" s="173"/>
      <c r="E69" s="30" t="str">
        <f t="shared" si="3"/>
        <v/>
      </c>
      <c r="F69" s="31">
        <v>637</v>
      </c>
      <c r="G69" s="106" t="s">
        <v>564</v>
      </c>
      <c r="H69" s="32">
        <f t="shared" si="0"/>
        <v>347.46826968116261</v>
      </c>
      <c r="I69" s="32">
        <f t="shared" si="1"/>
        <v>22.543657459818448</v>
      </c>
      <c r="J69" s="33" t="s">
        <v>172</v>
      </c>
      <c r="K69" s="47">
        <v>8.1999999999999993</v>
      </c>
      <c r="L69" s="34">
        <v>1.7183333333333333</v>
      </c>
      <c r="M69" s="86">
        <v>64.033333333333331</v>
      </c>
      <c r="N69" s="32">
        <f t="shared" si="2"/>
        <v>152.76162362499926</v>
      </c>
      <c r="P69" s="37"/>
      <c r="Q69" s="60"/>
      <c r="R69" s="37"/>
      <c r="S69" s="102"/>
      <c r="T69" s="103"/>
      <c r="U69" s="37"/>
      <c r="W69" s="104"/>
      <c r="Z69" s="66"/>
    </row>
    <row r="70" spans="2:26" s="35" customFormat="1">
      <c r="B70" s="173"/>
      <c r="C70" s="173"/>
      <c r="D70" s="173"/>
      <c r="E70" s="30" t="str">
        <f t="shared" si="3"/>
        <v/>
      </c>
      <c r="F70" s="31">
        <v>654</v>
      </c>
      <c r="G70" s="106" t="s">
        <v>564</v>
      </c>
      <c r="H70" s="32">
        <f t="shared" si="0"/>
        <v>346.57803824075671</v>
      </c>
      <c r="I70" s="32">
        <f t="shared" si="1"/>
        <v>20.556834256035561</v>
      </c>
      <c r="J70" s="33" t="s">
        <v>173</v>
      </c>
      <c r="K70" s="47">
        <v>6.5</v>
      </c>
      <c r="L70" s="34">
        <v>1.7333333333333334</v>
      </c>
      <c r="M70" s="86">
        <v>61.883333333333333</v>
      </c>
      <c r="N70" s="32">
        <f t="shared" si="2"/>
        <v>152.53662362499927</v>
      </c>
      <c r="P70" s="37"/>
      <c r="Q70" s="60"/>
      <c r="R70" s="37"/>
      <c r="S70" s="102"/>
      <c r="T70" s="103"/>
      <c r="U70" s="37"/>
      <c r="W70" s="104"/>
      <c r="Z70" s="66"/>
    </row>
    <row r="71" spans="2:26" s="35" customFormat="1">
      <c r="B71" s="175"/>
      <c r="C71" s="175"/>
      <c r="D71" s="175"/>
      <c r="E71" s="30" t="str">
        <f t="shared" si="3"/>
        <v/>
      </c>
      <c r="F71" s="31">
        <v>659</v>
      </c>
      <c r="G71" s="106" t="s">
        <v>564</v>
      </c>
      <c r="H71" s="32">
        <f t="shared" si="0"/>
        <v>346.09140028744361</v>
      </c>
      <c r="I71" s="32">
        <f t="shared" si="1"/>
        <v>19.428356369919431</v>
      </c>
      <c r="J71" s="33" t="s">
        <v>174</v>
      </c>
      <c r="K71" s="47">
        <v>7.9</v>
      </c>
      <c r="L71" s="34">
        <v>1.74</v>
      </c>
      <c r="M71" s="86">
        <v>60.666666666666664</v>
      </c>
      <c r="N71" s="32">
        <f t="shared" si="2"/>
        <v>152.43662362499927</v>
      </c>
      <c r="P71" s="37"/>
      <c r="Q71" s="60"/>
      <c r="R71" s="37"/>
      <c r="S71" s="102"/>
      <c r="T71" s="103"/>
      <c r="U71" s="37"/>
      <c r="W71" s="104"/>
      <c r="Z71" s="66"/>
    </row>
    <row r="72" spans="2:26" s="35" customFormat="1">
      <c r="B72" s="175"/>
      <c r="C72" s="175"/>
      <c r="D72" s="175"/>
      <c r="E72" s="30" t="str">
        <f t="shared" si="3"/>
        <v/>
      </c>
      <c r="F72" s="31">
        <v>663</v>
      </c>
      <c r="G72" s="106" t="s">
        <v>564</v>
      </c>
      <c r="H72" s="32">
        <f t="shared" ref="H72:H135" si="4">IF(SIN($C$14*N72)&lt;0,ACOS((SIN($M$512*M72)-SIN($M$512*I72)*SIN($M$512*$C$13))/(COS($M$512*I72)*COS($M$512*$C$13)))/$M$512,360-ACOS((SIN($M$512*M72)-SIN($M$512*I72)*SIN($M$512*$C$13))/(COS($M$512*I72)*COS($M$512*$C$13)))/$M$512)</f>
        <v>346.06050103605565</v>
      </c>
      <c r="I72" s="32">
        <f t="shared" ref="I72:I135" si="5">ASIN(SIN($M$512*M72)*SIN($M$512*$C$13)+COS($M$512*M72)*COS($M$512*$C$13)*COS($M$512*N72))/$M$512</f>
        <v>20.024070493080234</v>
      </c>
      <c r="J72" s="33" t="s">
        <v>175</v>
      </c>
      <c r="K72" s="47">
        <v>7.1</v>
      </c>
      <c r="L72" s="34">
        <v>1.7716666666666665</v>
      </c>
      <c r="M72" s="86">
        <v>61.216666666666669</v>
      </c>
      <c r="N72" s="32">
        <f t="shared" ref="N72:N135" si="6">$C$16-((L72/24)*360)</f>
        <v>151.96162362499928</v>
      </c>
      <c r="P72" s="37"/>
      <c r="Q72" s="60"/>
      <c r="R72" s="37"/>
      <c r="S72" s="102"/>
      <c r="T72" s="103"/>
      <c r="U72" s="37"/>
      <c r="W72" s="104"/>
      <c r="Z72" s="66"/>
    </row>
    <row r="73" spans="2:26" s="35" customFormat="1">
      <c r="E73" s="30" t="str">
        <f t="shared" ref="E73:E136" si="7">IF(AND(I73&gt;=$I$4,I73&lt;=$I$6,H73&gt;=$H$4,H73&lt;=$H$6),IF(VLOOKUP(G73,$C$19:$D$24,2,FALSE)="yes","*","-"),"")</f>
        <v/>
      </c>
      <c r="F73" s="31">
        <v>743</v>
      </c>
      <c r="G73" s="106" t="s">
        <v>564</v>
      </c>
      <c r="H73" s="32">
        <f t="shared" si="4"/>
        <v>15.822094815104149</v>
      </c>
      <c r="I73" s="32">
        <f t="shared" si="5"/>
        <v>19.584493806101928</v>
      </c>
      <c r="J73" s="33" t="s">
        <v>176</v>
      </c>
      <c r="K73" s="47">
        <v>9.5</v>
      </c>
      <c r="L73" s="34">
        <v>1.9750000000000001</v>
      </c>
      <c r="M73" s="86">
        <v>60.166666666666664</v>
      </c>
      <c r="N73" s="32">
        <f t="shared" si="6"/>
        <v>148.91162362499927</v>
      </c>
      <c r="P73" s="37"/>
      <c r="Q73" s="60"/>
      <c r="R73" s="37"/>
      <c r="S73" s="102"/>
      <c r="T73" s="103"/>
      <c r="U73" s="37"/>
      <c r="W73" s="104"/>
      <c r="Z73" s="66"/>
    </row>
    <row r="74" spans="2:26" s="35" customFormat="1">
      <c r="E74" s="30" t="str">
        <f t="shared" si="7"/>
        <v/>
      </c>
      <c r="F74" s="45" t="s">
        <v>87</v>
      </c>
      <c r="G74" s="106" t="s">
        <v>564</v>
      </c>
      <c r="H74" s="32">
        <f t="shared" si="4"/>
        <v>19.272686543436386</v>
      </c>
      <c r="I74" s="32">
        <f t="shared" si="5"/>
        <v>22.523585900247348</v>
      </c>
      <c r="J74" s="33" t="s">
        <v>177</v>
      </c>
      <c r="K74" s="47">
        <v>6.5</v>
      </c>
      <c r="L74" s="34">
        <v>2.5449999999999999</v>
      </c>
      <c r="M74" s="86">
        <v>61.45</v>
      </c>
      <c r="N74" s="32">
        <f t="shared" si="6"/>
        <v>140.36162362499925</v>
      </c>
      <c r="P74" s="37"/>
      <c r="Q74" s="60"/>
      <c r="R74" s="37"/>
      <c r="S74" s="102"/>
      <c r="T74" s="103"/>
      <c r="U74" s="37"/>
      <c r="W74" s="104"/>
      <c r="Z74" s="66"/>
    </row>
    <row r="75" spans="2:26" s="35" customFormat="1">
      <c r="E75" s="30" t="str">
        <f t="shared" si="7"/>
        <v/>
      </c>
      <c r="F75" s="45">
        <v>7654</v>
      </c>
      <c r="G75" s="106" t="s">
        <v>564</v>
      </c>
      <c r="H75" s="32">
        <f t="shared" si="4"/>
        <v>356.34650537247086</v>
      </c>
      <c r="I75" s="32">
        <f t="shared" si="5"/>
        <v>18.210648543037102</v>
      </c>
      <c r="J75" s="33" t="s">
        <v>178</v>
      </c>
      <c r="K75" s="47">
        <v>6.9</v>
      </c>
      <c r="L75" s="34">
        <v>23.414999999999999</v>
      </c>
      <c r="M75" s="86">
        <v>61.6</v>
      </c>
      <c r="N75" s="32">
        <f t="shared" si="6"/>
        <v>-172.6883763750007</v>
      </c>
      <c r="P75" s="37"/>
      <c r="Q75" s="60"/>
      <c r="R75" s="37"/>
      <c r="S75" s="102"/>
      <c r="T75" s="103"/>
      <c r="U75" s="37"/>
      <c r="W75" s="104"/>
      <c r="Z75" s="66"/>
    </row>
    <row r="76" spans="2:26" s="35" customFormat="1">
      <c r="E76" s="30" t="str">
        <f t="shared" si="7"/>
        <v/>
      </c>
      <c r="F76" s="45">
        <v>7789</v>
      </c>
      <c r="G76" s="106" t="s">
        <v>564</v>
      </c>
      <c r="H76" s="32">
        <f t="shared" si="4"/>
        <v>359.52750158634564</v>
      </c>
      <c r="I76" s="32">
        <f t="shared" si="5"/>
        <v>13.169048430538869</v>
      </c>
      <c r="J76" s="33" t="s">
        <v>179</v>
      </c>
      <c r="K76" s="47">
        <v>6.7</v>
      </c>
      <c r="L76" s="34">
        <v>23.958333333333332</v>
      </c>
      <c r="M76" s="86">
        <v>56.716666666666669</v>
      </c>
      <c r="N76" s="32">
        <f t="shared" si="6"/>
        <v>-180.83837637500073</v>
      </c>
      <c r="P76" s="37"/>
      <c r="Q76" s="60"/>
      <c r="R76" s="37"/>
      <c r="S76" s="102"/>
      <c r="T76" s="103"/>
      <c r="U76" s="37"/>
      <c r="W76" s="104"/>
      <c r="Z76" s="66"/>
    </row>
    <row r="77" spans="2:26" s="35" customFormat="1">
      <c r="E77" s="30" t="str">
        <f t="shared" si="7"/>
        <v/>
      </c>
      <c r="F77" s="45">
        <v>7790</v>
      </c>
      <c r="G77" s="106" t="s">
        <v>564</v>
      </c>
      <c r="H77" s="32">
        <f t="shared" si="4"/>
        <v>359.46265558744079</v>
      </c>
      <c r="I77" s="32">
        <f t="shared" si="5"/>
        <v>17.670102248515487</v>
      </c>
      <c r="J77" s="33" t="s">
        <v>180</v>
      </c>
      <c r="K77" s="47">
        <v>8.5</v>
      </c>
      <c r="L77" s="34">
        <v>23.973333333333333</v>
      </c>
      <c r="M77" s="86">
        <v>61.216666666666669</v>
      </c>
      <c r="N77" s="32">
        <f t="shared" si="6"/>
        <v>-181.0633763750007</v>
      </c>
      <c r="P77" s="37"/>
      <c r="Q77" s="60"/>
      <c r="R77" s="37"/>
      <c r="S77" s="102"/>
      <c r="T77" s="103"/>
      <c r="U77" s="37"/>
      <c r="W77" s="104"/>
      <c r="Z77" s="66"/>
    </row>
    <row r="78" spans="2:26" s="35" customFormat="1">
      <c r="E78" s="30" t="str">
        <f t="shared" si="7"/>
        <v/>
      </c>
      <c r="F78" s="45">
        <v>5102</v>
      </c>
      <c r="G78" s="106" t="s">
        <v>564</v>
      </c>
      <c r="H78" s="32">
        <f t="shared" si="4"/>
        <v>197.52412782133658</v>
      </c>
      <c r="I78" s="32">
        <f t="shared" si="5"/>
        <v>4.6057201245646189</v>
      </c>
      <c r="J78" s="33" t="s">
        <v>181</v>
      </c>
      <c r="K78" s="47">
        <v>9.3000000000000007</v>
      </c>
      <c r="L78" s="34">
        <v>13.366666666666667</v>
      </c>
      <c r="M78" s="86">
        <v>-36.633333333333333</v>
      </c>
      <c r="N78" s="32">
        <f t="shared" si="6"/>
        <v>-21.963376375000735</v>
      </c>
      <c r="P78" s="37"/>
      <c r="Q78" s="60"/>
      <c r="R78" s="37"/>
      <c r="S78" s="102"/>
      <c r="T78" s="103"/>
      <c r="U78" s="37"/>
      <c r="W78" s="104"/>
      <c r="Z78" s="66"/>
    </row>
    <row r="79" spans="2:26" s="35" customFormat="1">
      <c r="E79" s="30" t="str">
        <f t="shared" si="7"/>
        <v/>
      </c>
      <c r="F79" s="45">
        <v>40</v>
      </c>
      <c r="G79" s="106" t="s">
        <v>564</v>
      </c>
      <c r="H79" s="32">
        <f t="shared" si="4"/>
        <v>358.38238878036549</v>
      </c>
      <c r="I79" s="32">
        <f t="shared" si="5"/>
        <v>29.012518412378</v>
      </c>
      <c r="J79" s="33" t="s">
        <v>182</v>
      </c>
      <c r="K79" s="47">
        <v>10.7</v>
      </c>
      <c r="L79" s="34">
        <v>0.21666666666666667</v>
      </c>
      <c r="M79" s="86">
        <v>72.516666666666666</v>
      </c>
      <c r="N79" s="32">
        <f t="shared" si="6"/>
        <v>175.28662362499927</v>
      </c>
      <c r="P79" s="37"/>
      <c r="Q79" s="60"/>
      <c r="R79" s="37"/>
      <c r="S79" s="102"/>
      <c r="T79" s="103"/>
      <c r="U79" s="37"/>
      <c r="W79" s="104"/>
      <c r="Z79" s="66"/>
    </row>
    <row r="80" spans="2:26" s="35" customFormat="1">
      <c r="E80" s="30" t="str">
        <f t="shared" si="7"/>
        <v/>
      </c>
      <c r="F80" s="45">
        <v>188</v>
      </c>
      <c r="G80" s="106" t="s">
        <v>564</v>
      </c>
      <c r="H80" s="32">
        <f t="shared" si="4"/>
        <v>1.4736401046545884</v>
      </c>
      <c r="I80" s="32">
        <f t="shared" si="5"/>
        <v>41.801929684431812</v>
      </c>
      <c r="J80" s="33" t="s">
        <v>183</v>
      </c>
      <c r="K80" s="47">
        <v>8.1</v>
      </c>
      <c r="L80" s="34">
        <v>0.79166666666666663</v>
      </c>
      <c r="M80" s="86">
        <v>85.233333333333334</v>
      </c>
      <c r="N80" s="32">
        <f t="shared" si="6"/>
        <v>166.66162362499927</v>
      </c>
      <c r="P80" s="37"/>
      <c r="Q80" s="60"/>
      <c r="R80" s="37"/>
      <c r="S80" s="102"/>
      <c r="T80" s="103"/>
      <c r="U80" s="37"/>
      <c r="W80" s="104"/>
      <c r="Z80" s="66"/>
    </row>
    <row r="81" spans="5:26" s="35" customFormat="1">
      <c r="E81" s="30" t="str">
        <f t="shared" si="7"/>
        <v/>
      </c>
      <c r="F81" s="45">
        <v>6939</v>
      </c>
      <c r="G81" s="106" t="s">
        <v>564</v>
      </c>
      <c r="H81" s="32">
        <f t="shared" si="4"/>
        <v>335.35158467991999</v>
      </c>
      <c r="I81" s="32">
        <f t="shared" si="5"/>
        <v>24.701294115257539</v>
      </c>
      <c r="J81" s="33" t="s">
        <v>184</v>
      </c>
      <c r="K81" s="47">
        <v>7.8</v>
      </c>
      <c r="L81" s="34">
        <v>20.524999999999999</v>
      </c>
      <c r="M81" s="86">
        <v>60.666666666666664</v>
      </c>
      <c r="N81" s="32">
        <f t="shared" si="6"/>
        <v>-129.33837637500068</v>
      </c>
      <c r="P81" s="37"/>
      <c r="Q81" s="60"/>
      <c r="R81" s="37"/>
      <c r="S81" s="102"/>
      <c r="T81" s="103"/>
      <c r="U81" s="37"/>
      <c r="W81" s="104"/>
      <c r="Z81" s="66"/>
    </row>
    <row r="82" spans="5:26" s="35" customFormat="1">
      <c r="E82" s="30" t="str">
        <f t="shared" si="7"/>
        <v/>
      </c>
      <c r="F82" s="45">
        <v>6946</v>
      </c>
      <c r="G82" s="106" t="s">
        <v>564</v>
      </c>
      <c r="H82" s="32">
        <f t="shared" si="4"/>
        <v>335.39669888127929</v>
      </c>
      <c r="I82" s="32">
        <f t="shared" si="5"/>
        <v>24.036895734260469</v>
      </c>
      <c r="J82" s="33" t="s">
        <v>185</v>
      </c>
      <c r="K82" s="47">
        <v>8.8000000000000007</v>
      </c>
      <c r="L82" s="34">
        <v>20.581666666666667</v>
      </c>
      <c r="M82" s="86">
        <v>60.15</v>
      </c>
      <c r="N82" s="32">
        <f t="shared" si="6"/>
        <v>-130.18837637500076</v>
      </c>
      <c r="P82" s="37"/>
      <c r="Q82" s="60"/>
      <c r="R82" s="37"/>
      <c r="S82" s="102"/>
      <c r="T82" s="103"/>
      <c r="U82" s="37"/>
      <c r="W82" s="104"/>
      <c r="Z82" s="66"/>
    </row>
    <row r="83" spans="5:26" s="35" customFormat="1">
      <c r="E83" s="30" t="str">
        <f t="shared" si="7"/>
        <v/>
      </c>
      <c r="F83" s="45">
        <v>7160</v>
      </c>
      <c r="G83" s="106" t="s">
        <v>564</v>
      </c>
      <c r="H83" s="32">
        <f t="shared" si="4"/>
        <v>14.384354781281527</v>
      </c>
      <c r="I83" s="32">
        <f t="shared" si="5"/>
        <v>21.665184132674707</v>
      </c>
      <c r="J83" s="33" t="s">
        <v>186</v>
      </c>
      <c r="K83" s="47">
        <v>6.1</v>
      </c>
      <c r="L83" s="34">
        <v>21.895</v>
      </c>
      <c r="M83" s="86">
        <v>62.6</v>
      </c>
      <c r="N83" s="32">
        <f t="shared" si="6"/>
        <v>-149.88837637500069</v>
      </c>
      <c r="P83" s="37"/>
      <c r="Q83" s="60"/>
      <c r="R83" s="37"/>
      <c r="S83" s="102"/>
      <c r="T83" s="103"/>
      <c r="U83" s="37"/>
      <c r="W83" s="104"/>
      <c r="Z83" s="66"/>
    </row>
    <row r="84" spans="5:26" s="35" customFormat="1">
      <c r="E84" s="30" t="str">
        <f t="shared" si="7"/>
        <v/>
      </c>
      <c r="F84" s="45" t="s">
        <v>88</v>
      </c>
      <c r="G84" s="106" t="s">
        <v>564</v>
      </c>
      <c r="H84" s="32">
        <f t="shared" si="4"/>
        <v>347.0428836910495</v>
      </c>
      <c r="I84" s="32">
        <f t="shared" si="5"/>
        <v>14.112363761909544</v>
      </c>
      <c r="J84" s="33" t="s">
        <v>187</v>
      </c>
      <c r="K84" s="47">
        <v>8.6999999999999993</v>
      </c>
      <c r="L84" s="34">
        <v>22.381666666666668</v>
      </c>
      <c r="M84" s="86">
        <v>55.883333333333333</v>
      </c>
      <c r="N84" s="32">
        <f t="shared" si="6"/>
        <v>-157.18837637500076</v>
      </c>
      <c r="P84" s="37"/>
      <c r="Q84" s="60"/>
      <c r="R84" s="37"/>
      <c r="S84" s="102"/>
      <c r="T84" s="103"/>
      <c r="U84" s="37"/>
      <c r="W84" s="104"/>
      <c r="Z84" s="66"/>
    </row>
    <row r="85" spans="5:26" s="35" customFormat="1">
      <c r="E85" s="30" t="str">
        <f t="shared" si="7"/>
        <v/>
      </c>
      <c r="F85" s="45">
        <v>7380</v>
      </c>
      <c r="G85" s="106" t="s">
        <v>564</v>
      </c>
      <c r="H85" s="32">
        <f t="shared" si="4"/>
        <v>350.94933963043951</v>
      </c>
      <c r="I85" s="32">
        <f t="shared" si="5"/>
        <v>15.492093502383545</v>
      </c>
      <c r="J85" s="33" t="s">
        <v>188</v>
      </c>
      <c r="K85" s="47">
        <v>7.2</v>
      </c>
      <c r="L85" s="34">
        <v>22.79</v>
      </c>
      <c r="M85" s="86">
        <v>58.133333333333333</v>
      </c>
      <c r="N85" s="32">
        <f t="shared" si="6"/>
        <v>-163.31337637500076</v>
      </c>
      <c r="P85" s="37"/>
      <c r="Q85" s="60"/>
      <c r="R85" s="37"/>
      <c r="S85" s="102"/>
      <c r="T85" s="103"/>
      <c r="U85" s="37"/>
      <c r="W85" s="104"/>
      <c r="Z85" s="66"/>
    </row>
    <row r="86" spans="5:26" s="35" customFormat="1">
      <c r="E86" s="30" t="str">
        <f t="shared" si="7"/>
        <v/>
      </c>
      <c r="F86" s="45" t="s">
        <v>89</v>
      </c>
      <c r="G86" s="106" t="s">
        <v>564</v>
      </c>
      <c r="H86" s="32">
        <f t="shared" si="4"/>
        <v>7.8337238012964887</v>
      </c>
      <c r="I86" s="32">
        <f t="shared" si="5"/>
        <v>16.313614235088814</v>
      </c>
      <c r="J86" s="33" t="s">
        <v>187</v>
      </c>
      <c r="K86" s="49" t="s">
        <v>549</v>
      </c>
      <c r="L86" s="34">
        <v>22.916666666666668</v>
      </c>
      <c r="M86" s="86">
        <v>59.166666666666664</v>
      </c>
      <c r="N86" s="32">
        <f t="shared" si="6"/>
        <v>-165.21337637500073</v>
      </c>
      <c r="P86" s="37"/>
      <c r="Q86" s="60"/>
      <c r="R86" s="37"/>
      <c r="S86" s="102"/>
      <c r="T86" s="103"/>
      <c r="U86" s="37"/>
      <c r="W86" s="104"/>
      <c r="Z86" s="66"/>
    </row>
    <row r="87" spans="5:26" s="35" customFormat="1">
      <c r="E87" s="30" t="str">
        <f t="shared" si="7"/>
        <v/>
      </c>
      <c r="F87" s="45">
        <v>7423</v>
      </c>
      <c r="G87" s="106" t="s">
        <v>564</v>
      </c>
      <c r="H87" s="32">
        <f t="shared" si="4"/>
        <v>8.2105922868752668</v>
      </c>
      <c r="I87" s="32">
        <f t="shared" si="5"/>
        <v>14.279122372131775</v>
      </c>
      <c r="J87" s="33" t="s">
        <v>189</v>
      </c>
      <c r="K87" s="47">
        <v>15</v>
      </c>
      <c r="L87" s="34">
        <v>22.918333333333333</v>
      </c>
      <c r="M87" s="86">
        <v>57.1</v>
      </c>
      <c r="N87" s="32">
        <f t="shared" si="6"/>
        <v>-165.23837637500071</v>
      </c>
      <c r="P87" s="37"/>
      <c r="Q87" s="60"/>
      <c r="R87" s="37"/>
      <c r="S87" s="102"/>
      <c r="T87" s="103"/>
      <c r="U87" s="37"/>
      <c r="W87" s="104"/>
      <c r="Z87" s="66"/>
    </row>
    <row r="88" spans="5:26" s="35" customFormat="1">
      <c r="E88" s="30" t="str">
        <f t="shared" si="7"/>
        <v/>
      </c>
      <c r="F88" s="45">
        <v>7510</v>
      </c>
      <c r="G88" s="106" t="s">
        <v>564</v>
      </c>
      <c r="H88" s="32">
        <f t="shared" si="4"/>
        <v>354.48282033789604</v>
      </c>
      <c r="I88" s="32">
        <f t="shared" si="5"/>
        <v>17.373808804828606</v>
      </c>
      <c r="J88" s="33" t="s">
        <v>190</v>
      </c>
      <c r="K88" s="47">
        <v>7.9</v>
      </c>
      <c r="L88" s="34">
        <v>23.184999999999999</v>
      </c>
      <c r="M88" s="86">
        <v>60.56666666666667</v>
      </c>
      <c r="N88" s="32">
        <f t="shared" si="6"/>
        <v>-169.23837637500071</v>
      </c>
      <c r="P88" s="37"/>
      <c r="Q88" s="60"/>
      <c r="R88" s="37"/>
      <c r="S88" s="102"/>
      <c r="T88" s="103"/>
      <c r="U88" s="37"/>
      <c r="W88" s="104"/>
      <c r="Z88" s="66"/>
    </row>
    <row r="89" spans="5:26" s="35" customFormat="1">
      <c r="E89" s="30" t="str">
        <f t="shared" si="7"/>
        <v/>
      </c>
      <c r="F89" s="45">
        <v>7762</v>
      </c>
      <c r="G89" s="106" t="s">
        <v>564</v>
      </c>
      <c r="H89" s="32">
        <f t="shared" si="4"/>
        <v>0.43660045161091765</v>
      </c>
      <c r="I89" s="32">
        <f t="shared" si="5"/>
        <v>24.469453537071892</v>
      </c>
      <c r="J89" s="33" t="s">
        <v>191</v>
      </c>
      <c r="K89" s="47">
        <v>10</v>
      </c>
      <c r="L89" s="34">
        <v>23.831666666666667</v>
      </c>
      <c r="M89" s="86">
        <v>68.016666666666666</v>
      </c>
      <c r="N89" s="32">
        <f t="shared" si="6"/>
        <v>-178.93837637500076</v>
      </c>
      <c r="P89" s="37"/>
      <c r="Q89" s="60"/>
      <c r="R89" s="37"/>
      <c r="S89" s="102"/>
      <c r="T89" s="103"/>
      <c r="U89" s="37"/>
      <c r="W89" s="104"/>
      <c r="Z89" s="66"/>
    </row>
    <row r="90" spans="5:26" s="35" customFormat="1">
      <c r="E90" s="30" t="str">
        <f t="shared" si="7"/>
        <v/>
      </c>
      <c r="F90" s="45">
        <v>157</v>
      </c>
      <c r="G90" s="106" t="s">
        <v>564</v>
      </c>
      <c r="H90" s="32">
        <f t="shared" si="4"/>
        <v>16.09213524692483</v>
      </c>
      <c r="I90" s="32">
        <f t="shared" si="5"/>
        <v>-50.966510587827699</v>
      </c>
      <c r="J90" s="33" t="s">
        <v>192</v>
      </c>
      <c r="K90" s="47">
        <v>10.4</v>
      </c>
      <c r="L90" s="34">
        <v>0.57999999999999996</v>
      </c>
      <c r="M90" s="86">
        <v>-8.4</v>
      </c>
      <c r="N90" s="32">
        <f t="shared" si="6"/>
        <v>169.83662362499928</v>
      </c>
      <c r="P90" s="37"/>
      <c r="Q90" s="60"/>
      <c r="R90" s="37"/>
      <c r="S90" s="102"/>
      <c r="T90" s="103"/>
      <c r="U90" s="37"/>
      <c r="W90" s="104"/>
      <c r="Z90" s="66"/>
    </row>
    <row r="91" spans="5:26" s="35" customFormat="1">
      <c r="E91" s="30" t="str">
        <f t="shared" si="7"/>
        <v/>
      </c>
      <c r="F91" s="45">
        <v>246</v>
      </c>
      <c r="G91" s="106" t="s">
        <v>564</v>
      </c>
      <c r="H91" s="32">
        <f t="shared" si="4"/>
        <v>22.214842052670154</v>
      </c>
      <c r="I91" s="32">
        <f t="shared" si="5"/>
        <v>-53.647305822141682</v>
      </c>
      <c r="J91" s="33" t="s">
        <v>193</v>
      </c>
      <c r="K91" s="47">
        <v>8.5</v>
      </c>
      <c r="L91" s="34">
        <v>0.78500000000000003</v>
      </c>
      <c r="M91" s="86">
        <v>-11.866666666666667</v>
      </c>
      <c r="N91" s="32">
        <f t="shared" si="6"/>
        <v>166.76162362499926</v>
      </c>
      <c r="P91" s="37"/>
      <c r="Q91" s="60"/>
      <c r="R91" s="37"/>
      <c r="S91" s="102"/>
      <c r="T91" s="103"/>
      <c r="U91" s="37"/>
      <c r="W91" s="104"/>
      <c r="Z91" s="66"/>
    </row>
    <row r="92" spans="5:26" s="35" customFormat="1">
      <c r="E92" s="30" t="str">
        <f t="shared" si="7"/>
        <v/>
      </c>
      <c r="F92" s="45">
        <v>247</v>
      </c>
      <c r="G92" s="106" t="s">
        <v>564</v>
      </c>
      <c r="H92" s="32">
        <f t="shared" si="4"/>
        <v>27.270298802457663</v>
      </c>
      <c r="I92" s="32">
        <f t="shared" si="5"/>
        <v>-62.138924272479656</v>
      </c>
      <c r="J92" s="33" t="s">
        <v>194</v>
      </c>
      <c r="K92" s="47">
        <v>9.1</v>
      </c>
      <c r="L92" s="34">
        <v>0.78500000000000003</v>
      </c>
      <c r="M92" s="86">
        <v>-20.766666666666666</v>
      </c>
      <c r="N92" s="32">
        <f t="shared" si="6"/>
        <v>166.76162362499926</v>
      </c>
      <c r="P92" s="37"/>
      <c r="Q92" s="60"/>
      <c r="R92" s="37"/>
      <c r="S92" s="102"/>
      <c r="T92" s="103"/>
      <c r="U92" s="37"/>
      <c r="W92" s="104"/>
      <c r="Z92" s="66"/>
    </row>
    <row r="93" spans="5:26" s="35" customFormat="1">
      <c r="E93" s="30" t="str">
        <f t="shared" si="7"/>
        <v/>
      </c>
      <c r="F93" s="45">
        <v>578</v>
      </c>
      <c r="G93" s="106" t="s">
        <v>564</v>
      </c>
      <c r="H93" s="32">
        <f t="shared" si="4"/>
        <v>312.49411917120824</v>
      </c>
      <c r="I93" s="32">
        <f t="shared" si="5"/>
        <v>-59.284274322589205</v>
      </c>
      <c r="J93" s="33" t="s">
        <v>195</v>
      </c>
      <c r="K93" s="47">
        <v>10.9</v>
      </c>
      <c r="L93" s="34">
        <v>1.5083333333333333</v>
      </c>
      <c r="M93" s="86">
        <v>-22.666666666666668</v>
      </c>
      <c r="N93" s="32">
        <f t="shared" si="6"/>
        <v>155.91162362499927</v>
      </c>
      <c r="P93" s="37"/>
      <c r="Q93" s="60"/>
      <c r="R93" s="37"/>
      <c r="S93" s="102"/>
      <c r="T93" s="103"/>
      <c r="U93" s="37"/>
      <c r="W93" s="104"/>
      <c r="Z93" s="66"/>
    </row>
    <row r="94" spans="5:26" s="35" customFormat="1">
      <c r="E94" s="30" t="str">
        <f t="shared" si="7"/>
        <v/>
      </c>
      <c r="F94" s="45">
        <v>584</v>
      </c>
      <c r="G94" s="106" t="s">
        <v>564</v>
      </c>
      <c r="H94" s="32">
        <f t="shared" si="4"/>
        <v>35.45360835223871</v>
      </c>
      <c r="I94" s="32">
        <f t="shared" si="5"/>
        <v>-45.247247560830807</v>
      </c>
      <c r="J94" s="33" t="s">
        <v>196</v>
      </c>
      <c r="K94" s="47">
        <v>10.4</v>
      </c>
      <c r="L94" s="34">
        <v>1.5216666666666667</v>
      </c>
      <c r="M94" s="86">
        <v>-6.8666666666666671</v>
      </c>
      <c r="N94" s="32">
        <f t="shared" si="6"/>
        <v>155.71162362499928</v>
      </c>
      <c r="P94" s="37"/>
      <c r="Q94" s="60"/>
      <c r="R94" s="37"/>
      <c r="S94" s="102"/>
      <c r="T94" s="103"/>
      <c r="U94" s="37"/>
      <c r="W94" s="104"/>
      <c r="Z94" s="66"/>
    </row>
    <row r="95" spans="5:26" s="35" customFormat="1">
      <c r="E95" s="30" t="str">
        <f t="shared" si="7"/>
        <v/>
      </c>
      <c r="F95" s="45">
        <v>864</v>
      </c>
      <c r="G95" s="106" t="s">
        <v>564</v>
      </c>
      <c r="H95" s="32">
        <f t="shared" si="4"/>
        <v>41.073793013900108</v>
      </c>
      <c r="I95" s="32">
        <f t="shared" si="5"/>
        <v>-28.894823457862643</v>
      </c>
      <c r="J95" s="33" t="s">
        <v>197</v>
      </c>
      <c r="K95" s="47">
        <v>10.9</v>
      </c>
      <c r="L95" s="34">
        <v>2.2583333333333333</v>
      </c>
      <c r="M95" s="86">
        <v>6</v>
      </c>
      <c r="N95" s="32">
        <f t="shared" si="6"/>
        <v>144.66162362499927</v>
      </c>
      <c r="P95" s="37"/>
      <c r="Q95" s="60"/>
      <c r="R95" s="37"/>
      <c r="S95" s="102"/>
      <c r="T95" s="103"/>
      <c r="U95" s="37"/>
      <c r="W95" s="104"/>
      <c r="Z95" s="66"/>
    </row>
    <row r="96" spans="5:26" s="35" customFormat="1">
      <c r="E96" s="30" t="str">
        <f t="shared" si="7"/>
        <v/>
      </c>
      <c r="F96" s="45">
        <v>908</v>
      </c>
      <c r="G96" s="106" t="s">
        <v>564</v>
      </c>
      <c r="H96" s="32">
        <f t="shared" si="4"/>
        <v>62.926545631511836</v>
      </c>
      <c r="I96" s="32">
        <f t="shared" si="5"/>
        <v>-50.693793651757225</v>
      </c>
      <c r="J96" s="33" t="s">
        <v>198</v>
      </c>
      <c r="K96" s="47">
        <v>10.199999999999999</v>
      </c>
      <c r="L96" s="34">
        <v>2.3849999999999998</v>
      </c>
      <c r="M96" s="86">
        <v>-21.233333333333334</v>
      </c>
      <c r="N96" s="32">
        <f t="shared" si="6"/>
        <v>142.76162362499926</v>
      </c>
      <c r="P96" s="37"/>
      <c r="Q96" s="60"/>
      <c r="R96" s="37"/>
      <c r="S96" s="102"/>
      <c r="T96" s="103"/>
      <c r="U96" s="37"/>
      <c r="W96" s="104"/>
      <c r="Z96" s="66"/>
    </row>
    <row r="97" spans="5:26" s="35" customFormat="1">
      <c r="E97" s="30" t="str">
        <f t="shared" si="7"/>
        <v/>
      </c>
      <c r="F97" s="45">
        <v>955</v>
      </c>
      <c r="G97" s="106" t="s">
        <v>564</v>
      </c>
      <c r="H97" s="32">
        <f t="shared" si="4"/>
        <v>311.02718566441962</v>
      </c>
      <c r="I97" s="32">
        <f t="shared" si="5"/>
        <v>-33.271550062326696</v>
      </c>
      <c r="J97" s="33" t="s">
        <v>199</v>
      </c>
      <c r="K97" s="47">
        <v>12</v>
      </c>
      <c r="L97" s="34">
        <v>2.5099999999999998</v>
      </c>
      <c r="M97" s="86">
        <v>-1.1166666666666667</v>
      </c>
      <c r="N97" s="32">
        <f t="shared" si="6"/>
        <v>140.88662362499926</v>
      </c>
      <c r="P97" s="37"/>
      <c r="Q97" s="60"/>
      <c r="R97" s="37"/>
      <c r="S97" s="102"/>
      <c r="T97" s="103"/>
      <c r="U97" s="37"/>
      <c r="W97" s="104"/>
      <c r="Z97" s="66"/>
    </row>
    <row r="98" spans="5:26" s="35" customFormat="1">
      <c r="E98" s="30" t="str">
        <f t="shared" si="7"/>
        <v/>
      </c>
      <c r="F98" s="45">
        <v>1068</v>
      </c>
      <c r="G98" s="106" t="s">
        <v>564</v>
      </c>
      <c r="H98" s="32">
        <f t="shared" si="4"/>
        <v>51.29333479537587</v>
      </c>
      <c r="I98" s="32">
        <f t="shared" si="5"/>
        <v>-30.709907535893489</v>
      </c>
      <c r="J98" s="33" t="s">
        <v>59</v>
      </c>
      <c r="K98" s="47">
        <v>8.9</v>
      </c>
      <c r="L98" s="34">
        <v>2.7116666666666669</v>
      </c>
      <c r="M98" s="86">
        <v>1.6666666666666666E-2</v>
      </c>
      <c r="N98" s="32">
        <f t="shared" si="6"/>
        <v>137.86162362499925</v>
      </c>
      <c r="P98" s="37"/>
      <c r="Q98" s="60"/>
      <c r="R98" s="37"/>
      <c r="S98" s="102"/>
      <c r="T98" s="103"/>
      <c r="U98" s="37"/>
      <c r="W98" s="104"/>
      <c r="Z98" s="66"/>
    </row>
    <row r="99" spans="5:26" s="35" customFormat="1">
      <c r="E99" s="30" t="str">
        <f t="shared" si="7"/>
        <v/>
      </c>
      <c r="F99" s="45">
        <v>1087</v>
      </c>
      <c r="G99" s="106" t="s">
        <v>564</v>
      </c>
      <c r="H99" s="32">
        <f t="shared" si="4"/>
        <v>51.89260520907181</v>
      </c>
      <c r="I99" s="32">
        <f t="shared" si="5"/>
        <v>-29.803662953579011</v>
      </c>
      <c r="J99" s="33" t="s">
        <v>200</v>
      </c>
      <c r="K99" s="47">
        <v>10.9</v>
      </c>
      <c r="L99" s="34">
        <v>2.7733333333333334</v>
      </c>
      <c r="M99" s="86">
        <v>0.5</v>
      </c>
      <c r="N99" s="32">
        <f t="shared" si="6"/>
        <v>136.93662362499927</v>
      </c>
      <c r="P99" s="37"/>
      <c r="Q99" s="60"/>
      <c r="R99" s="37"/>
      <c r="S99" s="102"/>
      <c r="T99" s="103"/>
      <c r="U99" s="37"/>
      <c r="W99" s="104"/>
      <c r="Z99" s="66"/>
    </row>
    <row r="100" spans="5:26" s="35" customFormat="1">
      <c r="E100" s="30" t="str">
        <f t="shared" si="7"/>
        <v/>
      </c>
      <c r="F100" s="45">
        <v>2204</v>
      </c>
      <c r="G100" s="106" t="s">
        <v>564</v>
      </c>
      <c r="H100" s="32">
        <f t="shared" si="4"/>
        <v>106.77813800138097</v>
      </c>
      <c r="I100" s="32">
        <f t="shared" si="5"/>
        <v>-9.860076322201456</v>
      </c>
      <c r="J100" s="33" t="s">
        <v>201</v>
      </c>
      <c r="K100" s="47">
        <v>8.6</v>
      </c>
      <c r="L100" s="34">
        <v>6.2583333333333337</v>
      </c>
      <c r="M100" s="86">
        <v>-18.666666666666668</v>
      </c>
      <c r="N100" s="32">
        <f t="shared" si="6"/>
        <v>84.661623624999265</v>
      </c>
      <c r="P100" s="37"/>
      <c r="Q100" s="60"/>
      <c r="R100" s="37"/>
      <c r="S100" s="102"/>
      <c r="T100" s="103"/>
      <c r="U100" s="37"/>
      <c r="W100" s="104"/>
      <c r="Z100" s="66"/>
    </row>
    <row r="101" spans="5:26" s="35" customFormat="1">
      <c r="E101" s="30" t="str">
        <f t="shared" si="7"/>
        <v/>
      </c>
      <c r="F101" s="45">
        <v>2207</v>
      </c>
      <c r="G101" s="106" t="s">
        <v>564</v>
      </c>
      <c r="H101" s="32">
        <f t="shared" si="4"/>
        <v>108.85100985757393</v>
      </c>
      <c r="I101" s="32">
        <f t="shared" si="5"/>
        <v>-11.645528579032277</v>
      </c>
      <c r="J101" s="33" t="s">
        <v>202</v>
      </c>
      <c r="K101" s="47">
        <v>10.8</v>
      </c>
      <c r="L101" s="34">
        <v>6.2733333333333334</v>
      </c>
      <c r="M101" s="86">
        <v>-21.366666666666667</v>
      </c>
      <c r="N101" s="32">
        <f t="shared" si="6"/>
        <v>84.436623624999271</v>
      </c>
      <c r="P101" s="37"/>
      <c r="Q101" s="60"/>
      <c r="R101" s="37"/>
      <c r="S101" s="102"/>
      <c r="T101" s="103"/>
      <c r="U101" s="37"/>
      <c r="W101" s="104"/>
      <c r="Z101" s="66"/>
    </row>
    <row r="102" spans="5:26" s="35" customFormat="1">
      <c r="E102" s="30" t="str">
        <f t="shared" si="7"/>
        <v/>
      </c>
      <c r="F102" s="45" t="s">
        <v>90</v>
      </c>
      <c r="G102" s="106" t="s">
        <v>564</v>
      </c>
      <c r="H102" s="32">
        <f t="shared" si="4"/>
        <v>108.87989559548276</v>
      </c>
      <c r="I102" s="32">
        <f t="shared" si="5"/>
        <v>-11.641129388371823</v>
      </c>
      <c r="J102" s="33" t="s">
        <v>203</v>
      </c>
      <c r="K102" s="47">
        <v>11.6</v>
      </c>
      <c r="L102" s="34">
        <v>6.2750000000000004</v>
      </c>
      <c r="M102" s="86">
        <v>-21.383333333333333</v>
      </c>
      <c r="N102" s="32">
        <f t="shared" si="6"/>
        <v>84.411623624999265</v>
      </c>
      <c r="P102" s="37"/>
      <c r="Q102" s="60"/>
      <c r="R102" s="37"/>
      <c r="S102" s="102"/>
      <c r="T102" s="103"/>
      <c r="U102" s="37"/>
      <c r="W102" s="104"/>
      <c r="Z102" s="66"/>
    </row>
    <row r="103" spans="5:26" s="35" customFormat="1">
      <c r="E103" s="30" t="str">
        <f t="shared" si="7"/>
        <v/>
      </c>
      <c r="F103" s="45">
        <v>2217</v>
      </c>
      <c r="G103" s="106" t="s">
        <v>564</v>
      </c>
      <c r="H103" s="32">
        <f t="shared" si="4"/>
        <v>246.02363544722621</v>
      </c>
      <c r="I103" s="32">
        <f t="shared" si="5"/>
        <v>-14.962888685529204</v>
      </c>
      <c r="J103" s="33" t="s">
        <v>204</v>
      </c>
      <c r="K103" s="47">
        <v>10.7</v>
      </c>
      <c r="L103" s="34">
        <v>6.3616666666666664</v>
      </c>
      <c r="M103" s="86">
        <v>-27.233333333333334</v>
      </c>
      <c r="N103" s="32">
        <f t="shared" si="6"/>
        <v>83.111623624999282</v>
      </c>
      <c r="P103" s="37"/>
      <c r="Q103" s="60"/>
      <c r="R103" s="37"/>
      <c r="S103" s="102"/>
      <c r="T103" s="103"/>
      <c r="U103" s="37"/>
      <c r="W103" s="104"/>
      <c r="Z103" s="66"/>
    </row>
    <row r="104" spans="5:26" s="35" customFormat="1">
      <c r="E104" s="30" t="str">
        <f t="shared" si="7"/>
        <v/>
      </c>
      <c r="F104" s="45">
        <v>2287</v>
      </c>
      <c r="G104" s="106" t="s">
        <v>564</v>
      </c>
      <c r="H104" s="32">
        <f t="shared" si="4"/>
        <v>113.52325904383748</v>
      </c>
      <c r="I104" s="32">
        <f t="shared" si="5"/>
        <v>-6.4413473488258797</v>
      </c>
      <c r="J104" s="33" t="s">
        <v>205</v>
      </c>
      <c r="K104" s="47">
        <v>4.5</v>
      </c>
      <c r="L104" s="34">
        <v>6.7683333333333335</v>
      </c>
      <c r="M104" s="86">
        <v>-20.766666666666666</v>
      </c>
      <c r="N104" s="32">
        <f t="shared" si="6"/>
        <v>77.01162362499926</v>
      </c>
      <c r="P104" s="37"/>
      <c r="Q104" s="60"/>
      <c r="R104" s="37"/>
      <c r="S104" s="102"/>
      <c r="T104" s="103"/>
      <c r="U104" s="37"/>
      <c r="W104" s="104"/>
      <c r="Z104" s="66"/>
    </row>
    <row r="105" spans="5:26" s="35" customFormat="1">
      <c r="E105" s="30" t="str">
        <f t="shared" si="7"/>
        <v/>
      </c>
      <c r="F105" s="45">
        <v>2345</v>
      </c>
      <c r="G105" s="106" t="s">
        <v>564</v>
      </c>
      <c r="H105" s="32">
        <f t="shared" si="4"/>
        <v>247.53537324822406</v>
      </c>
      <c r="I105" s="32">
        <f t="shared" si="5"/>
        <v>2.73783895015967</v>
      </c>
      <c r="J105" s="33" t="s">
        <v>206</v>
      </c>
      <c r="K105" s="47">
        <v>7.7</v>
      </c>
      <c r="L105" s="34">
        <v>7.1383333333333336</v>
      </c>
      <c r="M105" s="86">
        <v>-13.2</v>
      </c>
      <c r="N105" s="32">
        <f t="shared" si="6"/>
        <v>71.461623624999248</v>
      </c>
      <c r="P105" s="37"/>
      <c r="Q105" s="60"/>
      <c r="R105" s="37"/>
      <c r="S105" s="102"/>
      <c r="T105" s="103"/>
      <c r="U105" s="37"/>
      <c r="W105" s="104"/>
      <c r="Z105" s="66"/>
    </row>
    <row r="106" spans="5:26" s="35" customFormat="1">
      <c r="E106" s="30" t="str">
        <f t="shared" si="7"/>
        <v/>
      </c>
      <c r="F106" s="45">
        <v>2354</v>
      </c>
      <c r="G106" s="106" t="s">
        <v>564</v>
      </c>
      <c r="H106" s="32">
        <f t="shared" si="4"/>
        <v>121.68702073907735</v>
      </c>
      <c r="I106" s="32">
        <f t="shared" si="5"/>
        <v>-5.8300043113495228</v>
      </c>
      <c r="J106" s="33" t="s">
        <v>207</v>
      </c>
      <c r="K106" s="47">
        <v>6.5</v>
      </c>
      <c r="L106" s="34">
        <v>7.2383333333333333</v>
      </c>
      <c r="M106" s="86">
        <v>-25.7</v>
      </c>
      <c r="N106" s="32">
        <f t="shared" si="6"/>
        <v>69.961623624999262</v>
      </c>
      <c r="P106" s="37"/>
      <c r="Q106" s="60"/>
      <c r="R106" s="37"/>
      <c r="S106" s="102"/>
      <c r="T106" s="103"/>
      <c r="U106" s="37"/>
      <c r="W106" s="104"/>
      <c r="Z106" s="66"/>
    </row>
    <row r="107" spans="5:26" s="35" customFormat="1">
      <c r="E107" s="30" t="str">
        <f t="shared" si="7"/>
        <v/>
      </c>
      <c r="F107" s="45">
        <v>2360</v>
      </c>
      <c r="G107" s="106" t="s">
        <v>564</v>
      </c>
      <c r="H107" s="32">
        <f t="shared" si="4"/>
        <v>115.77865336873138</v>
      </c>
      <c r="I107" s="32">
        <f t="shared" si="5"/>
        <v>2.3645513963101874</v>
      </c>
      <c r="J107" s="33" t="s">
        <v>208</v>
      </c>
      <c r="K107" s="47">
        <v>7.2</v>
      </c>
      <c r="L107" s="34">
        <v>7.2949999999999999</v>
      </c>
      <c r="M107" s="86">
        <v>-15.633333333333333</v>
      </c>
      <c r="N107" s="32">
        <f t="shared" si="6"/>
        <v>69.111623624999268</v>
      </c>
      <c r="P107" s="37"/>
      <c r="Q107" s="60"/>
      <c r="R107" s="37"/>
      <c r="S107" s="102"/>
      <c r="T107" s="103"/>
      <c r="U107" s="37"/>
      <c r="W107" s="104"/>
      <c r="Z107" s="66"/>
    </row>
    <row r="108" spans="5:26" s="35" customFormat="1">
      <c r="E108" s="30" t="str">
        <f t="shared" si="7"/>
        <v/>
      </c>
      <c r="F108" s="45">
        <v>2359</v>
      </c>
      <c r="G108" s="106" t="s">
        <v>564</v>
      </c>
      <c r="H108" s="32">
        <f t="shared" si="4"/>
        <v>245.62227127184832</v>
      </c>
      <c r="I108" s="32">
        <f t="shared" si="5"/>
        <v>4.3246002399848438</v>
      </c>
      <c r="J108" s="33" t="s">
        <v>209</v>
      </c>
      <c r="K108" s="47">
        <v>10</v>
      </c>
      <c r="L108" s="34">
        <v>7.3083333333333336</v>
      </c>
      <c r="M108" s="86">
        <v>-13.233333333333333</v>
      </c>
      <c r="N108" s="32">
        <f t="shared" si="6"/>
        <v>68.911623624999251</v>
      </c>
      <c r="P108" s="37"/>
      <c r="Q108" s="60"/>
      <c r="R108" s="37"/>
      <c r="S108" s="102"/>
      <c r="T108" s="103"/>
      <c r="U108" s="37"/>
      <c r="W108" s="104"/>
      <c r="Z108" s="66"/>
    </row>
    <row r="109" spans="5:26" s="35" customFormat="1">
      <c r="E109" s="30" t="str">
        <f t="shared" si="7"/>
        <v/>
      </c>
      <c r="F109" s="45">
        <v>2362</v>
      </c>
      <c r="G109" s="106" t="s">
        <v>564</v>
      </c>
      <c r="H109" s="32">
        <f t="shared" si="4"/>
        <v>238.0400414308474</v>
      </c>
      <c r="I109" s="32">
        <f t="shared" si="5"/>
        <v>-4.61460329376738</v>
      </c>
      <c r="J109" s="33" t="s">
        <v>210</v>
      </c>
      <c r="K109" s="47">
        <v>3.8</v>
      </c>
      <c r="L109" s="34">
        <v>7.3116666666666665</v>
      </c>
      <c r="M109" s="86">
        <v>-24.95</v>
      </c>
      <c r="N109" s="32">
        <f t="shared" si="6"/>
        <v>68.861623624999268</v>
      </c>
      <c r="P109" s="37"/>
      <c r="Q109" s="60"/>
      <c r="R109" s="37"/>
      <c r="S109" s="102"/>
      <c r="T109" s="103"/>
      <c r="U109" s="37"/>
      <c r="W109" s="104"/>
      <c r="Z109" s="66"/>
    </row>
    <row r="110" spans="5:26" s="35" customFormat="1">
      <c r="E110" s="30" t="str">
        <f t="shared" si="7"/>
        <v/>
      </c>
      <c r="F110" s="45">
        <v>2374</v>
      </c>
      <c r="G110" s="106" t="s">
        <v>564</v>
      </c>
      <c r="H110" s="32">
        <f t="shared" si="4"/>
        <v>115.41009126685655</v>
      </c>
      <c r="I110" s="32">
        <f t="shared" si="5"/>
        <v>5.1427506635987372</v>
      </c>
      <c r="J110" s="33" t="s">
        <v>211</v>
      </c>
      <c r="K110" s="47">
        <v>8</v>
      </c>
      <c r="L110" s="34">
        <v>7.3983333333333334</v>
      </c>
      <c r="M110" s="86">
        <v>-13.266666666666667</v>
      </c>
      <c r="N110" s="32">
        <f t="shared" si="6"/>
        <v>67.561623624999271</v>
      </c>
      <c r="P110" s="37"/>
      <c r="Q110" s="60"/>
      <c r="R110" s="37"/>
      <c r="S110" s="102"/>
      <c r="T110" s="103"/>
      <c r="U110" s="37"/>
      <c r="W110" s="104"/>
      <c r="Z110" s="66"/>
    </row>
    <row r="111" spans="5:26" s="35" customFormat="1">
      <c r="E111" s="30" t="str">
        <f t="shared" si="7"/>
        <v/>
      </c>
      <c r="F111" s="45">
        <v>2682</v>
      </c>
      <c r="G111" s="106" t="s">
        <v>564</v>
      </c>
      <c r="H111" s="32">
        <f t="shared" si="4"/>
        <v>116.82215327082247</v>
      </c>
      <c r="I111" s="32">
        <f t="shared" si="5"/>
        <v>38.266740435175045</v>
      </c>
      <c r="J111" s="33" t="s">
        <v>212</v>
      </c>
      <c r="K111" s="47">
        <v>6.9</v>
      </c>
      <c r="L111" s="34">
        <v>8.8550000000000004</v>
      </c>
      <c r="M111" s="86">
        <v>11.816666666666666</v>
      </c>
      <c r="N111" s="32">
        <f t="shared" si="6"/>
        <v>45.711623624999277</v>
      </c>
      <c r="P111" s="37"/>
      <c r="Q111" s="60"/>
      <c r="R111" s="37"/>
      <c r="S111" s="102"/>
      <c r="T111" s="103"/>
      <c r="U111" s="37"/>
      <c r="W111" s="104"/>
      <c r="Z111" s="66"/>
    </row>
    <row r="112" spans="5:26" s="35" customFormat="1">
      <c r="E112" s="30" t="str">
        <f t="shared" si="7"/>
        <v/>
      </c>
      <c r="F112" s="45">
        <v>4147</v>
      </c>
      <c r="G112" s="106" t="s">
        <v>564</v>
      </c>
      <c r="H112" s="32">
        <f t="shared" si="4"/>
        <v>188.04953648054661</v>
      </c>
      <c r="I112" s="32">
        <f t="shared" si="5"/>
        <v>61.906916436478319</v>
      </c>
      <c r="J112" s="33"/>
      <c r="K112" s="47">
        <v>10.4</v>
      </c>
      <c r="L112" s="34">
        <v>12.168333333333333</v>
      </c>
      <c r="M112" s="86">
        <v>18.55</v>
      </c>
      <c r="N112" s="32">
        <f t="shared" si="6"/>
        <v>-3.9883763750007404</v>
      </c>
      <c r="P112" s="37"/>
      <c r="Q112" s="60"/>
      <c r="R112" s="37"/>
      <c r="S112" s="102"/>
      <c r="T112" s="103"/>
      <c r="U112" s="37"/>
      <c r="W112" s="104"/>
      <c r="Z112" s="66"/>
    </row>
    <row r="113" spans="5:26" s="35" customFormat="1">
      <c r="E113" s="30" t="str">
        <f t="shared" si="7"/>
        <v>*</v>
      </c>
      <c r="F113" s="45">
        <v>4192</v>
      </c>
      <c r="G113" s="106" t="s">
        <v>564</v>
      </c>
      <c r="H113" s="32">
        <f t="shared" si="4"/>
        <v>189.03261407807824</v>
      </c>
      <c r="I113" s="32">
        <f t="shared" si="5"/>
        <v>58.183097313067059</v>
      </c>
      <c r="J113" s="33" t="s">
        <v>73</v>
      </c>
      <c r="K113" s="47">
        <v>10.1</v>
      </c>
      <c r="L113" s="34">
        <v>12.23</v>
      </c>
      <c r="M113" s="86">
        <v>14.9</v>
      </c>
      <c r="N113" s="32">
        <f t="shared" si="6"/>
        <v>-4.9133763750007518</v>
      </c>
      <c r="P113" s="37"/>
      <c r="Q113" s="60"/>
      <c r="R113" s="37"/>
      <c r="S113" s="102"/>
      <c r="T113" s="103"/>
      <c r="U113" s="37"/>
      <c r="W113" s="104"/>
      <c r="Z113" s="66"/>
    </row>
    <row r="114" spans="5:26" s="35" customFormat="1">
      <c r="E114" s="30" t="str">
        <f t="shared" si="7"/>
        <v/>
      </c>
      <c r="F114" s="45">
        <v>4254</v>
      </c>
      <c r="G114" s="106" t="s">
        <v>564</v>
      </c>
      <c r="H114" s="32">
        <f t="shared" si="4"/>
        <v>168.82493793622703</v>
      </c>
      <c r="I114" s="32">
        <f t="shared" si="5"/>
        <v>57.552409977614282</v>
      </c>
      <c r="J114" s="33" t="s">
        <v>213</v>
      </c>
      <c r="K114" s="47">
        <v>9.9</v>
      </c>
      <c r="L114" s="34">
        <v>12.313333333333333</v>
      </c>
      <c r="M114" s="86">
        <v>14.416666666666666</v>
      </c>
      <c r="N114" s="32">
        <f t="shared" si="6"/>
        <v>-6.1633763750007233</v>
      </c>
      <c r="P114" s="37"/>
      <c r="Q114" s="60"/>
      <c r="R114" s="37"/>
      <c r="S114" s="102"/>
      <c r="T114" s="103"/>
      <c r="U114" s="37"/>
      <c r="W114" s="104"/>
      <c r="Z114" s="66"/>
    </row>
    <row r="115" spans="5:26" s="35" customFormat="1">
      <c r="E115" s="30" t="str">
        <f t="shared" si="7"/>
        <v/>
      </c>
      <c r="F115" s="45">
        <v>4274</v>
      </c>
      <c r="G115" s="106" t="s">
        <v>564</v>
      </c>
      <c r="H115" s="32">
        <f t="shared" si="4"/>
        <v>198.77584965460341</v>
      </c>
      <c r="I115" s="32">
        <f t="shared" si="5"/>
        <v>72.440229552029606</v>
      </c>
      <c r="J115" s="33" t="s">
        <v>214</v>
      </c>
      <c r="K115" s="47">
        <v>10.4</v>
      </c>
      <c r="L115" s="34">
        <v>12.33</v>
      </c>
      <c r="M115" s="86">
        <v>29.616666666666667</v>
      </c>
      <c r="N115" s="32">
        <f t="shared" si="6"/>
        <v>-6.4133763750007518</v>
      </c>
      <c r="P115" s="37"/>
      <c r="Q115" s="60"/>
      <c r="R115" s="37"/>
      <c r="S115" s="102"/>
      <c r="T115" s="103"/>
      <c r="U115" s="37"/>
      <c r="W115" s="104"/>
      <c r="Z115" s="66"/>
    </row>
    <row r="116" spans="5:26" s="35" customFormat="1">
      <c r="E116" s="30" t="str">
        <f t="shared" si="7"/>
        <v/>
      </c>
      <c r="F116" s="45">
        <v>4278</v>
      </c>
      <c r="G116" s="106" t="s">
        <v>564</v>
      </c>
      <c r="H116" s="32">
        <f t="shared" si="4"/>
        <v>198.70500827093039</v>
      </c>
      <c r="I116" s="32">
        <f t="shared" si="5"/>
        <v>72.101244298517827</v>
      </c>
      <c r="J116" s="33" t="s">
        <v>215</v>
      </c>
      <c r="K116" s="47">
        <v>10.199999999999999</v>
      </c>
      <c r="L116" s="34">
        <v>12.335000000000001</v>
      </c>
      <c r="M116" s="86">
        <v>29.283333333333335</v>
      </c>
      <c r="N116" s="32">
        <f t="shared" si="6"/>
        <v>-6.4883763750007688</v>
      </c>
      <c r="P116" s="37"/>
      <c r="Q116" s="60"/>
      <c r="R116" s="37"/>
      <c r="S116" s="102"/>
      <c r="T116" s="103"/>
      <c r="U116" s="37"/>
      <c r="W116" s="104"/>
      <c r="Z116" s="66"/>
    </row>
    <row r="117" spans="5:26" s="35" customFormat="1">
      <c r="E117" s="30" t="str">
        <f t="shared" si="7"/>
        <v/>
      </c>
      <c r="F117" s="45">
        <v>4314</v>
      </c>
      <c r="G117" s="106" t="s">
        <v>564</v>
      </c>
      <c r="H117" s="32">
        <f t="shared" si="4"/>
        <v>159.09382868727732</v>
      </c>
      <c r="I117" s="32">
        <f t="shared" si="5"/>
        <v>72.555254075275684</v>
      </c>
      <c r="J117" s="33" t="s">
        <v>216</v>
      </c>
      <c r="K117" s="47">
        <v>10.6</v>
      </c>
      <c r="L117" s="34">
        <v>12.375</v>
      </c>
      <c r="M117" s="86">
        <v>29.9</v>
      </c>
      <c r="N117" s="32">
        <f t="shared" si="6"/>
        <v>-7.0883763750007347</v>
      </c>
      <c r="P117" s="37"/>
      <c r="Q117" s="60"/>
      <c r="R117" s="37"/>
      <c r="S117" s="102"/>
      <c r="T117" s="103"/>
      <c r="U117" s="37"/>
      <c r="W117" s="104"/>
      <c r="Z117" s="66"/>
    </row>
    <row r="118" spans="5:26" s="35" customFormat="1">
      <c r="E118" s="30" t="str">
        <f t="shared" si="7"/>
        <v/>
      </c>
      <c r="F118" s="45">
        <v>4321</v>
      </c>
      <c r="G118" s="106" t="s">
        <v>564</v>
      </c>
      <c r="H118" s="32">
        <f t="shared" si="4"/>
        <v>166.56665907304378</v>
      </c>
      <c r="I118" s="32">
        <f t="shared" si="5"/>
        <v>58.785750407505915</v>
      </c>
      <c r="J118" s="33" t="s">
        <v>217</v>
      </c>
      <c r="K118" s="47">
        <v>9.4</v>
      </c>
      <c r="L118" s="34">
        <v>12.381666666666666</v>
      </c>
      <c r="M118" s="32">
        <v>15.816666666666666</v>
      </c>
      <c r="N118" s="32">
        <f t="shared" si="6"/>
        <v>-7.1883763750007006</v>
      </c>
      <c r="P118" s="37"/>
      <c r="Q118" s="60"/>
      <c r="R118" s="37"/>
      <c r="S118" s="102"/>
      <c r="T118" s="103"/>
      <c r="U118" s="37"/>
      <c r="W118" s="104"/>
      <c r="Z118" s="66"/>
    </row>
    <row r="119" spans="5:26" s="35" customFormat="1">
      <c r="E119" s="30" t="str">
        <f t="shared" si="7"/>
        <v/>
      </c>
      <c r="F119" s="45">
        <v>4382</v>
      </c>
      <c r="G119" s="106" t="s">
        <v>564</v>
      </c>
      <c r="H119" s="32">
        <f t="shared" si="4"/>
        <v>164.54593825336119</v>
      </c>
      <c r="I119" s="32">
        <f t="shared" si="5"/>
        <v>61.006649931963757</v>
      </c>
      <c r="J119" s="33" t="s">
        <v>62</v>
      </c>
      <c r="K119" s="47">
        <v>9.1</v>
      </c>
      <c r="L119" s="34">
        <v>12.423333333333334</v>
      </c>
      <c r="M119" s="32">
        <v>18.183333333333334</v>
      </c>
      <c r="N119" s="32">
        <f t="shared" si="6"/>
        <v>-7.813376375000729</v>
      </c>
      <c r="P119" s="37"/>
      <c r="Q119" s="60"/>
      <c r="R119" s="37"/>
      <c r="S119" s="102"/>
      <c r="T119" s="103"/>
      <c r="U119" s="37"/>
      <c r="W119" s="104"/>
      <c r="Z119" s="66"/>
    </row>
    <row r="120" spans="5:26" s="35" customFormat="1">
      <c r="E120" s="30" t="str">
        <f t="shared" si="7"/>
        <v/>
      </c>
      <c r="F120" s="45">
        <v>4414</v>
      </c>
      <c r="G120" s="106" t="s">
        <v>564</v>
      </c>
      <c r="H120" s="32">
        <f t="shared" si="4"/>
        <v>205.12487679491463</v>
      </c>
      <c r="I120" s="32">
        <f t="shared" si="5"/>
        <v>73.536860433941015</v>
      </c>
      <c r="J120" s="33" t="s">
        <v>218</v>
      </c>
      <c r="K120" s="47">
        <v>10.1</v>
      </c>
      <c r="L120" s="34">
        <v>12.441666666666666</v>
      </c>
      <c r="M120" s="32">
        <v>31.216666666666665</v>
      </c>
      <c r="N120" s="32">
        <f t="shared" si="6"/>
        <v>-8.0883763750007347</v>
      </c>
      <c r="P120" s="37"/>
      <c r="Q120" s="60"/>
      <c r="R120" s="37"/>
      <c r="S120" s="102"/>
      <c r="T120" s="103"/>
      <c r="U120" s="37"/>
      <c r="W120" s="104"/>
      <c r="Z120" s="66"/>
    </row>
    <row r="121" spans="5:26" s="35" customFormat="1">
      <c r="E121" s="30" t="str">
        <f t="shared" si="7"/>
        <v/>
      </c>
      <c r="F121" s="45">
        <v>4450</v>
      </c>
      <c r="G121" s="106" t="s">
        <v>564</v>
      </c>
      <c r="H121" s="32">
        <f t="shared" si="4"/>
        <v>163.52348271608406</v>
      </c>
      <c r="I121" s="32">
        <f t="shared" si="5"/>
        <v>59.781724530334621</v>
      </c>
      <c r="J121" s="33" t="s">
        <v>219</v>
      </c>
      <c r="K121" s="47">
        <v>10.1</v>
      </c>
      <c r="L121" s="34">
        <v>12.475</v>
      </c>
      <c r="M121" s="32">
        <v>17.083333333333332</v>
      </c>
      <c r="N121" s="32">
        <f t="shared" si="6"/>
        <v>-8.5883763750007347</v>
      </c>
      <c r="P121" s="37"/>
      <c r="Q121" s="60"/>
      <c r="R121" s="37"/>
      <c r="S121" s="102"/>
      <c r="T121" s="103"/>
      <c r="U121" s="37"/>
      <c r="W121" s="104"/>
      <c r="Z121" s="66"/>
    </row>
    <row r="122" spans="5:26" s="35" customFormat="1">
      <c r="E122" s="30" t="str">
        <f t="shared" si="7"/>
        <v/>
      </c>
      <c r="F122" s="45">
        <v>4494</v>
      </c>
      <c r="G122" s="106" t="s">
        <v>564</v>
      </c>
      <c r="H122" s="32">
        <f t="shared" si="4"/>
        <v>202.92527268046845</v>
      </c>
      <c r="I122" s="32">
        <f t="shared" si="5"/>
        <v>68.028118898257176</v>
      </c>
      <c r="J122" s="33" t="s">
        <v>220</v>
      </c>
      <c r="K122" s="47">
        <v>9.8000000000000007</v>
      </c>
      <c r="L122" s="34">
        <v>12.523333333333333</v>
      </c>
      <c r="M122" s="32">
        <v>25.766666666666666</v>
      </c>
      <c r="N122" s="32">
        <f t="shared" si="6"/>
        <v>-9.313376375000729</v>
      </c>
      <c r="P122" s="37"/>
      <c r="Q122" s="60"/>
      <c r="R122" s="37"/>
      <c r="S122" s="102"/>
      <c r="T122" s="103"/>
      <c r="U122" s="37"/>
      <c r="W122" s="104"/>
      <c r="Z122" s="66"/>
    </row>
    <row r="123" spans="5:26" s="35" customFormat="1">
      <c r="E123" s="30" t="str">
        <f t="shared" si="7"/>
        <v/>
      </c>
      <c r="F123" s="45">
        <v>4501</v>
      </c>
      <c r="G123" s="106" t="s">
        <v>564</v>
      </c>
      <c r="H123" s="32">
        <f t="shared" si="4"/>
        <v>163.00030191510686</v>
      </c>
      <c r="I123" s="32">
        <f t="shared" si="5"/>
        <v>56.998721921576482</v>
      </c>
      <c r="J123" s="33" t="s">
        <v>65</v>
      </c>
      <c r="K123" s="47">
        <v>9.6</v>
      </c>
      <c r="L123" s="34">
        <v>12.533333333333333</v>
      </c>
      <c r="M123" s="32">
        <v>14.416666666666666</v>
      </c>
      <c r="N123" s="32">
        <f t="shared" si="6"/>
        <v>-9.4633763750007347</v>
      </c>
      <c r="P123" s="37"/>
      <c r="Q123" s="60"/>
      <c r="R123" s="37"/>
      <c r="S123" s="102"/>
      <c r="T123" s="103"/>
      <c r="U123" s="37"/>
      <c r="W123" s="104"/>
      <c r="Z123" s="66"/>
    </row>
    <row r="124" spans="5:26" s="35" customFormat="1">
      <c r="E124" s="30" t="str">
        <f t="shared" si="7"/>
        <v/>
      </c>
      <c r="F124" s="45">
        <v>4548</v>
      </c>
      <c r="G124" s="106" t="s">
        <v>564</v>
      </c>
      <c r="H124" s="32">
        <f t="shared" si="4"/>
        <v>161.49385046294864</v>
      </c>
      <c r="I124" s="32">
        <f t="shared" si="5"/>
        <v>56.901499113148375</v>
      </c>
      <c r="J124" s="33" t="s">
        <v>68</v>
      </c>
      <c r="K124" s="47">
        <v>10.1</v>
      </c>
      <c r="L124" s="34">
        <v>12.59</v>
      </c>
      <c r="M124" s="32">
        <v>14.5</v>
      </c>
      <c r="N124" s="32">
        <f t="shared" si="6"/>
        <v>-10.313376375000729</v>
      </c>
      <c r="P124" s="37"/>
      <c r="Q124" s="60"/>
      <c r="R124" s="37"/>
      <c r="S124" s="102"/>
      <c r="T124" s="103"/>
      <c r="U124" s="37"/>
      <c r="W124" s="104"/>
      <c r="Z124" s="66"/>
    </row>
    <row r="125" spans="5:26" s="35" customFormat="1">
      <c r="E125" s="30" t="str">
        <f t="shared" si="7"/>
        <v/>
      </c>
      <c r="F125" s="45">
        <v>4559</v>
      </c>
      <c r="G125" s="106" t="s">
        <v>564</v>
      </c>
      <c r="H125" s="32">
        <f t="shared" si="4"/>
        <v>152.36692279399966</v>
      </c>
      <c r="I125" s="32">
        <f t="shared" si="5"/>
        <v>69.767469550723703</v>
      </c>
      <c r="J125" s="33" t="s">
        <v>221</v>
      </c>
      <c r="K125" s="47">
        <v>10</v>
      </c>
      <c r="L125" s="34">
        <v>12.6</v>
      </c>
      <c r="M125" s="32">
        <v>27.966666666666665</v>
      </c>
      <c r="N125" s="32">
        <f t="shared" si="6"/>
        <v>-10.463376375000735</v>
      </c>
      <c r="P125" s="37"/>
      <c r="Q125" s="60"/>
      <c r="R125" s="37"/>
      <c r="S125" s="102"/>
      <c r="T125" s="103"/>
      <c r="U125" s="37"/>
      <c r="W125" s="104"/>
      <c r="Z125" s="66"/>
    </row>
    <row r="126" spans="5:26" s="35" customFormat="1">
      <c r="E126" s="30" t="str">
        <f t="shared" si="7"/>
        <v/>
      </c>
      <c r="F126" s="45">
        <v>4565</v>
      </c>
      <c r="G126" s="106" t="s">
        <v>564</v>
      </c>
      <c r="H126" s="32">
        <f t="shared" si="4"/>
        <v>154.10594007557512</v>
      </c>
      <c r="I126" s="32">
        <f t="shared" si="5"/>
        <v>67.884838214422331</v>
      </c>
      <c r="J126" s="33" t="s">
        <v>222</v>
      </c>
      <c r="K126" s="47">
        <v>9.6</v>
      </c>
      <c r="L126" s="34">
        <v>12.605</v>
      </c>
      <c r="M126" s="32">
        <v>25.983333333333334</v>
      </c>
      <c r="N126" s="32">
        <f t="shared" si="6"/>
        <v>-10.538376375000752</v>
      </c>
      <c r="P126" s="37"/>
      <c r="Q126" s="60"/>
      <c r="R126" s="37"/>
      <c r="S126" s="102"/>
      <c r="T126" s="103"/>
      <c r="U126" s="37"/>
      <c r="W126" s="104"/>
      <c r="Z126" s="66"/>
    </row>
    <row r="127" spans="5:26" s="35" customFormat="1">
      <c r="E127" s="30" t="str">
        <f t="shared" si="7"/>
        <v/>
      </c>
      <c r="F127" s="45">
        <v>4710</v>
      </c>
      <c r="G127" s="106" t="s">
        <v>564</v>
      </c>
      <c r="H127" s="32">
        <f t="shared" si="4"/>
        <v>155.12993918658123</v>
      </c>
      <c r="I127" s="32">
        <f t="shared" si="5"/>
        <v>56.640698868419548</v>
      </c>
      <c r="J127" s="33" t="s">
        <v>223</v>
      </c>
      <c r="K127" s="47">
        <v>11</v>
      </c>
      <c r="L127" s="34">
        <v>12.826666666666666</v>
      </c>
      <c r="M127" s="32">
        <v>15.166666666666666</v>
      </c>
      <c r="N127" s="32">
        <f t="shared" si="6"/>
        <v>-13.863376375000712</v>
      </c>
      <c r="P127" s="37"/>
      <c r="Q127" s="60"/>
      <c r="R127" s="37"/>
      <c r="S127" s="102"/>
      <c r="T127" s="103"/>
      <c r="U127" s="37"/>
      <c r="W127" s="104"/>
      <c r="Z127" s="66"/>
    </row>
    <row r="128" spans="5:26" s="35" customFormat="1">
      <c r="E128" s="30" t="str">
        <f t="shared" si="7"/>
        <v/>
      </c>
      <c r="F128" s="45">
        <v>4725</v>
      </c>
      <c r="G128" s="106" t="s">
        <v>564</v>
      </c>
      <c r="H128" s="32">
        <f t="shared" si="4"/>
        <v>212.9831835722008</v>
      </c>
      <c r="I128" s="32">
        <f t="shared" si="5"/>
        <v>66.24180082030739</v>
      </c>
      <c r="J128" s="33" t="s">
        <v>224</v>
      </c>
      <c r="K128" s="47">
        <v>9.4</v>
      </c>
      <c r="L128" s="34">
        <v>12.84</v>
      </c>
      <c r="M128" s="32">
        <v>25.5</v>
      </c>
      <c r="N128" s="32">
        <f t="shared" si="6"/>
        <v>-14.063376375000757</v>
      </c>
      <c r="P128" s="37"/>
      <c r="Q128" s="60"/>
      <c r="R128" s="37"/>
      <c r="S128" s="102"/>
      <c r="T128" s="103"/>
      <c r="U128" s="37"/>
      <c r="W128" s="104"/>
      <c r="Z128" s="66"/>
    </row>
    <row r="129" spans="5:26" s="35" customFormat="1">
      <c r="E129" s="30" t="str">
        <f t="shared" si="7"/>
        <v/>
      </c>
      <c r="F129" s="45">
        <v>4826</v>
      </c>
      <c r="G129" s="106" t="s">
        <v>564</v>
      </c>
      <c r="H129" s="32">
        <f t="shared" si="4"/>
        <v>147.55285127176222</v>
      </c>
      <c r="I129" s="32">
        <f t="shared" si="5"/>
        <v>62.16811482750655</v>
      </c>
      <c r="J129" s="33" t="s">
        <v>225</v>
      </c>
      <c r="K129" s="47">
        <v>8.5</v>
      </c>
      <c r="L129" s="34">
        <v>12.945</v>
      </c>
      <c r="M129" s="32">
        <v>21.683333333333334</v>
      </c>
      <c r="N129" s="32">
        <f t="shared" si="6"/>
        <v>-15.638376375000746</v>
      </c>
      <c r="P129" s="37"/>
      <c r="Q129" s="60"/>
      <c r="R129" s="37"/>
      <c r="S129" s="102"/>
      <c r="T129" s="103"/>
      <c r="U129" s="37"/>
      <c r="W129" s="104"/>
      <c r="Z129" s="66"/>
    </row>
    <row r="130" spans="5:26" s="35" customFormat="1">
      <c r="E130" s="30" t="str">
        <f t="shared" si="7"/>
        <v/>
      </c>
      <c r="F130" s="45">
        <v>5024</v>
      </c>
      <c r="G130" s="106" t="s">
        <v>564</v>
      </c>
      <c r="H130" s="32">
        <f t="shared" si="4"/>
        <v>143.56122372626334</v>
      </c>
      <c r="I130" s="32">
        <f t="shared" si="5"/>
        <v>57.388478027178721</v>
      </c>
      <c r="J130" s="33" t="s">
        <v>48</v>
      </c>
      <c r="K130" s="47">
        <v>7.7</v>
      </c>
      <c r="L130" s="34">
        <v>13.215</v>
      </c>
      <c r="M130" s="32">
        <v>18.166666666666668</v>
      </c>
      <c r="N130" s="32">
        <f t="shared" si="6"/>
        <v>-19.688376375000757</v>
      </c>
      <c r="P130" s="37"/>
      <c r="Q130" s="60"/>
      <c r="R130" s="37"/>
      <c r="S130" s="102"/>
      <c r="T130" s="103"/>
      <c r="U130" s="37"/>
      <c r="W130" s="104"/>
      <c r="Z130" s="66"/>
    </row>
    <row r="131" spans="5:26" s="35" customFormat="1">
      <c r="E131" s="30" t="str">
        <f t="shared" si="7"/>
        <v/>
      </c>
      <c r="F131" s="45">
        <v>5053</v>
      </c>
      <c r="G131" s="106" t="s">
        <v>564</v>
      </c>
      <c r="H131" s="32">
        <f t="shared" si="4"/>
        <v>142.51915605218483</v>
      </c>
      <c r="I131" s="32">
        <f t="shared" si="5"/>
        <v>56.595526808728394</v>
      </c>
      <c r="J131" s="33"/>
      <c r="K131" s="47">
        <v>9</v>
      </c>
      <c r="L131" s="34">
        <v>13.275</v>
      </c>
      <c r="M131" s="32">
        <v>17.7</v>
      </c>
      <c r="N131" s="32">
        <f t="shared" si="6"/>
        <v>-20.588376375000735</v>
      </c>
      <c r="P131" s="37"/>
      <c r="Q131" s="60"/>
      <c r="R131" s="37"/>
      <c r="S131" s="102"/>
      <c r="T131" s="103"/>
      <c r="U131" s="37"/>
      <c r="W131" s="104"/>
      <c r="Z131" s="66"/>
    </row>
    <row r="132" spans="5:26" s="35" customFormat="1">
      <c r="E132" s="30" t="str">
        <f t="shared" si="7"/>
        <v/>
      </c>
      <c r="F132" s="45">
        <v>6726</v>
      </c>
      <c r="G132" s="106" t="s">
        <v>564</v>
      </c>
      <c r="H132" s="32">
        <f t="shared" si="4"/>
        <v>107.75777412217708</v>
      </c>
      <c r="I132" s="32">
        <f t="shared" si="5"/>
        <v>-36.519542284781991</v>
      </c>
      <c r="J132" s="33" t="s">
        <v>226</v>
      </c>
      <c r="K132" s="49" t="s">
        <v>549</v>
      </c>
      <c r="L132" s="34">
        <v>19.028333333333332</v>
      </c>
      <c r="M132" s="32">
        <v>-36.883333333333333</v>
      </c>
      <c r="N132" s="32">
        <f t="shared" si="6"/>
        <v>-106.88837637500069</v>
      </c>
      <c r="P132" s="37"/>
      <c r="Q132" s="60"/>
      <c r="R132" s="37"/>
      <c r="S132" s="102"/>
      <c r="T132" s="103"/>
      <c r="U132" s="37"/>
      <c r="W132" s="104"/>
      <c r="Z132" s="66"/>
    </row>
    <row r="133" spans="5:26" s="35" customFormat="1">
      <c r="E133" s="30" t="str">
        <f t="shared" si="7"/>
        <v/>
      </c>
      <c r="F133" s="45">
        <v>3511</v>
      </c>
      <c r="G133" s="106" t="s">
        <v>564</v>
      </c>
      <c r="H133" s="32">
        <f t="shared" si="4"/>
        <v>167.62206998568266</v>
      </c>
      <c r="I133" s="32">
        <f t="shared" si="5"/>
        <v>19.523174946427343</v>
      </c>
      <c r="J133" s="33" t="s">
        <v>227</v>
      </c>
      <c r="K133" s="47">
        <v>11</v>
      </c>
      <c r="L133" s="34">
        <v>11.056666666666667</v>
      </c>
      <c r="M133" s="32">
        <v>-23.083333333333332</v>
      </c>
      <c r="N133" s="32">
        <f t="shared" si="6"/>
        <v>12.686623624999271</v>
      </c>
      <c r="P133" s="37"/>
      <c r="Q133" s="60"/>
      <c r="R133" s="37"/>
      <c r="S133" s="102"/>
      <c r="T133" s="103"/>
      <c r="U133" s="37"/>
      <c r="W133" s="104"/>
      <c r="Z133" s="66"/>
    </row>
    <row r="134" spans="5:26" s="35" customFormat="1">
      <c r="E134" s="30" t="str">
        <f t="shared" si="7"/>
        <v/>
      </c>
      <c r="F134" s="45">
        <v>3672</v>
      </c>
      <c r="G134" s="106" t="s">
        <v>564</v>
      </c>
      <c r="H134" s="32">
        <f t="shared" si="4"/>
        <v>171.39276737713195</v>
      </c>
      <c r="I134" s="32">
        <f t="shared" si="5"/>
        <v>33.37299684377691</v>
      </c>
      <c r="J134" s="33" t="s">
        <v>228</v>
      </c>
      <c r="K134" s="47">
        <v>11.4</v>
      </c>
      <c r="L134" s="34">
        <v>11.416666666666666</v>
      </c>
      <c r="M134" s="32">
        <v>-9.8000000000000007</v>
      </c>
      <c r="N134" s="32">
        <f t="shared" si="6"/>
        <v>7.2866236249992653</v>
      </c>
      <c r="P134" s="37"/>
      <c r="Q134" s="60"/>
      <c r="R134" s="37"/>
      <c r="S134" s="102"/>
      <c r="T134" s="103"/>
      <c r="U134" s="37"/>
      <c r="W134" s="104"/>
      <c r="Z134" s="66"/>
    </row>
    <row r="135" spans="5:26" s="35" customFormat="1">
      <c r="E135" s="30" t="str">
        <f t="shared" si="7"/>
        <v/>
      </c>
      <c r="F135" s="45">
        <v>3887</v>
      </c>
      <c r="G135" s="106" t="s">
        <v>564</v>
      </c>
      <c r="H135" s="32">
        <f t="shared" si="4"/>
        <v>181.88693660120344</v>
      </c>
      <c r="I135" s="32">
        <f t="shared" si="5"/>
        <v>26.680014141150107</v>
      </c>
      <c r="J135" s="33" t="s">
        <v>229</v>
      </c>
      <c r="K135" s="47">
        <v>10.6</v>
      </c>
      <c r="L135" s="34">
        <v>11.785</v>
      </c>
      <c r="M135" s="32">
        <v>-16.850000000000001</v>
      </c>
      <c r="N135" s="32">
        <f t="shared" si="6"/>
        <v>1.7616236249992596</v>
      </c>
      <c r="P135" s="37"/>
      <c r="Q135" s="60"/>
      <c r="R135" s="37"/>
      <c r="S135" s="102"/>
      <c r="T135" s="103"/>
      <c r="U135" s="37"/>
      <c r="W135" s="104"/>
      <c r="Z135" s="66"/>
    </row>
    <row r="136" spans="5:26" s="35" customFormat="1">
      <c r="E136" s="30" t="str">
        <f t="shared" si="7"/>
        <v/>
      </c>
      <c r="F136" s="45">
        <v>3955</v>
      </c>
      <c r="G136" s="106" t="s">
        <v>564</v>
      </c>
      <c r="H136" s="32">
        <f t="shared" ref="H136:H199" si="8">IF(SIN($C$14*N136)&lt;0,ACOS((SIN($M$512*M136)-SIN($M$512*I136)*SIN($M$512*$C$13))/(COS($M$512*I136)*COS($M$512*$C$13)))/$M$512,360-ACOS((SIN($M$512*M136)-SIN($M$512*I136)*SIN($M$512*$C$13))/(COS($M$512*I136)*COS($M$512*$C$13)))/$M$512)</f>
        <v>180.03591962059005</v>
      </c>
      <c r="I136" s="32">
        <f t="shared" ref="I136:I199" si="9">ASIN(SIN($M$512*M136)*SIN($M$512*$C$13)+COS($M$512*M136)*COS($M$512*$C$13)*COS($M$512*N136))/$M$512</f>
        <v>20.383325423785273</v>
      </c>
      <c r="J136" s="33" t="s">
        <v>230</v>
      </c>
      <c r="K136" s="47">
        <v>11.9</v>
      </c>
      <c r="L136" s="34">
        <v>11.9</v>
      </c>
      <c r="M136" s="32">
        <v>-23.166666666666668</v>
      </c>
      <c r="N136" s="32">
        <f t="shared" ref="N136:N199" si="10">$C$16-((L136/24)*360)</f>
        <v>3.6623624999265303E-2</v>
      </c>
      <c r="P136" s="37"/>
      <c r="Q136" s="60"/>
      <c r="R136" s="37"/>
      <c r="S136" s="102"/>
      <c r="T136" s="103"/>
      <c r="U136" s="37"/>
      <c r="W136" s="104"/>
      <c r="Z136" s="66"/>
    </row>
    <row r="137" spans="5:26" s="35" customFormat="1">
      <c r="E137" s="30" t="str">
        <f t="shared" ref="E137:E200" si="11">IF(AND(I137&gt;=$I$4,I137&lt;=$I$6,H137&gt;=$H$4,H137&lt;=$H$6),IF(VLOOKUP(G137,$C$19:$D$24,2,FALSE)="yes","*","-"),"")</f>
        <v/>
      </c>
      <c r="F137" s="45">
        <v>3962</v>
      </c>
      <c r="G137" s="106" t="s">
        <v>564</v>
      </c>
      <c r="H137" s="32">
        <f t="shared" si="8"/>
        <v>179.84562157405549</v>
      </c>
      <c r="I137" s="32">
        <f t="shared" si="9"/>
        <v>29.566538224648124</v>
      </c>
      <c r="J137" s="33" t="s">
        <v>231</v>
      </c>
      <c r="K137" s="47">
        <v>10.7</v>
      </c>
      <c r="L137" s="34">
        <v>11.911666666666667</v>
      </c>
      <c r="M137" s="32">
        <v>-13.983333333333333</v>
      </c>
      <c r="N137" s="32">
        <f t="shared" si="10"/>
        <v>-0.13837637500074607</v>
      </c>
      <c r="P137" s="37"/>
      <c r="Q137" s="60"/>
      <c r="R137" s="37"/>
      <c r="S137" s="102"/>
      <c r="T137" s="103"/>
      <c r="U137" s="37"/>
      <c r="W137" s="104"/>
      <c r="Z137" s="66"/>
    </row>
    <row r="138" spans="5:26" s="35" customFormat="1">
      <c r="E138" s="30" t="str">
        <f t="shared" si="11"/>
        <v/>
      </c>
      <c r="F138" s="45">
        <v>4027</v>
      </c>
      <c r="G138" s="106" t="s">
        <v>564</v>
      </c>
      <c r="H138" s="32">
        <f t="shared" si="8"/>
        <v>181.38593925093565</v>
      </c>
      <c r="I138" s="32">
        <f t="shared" si="9"/>
        <v>24.272180697609237</v>
      </c>
      <c r="J138" s="33" t="s">
        <v>232</v>
      </c>
      <c r="K138" s="47">
        <v>11.1</v>
      </c>
      <c r="L138" s="34">
        <v>11.991666666666667</v>
      </c>
      <c r="M138" s="32">
        <v>-19.266666666666666</v>
      </c>
      <c r="N138" s="32">
        <f t="shared" si="10"/>
        <v>-1.3383763750007347</v>
      </c>
      <c r="P138" s="37"/>
      <c r="Q138" s="60"/>
      <c r="R138" s="37"/>
      <c r="S138" s="102"/>
      <c r="T138" s="103"/>
      <c r="U138" s="37"/>
      <c r="W138" s="104"/>
      <c r="Z138" s="66"/>
    </row>
    <row r="139" spans="5:26" s="35" customFormat="1">
      <c r="E139" s="30" t="str">
        <f t="shared" si="11"/>
        <v/>
      </c>
      <c r="F139" s="45">
        <v>4038</v>
      </c>
      <c r="G139" s="106" t="s">
        <v>564</v>
      </c>
      <c r="H139" s="32">
        <f t="shared" si="8"/>
        <v>177.98166614681861</v>
      </c>
      <c r="I139" s="32">
        <f t="shared" si="9"/>
        <v>24.659810899346791</v>
      </c>
      <c r="J139" s="33" t="s">
        <v>233</v>
      </c>
      <c r="K139" s="47">
        <v>10.3</v>
      </c>
      <c r="L139" s="34">
        <v>12.031666666666666</v>
      </c>
      <c r="M139" s="32">
        <v>-18.866666666666667</v>
      </c>
      <c r="N139" s="32">
        <f t="shared" si="10"/>
        <v>-1.938376375000729</v>
      </c>
      <c r="P139" s="37"/>
      <c r="Q139" s="60"/>
      <c r="R139" s="37"/>
      <c r="S139" s="102"/>
      <c r="T139" s="103"/>
      <c r="U139" s="37"/>
      <c r="W139" s="104"/>
      <c r="Z139" s="66"/>
    </row>
    <row r="140" spans="5:26" s="35" customFormat="1">
      <c r="E140" s="30" t="str">
        <f t="shared" si="11"/>
        <v/>
      </c>
      <c r="F140" s="45">
        <v>4039</v>
      </c>
      <c r="G140" s="106" t="s">
        <v>564</v>
      </c>
      <c r="H140" s="32">
        <f t="shared" si="8"/>
        <v>177.9821363623775</v>
      </c>
      <c r="I140" s="32">
        <f t="shared" si="9"/>
        <v>24.643149712701629</v>
      </c>
      <c r="J140" s="33" t="s">
        <v>233</v>
      </c>
      <c r="K140" s="47">
        <v>10.6</v>
      </c>
      <c r="L140" s="34">
        <v>12.031666666666666</v>
      </c>
      <c r="M140" s="32">
        <v>-18.883333333333333</v>
      </c>
      <c r="N140" s="32">
        <f t="shared" si="10"/>
        <v>-1.938376375000729</v>
      </c>
      <c r="P140" s="37"/>
      <c r="Q140" s="60"/>
      <c r="R140" s="37"/>
      <c r="S140" s="102"/>
      <c r="T140" s="103"/>
      <c r="U140" s="37"/>
      <c r="W140" s="104"/>
      <c r="Z140" s="66"/>
    </row>
    <row r="141" spans="5:26" s="35" customFormat="1">
      <c r="E141" s="30" t="str">
        <f t="shared" si="11"/>
        <v/>
      </c>
      <c r="F141" s="45">
        <v>4361</v>
      </c>
      <c r="G141" s="106" t="s">
        <v>564</v>
      </c>
      <c r="H141" s="32">
        <f t="shared" si="8"/>
        <v>187.89114450245799</v>
      </c>
      <c r="I141" s="32">
        <f t="shared" si="9"/>
        <v>24.406725616315903</v>
      </c>
      <c r="J141" s="33" t="s">
        <v>234</v>
      </c>
      <c r="K141" s="47">
        <v>10.9</v>
      </c>
      <c r="L141" s="34">
        <v>12.408333333333333</v>
      </c>
      <c r="M141" s="32">
        <v>-18.783333333333335</v>
      </c>
      <c r="N141" s="32">
        <f t="shared" si="10"/>
        <v>-7.5883763750007347</v>
      </c>
      <c r="P141" s="37"/>
      <c r="Q141" s="60"/>
      <c r="R141" s="37"/>
      <c r="S141" s="102"/>
      <c r="T141" s="103"/>
      <c r="U141" s="37"/>
      <c r="W141" s="104"/>
      <c r="Z141" s="66"/>
    </row>
    <row r="142" spans="5:26" s="35" customFormat="1">
      <c r="E142" s="30" t="str">
        <f t="shared" si="11"/>
        <v/>
      </c>
      <c r="F142" s="45">
        <v>4782</v>
      </c>
      <c r="G142" s="106" t="s">
        <v>564</v>
      </c>
      <c r="H142" s="32">
        <f t="shared" si="8"/>
        <v>196.99095434152579</v>
      </c>
      <c r="I142" s="32">
        <f t="shared" si="9"/>
        <v>29.44111321293687</v>
      </c>
      <c r="J142" s="33" t="s">
        <v>235</v>
      </c>
      <c r="K142" s="47">
        <v>11.7</v>
      </c>
      <c r="L142" s="34">
        <v>12.91</v>
      </c>
      <c r="M142" s="32">
        <v>-12.566666666666666</v>
      </c>
      <c r="N142" s="32">
        <f t="shared" si="10"/>
        <v>-15.11337637500074</v>
      </c>
      <c r="P142" s="37"/>
      <c r="Q142" s="60"/>
      <c r="R142" s="37"/>
      <c r="S142" s="102"/>
      <c r="T142" s="103"/>
      <c r="U142" s="37"/>
      <c r="W142" s="104"/>
      <c r="Z142" s="66"/>
    </row>
    <row r="143" spans="5:26" s="35" customFormat="1">
      <c r="E143" s="30" t="str">
        <f t="shared" si="11"/>
        <v/>
      </c>
      <c r="F143" s="45">
        <v>4783</v>
      </c>
      <c r="G143" s="106" t="s">
        <v>564</v>
      </c>
      <c r="H143" s="32">
        <f t="shared" si="8"/>
        <v>196.99095434152579</v>
      </c>
      <c r="I143" s="32">
        <f t="shared" si="9"/>
        <v>29.44111321293687</v>
      </c>
      <c r="J143" s="33" t="s">
        <v>236</v>
      </c>
      <c r="K143" s="47">
        <v>11.5</v>
      </c>
      <c r="L143" s="34">
        <v>12.91</v>
      </c>
      <c r="M143" s="32">
        <v>-12.566666666666666</v>
      </c>
      <c r="N143" s="32">
        <f t="shared" si="10"/>
        <v>-15.11337637500074</v>
      </c>
      <c r="P143" s="37"/>
      <c r="Q143" s="60"/>
      <c r="R143" s="37"/>
      <c r="S143" s="102"/>
      <c r="T143" s="103"/>
      <c r="U143" s="37"/>
      <c r="W143" s="104"/>
      <c r="Z143" s="66"/>
    </row>
    <row r="144" spans="5:26" s="35" customFormat="1">
      <c r="E144" s="30" t="str">
        <f t="shared" si="11"/>
        <v/>
      </c>
      <c r="F144" s="45">
        <v>4111</v>
      </c>
      <c r="G144" s="106" t="s">
        <v>564</v>
      </c>
      <c r="H144" s="32">
        <f t="shared" si="8"/>
        <v>215.13900083664024</v>
      </c>
      <c r="I144" s="32">
        <f t="shared" si="9"/>
        <v>85.919958673905654</v>
      </c>
      <c r="J144" s="33" t="s">
        <v>237</v>
      </c>
      <c r="K144" s="47">
        <v>10.7</v>
      </c>
      <c r="L144" s="34">
        <v>12.116666666666667</v>
      </c>
      <c r="M144" s="32">
        <v>43.06666666666667</v>
      </c>
      <c r="N144" s="32">
        <f t="shared" si="10"/>
        <v>-3.2133763750007347</v>
      </c>
      <c r="P144" s="37"/>
      <c r="Q144" s="60"/>
      <c r="R144" s="37"/>
      <c r="S144" s="102"/>
      <c r="T144" s="103"/>
      <c r="U144" s="37"/>
      <c r="W144" s="104"/>
      <c r="Z144" s="66"/>
    </row>
    <row r="145" spans="5:26" s="35" customFormat="1">
      <c r="E145" s="30" t="str">
        <f t="shared" si="11"/>
        <v/>
      </c>
      <c r="F145" s="45">
        <v>4214</v>
      </c>
      <c r="G145" s="106" t="s">
        <v>564</v>
      </c>
      <c r="H145" s="32">
        <f t="shared" si="8"/>
        <v>156.49031437161054</v>
      </c>
      <c r="I145" s="32">
        <f t="shared" si="9"/>
        <v>79.11923138239392</v>
      </c>
      <c r="J145" s="33" t="s">
        <v>238</v>
      </c>
      <c r="K145" s="47">
        <v>9.1</v>
      </c>
      <c r="L145" s="34">
        <v>12.26</v>
      </c>
      <c r="M145" s="32">
        <v>36.333333333333336</v>
      </c>
      <c r="N145" s="32">
        <f t="shared" si="10"/>
        <v>-5.3633763750007404</v>
      </c>
      <c r="P145" s="37"/>
      <c r="Q145" s="60"/>
      <c r="R145" s="37"/>
      <c r="S145" s="102"/>
      <c r="T145" s="103"/>
      <c r="U145" s="37"/>
      <c r="W145" s="104"/>
      <c r="Z145" s="66"/>
    </row>
    <row r="146" spans="5:26" s="35" customFormat="1">
      <c r="E146" s="30" t="str">
        <f t="shared" si="11"/>
        <v/>
      </c>
      <c r="F146" s="45">
        <v>4244</v>
      </c>
      <c r="G146" s="106" t="s">
        <v>564</v>
      </c>
      <c r="H146" s="32">
        <f t="shared" si="8"/>
        <v>208.59897027581059</v>
      </c>
      <c r="I146" s="32">
        <f t="shared" si="9"/>
        <v>80.333414336550831</v>
      </c>
      <c r="J146" s="33" t="s">
        <v>239</v>
      </c>
      <c r="K146" s="47">
        <v>10.4</v>
      </c>
      <c r="L146" s="34">
        <v>12.291666666666666</v>
      </c>
      <c r="M146" s="32">
        <v>37.799999999999997</v>
      </c>
      <c r="N146" s="32">
        <f t="shared" si="10"/>
        <v>-5.8383763750007347</v>
      </c>
      <c r="P146" s="37"/>
      <c r="Q146" s="60"/>
      <c r="R146" s="37"/>
      <c r="S146" s="102"/>
      <c r="T146" s="103"/>
      <c r="U146" s="37"/>
      <c r="W146" s="104"/>
      <c r="Z146" s="66"/>
    </row>
    <row r="147" spans="5:26" s="35" customFormat="1">
      <c r="E147" s="30" t="str">
        <f t="shared" si="11"/>
        <v/>
      </c>
      <c r="F147" s="45">
        <v>4258</v>
      </c>
      <c r="G147" s="106" t="s">
        <v>564</v>
      </c>
      <c r="H147" s="32">
        <f t="shared" si="8"/>
        <v>76.425711718252273</v>
      </c>
      <c r="I147" s="32">
        <f t="shared" si="9"/>
        <v>85.669623415060144</v>
      </c>
      <c r="J147" s="33" t="s">
        <v>76</v>
      </c>
      <c r="K147" s="47">
        <v>8.4</v>
      </c>
      <c r="L147" s="34">
        <v>12.316666666666666</v>
      </c>
      <c r="M147" s="32">
        <v>47.3</v>
      </c>
      <c r="N147" s="32">
        <f t="shared" si="10"/>
        <v>-6.2133763750007063</v>
      </c>
      <c r="P147" s="37"/>
      <c r="Q147" s="60"/>
      <c r="R147" s="37"/>
      <c r="S147" s="102"/>
      <c r="T147" s="103"/>
      <c r="U147" s="37"/>
      <c r="W147" s="104"/>
      <c r="Z147" s="66"/>
    </row>
    <row r="148" spans="5:26" s="35" customFormat="1">
      <c r="E148" s="30" t="str">
        <f t="shared" si="11"/>
        <v/>
      </c>
      <c r="F148" s="45">
        <v>4346</v>
      </c>
      <c r="G148" s="106" t="s">
        <v>564</v>
      </c>
      <c r="H148" s="32">
        <f t="shared" si="8"/>
        <v>278.90427828365938</v>
      </c>
      <c r="I148" s="32">
        <f t="shared" si="9"/>
        <v>84.941457314824973</v>
      </c>
      <c r="J148" s="33" t="s">
        <v>240</v>
      </c>
      <c r="K148" s="47">
        <v>11.1</v>
      </c>
      <c r="L148" s="34">
        <v>12.391666666666667</v>
      </c>
      <c r="M148" s="32">
        <v>47</v>
      </c>
      <c r="N148" s="32">
        <f t="shared" si="10"/>
        <v>-7.3383763750007347</v>
      </c>
      <c r="P148" s="37"/>
      <c r="Q148" s="60"/>
      <c r="R148" s="37"/>
      <c r="S148" s="102"/>
      <c r="T148" s="103"/>
      <c r="U148" s="37"/>
      <c r="W148" s="104"/>
      <c r="Z148" s="66"/>
    </row>
    <row r="149" spans="5:26" s="35" customFormat="1">
      <c r="E149" s="30" t="str">
        <f t="shared" si="11"/>
        <v/>
      </c>
      <c r="F149" s="45">
        <v>4449</v>
      </c>
      <c r="G149" s="106" t="s">
        <v>564</v>
      </c>
      <c r="H149" s="32">
        <f t="shared" si="8"/>
        <v>108.35319965920189</v>
      </c>
      <c r="I149" s="32">
        <f t="shared" si="9"/>
        <v>83.568852950125191</v>
      </c>
      <c r="J149" s="33" t="s">
        <v>241</v>
      </c>
      <c r="K149" s="47">
        <v>9.6</v>
      </c>
      <c r="L149" s="34">
        <v>12.47</v>
      </c>
      <c r="M149" s="32">
        <v>44.1</v>
      </c>
      <c r="N149" s="32">
        <f t="shared" si="10"/>
        <v>-8.5133763750007461</v>
      </c>
      <c r="P149" s="37"/>
      <c r="Q149" s="60"/>
      <c r="R149" s="37"/>
      <c r="S149" s="102"/>
      <c r="T149" s="103"/>
      <c r="U149" s="37"/>
      <c r="W149" s="104"/>
      <c r="Z149" s="66"/>
    </row>
    <row r="150" spans="5:26" s="35" customFormat="1">
      <c r="E150" s="30" t="str">
        <f t="shared" si="11"/>
        <v/>
      </c>
      <c r="F150" s="45">
        <v>4485</v>
      </c>
      <c r="G150" s="106" t="s">
        <v>564</v>
      </c>
      <c r="H150" s="32">
        <f t="shared" si="8"/>
        <v>237.19683212187647</v>
      </c>
      <c r="I150" s="32">
        <f t="shared" si="9"/>
        <v>81.934105707178873</v>
      </c>
      <c r="J150" s="33" t="s">
        <v>242</v>
      </c>
      <c r="K150" s="47">
        <v>11.9</v>
      </c>
      <c r="L150" s="34">
        <v>12.508333333333333</v>
      </c>
      <c r="M150" s="32">
        <v>41.7</v>
      </c>
      <c r="N150" s="32">
        <f t="shared" si="10"/>
        <v>-9.0883763750007347</v>
      </c>
      <c r="P150" s="37"/>
      <c r="Q150" s="60"/>
      <c r="R150" s="37"/>
      <c r="S150" s="102"/>
      <c r="T150" s="103"/>
      <c r="U150" s="37"/>
      <c r="W150" s="104"/>
      <c r="Z150" s="66"/>
    </row>
    <row r="151" spans="5:26" s="35" customFormat="1">
      <c r="E151" s="30" t="str">
        <f t="shared" si="11"/>
        <v/>
      </c>
      <c r="F151" s="45">
        <v>4490</v>
      </c>
      <c r="G151" s="106" t="s">
        <v>564</v>
      </c>
      <c r="H151" s="32">
        <f t="shared" si="8"/>
        <v>237.00556796111709</v>
      </c>
      <c r="I151" s="32">
        <f t="shared" si="9"/>
        <v>81.888014534413628</v>
      </c>
      <c r="J151" s="33" t="s">
        <v>243</v>
      </c>
      <c r="K151" s="47">
        <v>9.8000000000000007</v>
      </c>
      <c r="L151" s="34">
        <v>12.51</v>
      </c>
      <c r="M151" s="32">
        <v>41.65</v>
      </c>
      <c r="N151" s="32">
        <f t="shared" si="10"/>
        <v>-9.1133763750007404</v>
      </c>
      <c r="P151" s="37"/>
      <c r="Q151" s="60"/>
      <c r="R151" s="37"/>
      <c r="S151" s="102"/>
      <c r="T151" s="103"/>
      <c r="U151" s="37"/>
      <c r="W151" s="104"/>
      <c r="Z151" s="66"/>
    </row>
    <row r="152" spans="5:26" s="35" customFormat="1">
      <c r="E152" s="30" t="str">
        <f t="shared" si="11"/>
        <v/>
      </c>
      <c r="F152" s="45">
        <v>4618</v>
      </c>
      <c r="G152" s="106" t="s">
        <v>564</v>
      </c>
      <c r="H152" s="32">
        <f t="shared" si="8"/>
        <v>117.538055631899</v>
      </c>
      <c r="I152" s="32">
        <f t="shared" si="9"/>
        <v>79.945926875361749</v>
      </c>
      <c r="J152" s="33" t="s">
        <v>244</v>
      </c>
      <c r="K152" s="47">
        <v>10.8</v>
      </c>
      <c r="L152" s="34">
        <v>12.693333333333333</v>
      </c>
      <c r="M152" s="32">
        <v>41.15</v>
      </c>
      <c r="N152" s="32">
        <f t="shared" si="10"/>
        <v>-11.863376375000712</v>
      </c>
      <c r="P152" s="37"/>
      <c r="Q152" s="60"/>
      <c r="R152" s="37"/>
      <c r="S152" s="102"/>
      <c r="T152" s="103"/>
      <c r="U152" s="37"/>
      <c r="W152" s="104"/>
      <c r="Z152" s="66"/>
    </row>
    <row r="153" spans="5:26" s="35" customFormat="1">
      <c r="E153" s="30" t="str">
        <f t="shared" si="11"/>
        <v/>
      </c>
      <c r="F153" s="45">
        <v>4625</v>
      </c>
      <c r="G153" s="106" t="s">
        <v>564</v>
      </c>
      <c r="H153" s="32">
        <f t="shared" si="8"/>
        <v>116.80539099564672</v>
      </c>
      <c r="I153" s="32">
        <f t="shared" si="9"/>
        <v>79.967600507902802</v>
      </c>
      <c r="J153" s="33" t="s">
        <v>245</v>
      </c>
      <c r="K153" s="47">
        <v>12.4</v>
      </c>
      <c r="L153" s="34">
        <v>12.698333333333334</v>
      </c>
      <c r="M153" s="32">
        <v>41.266666666666666</v>
      </c>
      <c r="N153" s="32">
        <f t="shared" si="10"/>
        <v>-11.938376375000729</v>
      </c>
      <c r="P153" s="37"/>
      <c r="Q153" s="60"/>
      <c r="R153" s="37"/>
      <c r="S153" s="102"/>
      <c r="T153" s="103"/>
      <c r="U153" s="37"/>
      <c r="W153" s="104"/>
      <c r="Z153" s="66"/>
    </row>
    <row r="154" spans="5:26" s="35" customFormat="1">
      <c r="E154" s="30" t="str">
        <f t="shared" si="11"/>
        <v/>
      </c>
      <c r="F154" s="45">
        <v>4627</v>
      </c>
      <c r="G154" s="106" t="s">
        <v>564</v>
      </c>
      <c r="H154" s="32">
        <f t="shared" si="8"/>
        <v>142.37976332175859</v>
      </c>
      <c r="I154" s="32">
        <f t="shared" si="9"/>
        <v>73.370362841852739</v>
      </c>
      <c r="J154" s="33" t="s">
        <v>246</v>
      </c>
      <c r="K154" s="47">
        <v>12.4</v>
      </c>
      <c r="L154" s="34">
        <v>12.7</v>
      </c>
      <c r="M154" s="32">
        <v>32.56666666666667</v>
      </c>
      <c r="N154" s="32">
        <f t="shared" si="10"/>
        <v>-11.963376375000735</v>
      </c>
      <c r="P154" s="37"/>
      <c r="Q154" s="60"/>
      <c r="R154" s="37"/>
      <c r="S154" s="102"/>
      <c r="T154" s="103"/>
      <c r="U154" s="37"/>
      <c r="W154" s="104"/>
      <c r="Z154" s="66"/>
    </row>
    <row r="155" spans="5:26" s="35" customFormat="1">
      <c r="E155" s="30" t="str">
        <f t="shared" si="11"/>
        <v/>
      </c>
      <c r="F155" s="45">
        <v>4631</v>
      </c>
      <c r="G155" s="106" t="s">
        <v>564</v>
      </c>
      <c r="H155" s="32">
        <f t="shared" si="8"/>
        <v>142.37407603654077</v>
      </c>
      <c r="I155" s="32">
        <f t="shared" si="9"/>
        <v>73.330960690151485</v>
      </c>
      <c r="J155" s="33" t="s">
        <v>247</v>
      </c>
      <c r="K155" s="47">
        <v>9.1999999999999993</v>
      </c>
      <c r="L155" s="34">
        <v>12.701666666666666</v>
      </c>
      <c r="M155" s="32">
        <v>32.533333333333331</v>
      </c>
      <c r="N155" s="32">
        <f t="shared" si="10"/>
        <v>-11.98837637500074</v>
      </c>
      <c r="P155" s="37"/>
      <c r="Q155" s="60"/>
      <c r="R155" s="37"/>
      <c r="S155" s="102"/>
      <c r="T155" s="103"/>
      <c r="U155" s="37"/>
      <c r="W155" s="104"/>
      <c r="Z155" s="66"/>
    </row>
    <row r="156" spans="5:26" s="35" customFormat="1">
      <c r="E156" s="30" t="str">
        <f t="shared" si="11"/>
        <v/>
      </c>
      <c r="F156" s="45" t="s">
        <v>91</v>
      </c>
      <c r="G156" s="106" t="s">
        <v>564</v>
      </c>
      <c r="H156" s="32">
        <f t="shared" si="8"/>
        <v>218.18761602218919</v>
      </c>
      <c r="I156" s="32">
        <f t="shared" si="9"/>
        <v>72.812574259632171</v>
      </c>
      <c r="J156" s="33" t="s">
        <v>248</v>
      </c>
      <c r="K156" s="47">
        <v>10.5</v>
      </c>
      <c r="L156" s="34">
        <v>12.733333333333333</v>
      </c>
      <c r="M156" s="32">
        <v>32.166666666666664</v>
      </c>
      <c r="N156" s="32">
        <f t="shared" si="10"/>
        <v>-12.463376375000735</v>
      </c>
      <c r="P156" s="37"/>
      <c r="Q156" s="60"/>
      <c r="R156" s="37"/>
      <c r="S156" s="102"/>
      <c r="T156" s="103"/>
      <c r="U156" s="37"/>
      <c r="W156" s="104"/>
      <c r="Z156" s="66"/>
    </row>
    <row r="157" spans="5:26" s="35" customFormat="1">
      <c r="E157" s="30" t="str">
        <f t="shared" si="11"/>
        <v/>
      </c>
      <c r="F157" s="45">
        <v>4736</v>
      </c>
      <c r="G157" s="106" t="s">
        <v>564</v>
      </c>
      <c r="H157" s="32">
        <f t="shared" si="8"/>
        <v>247.55167697413196</v>
      </c>
      <c r="I157" s="32">
        <f t="shared" si="9"/>
        <v>78.47476393122048</v>
      </c>
      <c r="J157" s="33" t="s">
        <v>249</v>
      </c>
      <c r="K157" s="47">
        <v>8.1999999999999993</v>
      </c>
      <c r="L157" s="34">
        <v>12.848333333333333</v>
      </c>
      <c r="M157" s="32">
        <v>41.116666666666667</v>
      </c>
      <c r="N157" s="32">
        <f t="shared" si="10"/>
        <v>-14.188376375000729</v>
      </c>
      <c r="P157" s="37"/>
      <c r="Q157" s="60"/>
      <c r="R157" s="37"/>
      <c r="S157" s="102"/>
      <c r="T157" s="103"/>
      <c r="U157" s="37"/>
      <c r="W157" s="104"/>
      <c r="Z157" s="66"/>
    </row>
    <row r="158" spans="5:26" s="35" customFormat="1">
      <c r="E158" s="30" t="str">
        <f t="shared" si="11"/>
        <v/>
      </c>
      <c r="F158" s="45">
        <v>5005</v>
      </c>
      <c r="G158" s="106" t="s">
        <v>564</v>
      </c>
      <c r="H158" s="32">
        <f t="shared" si="8"/>
        <v>243.42976145445454</v>
      </c>
      <c r="I158" s="32">
        <f t="shared" si="9"/>
        <v>72.944693314474193</v>
      </c>
      <c r="J158" s="33" t="s">
        <v>250</v>
      </c>
      <c r="K158" s="47">
        <v>9.8000000000000007</v>
      </c>
      <c r="L158" s="34">
        <v>13.181666666666667</v>
      </c>
      <c r="M158" s="32">
        <v>37.049999999999997</v>
      </c>
      <c r="N158" s="32">
        <f t="shared" si="10"/>
        <v>-19.188376375000757</v>
      </c>
      <c r="P158" s="37"/>
      <c r="Q158" s="60"/>
      <c r="R158" s="37"/>
      <c r="S158" s="102"/>
      <c r="T158" s="103"/>
      <c r="U158" s="37"/>
      <c r="W158" s="104"/>
      <c r="Z158" s="66"/>
    </row>
    <row r="159" spans="5:26" s="35" customFormat="1">
      <c r="E159" s="30" t="str">
        <f t="shared" si="11"/>
        <v/>
      </c>
      <c r="F159" s="45">
        <v>5055</v>
      </c>
      <c r="G159" s="106" t="s">
        <v>564</v>
      </c>
      <c r="H159" s="32">
        <f t="shared" si="8"/>
        <v>99.467609396432593</v>
      </c>
      <c r="I159" s="32">
        <f t="shared" si="9"/>
        <v>74.77300398574306</v>
      </c>
      <c r="J159" s="33" t="s">
        <v>251</v>
      </c>
      <c r="K159" s="47">
        <v>8.6</v>
      </c>
      <c r="L159" s="34">
        <v>13.263333333333334</v>
      </c>
      <c r="M159" s="32">
        <v>42.033333333333331</v>
      </c>
      <c r="N159" s="32">
        <f t="shared" si="10"/>
        <v>-20.413376375000752</v>
      </c>
      <c r="P159" s="37"/>
      <c r="Q159" s="60"/>
      <c r="R159" s="37"/>
      <c r="S159" s="102"/>
      <c r="T159" s="103"/>
      <c r="U159" s="37"/>
      <c r="W159" s="104"/>
      <c r="Z159" s="66"/>
    </row>
    <row r="160" spans="5:26" s="35" customFormat="1">
      <c r="E160" s="30" t="str">
        <f t="shared" si="11"/>
        <v/>
      </c>
      <c r="F160" s="45">
        <v>5194</v>
      </c>
      <c r="G160" s="106" t="s">
        <v>564</v>
      </c>
      <c r="H160" s="32">
        <f t="shared" si="8"/>
        <v>78.627930657818894</v>
      </c>
      <c r="I160" s="32">
        <f t="shared" si="9"/>
        <v>73.667759696177654</v>
      </c>
      <c r="J160" s="33" t="s">
        <v>252</v>
      </c>
      <c r="K160" s="47">
        <v>8.4</v>
      </c>
      <c r="L160" s="34">
        <v>13.498333333333333</v>
      </c>
      <c r="M160" s="32">
        <v>47.2</v>
      </c>
      <c r="N160" s="32">
        <f t="shared" si="10"/>
        <v>-23.938376375000729</v>
      </c>
      <c r="P160" s="37"/>
      <c r="Q160" s="60"/>
      <c r="R160" s="37"/>
      <c r="S160" s="102"/>
      <c r="T160" s="103"/>
      <c r="U160" s="37"/>
      <c r="W160" s="104"/>
      <c r="Z160" s="66"/>
    </row>
    <row r="161" spans="5:26" s="35" customFormat="1">
      <c r="E161" s="30" t="str">
        <f t="shared" si="11"/>
        <v/>
      </c>
      <c r="F161" s="45">
        <v>5195</v>
      </c>
      <c r="G161" s="106" t="s">
        <v>564</v>
      </c>
      <c r="H161" s="32">
        <f t="shared" si="8"/>
        <v>78.385856353917319</v>
      </c>
      <c r="I161" s="32">
        <f t="shared" si="9"/>
        <v>73.657962453018058</v>
      </c>
      <c r="J161" s="33" t="s">
        <v>253</v>
      </c>
      <c r="K161" s="47">
        <v>9.6</v>
      </c>
      <c r="L161" s="34">
        <v>13.5</v>
      </c>
      <c r="M161" s="32">
        <v>47.266666666666666</v>
      </c>
      <c r="N161" s="32">
        <f t="shared" si="10"/>
        <v>-23.963376375000735</v>
      </c>
      <c r="P161" s="37"/>
      <c r="Q161" s="60"/>
      <c r="R161" s="37"/>
      <c r="S161" s="102"/>
      <c r="T161" s="103"/>
      <c r="U161" s="37"/>
      <c r="W161" s="104"/>
      <c r="Z161" s="66"/>
    </row>
    <row r="162" spans="5:26" s="35" customFormat="1">
      <c r="E162" s="30" t="str">
        <f t="shared" si="11"/>
        <v/>
      </c>
      <c r="F162" s="45">
        <v>5272</v>
      </c>
      <c r="G162" s="106" t="s">
        <v>564</v>
      </c>
      <c r="H162" s="32">
        <f t="shared" si="8"/>
        <v>238.95220732071945</v>
      </c>
      <c r="I162" s="32">
        <f t="shared" si="9"/>
        <v>62.197957510290266</v>
      </c>
      <c r="J162" s="33" t="s">
        <v>17</v>
      </c>
      <c r="K162" s="47">
        <v>6.3</v>
      </c>
      <c r="L162" s="34">
        <v>13.703333333333333</v>
      </c>
      <c r="M162" s="32">
        <v>28.383333333333333</v>
      </c>
      <c r="N162" s="32">
        <f t="shared" si="10"/>
        <v>-27.013376375000746</v>
      </c>
      <c r="P162" s="37"/>
      <c r="Q162" s="60"/>
      <c r="R162" s="37"/>
      <c r="S162" s="102"/>
      <c r="T162" s="103"/>
      <c r="U162" s="37"/>
      <c r="W162" s="104"/>
      <c r="Z162" s="66"/>
    </row>
    <row r="163" spans="5:26" s="35" customFormat="1">
      <c r="E163" s="30" t="str">
        <f t="shared" si="11"/>
        <v/>
      </c>
      <c r="F163" s="45">
        <v>6811</v>
      </c>
      <c r="G163" s="106" t="s">
        <v>564</v>
      </c>
      <c r="H163" s="32">
        <f t="shared" si="8"/>
        <v>319.05731011845722</v>
      </c>
      <c r="I163" s="32">
        <f t="shared" si="9"/>
        <v>18.549882683182364</v>
      </c>
      <c r="J163" s="33" t="s">
        <v>254</v>
      </c>
      <c r="K163" s="47">
        <v>6.8</v>
      </c>
      <c r="L163" s="34">
        <v>19.62</v>
      </c>
      <c r="M163" s="32">
        <v>46.383333333333333</v>
      </c>
      <c r="N163" s="32">
        <f t="shared" si="10"/>
        <v>-115.76337637500075</v>
      </c>
      <c r="P163" s="37"/>
      <c r="Q163" s="60"/>
      <c r="R163" s="37"/>
      <c r="S163" s="102"/>
      <c r="T163" s="103"/>
      <c r="U163" s="37"/>
      <c r="W163" s="104"/>
      <c r="Z163" s="66"/>
    </row>
    <row r="164" spans="5:26" s="35" customFormat="1">
      <c r="E164" s="30" t="str">
        <f t="shared" si="11"/>
        <v/>
      </c>
      <c r="F164" s="45">
        <v>6819</v>
      </c>
      <c r="G164" s="106" t="s">
        <v>564</v>
      </c>
      <c r="H164" s="32">
        <f t="shared" si="8"/>
        <v>315.50484846839629</v>
      </c>
      <c r="I164" s="32">
        <f t="shared" si="9"/>
        <v>13.321453327079741</v>
      </c>
      <c r="J164" s="33" t="s">
        <v>255</v>
      </c>
      <c r="K164" s="47">
        <v>7.3</v>
      </c>
      <c r="L164" s="34">
        <v>19.688333333333333</v>
      </c>
      <c r="M164" s="32">
        <v>40.18333333333333</v>
      </c>
      <c r="N164" s="32">
        <f t="shared" si="10"/>
        <v>-116.78837637500072</v>
      </c>
      <c r="P164" s="37"/>
      <c r="Q164" s="60"/>
      <c r="R164" s="37"/>
      <c r="S164" s="102"/>
      <c r="T164" s="103"/>
      <c r="U164" s="37"/>
      <c r="W164" s="104"/>
      <c r="Z164" s="66"/>
    </row>
    <row r="165" spans="5:26" s="35" customFormat="1">
      <c r="E165" s="30" t="str">
        <f t="shared" si="11"/>
        <v/>
      </c>
      <c r="F165" s="45">
        <v>6826</v>
      </c>
      <c r="G165" s="106" t="s">
        <v>564</v>
      </c>
      <c r="H165" s="32">
        <f t="shared" si="8"/>
        <v>322.95176703770682</v>
      </c>
      <c r="I165" s="32">
        <f t="shared" si="9"/>
        <v>20.866751924655944</v>
      </c>
      <c r="J165" s="33" t="s">
        <v>256</v>
      </c>
      <c r="K165" s="47">
        <v>8.8000000000000007</v>
      </c>
      <c r="L165" s="34">
        <v>19.746666666666666</v>
      </c>
      <c r="M165" s="32">
        <v>50.533333333333331</v>
      </c>
      <c r="N165" s="32">
        <f t="shared" si="10"/>
        <v>-117.66337637500072</v>
      </c>
      <c r="P165" s="37"/>
      <c r="Q165" s="60"/>
      <c r="R165" s="37"/>
      <c r="S165" s="102"/>
      <c r="T165" s="103"/>
      <c r="U165" s="37"/>
      <c r="W165" s="104"/>
      <c r="Z165" s="66"/>
    </row>
    <row r="166" spans="5:26" s="35" customFormat="1">
      <c r="E166" s="30" t="str">
        <f t="shared" si="11"/>
        <v/>
      </c>
      <c r="F166" s="45">
        <v>6834</v>
      </c>
      <c r="G166" s="106" t="s">
        <v>564</v>
      </c>
      <c r="H166" s="32">
        <f t="shared" si="8"/>
        <v>49.42351576835469</v>
      </c>
      <c r="I166" s="32">
        <f t="shared" si="9"/>
        <v>3.4451038802607918</v>
      </c>
      <c r="J166" s="33" t="s">
        <v>257</v>
      </c>
      <c r="K166" s="47">
        <v>7.8</v>
      </c>
      <c r="L166" s="34">
        <v>19.87</v>
      </c>
      <c r="M166" s="32">
        <v>29.4</v>
      </c>
      <c r="N166" s="32">
        <f t="shared" si="10"/>
        <v>-119.51337637500075</v>
      </c>
      <c r="P166" s="37"/>
      <c r="Q166" s="60"/>
      <c r="R166" s="37"/>
      <c r="S166" s="102"/>
      <c r="T166" s="103"/>
      <c r="U166" s="37"/>
      <c r="W166" s="104"/>
      <c r="Z166" s="66"/>
    </row>
    <row r="167" spans="5:26" s="35" customFormat="1">
      <c r="E167" s="30" t="str">
        <f t="shared" si="11"/>
        <v/>
      </c>
      <c r="F167" s="45">
        <v>6866</v>
      </c>
      <c r="G167" s="106" t="s">
        <v>564</v>
      </c>
      <c r="H167" s="32">
        <f t="shared" si="8"/>
        <v>321.4101267477954</v>
      </c>
      <c r="I167" s="32">
        <f t="shared" si="9"/>
        <v>13.866565110423993</v>
      </c>
      <c r="J167" s="33" t="s">
        <v>258</v>
      </c>
      <c r="K167" s="47">
        <v>7.6</v>
      </c>
      <c r="L167" s="34">
        <v>20.065000000000001</v>
      </c>
      <c r="M167" s="32">
        <v>44.15</v>
      </c>
      <c r="N167" s="32">
        <f t="shared" si="10"/>
        <v>-122.43837637500076</v>
      </c>
      <c r="P167" s="37"/>
      <c r="Q167" s="60"/>
      <c r="R167" s="37"/>
      <c r="S167" s="102"/>
      <c r="T167" s="103"/>
      <c r="U167" s="37"/>
      <c r="W167" s="104"/>
      <c r="Z167" s="66"/>
    </row>
    <row r="168" spans="5:26" s="35" customFormat="1">
      <c r="E168" s="30" t="str">
        <f t="shared" si="11"/>
        <v/>
      </c>
      <c r="F168" s="45" t="s">
        <v>92</v>
      </c>
      <c r="G168" s="106" t="s">
        <v>564</v>
      </c>
      <c r="H168" s="32">
        <f t="shared" si="8"/>
        <v>43.086124988844361</v>
      </c>
      <c r="I168" s="32">
        <f t="shared" si="9"/>
        <v>5.7355961880247524</v>
      </c>
      <c r="J168" s="33" t="s">
        <v>259</v>
      </c>
      <c r="K168" s="49" t="s">
        <v>549</v>
      </c>
      <c r="L168" s="34">
        <v>20.166666666666668</v>
      </c>
      <c r="M168" s="32">
        <v>34.966666666666669</v>
      </c>
      <c r="N168" s="32">
        <f t="shared" si="10"/>
        <v>-123.96337637500073</v>
      </c>
      <c r="P168" s="37"/>
      <c r="Q168" s="60"/>
      <c r="R168" s="37"/>
      <c r="S168" s="102"/>
      <c r="T168" s="103"/>
      <c r="U168" s="37"/>
      <c r="W168" s="104"/>
      <c r="Z168" s="66"/>
    </row>
    <row r="169" spans="5:26" s="35" customFormat="1">
      <c r="E169" s="30" t="str">
        <f t="shared" si="11"/>
        <v/>
      </c>
      <c r="F169" s="45">
        <v>6888</v>
      </c>
      <c r="G169" s="106" t="s">
        <v>564</v>
      </c>
      <c r="H169" s="32">
        <f t="shared" si="8"/>
        <v>40.687588886825559</v>
      </c>
      <c r="I169" s="32">
        <f t="shared" si="9"/>
        <v>8.1583654746198775</v>
      </c>
      <c r="J169" s="33" t="s">
        <v>260</v>
      </c>
      <c r="K169" s="49" t="s">
        <v>550</v>
      </c>
      <c r="L169" s="34">
        <v>20.213333333333335</v>
      </c>
      <c r="M169" s="32">
        <v>38.31666666666667</v>
      </c>
      <c r="N169" s="32">
        <f t="shared" si="10"/>
        <v>-124.66337637500078</v>
      </c>
      <c r="P169" s="37"/>
      <c r="Q169" s="60"/>
      <c r="R169" s="37"/>
      <c r="S169" s="102"/>
      <c r="T169" s="103"/>
      <c r="U169" s="37"/>
      <c r="W169" s="104"/>
      <c r="Z169" s="66"/>
    </row>
    <row r="170" spans="5:26" s="35" customFormat="1">
      <c r="E170" s="30" t="str">
        <f t="shared" si="11"/>
        <v/>
      </c>
      <c r="F170" s="45">
        <v>6910</v>
      </c>
      <c r="G170" s="106" t="s">
        <v>564</v>
      </c>
      <c r="H170" s="32">
        <f t="shared" si="8"/>
        <v>37.606493249638568</v>
      </c>
      <c r="I170" s="32">
        <f t="shared" si="9"/>
        <v>9.0646557059512496</v>
      </c>
      <c r="J170" s="33" t="s">
        <v>261</v>
      </c>
      <c r="K170" s="47">
        <v>7.4</v>
      </c>
      <c r="L170" s="34">
        <v>20.386666666666667</v>
      </c>
      <c r="M170" s="32">
        <v>40.783333333333331</v>
      </c>
      <c r="N170" s="32">
        <f t="shared" si="10"/>
        <v>-127.26337637500075</v>
      </c>
      <c r="P170" s="37"/>
      <c r="Q170" s="60"/>
      <c r="R170" s="37"/>
      <c r="S170" s="102"/>
      <c r="T170" s="103"/>
      <c r="U170" s="37"/>
      <c r="W170" s="104"/>
      <c r="Z170" s="66"/>
    </row>
    <row r="171" spans="5:26" s="35" customFormat="1">
      <c r="E171" s="30" t="str">
        <f t="shared" si="11"/>
        <v/>
      </c>
      <c r="F171" s="45">
        <v>6913</v>
      </c>
      <c r="G171" s="106" t="s">
        <v>564</v>
      </c>
      <c r="H171" s="32">
        <f t="shared" si="8"/>
        <v>321.26388770500483</v>
      </c>
      <c r="I171" s="32">
        <f t="shared" si="9"/>
        <v>7.0664479561074511</v>
      </c>
      <c r="J171" s="33" t="s">
        <v>262</v>
      </c>
      <c r="K171" s="47">
        <v>6.6</v>
      </c>
      <c r="L171" s="34">
        <v>20.401666666666667</v>
      </c>
      <c r="M171" s="32">
        <v>38.5</v>
      </c>
      <c r="N171" s="32">
        <f t="shared" si="10"/>
        <v>-127.48837637500071</v>
      </c>
      <c r="P171" s="37"/>
      <c r="Q171" s="60"/>
      <c r="R171" s="37"/>
      <c r="S171" s="102"/>
      <c r="T171" s="103"/>
      <c r="U171" s="37"/>
      <c r="W171" s="104"/>
      <c r="Z171" s="66"/>
    </row>
    <row r="172" spans="5:26" s="35" customFormat="1">
      <c r="E172" s="30" t="str">
        <f t="shared" si="11"/>
        <v/>
      </c>
      <c r="F172" s="45" t="s">
        <v>93</v>
      </c>
      <c r="G172" s="106" t="s">
        <v>564</v>
      </c>
      <c r="H172" s="32">
        <f t="shared" si="8"/>
        <v>36.582596526403094</v>
      </c>
      <c r="I172" s="32">
        <f t="shared" si="9"/>
        <v>-2.1466766691228556</v>
      </c>
      <c r="J172" s="33" t="s">
        <v>263</v>
      </c>
      <c r="K172" s="47">
        <v>7</v>
      </c>
      <c r="L172" s="34">
        <v>20.94</v>
      </c>
      <c r="M172" s="32">
        <v>31.716666666666665</v>
      </c>
      <c r="N172" s="32">
        <f t="shared" si="10"/>
        <v>-135.56337637500076</v>
      </c>
      <c r="P172" s="37"/>
      <c r="Q172" s="60"/>
      <c r="R172" s="37"/>
      <c r="S172" s="102"/>
      <c r="T172" s="103"/>
      <c r="U172" s="37"/>
      <c r="W172" s="104"/>
      <c r="Z172" s="66"/>
    </row>
    <row r="173" spans="5:26" s="35" customFormat="1">
      <c r="E173" s="30" t="str">
        <f t="shared" si="11"/>
        <v/>
      </c>
      <c r="F173" s="45">
        <v>7008</v>
      </c>
      <c r="G173" s="106" t="s">
        <v>564</v>
      </c>
      <c r="H173" s="32">
        <f t="shared" si="8"/>
        <v>24.699200725784813</v>
      </c>
      <c r="I173" s="32">
        <f t="shared" si="9"/>
        <v>17.465259338309611</v>
      </c>
      <c r="J173" s="33" t="s">
        <v>264</v>
      </c>
      <c r="K173" s="47">
        <v>12</v>
      </c>
      <c r="L173" s="34">
        <v>21.008333333333333</v>
      </c>
      <c r="M173" s="32">
        <v>54.55</v>
      </c>
      <c r="N173" s="32">
        <f t="shared" si="10"/>
        <v>-136.58837637500073</v>
      </c>
      <c r="P173" s="37"/>
      <c r="Q173" s="60"/>
      <c r="R173" s="37"/>
      <c r="S173" s="102"/>
      <c r="T173" s="103"/>
      <c r="U173" s="37"/>
      <c r="W173" s="104"/>
      <c r="Z173" s="66"/>
    </row>
    <row r="174" spans="5:26" s="35" customFormat="1">
      <c r="E174" s="30" t="str">
        <f t="shared" si="11"/>
        <v/>
      </c>
      <c r="F174" s="45">
        <v>7026</v>
      </c>
      <c r="G174" s="106" t="s">
        <v>564</v>
      </c>
      <c r="H174" s="32">
        <f t="shared" si="8"/>
        <v>27.216144946035513</v>
      </c>
      <c r="I174" s="32">
        <f t="shared" si="9"/>
        <v>11.15895044689448</v>
      </c>
      <c r="J174" s="33" t="s">
        <v>265</v>
      </c>
      <c r="K174" s="47">
        <v>12</v>
      </c>
      <c r="L174" s="34">
        <v>21.105</v>
      </c>
      <c r="M174" s="32">
        <v>47.85</v>
      </c>
      <c r="N174" s="32">
        <f t="shared" si="10"/>
        <v>-138.03837637500072</v>
      </c>
      <c r="P174" s="37"/>
      <c r="Q174" s="60"/>
      <c r="R174" s="37"/>
      <c r="S174" s="102"/>
      <c r="T174" s="103"/>
      <c r="U174" s="37"/>
      <c r="W174" s="104"/>
      <c r="Z174" s="66"/>
    </row>
    <row r="175" spans="5:26" s="35" customFormat="1">
      <c r="E175" s="30" t="str">
        <f t="shared" si="11"/>
        <v/>
      </c>
      <c r="F175" s="45">
        <v>7027</v>
      </c>
      <c r="G175" s="106" t="s">
        <v>564</v>
      </c>
      <c r="H175" s="32">
        <f t="shared" si="8"/>
        <v>29.750108783232061</v>
      </c>
      <c r="I175" s="32">
        <f t="shared" si="9"/>
        <v>6.1299743454180904</v>
      </c>
      <c r="J175" s="33" t="s">
        <v>266</v>
      </c>
      <c r="K175" s="47">
        <v>9.6</v>
      </c>
      <c r="L175" s="34">
        <v>21.116666666666667</v>
      </c>
      <c r="M175" s="32">
        <v>42.233333333333334</v>
      </c>
      <c r="N175" s="32">
        <f t="shared" si="10"/>
        <v>-138.21337637500073</v>
      </c>
      <c r="P175" s="37"/>
      <c r="Q175" s="60"/>
      <c r="R175" s="37"/>
      <c r="S175" s="102"/>
      <c r="T175" s="103"/>
      <c r="U175" s="37"/>
      <c r="W175" s="104"/>
      <c r="Z175" s="66"/>
    </row>
    <row r="176" spans="5:26" s="35" customFormat="1">
      <c r="E176" s="30" t="str">
        <f t="shared" si="11"/>
        <v/>
      </c>
      <c r="F176" s="45">
        <v>7044</v>
      </c>
      <c r="G176" s="106" t="s">
        <v>564</v>
      </c>
      <c r="H176" s="32">
        <f t="shared" si="8"/>
        <v>28.626668748340364</v>
      </c>
      <c r="I176" s="32">
        <f t="shared" si="9"/>
        <v>5.8402296909276128</v>
      </c>
      <c r="J176" s="33" t="s">
        <v>267</v>
      </c>
      <c r="K176" s="47">
        <v>12</v>
      </c>
      <c r="L176" s="34">
        <v>21.218333333333334</v>
      </c>
      <c r="M176" s="32">
        <v>42.483333333333334</v>
      </c>
      <c r="N176" s="32">
        <f t="shared" si="10"/>
        <v>-139.73837637500071</v>
      </c>
      <c r="P176" s="37"/>
      <c r="Q176" s="60"/>
      <c r="R176" s="37"/>
      <c r="S176" s="102"/>
      <c r="T176" s="103"/>
      <c r="U176" s="37"/>
      <c r="W176" s="104"/>
      <c r="Z176" s="66"/>
    </row>
    <row r="177" spans="5:26" s="35" customFormat="1">
      <c r="E177" s="30" t="str">
        <f t="shared" si="11"/>
        <v/>
      </c>
      <c r="F177" s="45">
        <v>7063</v>
      </c>
      <c r="G177" s="106" t="s">
        <v>564</v>
      </c>
      <c r="H177" s="32">
        <f t="shared" si="8"/>
        <v>29.234927876716746</v>
      </c>
      <c r="I177" s="32">
        <f t="shared" si="9"/>
        <v>-0.50445687229785063</v>
      </c>
      <c r="J177" s="33" t="s">
        <v>268</v>
      </c>
      <c r="K177" s="47">
        <v>7</v>
      </c>
      <c r="L177" s="34">
        <v>21.408333333333335</v>
      </c>
      <c r="M177" s="32">
        <v>36.5</v>
      </c>
      <c r="N177" s="32">
        <f t="shared" si="10"/>
        <v>-142.58837637500079</v>
      </c>
      <c r="P177" s="37"/>
      <c r="Q177" s="60"/>
      <c r="R177" s="37"/>
      <c r="S177" s="102"/>
      <c r="T177" s="103"/>
      <c r="U177" s="37"/>
      <c r="W177" s="104"/>
      <c r="Z177" s="66"/>
    </row>
    <row r="178" spans="5:26" s="35" customFormat="1">
      <c r="E178" s="30" t="str">
        <f t="shared" si="11"/>
        <v/>
      </c>
      <c r="F178" s="45">
        <v>7086</v>
      </c>
      <c r="G178" s="106" t="s">
        <v>564</v>
      </c>
      <c r="H178" s="32">
        <f t="shared" si="8"/>
        <v>21.937566100656198</v>
      </c>
      <c r="I178" s="32">
        <f t="shared" si="9"/>
        <v>12.790292412285279</v>
      </c>
      <c r="J178" s="33" t="s">
        <v>269</v>
      </c>
      <c r="K178" s="47">
        <v>8.4</v>
      </c>
      <c r="L178" s="34">
        <v>21.508333333333333</v>
      </c>
      <c r="M178" s="32">
        <v>51.6</v>
      </c>
      <c r="N178" s="32">
        <f t="shared" si="10"/>
        <v>-144.08837637500073</v>
      </c>
      <c r="P178" s="37"/>
      <c r="Q178" s="60"/>
      <c r="R178" s="37"/>
      <c r="S178" s="102"/>
      <c r="T178" s="103"/>
      <c r="U178" s="37"/>
      <c r="W178" s="104"/>
      <c r="Z178" s="66"/>
    </row>
    <row r="179" spans="5:26" s="35" customFormat="1">
      <c r="E179" s="30" t="str">
        <f t="shared" si="11"/>
        <v/>
      </c>
      <c r="F179" s="45">
        <v>7092</v>
      </c>
      <c r="G179" s="106" t="s">
        <v>564</v>
      </c>
      <c r="H179" s="32">
        <f t="shared" si="8"/>
        <v>336.94601706429313</v>
      </c>
      <c r="I179" s="32">
        <f t="shared" si="9"/>
        <v>9.8103488137402</v>
      </c>
      <c r="J179" s="33" t="s">
        <v>43</v>
      </c>
      <c r="K179" s="47">
        <v>4.5999999999999996</v>
      </c>
      <c r="L179" s="34">
        <v>21.531666666666666</v>
      </c>
      <c r="M179" s="32">
        <v>48.43333333333333</v>
      </c>
      <c r="N179" s="32">
        <f t="shared" si="10"/>
        <v>-144.43837637500076</v>
      </c>
      <c r="P179" s="37"/>
      <c r="Q179" s="60"/>
      <c r="R179" s="37"/>
      <c r="S179" s="102"/>
      <c r="T179" s="103"/>
      <c r="U179" s="37"/>
      <c r="W179" s="104"/>
      <c r="Z179" s="66"/>
    </row>
    <row r="180" spans="5:26" s="35" customFormat="1">
      <c r="E180" s="30" t="str">
        <f t="shared" si="11"/>
        <v/>
      </c>
      <c r="F180" s="45">
        <v>6891</v>
      </c>
      <c r="G180" s="106" t="s">
        <v>564</v>
      </c>
      <c r="H180" s="32">
        <f t="shared" si="8"/>
        <v>305.0728415948397</v>
      </c>
      <c r="I180" s="32">
        <f t="shared" si="9"/>
        <v>-13.206839960972065</v>
      </c>
      <c r="J180" s="33" t="s">
        <v>270</v>
      </c>
      <c r="K180" s="47">
        <v>10.5</v>
      </c>
      <c r="L180" s="34">
        <v>20.251666666666665</v>
      </c>
      <c r="M180" s="32">
        <v>12.7</v>
      </c>
      <c r="N180" s="32">
        <f t="shared" si="10"/>
        <v>-125.23837637500071</v>
      </c>
      <c r="P180" s="37"/>
      <c r="Q180" s="60"/>
      <c r="R180" s="37"/>
      <c r="S180" s="102"/>
      <c r="T180" s="103"/>
      <c r="U180" s="37"/>
      <c r="W180" s="104"/>
      <c r="Z180" s="66"/>
    </row>
    <row r="181" spans="5:26" s="35" customFormat="1">
      <c r="E181" s="30" t="str">
        <f t="shared" si="11"/>
        <v/>
      </c>
      <c r="F181" s="45">
        <v>6905</v>
      </c>
      <c r="G181" s="106" t="s">
        <v>564</v>
      </c>
      <c r="H181" s="32">
        <f t="shared" si="8"/>
        <v>49.193236065893593</v>
      </c>
      <c r="I181" s="32">
        <f t="shared" si="9"/>
        <v>-8.0990443317411636</v>
      </c>
      <c r="J181" s="33" t="s">
        <v>271</v>
      </c>
      <c r="K181" s="47">
        <v>12</v>
      </c>
      <c r="L181" s="34">
        <v>20.373333333333335</v>
      </c>
      <c r="M181" s="32">
        <v>20.100000000000001</v>
      </c>
      <c r="N181" s="32">
        <f t="shared" si="10"/>
        <v>-127.06337637500076</v>
      </c>
      <c r="P181" s="37"/>
      <c r="Q181" s="60"/>
      <c r="R181" s="37"/>
      <c r="S181" s="102"/>
      <c r="T181" s="103"/>
      <c r="U181" s="37"/>
      <c r="W181" s="104"/>
      <c r="Z181" s="66"/>
    </row>
    <row r="182" spans="5:26" s="35" customFormat="1">
      <c r="E182" s="30" t="str">
        <f t="shared" si="11"/>
        <v/>
      </c>
      <c r="F182" s="45">
        <v>6934</v>
      </c>
      <c r="G182" s="106" t="s">
        <v>564</v>
      </c>
      <c r="H182" s="32">
        <f t="shared" si="8"/>
        <v>305.95267186187095</v>
      </c>
      <c r="I182" s="32">
        <f t="shared" si="9"/>
        <v>-20.240314757541661</v>
      </c>
      <c r="J182" s="33" t="s">
        <v>272</v>
      </c>
      <c r="K182" s="47">
        <v>8.9</v>
      </c>
      <c r="L182" s="34">
        <v>20.57</v>
      </c>
      <c r="M182" s="32">
        <v>7.4</v>
      </c>
      <c r="N182" s="32">
        <f t="shared" si="10"/>
        <v>-130.01337637500075</v>
      </c>
      <c r="P182" s="37"/>
      <c r="Q182" s="60"/>
      <c r="R182" s="37"/>
      <c r="S182" s="102"/>
      <c r="T182" s="103"/>
      <c r="U182" s="37"/>
      <c r="W182" s="104"/>
      <c r="Z182" s="66"/>
    </row>
    <row r="183" spans="5:26" s="35" customFormat="1">
      <c r="E183" s="30" t="str">
        <f t="shared" si="11"/>
        <v/>
      </c>
      <c r="F183" s="45">
        <v>7006</v>
      </c>
      <c r="G183" s="106" t="s">
        <v>564</v>
      </c>
      <c r="H183" s="32">
        <f t="shared" si="8"/>
        <v>316.80677923440976</v>
      </c>
      <c r="I183" s="32">
        <f t="shared" si="9"/>
        <v>-16.298930560914346</v>
      </c>
      <c r="J183" s="33" t="s">
        <v>273</v>
      </c>
      <c r="K183" s="47">
        <v>10.6</v>
      </c>
      <c r="L183" s="34">
        <v>21.024999999999999</v>
      </c>
      <c r="M183" s="32">
        <v>16.183333333333334</v>
      </c>
      <c r="N183" s="32">
        <f t="shared" si="10"/>
        <v>-136.83837637500073</v>
      </c>
      <c r="P183" s="37"/>
      <c r="Q183" s="60"/>
      <c r="R183" s="37"/>
      <c r="S183" s="102"/>
      <c r="T183" s="103"/>
      <c r="U183" s="37"/>
      <c r="W183" s="104"/>
      <c r="Z183" s="66"/>
    </row>
    <row r="184" spans="5:26" s="35" customFormat="1">
      <c r="E184" s="30" t="str">
        <f t="shared" si="11"/>
        <v/>
      </c>
      <c r="F184" s="45">
        <v>5866</v>
      </c>
      <c r="G184" s="106" t="s">
        <v>564</v>
      </c>
      <c r="H184" s="32">
        <f t="shared" si="8"/>
        <v>305.37704153677549</v>
      </c>
      <c r="I184" s="32">
        <f t="shared" si="9"/>
        <v>59.106053618925877</v>
      </c>
      <c r="J184" s="33" t="s">
        <v>274</v>
      </c>
      <c r="K184" s="47">
        <v>9.9</v>
      </c>
      <c r="L184" s="34">
        <v>15.108333333333333</v>
      </c>
      <c r="M184" s="32">
        <v>55.766666666666666</v>
      </c>
      <c r="N184" s="32">
        <f t="shared" si="10"/>
        <v>-48.088376375000706</v>
      </c>
      <c r="P184" s="37"/>
      <c r="Q184" s="60"/>
      <c r="R184" s="37"/>
      <c r="S184" s="102"/>
      <c r="T184" s="103"/>
      <c r="U184" s="37"/>
      <c r="W184" s="104"/>
      <c r="Z184" s="66"/>
    </row>
    <row r="185" spans="5:26" s="35" customFormat="1">
      <c r="E185" s="30" t="str">
        <f t="shared" si="11"/>
        <v/>
      </c>
      <c r="F185" s="45">
        <v>5907</v>
      </c>
      <c r="G185" s="106" t="s">
        <v>564</v>
      </c>
      <c r="H185" s="32">
        <f t="shared" si="8"/>
        <v>306.61109708051214</v>
      </c>
      <c r="I185" s="32">
        <f t="shared" si="9"/>
        <v>57.8305549574442</v>
      </c>
      <c r="J185" s="33" t="s">
        <v>275</v>
      </c>
      <c r="K185" s="47">
        <v>10.3</v>
      </c>
      <c r="L185" s="34">
        <v>15.265000000000001</v>
      </c>
      <c r="M185" s="32">
        <v>56.333333333333336</v>
      </c>
      <c r="N185" s="32">
        <f t="shared" si="10"/>
        <v>-50.438376375000757</v>
      </c>
      <c r="P185" s="37"/>
      <c r="Q185" s="60"/>
      <c r="R185" s="37"/>
      <c r="S185" s="102"/>
      <c r="T185" s="103"/>
      <c r="U185" s="37"/>
      <c r="W185" s="104"/>
      <c r="Z185" s="66"/>
    </row>
    <row r="186" spans="5:26" s="35" customFormat="1">
      <c r="E186" s="30" t="str">
        <f t="shared" si="11"/>
        <v/>
      </c>
      <c r="F186" s="45">
        <v>6015</v>
      </c>
      <c r="G186" s="106" t="s">
        <v>564</v>
      </c>
      <c r="H186" s="32">
        <f t="shared" si="8"/>
        <v>42.380130651225109</v>
      </c>
      <c r="I186" s="32">
        <f t="shared" si="9"/>
        <v>53.625436483732891</v>
      </c>
      <c r="J186" s="33" t="s">
        <v>276</v>
      </c>
      <c r="K186" s="47">
        <v>11.1</v>
      </c>
      <c r="L186" s="34">
        <v>15.856666666666667</v>
      </c>
      <c r="M186" s="32">
        <v>62.3</v>
      </c>
      <c r="N186" s="32">
        <f t="shared" si="10"/>
        <v>-59.313376375000757</v>
      </c>
      <c r="P186" s="37"/>
      <c r="Q186" s="60"/>
      <c r="R186" s="37"/>
      <c r="S186" s="102"/>
      <c r="T186" s="103"/>
      <c r="U186" s="37"/>
      <c r="W186" s="104"/>
      <c r="Z186" s="66"/>
    </row>
    <row r="187" spans="5:26" s="35" customFormat="1">
      <c r="E187" s="30" t="str">
        <f t="shared" si="11"/>
        <v/>
      </c>
      <c r="F187" s="45">
        <v>6140</v>
      </c>
      <c r="G187" s="106" t="s">
        <v>564</v>
      </c>
      <c r="H187" s="32">
        <f t="shared" si="8"/>
        <v>322.96055364012796</v>
      </c>
      <c r="I187" s="32">
        <f t="shared" si="9"/>
        <v>50.566304103505502</v>
      </c>
      <c r="J187" s="33" t="s">
        <v>277</v>
      </c>
      <c r="K187" s="47">
        <v>11.3</v>
      </c>
      <c r="L187" s="34">
        <v>16.350000000000001</v>
      </c>
      <c r="M187" s="32">
        <v>65.38333333333334</v>
      </c>
      <c r="N187" s="32">
        <f t="shared" si="10"/>
        <v>-66.713376375000735</v>
      </c>
      <c r="P187" s="37"/>
      <c r="Q187" s="60"/>
      <c r="R187" s="37"/>
      <c r="S187" s="102"/>
      <c r="T187" s="103"/>
      <c r="U187" s="37"/>
      <c r="W187" s="104"/>
      <c r="Z187" s="66"/>
    </row>
    <row r="188" spans="5:26" s="35" customFormat="1">
      <c r="E188" s="30" t="str">
        <f t="shared" si="11"/>
        <v/>
      </c>
      <c r="F188" s="45">
        <v>6503</v>
      </c>
      <c r="G188" s="106" t="s">
        <v>564</v>
      </c>
      <c r="H188" s="32">
        <f t="shared" si="8"/>
        <v>332.16925964534022</v>
      </c>
      <c r="I188" s="32">
        <f t="shared" si="9"/>
        <v>43.350039156359919</v>
      </c>
      <c r="J188" s="33" t="s">
        <v>278</v>
      </c>
      <c r="K188" s="47">
        <v>10.199999999999999</v>
      </c>
      <c r="L188" s="34">
        <v>17.824999999999999</v>
      </c>
      <c r="M188" s="32">
        <v>70.150000000000006</v>
      </c>
      <c r="N188" s="32">
        <f t="shared" si="10"/>
        <v>-88.838376375000735</v>
      </c>
      <c r="P188" s="37"/>
      <c r="Q188" s="60"/>
      <c r="R188" s="37"/>
      <c r="S188" s="102"/>
      <c r="T188" s="103"/>
      <c r="U188" s="37"/>
      <c r="W188" s="104"/>
      <c r="Z188" s="66"/>
    </row>
    <row r="189" spans="5:26" s="35" customFormat="1">
      <c r="E189" s="30" t="str">
        <f t="shared" si="11"/>
        <v/>
      </c>
      <c r="F189" s="45">
        <v>6543</v>
      </c>
      <c r="G189" s="106" t="s">
        <v>564</v>
      </c>
      <c r="H189" s="32">
        <f t="shared" si="8"/>
        <v>328.14027523899512</v>
      </c>
      <c r="I189" s="32">
        <f t="shared" si="9"/>
        <v>41.301532790155498</v>
      </c>
      <c r="J189" s="33" t="s">
        <v>279</v>
      </c>
      <c r="K189" s="47">
        <v>8.3000000000000007</v>
      </c>
      <c r="L189" s="34">
        <v>17.976666666666667</v>
      </c>
      <c r="M189" s="32">
        <v>66.63333333333334</v>
      </c>
      <c r="N189" s="32">
        <f t="shared" si="10"/>
        <v>-91.113376375000712</v>
      </c>
      <c r="P189" s="37"/>
      <c r="Q189" s="61"/>
      <c r="R189" s="37"/>
      <c r="S189" s="102"/>
      <c r="T189" s="103"/>
      <c r="U189" s="37"/>
      <c r="W189" s="104"/>
      <c r="Z189" s="66"/>
    </row>
    <row r="190" spans="5:26" s="35" customFormat="1">
      <c r="E190" s="30" t="str">
        <f t="shared" si="11"/>
        <v/>
      </c>
      <c r="F190" s="45">
        <v>6643</v>
      </c>
      <c r="G190" s="106" t="s">
        <v>564</v>
      </c>
      <c r="H190" s="32">
        <f t="shared" si="8"/>
        <v>338.90968182908358</v>
      </c>
      <c r="I190" s="32">
        <f t="shared" si="9"/>
        <v>42.699877838805541</v>
      </c>
      <c r="J190" s="33" t="s">
        <v>280</v>
      </c>
      <c r="K190" s="47">
        <v>11.1</v>
      </c>
      <c r="L190" s="34">
        <v>18.329999999999998</v>
      </c>
      <c r="M190" s="32">
        <v>74.566666666666663</v>
      </c>
      <c r="N190" s="32">
        <f t="shared" si="10"/>
        <v>-96.413376375000723</v>
      </c>
      <c r="P190" s="37"/>
      <c r="Q190" s="61"/>
      <c r="R190" s="37"/>
      <c r="S190" s="102"/>
      <c r="T190" s="103"/>
      <c r="U190" s="37"/>
      <c r="W190" s="104"/>
      <c r="Z190" s="66"/>
    </row>
    <row r="191" spans="5:26" s="35" customFormat="1">
      <c r="E191" s="30" t="str">
        <f t="shared" si="11"/>
        <v/>
      </c>
      <c r="F191" s="45">
        <v>7015</v>
      </c>
      <c r="G191" s="106" t="s">
        <v>564</v>
      </c>
      <c r="H191" s="32">
        <f t="shared" si="8"/>
        <v>315.24175635601296</v>
      </c>
      <c r="I191" s="32">
        <f t="shared" si="9"/>
        <v>-20.937168892635455</v>
      </c>
      <c r="J191" s="33" t="s">
        <v>281</v>
      </c>
      <c r="K191" s="47">
        <v>12.5</v>
      </c>
      <c r="L191" s="34">
        <v>21.093333333333334</v>
      </c>
      <c r="M191" s="32">
        <v>11.416666666666666</v>
      </c>
      <c r="N191" s="32">
        <f t="shared" si="10"/>
        <v>-137.86337637500077</v>
      </c>
      <c r="P191" s="37"/>
      <c r="Q191" s="61"/>
      <c r="R191" s="37"/>
      <c r="S191" s="102"/>
      <c r="T191" s="103"/>
      <c r="U191" s="37"/>
      <c r="W191" s="104"/>
      <c r="Z191" s="66"/>
    </row>
    <row r="192" spans="5:26" s="35" customFormat="1">
      <c r="E192" s="30" t="str">
        <f t="shared" si="11"/>
        <v/>
      </c>
      <c r="F192" s="45">
        <v>1187</v>
      </c>
      <c r="G192" s="106" t="s">
        <v>564</v>
      </c>
      <c r="H192" s="32">
        <f t="shared" si="8"/>
        <v>74.537706247329524</v>
      </c>
      <c r="I192" s="32">
        <f t="shared" si="9"/>
        <v>-45.535051214095546</v>
      </c>
      <c r="J192" s="33" t="s">
        <v>282</v>
      </c>
      <c r="K192" s="47">
        <v>10.8</v>
      </c>
      <c r="L192" s="34">
        <v>3.0433333333333334</v>
      </c>
      <c r="M192" s="32">
        <v>-22.866666666666667</v>
      </c>
      <c r="N192" s="32">
        <f t="shared" si="10"/>
        <v>132.88662362499926</v>
      </c>
      <c r="P192" s="37"/>
      <c r="Q192" s="61"/>
      <c r="R192" s="37"/>
      <c r="S192" s="102"/>
      <c r="T192" s="103"/>
      <c r="U192" s="37"/>
      <c r="W192" s="104"/>
      <c r="Z192" s="66"/>
    </row>
    <row r="193" spans="5:26" s="35" customFormat="1">
      <c r="E193" s="30" t="str">
        <f t="shared" si="11"/>
        <v/>
      </c>
      <c r="F193" s="45">
        <v>1232</v>
      </c>
      <c r="G193" s="106" t="s">
        <v>564</v>
      </c>
      <c r="H193" s="32">
        <f t="shared" si="8"/>
        <v>73.898120999894218</v>
      </c>
      <c r="I193" s="32">
        <f t="shared" si="9"/>
        <v>-42.742455583236101</v>
      </c>
      <c r="J193" s="33" t="s">
        <v>283</v>
      </c>
      <c r="K193" s="47">
        <v>9.9</v>
      </c>
      <c r="L193" s="34">
        <v>3.1633333333333336</v>
      </c>
      <c r="M193" s="32">
        <v>-20.583333333333332</v>
      </c>
      <c r="N193" s="32">
        <f t="shared" si="10"/>
        <v>131.08662362499928</v>
      </c>
      <c r="P193" s="37"/>
      <c r="Q193" s="61"/>
      <c r="R193" s="37"/>
      <c r="S193" s="102"/>
      <c r="T193" s="103"/>
      <c r="U193" s="37"/>
      <c r="W193" s="104"/>
      <c r="Z193" s="66"/>
    </row>
    <row r="194" spans="5:26" s="35" customFormat="1">
      <c r="E194" s="30" t="str">
        <f t="shared" si="11"/>
        <v/>
      </c>
      <c r="F194" s="45">
        <v>1300</v>
      </c>
      <c r="G194" s="106" t="s">
        <v>564</v>
      </c>
      <c r="H194" s="32">
        <f t="shared" si="8"/>
        <v>74.996145764867634</v>
      </c>
      <c r="I194" s="32">
        <f t="shared" si="9"/>
        <v>-40.273842893513816</v>
      </c>
      <c r="J194" s="33" t="s">
        <v>284</v>
      </c>
      <c r="K194" s="47">
        <v>10.4</v>
      </c>
      <c r="L194" s="34">
        <v>3.3283333333333331</v>
      </c>
      <c r="M194" s="32">
        <v>-19.416666666666668</v>
      </c>
      <c r="N194" s="32">
        <f t="shared" si="10"/>
        <v>128.61162362499925</v>
      </c>
      <c r="P194" s="37"/>
      <c r="Q194" s="61"/>
      <c r="R194" s="37"/>
      <c r="S194" s="102"/>
      <c r="T194" s="103"/>
      <c r="U194" s="37"/>
      <c r="W194" s="104"/>
      <c r="Z194" s="66"/>
    </row>
    <row r="195" spans="5:26" s="35" customFormat="1">
      <c r="E195" s="30" t="str">
        <f t="shared" si="11"/>
        <v/>
      </c>
      <c r="F195" s="45">
        <v>1332</v>
      </c>
      <c r="G195" s="106" t="s">
        <v>564</v>
      </c>
      <c r="H195" s="32">
        <f t="shared" si="8"/>
        <v>78.215316150711303</v>
      </c>
      <c r="I195" s="32">
        <f t="shared" si="9"/>
        <v>-40.508114035908363</v>
      </c>
      <c r="J195" s="33" t="s">
        <v>285</v>
      </c>
      <c r="K195" s="47">
        <v>10.3</v>
      </c>
      <c r="L195" s="34">
        <v>3.4383333333333335</v>
      </c>
      <c r="M195" s="32">
        <v>-21.333333333333332</v>
      </c>
      <c r="N195" s="32">
        <f t="shared" si="10"/>
        <v>126.96162362499928</v>
      </c>
      <c r="P195" s="37"/>
      <c r="Q195" s="61"/>
      <c r="R195" s="37"/>
      <c r="S195" s="102"/>
      <c r="T195" s="103"/>
      <c r="U195" s="37"/>
      <c r="W195" s="104"/>
      <c r="Z195" s="66"/>
    </row>
    <row r="196" spans="5:26" s="35" customFormat="1">
      <c r="E196" s="30" t="str">
        <f t="shared" si="11"/>
        <v/>
      </c>
      <c r="F196" s="45">
        <v>1331</v>
      </c>
      <c r="G196" s="106" t="s">
        <v>564</v>
      </c>
      <c r="H196" s="32">
        <f t="shared" si="8"/>
        <v>78.273420988009434</v>
      </c>
      <c r="I196" s="32">
        <f t="shared" si="9"/>
        <v>-40.485880457244875</v>
      </c>
      <c r="J196" s="33" t="s">
        <v>286</v>
      </c>
      <c r="K196" s="47">
        <v>13.4</v>
      </c>
      <c r="L196" s="34">
        <v>3.4416666666666664</v>
      </c>
      <c r="M196" s="32">
        <v>-21.35</v>
      </c>
      <c r="N196" s="32">
        <f t="shared" si="10"/>
        <v>126.91162362499927</v>
      </c>
      <c r="P196" s="37"/>
      <c r="Q196" s="61"/>
      <c r="R196" s="37"/>
      <c r="S196" s="102"/>
      <c r="T196" s="103"/>
      <c r="U196" s="37"/>
      <c r="W196" s="104"/>
      <c r="Z196" s="66"/>
    </row>
    <row r="197" spans="5:26" s="35" customFormat="1">
      <c r="E197" s="30" t="str">
        <f t="shared" si="11"/>
        <v/>
      </c>
      <c r="F197" s="45">
        <v>1395</v>
      </c>
      <c r="G197" s="106" t="s">
        <v>564</v>
      </c>
      <c r="H197" s="32">
        <f t="shared" si="8"/>
        <v>277.64732243801404</v>
      </c>
      <c r="I197" s="32">
        <f t="shared" si="9"/>
        <v>-39.593005893471798</v>
      </c>
      <c r="J197" s="33" t="s">
        <v>287</v>
      </c>
      <c r="K197" s="47">
        <v>9.6</v>
      </c>
      <c r="L197" s="34">
        <v>3.6416666666666666</v>
      </c>
      <c r="M197" s="32">
        <v>-23.033333333333335</v>
      </c>
      <c r="N197" s="32">
        <f t="shared" si="10"/>
        <v>123.91162362499927</v>
      </c>
      <c r="P197" s="37"/>
      <c r="Q197" s="61"/>
      <c r="R197" s="37"/>
      <c r="S197" s="102"/>
      <c r="T197" s="103"/>
      <c r="U197" s="37"/>
      <c r="W197" s="104"/>
      <c r="Z197" s="66"/>
    </row>
    <row r="198" spans="5:26" s="35" customFormat="1">
      <c r="E198" s="30" t="str">
        <f t="shared" si="11"/>
        <v/>
      </c>
      <c r="F198" s="45">
        <v>1400</v>
      </c>
      <c r="G198" s="106" t="s">
        <v>564</v>
      </c>
      <c r="H198" s="32">
        <f t="shared" si="8"/>
        <v>281.46086096581308</v>
      </c>
      <c r="I198" s="32">
        <f t="shared" si="9"/>
        <v>-36.437402664598281</v>
      </c>
      <c r="J198" s="33" t="s">
        <v>288</v>
      </c>
      <c r="K198" s="47">
        <v>11</v>
      </c>
      <c r="L198" s="34">
        <v>3.6583333333333332</v>
      </c>
      <c r="M198" s="32">
        <v>-18.683333333333334</v>
      </c>
      <c r="N198" s="32">
        <f t="shared" si="10"/>
        <v>123.66162362499927</v>
      </c>
      <c r="P198" s="37"/>
      <c r="Q198" s="61"/>
      <c r="R198" s="37"/>
      <c r="S198" s="102"/>
      <c r="T198" s="103"/>
      <c r="U198" s="37"/>
      <c r="W198" s="104"/>
      <c r="Z198" s="66"/>
    </row>
    <row r="199" spans="5:26" s="35" customFormat="1">
      <c r="E199" s="30" t="str">
        <f t="shared" si="11"/>
        <v/>
      </c>
      <c r="F199" s="45">
        <v>1407</v>
      </c>
      <c r="G199" s="106" t="s">
        <v>564</v>
      </c>
      <c r="H199" s="32">
        <f t="shared" si="8"/>
        <v>78.595080543447878</v>
      </c>
      <c r="I199" s="32">
        <f t="shared" si="9"/>
        <v>-36.249072666414861</v>
      </c>
      <c r="J199" s="33" t="s">
        <v>289</v>
      </c>
      <c r="K199" s="47">
        <v>9.6999999999999993</v>
      </c>
      <c r="L199" s="34">
        <v>3.67</v>
      </c>
      <c r="M199" s="32">
        <v>-18.583333333333332</v>
      </c>
      <c r="N199" s="32">
        <f t="shared" si="10"/>
        <v>123.48662362499925</v>
      </c>
      <c r="P199" s="37"/>
      <c r="Q199" s="61"/>
      <c r="R199" s="37"/>
      <c r="S199" s="102"/>
      <c r="T199" s="103"/>
      <c r="U199" s="37"/>
      <c r="W199" s="104"/>
      <c r="Z199" s="66"/>
    </row>
    <row r="200" spans="5:26" s="35" customFormat="1">
      <c r="E200" s="30" t="str">
        <f t="shared" si="11"/>
        <v/>
      </c>
      <c r="F200" s="45">
        <v>1421</v>
      </c>
      <c r="G200" s="106" t="s">
        <v>564</v>
      </c>
      <c r="H200" s="32">
        <f t="shared" ref="H200:H263" si="12">IF(SIN($C$14*N200)&lt;0,ACOS((SIN($M$512*M200)-SIN($M$512*I200)*SIN($M$512*$C$13))/(COS($M$512*I200)*COS($M$512*$C$13)))/$M$512,360-ACOS((SIN($M$512*M200)-SIN($M$512*I200)*SIN($M$512*$C$13))/(COS($M$512*I200)*COS($M$512*$C$13)))/$M$512)</f>
        <v>285.23258997908601</v>
      </c>
      <c r="I200" s="32">
        <f t="shared" ref="I200:I263" si="13">ASIN(SIN($M$512*M200)*SIN($M$512*$C$13)+COS($M$512*M200)*COS($M$512*$C$13)*COS($M$512*N200))/$M$512</f>
        <v>-32.210376221895686</v>
      </c>
      <c r="J200" s="33" t="s">
        <v>290</v>
      </c>
      <c r="K200" s="47">
        <v>11.4</v>
      </c>
      <c r="L200" s="34">
        <v>3.7083333333333335</v>
      </c>
      <c r="M200" s="32">
        <v>-13.483333333333333</v>
      </c>
      <c r="N200" s="32">
        <f t="shared" ref="N200:N263" si="14">$C$16-((L200/24)*360)</f>
        <v>122.91162362499927</v>
      </c>
      <c r="P200" s="37"/>
      <c r="Q200" s="61"/>
      <c r="R200" s="37"/>
      <c r="S200" s="102"/>
      <c r="T200" s="103"/>
      <c r="U200" s="37"/>
      <c r="W200" s="104"/>
      <c r="Z200" s="66"/>
    </row>
    <row r="201" spans="5:26" s="35" customFormat="1">
      <c r="E201" s="30" t="str">
        <f t="shared" ref="E201:E264" si="15">IF(AND(I201&gt;=$I$4,I201&lt;=$I$6,H201&gt;=$H$4,H201&lt;=$H$6),IF(VLOOKUP(G201,$C$19:$D$24,2,FALSE)="yes","*","-"),"")</f>
        <v/>
      </c>
      <c r="F201" s="45">
        <v>1507</v>
      </c>
      <c r="G201" s="106" t="s">
        <v>564</v>
      </c>
      <c r="H201" s="32">
        <f t="shared" si="12"/>
        <v>70.899868880308148</v>
      </c>
      <c r="I201" s="32">
        <f t="shared" si="13"/>
        <v>-20.156002229674481</v>
      </c>
      <c r="J201" s="33" t="s">
        <v>291</v>
      </c>
      <c r="K201" s="47">
        <v>12.3</v>
      </c>
      <c r="L201" s="34">
        <v>4.0750000000000002</v>
      </c>
      <c r="M201" s="32">
        <v>-2.1833333333333331</v>
      </c>
      <c r="N201" s="32">
        <f t="shared" si="14"/>
        <v>117.41162362499927</v>
      </c>
      <c r="P201" s="37"/>
      <c r="Q201" s="61"/>
      <c r="R201" s="37"/>
      <c r="S201" s="102"/>
      <c r="T201" s="103"/>
      <c r="U201" s="37"/>
      <c r="W201" s="104"/>
      <c r="Z201" s="66"/>
    </row>
    <row r="202" spans="5:26" s="35" customFormat="1">
      <c r="E202" s="30" t="str">
        <f t="shared" si="15"/>
        <v/>
      </c>
      <c r="F202" s="45">
        <v>1531</v>
      </c>
      <c r="G202" s="106" t="s">
        <v>564</v>
      </c>
      <c r="H202" s="32">
        <f t="shared" si="12"/>
        <v>261.65028894091739</v>
      </c>
      <c r="I202" s="32">
        <f t="shared" si="13"/>
        <v>-39.990968231678984</v>
      </c>
      <c r="J202" s="33" t="s">
        <v>292</v>
      </c>
      <c r="K202" s="47">
        <v>12.2</v>
      </c>
      <c r="L202" s="34">
        <v>4.2</v>
      </c>
      <c r="M202" s="32">
        <v>-32.85</v>
      </c>
      <c r="N202" s="32">
        <f t="shared" si="14"/>
        <v>115.53662362499927</v>
      </c>
      <c r="P202" s="37"/>
      <c r="Q202" s="61"/>
      <c r="R202" s="37"/>
      <c r="S202" s="102"/>
      <c r="T202" s="103"/>
      <c r="U202" s="37"/>
      <c r="W202" s="104"/>
      <c r="Z202" s="66"/>
    </row>
    <row r="203" spans="5:26" s="35" customFormat="1">
      <c r="E203" s="30" t="str">
        <f t="shared" si="15"/>
        <v/>
      </c>
      <c r="F203" s="45">
        <v>1532</v>
      </c>
      <c r="G203" s="106" t="s">
        <v>564</v>
      </c>
      <c r="H203" s="32">
        <f t="shared" si="12"/>
        <v>261.6166197716114</v>
      </c>
      <c r="I203" s="32">
        <f t="shared" si="13"/>
        <v>-39.983666542724769</v>
      </c>
      <c r="J203" s="33" t="s">
        <v>293</v>
      </c>
      <c r="K203" s="47">
        <v>9.9</v>
      </c>
      <c r="L203" s="34">
        <v>4.2016666666666662</v>
      </c>
      <c r="M203" s="32">
        <v>-32.866666666666667</v>
      </c>
      <c r="N203" s="32">
        <f t="shared" si="14"/>
        <v>115.51162362499927</v>
      </c>
      <c r="P203" s="37"/>
      <c r="Q203" s="61"/>
      <c r="R203" s="37"/>
      <c r="S203" s="102"/>
      <c r="T203" s="103"/>
      <c r="U203" s="37"/>
      <c r="W203" s="104"/>
      <c r="Z203" s="66"/>
    </row>
    <row r="204" spans="5:26" s="35" customFormat="1">
      <c r="E204" s="30" t="str">
        <f t="shared" si="15"/>
        <v/>
      </c>
      <c r="F204" s="45">
        <v>1535</v>
      </c>
      <c r="G204" s="106" t="s">
        <v>564</v>
      </c>
      <c r="H204" s="32">
        <f t="shared" si="12"/>
        <v>80.594705061748655</v>
      </c>
      <c r="I204" s="32">
        <f t="shared" si="13"/>
        <v>-26.318426998567606</v>
      </c>
      <c r="J204" s="33" t="s">
        <v>294</v>
      </c>
      <c r="K204" s="47">
        <v>10.4</v>
      </c>
      <c r="L204" s="34">
        <v>4.2383333333333333</v>
      </c>
      <c r="M204" s="32">
        <v>-12.733333333333333</v>
      </c>
      <c r="N204" s="32">
        <f t="shared" si="14"/>
        <v>114.96162362499928</v>
      </c>
      <c r="P204" s="37"/>
      <c r="Q204" s="61"/>
      <c r="R204" s="37"/>
      <c r="S204" s="102"/>
      <c r="T204" s="103"/>
      <c r="U204" s="37"/>
      <c r="W204" s="104"/>
      <c r="Z204" s="66"/>
    </row>
    <row r="205" spans="5:26" s="35" customFormat="1">
      <c r="E205" s="30" t="str">
        <f t="shared" si="15"/>
        <v/>
      </c>
      <c r="F205" s="45">
        <v>1316</v>
      </c>
      <c r="G205" s="106" t="s">
        <v>564</v>
      </c>
      <c r="H205" s="32">
        <f t="shared" si="12"/>
        <v>95.652090600862095</v>
      </c>
      <c r="I205" s="32">
        <f t="shared" si="13"/>
        <v>-50.807420280973794</v>
      </c>
      <c r="J205" s="33" t="s">
        <v>295</v>
      </c>
      <c r="K205" s="47">
        <v>8.1999999999999993</v>
      </c>
      <c r="L205" s="34">
        <v>3.3783333333333334</v>
      </c>
      <c r="M205" s="32">
        <v>-37.200000000000003</v>
      </c>
      <c r="N205" s="32">
        <f t="shared" si="14"/>
        <v>127.86162362499927</v>
      </c>
      <c r="P205" s="37"/>
      <c r="Q205" s="61"/>
      <c r="R205" s="37"/>
      <c r="S205" s="102"/>
      <c r="T205" s="103"/>
      <c r="U205" s="37"/>
      <c r="W205" s="104"/>
      <c r="Z205" s="66"/>
    </row>
    <row r="206" spans="5:26" s="35" customFormat="1">
      <c r="E206" s="30" t="str">
        <f t="shared" si="15"/>
        <v/>
      </c>
      <c r="F206" s="45">
        <v>1360</v>
      </c>
      <c r="G206" s="106" t="s">
        <v>564</v>
      </c>
      <c r="H206" s="32">
        <f t="shared" si="12"/>
        <v>84.121058623507238</v>
      </c>
      <c r="I206" s="32">
        <f t="shared" si="13"/>
        <v>-42.368092027356056</v>
      </c>
      <c r="J206" s="33" t="s">
        <v>296</v>
      </c>
      <c r="K206" s="47">
        <v>9.4</v>
      </c>
      <c r="L206" s="34">
        <v>3.5533333333333332</v>
      </c>
      <c r="M206" s="32">
        <v>-25.866666666666667</v>
      </c>
      <c r="N206" s="32">
        <f t="shared" si="14"/>
        <v>125.23662362499927</v>
      </c>
      <c r="P206" s="37"/>
      <c r="Q206" s="61"/>
      <c r="R206" s="37"/>
      <c r="S206" s="102"/>
      <c r="T206" s="103"/>
      <c r="U206" s="37"/>
      <c r="W206" s="104"/>
      <c r="Z206" s="66"/>
    </row>
    <row r="207" spans="5:26" s="35" customFormat="1">
      <c r="E207" s="30" t="str">
        <f t="shared" si="15"/>
        <v/>
      </c>
      <c r="F207" s="45">
        <v>1365</v>
      </c>
      <c r="G207" s="106" t="s">
        <v>564</v>
      </c>
      <c r="H207" s="32">
        <f t="shared" si="12"/>
        <v>95.996717723137493</v>
      </c>
      <c r="I207" s="32">
        <f t="shared" si="13"/>
        <v>-48.385666797343504</v>
      </c>
      <c r="J207" s="33" t="s">
        <v>297</v>
      </c>
      <c r="K207" s="47">
        <v>9.6</v>
      </c>
      <c r="L207" s="34">
        <v>3.56</v>
      </c>
      <c r="M207" s="32">
        <v>-36.133333333333333</v>
      </c>
      <c r="N207" s="32">
        <f t="shared" si="14"/>
        <v>125.13662362499926</v>
      </c>
      <c r="P207" s="37"/>
      <c r="Q207" s="61"/>
      <c r="R207" s="37"/>
      <c r="S207" s="102"/>
      <c r="T207" s="103"/>
      <c r="U207" s="37"/>
      <c r="W207" s="104"/>
      <c r="Z207" s="66"/>
    </row>
    <row r="208" spans="5:26" s="35" customFormat="1">
      <c r="E208" s="30" t="str">
        <f t="shared" si="15"/>
        <v/>
      </c>
      <c r="F208" s="45">
        <v>1369</v>
      </c>
      <c r="G208" s="106" t="s">
        <v>564</v>
      </c>
      <c r="H208" s="32">
        <f t="shared" si="12"/>
        <v>96.657094816430345</v>
      </c>
      <c r="I208" s="32">
        <f t="shared" si="13"/>
        <v>-47.89957539989723</v>
      </c>
      <c r="J208" s="33" t="s">
        <v>298</v>
      </c>
      <c r="K208" s="47">
        <v>12.7</v>
      </c>
      <c r="L208" s="34">
        <v>3.6133333333333333</v>
      </c>
      <c r="M208" s="32">
        <v>-36.25</v>
      </c>
      <c r="N208" s="32">
        <f t="shared" si="14"/>
        <v>124.33662362499926</v>
      </c>
      <c r="P208" s="37"/>
      <c r="Q208" s="61"/>
      <c r="R208" s="37"/>
      <c r="S208" s="102"/>
      <c r="T208" s="103"/>
      <c r="U208" s="37"/>
      <c r="W208" s="104"/>
      <c r="Z208" s="66"/>
    </row>
    <row r="209" spans="5:26" s="35" customFormat="1">
      <c r="E209" s="30" t="str">
        <f t="shared" si="15"/>
        <v/>
      </c>
      <c r="F209" s="45">
        <v>1399</v>
      </c>
      <c r="G209" s="106" t="s">
        <v>564</v>
      </c>
      <c r="H209" s="32">
        <f t="shared" si="12"/>
        <v>264.07126343775576</v>
      </c>
      <c r="I209" s="32">
        <f t="shared" si="13"/>
        <v>-47.180606466005727</v>
      </c>
      <c r="J209" s="33" t="s">
        <v>299</v>
      </c>
      <c r="K209" s="47">
        <v>9.6</v>
      </c>
      <c r="L209" s="34">
        <v>3.6416666666666666</v>
      </c>
      <c r="M209" s="32">
        <v>-35.450000000000003</v>
      </c>
      <c r="N209" s="32">
        <f t="shared" si="14"/>
        <v>123.91162362499927</v>
      </c>
      <c r="P209" s="37"/>
      <c r="Q209" s="61"/>
      <c r="R209" s="37"/>
      <c r="S209" s="102"/>
      <c r="T209" s="103"/>
      <c r="U209" s="37"/>
      <c r="W209" s="104"/>
      <c r="Z209" s="66"/>
    </row>
    <row r="210" spans="5:26" s="35" customFormat="1">
      <c r="E210" s="30" t="str">
        <f t="shared" si="15"/>
        <v/>
      </c>
      <c r="F210" s="45">
        <v>1398</v>
      </c>
      <c r="G210" s="106" t="s">
        <v>564</v>
      </c>
      <c r="H210" s="32">
        <f t="shared" si="12"/>
        <v>274.28760578743839</v>
      </c>
      <c r="I210" s="32">
        <f t="shared" si="13"/>
        <v>-41.691169980303009</v>
      </c>
      <c r="J210" s="33"/>
      <c r="K210" s="47">
        <v>9.5</v>
      </c>
      <c r="L210" s="34">
        <v>3.6483333333333334</v>
      </c>
      <c r="M210" s="32">
        <v>-26.333333333333332</v>
      </c>
      <c r="N210" s="32">
        <f t="shared" si="14"/>
        <v>123.81162362499927</v>
      </c>
      <c r="P210" s="37"/>
      <c r="Q210" s="61"/>
      <c r="R210" s="37"/>
      <c r="S210" s="102"/>
      <c r="T210" s="103"/>
      <c r="U210" s="37"/>
      <c r="W210" s="104"/>
      <c r="Z210" s="66"/>
    </row>
    <row r="211" spans="5:26" s="35" customFormat="1">
      <c r="E211" s="30" t="str">
        <f t="shared" si="15"/>
        <v/>
      </c>
      <c r="F211" s="45">
        <v>1404</v>
      </c>
      <c r="G211" s="106" t="s">
        <v>564</v>
      </c>
      <c r="H211" s="32">
        <f t="shared" si="12"/>
        <v>263.82082202685547</v>
      </c>
      <c r="I211" s="32">
        <f t="shared" si="13"/>
        <v>-47.193050189317425</v>
      </c>
      <c r="J211" s="33" t="s">
        <v>300</v>
      </c>
      <c r="K211" s="47">
        <v>10</v>
      </c>
      <c r="L211" s="34">
        <v>3.6483333333333334</v>
      </c>
      <c r="M211" s="32">
        <v>-35.6</v>
      </c>
      <c r="N211" s="32">
        <f t="shared" si="14"/>
        <v>123.81162362499927</v>
      </c>
      <c r="P211" s="37"/>
      <c r="Q211" s="61"/>
      <c r="R211" s="37"/>
      <c r="S211" s="102"/>
      <c r="T211" s="103"/>
      <c r="U211" s="37"/>
      <c r="W211" s="104"/>
      <c r="Z211" s="66"/>
    </row>
    <row r="212" spans="5:26" s="35" customFormat="1">
      <c r="E212" s="30" t="str">
        <f t="shared" si="15"/>
        <v/>
      </c>
      <c r="F212" s="45">
        <v>2129</v>
      </c>
      <c r="G212" s="106" t="s">
        <v>564</v>
      </c>
      <c r="H212" s="32">
        <f t="shared" si="12"/>
        <v>285.38171191321845</v>
      </c>
      <c r="I212" s="32">
        <f t="shared" si="13"/>
        <v>17.822456742094666</v>
      </c>
      <c r="J212" s="33" t="s">
        <v>301</v>
      </c>
      <c r="K212" s="47">
        <v>6.7</v>
      </c>
      <c r="L212" s="34">
        <v>6.0183333333333335</v>
      </c>
      <c r="M212" s="32">
        <v>23.316666666666666</v>
      </c>
      <c r="N212" s="32">
        <f t="shared" si="14"/>
        <v>88.26162362499926</v>
      </c>
      <c r="P212" s="37"/>
      <c r="Q212" s="61"/>
      <c r="R212" s="37"/>
      <c r="S212" s="102"/>
      <c r="T212" s="103"/>
      <c r="U212" s="37"/>
      <c r="W212" s="104"/>
      <c r="Z212" s="66"/>
    </row>
    <row r="213" spans="5:26" s="35" customFormat="1">
      <c r="E213" s="30" t="str">
        <f t="shared" si="15"/>
        <v/>
      </c>
      <c r="F213" s="45">
        <v>2158</v>
      </c>
      <c r="G213" s="106" t="s">
        <v>564</v>
      </c>
      <c r="H213" s="32">
        <f t="shared" si="12"/>
        <v>284.93614453692925</v>
      </c>
      <c r="I213" s="32">
        <f t="shared" si="13"/>
        <v>19.40828087310992</v>
      </c>
      <c r="J213" s="33" t="s">
        <v>302</v>
      </c>
      <c r="K213" s="47">
        <v>8.6</v>
      </c>
      <c r="L213" s="34">
        <v>6.1233333333333331</v>
      </c>
      <c r="M213" s="32">
        <v>24.1</v>
      </c>
      <c r="N213" s="32">
        <f t="shared" si="14"/>
        <v>86.686623624999271</v>
      </c>
      <c r="P213" s="37"/>
      <c r="Q213" s="61"/>
      <c r="R213" s="37"/>
      <c r="S213" s="102"/>
      <c r="T213" s="103"/>
      <c r="U213" s="37"/>
      <c r="W213" s="104"/>
      <c r="Z213" s="66"/>
    </row>
    <row r="214" spans="5:26" s="35" customFormat="1">
      <c r="E214" s="30" t="str">
        <f t="shared" si="15"/>
        <v/>
      </c>
      <c r="F214" s="45">
        <v>2168</v>
      </c>
      <c r="G214" s="106" t="s">
        <v>564</v>
      </c>
      <c r="H214" s="32">
        <f t="shared" si="12"/>
        <v>75.134704836353933</v>
      </c>
      <c r="I214" s="32">
        <f t="shared" si="13"/>
        <v>19.845440080737035</v>
      </c>
      <c r="J214" s="33" t="s">
        <v>40</v>
      </c>
      <c r="K214" s="47">
        <v>5.0999999999999996</v>
      </c>
      <c r="L214" s="34">
        <v>6.15</v>
      </c>
      <c r="M214" s="32">
        <v>24.35</v>
      </c>
      <c r="N214" s="32">
        <f t="shared" si="14"/>
        <v>86.286623624999251</v>
      </c>
      <c r="P214" s="37"/>
      <c r="Q214" s="61"/>
      <c r="R214" s="37"/>
      <c r="S214" s="102"/>
      <c r="T214" s="103"/>
      <c r="U214" s="37"/>
      <c r="W214" s="104"/>
      <c r="Z214" s="66"/>
    </row>
    <row r="215" spans="5:26" s="35" customFormat="1">
      <c r="E215" s="30" t="str">
        <f t="shared" si="15"/>
        <v/>
      </c>
      <c r="F215" s="45">
        <v>2266</v>
      </c>
      <c r="G215" s="106" t="s">
        <v>564</v>
      </c>
      <c r="H215" s="32">
        <f t="shared" si="12"/>
        <v>78.640515916418067</v>
      </c>
      <c r="I215" s="32">
        <f t="shared" si="13"/>
        <v>27.345765352063367</v>
      </c>
      <c r="J215" s="33" t="s">
        <v>303</v>
      </c>
      <c r="K215" s="47">
        <v>9.5</v>
      </c>
      <c r="L215" s="34">
        <v>6.7216666666666667</v>
      </c>
      <c r="M215" s="32">
        <v>26.966666666666665</v>
      </c>
      <c r="N215" s="32">
        <f t="shared" si="14"/>
        <v>77.711623624999277</v>
      </c>
      <c r="P215" s="37"/>
      <c r="Q215" s="61"/>
      <c r="R215" s="37"/>
      <c r="S215" s="102"/>
      <c r="T215" s="103"/>
      <c r="U215" s="37"/>
      <c r="W215" s="104"/>
      <c r="Z215" s="66"/>
    </row>
    <row r="216" spans="5:26" s="35" customFormat="1">
      <c r="E216" s="30" t="str">
        <f t="shared" si="15"/>
        <v/>
      </c>
      <c r="F216" s="45">
        <v>2355</v>
      </c>
      <c r="G216" s="106" t="s">
        <v>564</v>
      </c>
      <c r="H216" s="32">
        <f t="shared" si="12"/>
        <v>95.35966104629955</v>
      </c>
      <c r="I216" s="32">
        <f t="shared" si="13"/>
        <v>24.140456054277688</v>
      </c>
      <c r="J216" s="33">
        <v>2356</v>
      </c>
      <c r="K216" s="47">
        <v>9.6999999999999993</v>
      </c>
      <c r="L216" s="34">
        <v>7.2833333333333332</v>
      </c>
      <c r="M216" s="32">
        <v>13.75</v>
      </c>
      <c r="N216" s="32">
        <f t="shared" si="14"/>
        <v>69.28662362499928</v>
      </c>
      <c r="P216" s="37"/>
      <c r="Q216" s="61"/>
      <c r="R216" s="37"/>
      <c r="S216" s="102"/>
      <c r="T216" s="103"/>
      <c r="U216" s="37"/>
      <c r="W216" s="104"/>
      <c r="Z216" s="66"/>
    </row>
    <row r="217" spans="5:26" s="35" customFormat="1">
      <c r="E217" s="30" t="str">
        <f t="shared" si="15"/>
        <v/>
      </c>
      <c r="F217" s="45" t="s">
        <v>94</v>
      </c>
      <c r="G217" s="106" t="s">
        <v>564</v>
      </c>
      <c r="H217" s="32">
        <f t="shared" si="12"/>
        <v>276.68173802285605</v>
      </c>
      <c r="I217" s="32">
        <f t="shared" si="13"/>
        <v>36.138617745501762</v>
      </c>
      <c r="J217" s="33" t="s">
        <v>304</v>
      </c>
      <c r="K217" s="47">
        <v>13</v>
      </c>
      <c r="L217" s="34">
        <v>7.4266666666666667</v>
      </c>
      <c r="M217" s="32">
        <v>29.483333333333334</v>
      </c>
      <c r="N217" s="32">
        <f t="shared" si="14"/>
        <v>67.13662362499926</v>
      </c>
      <c r="P217" s="37"/>
      <c r="Q217" s="61"/>
      <c r="R217" s="37"/>
      <c r="S217" s="102"/>
      <c r="T217" s="103"/>
      <c r="U217" s="37"/>
      <c r="W217" s="104"/>
      <c r="Z217" s="66"/>
    </row>
    <row r="218" spans="5:26" s="35" customFormat="1">
      <c r="E218" s="30" t="str">
        <f t="shared" si="15"/>
        <v/>
      </c>
      <c r="F218" s="45">
        <v>2392</v>
      </c>
      <c r="G218" s="106" t="s">
        <v>564</v>
      </c>
      <c r="H218" s="32">
        <f t="shared" si="12"/>
        <v>268.20220495991794</v>
      </c>
      <c r="I218" s="32">
        <f t="shared" si="13"/>
        <v>31.204206480864343</v>
      </c>
      <c r="J218" s="33" t="s">
        <v>305</v>
      </c>
      <c r="K218" s="47">
        <v>8.6</v>
      </c>
      <c r="L218" s="34">
        <v>7.4866666666666664</v>
      </c>
      <c r="M218" s="32">
        <v>20.916666666666668</v>
      </c>
      <c r="N218" s="32">
        <f t="shared" si="14"/>
        <v>66.236623624999282</v>
      </c>
      <c r="P218" s="37"/>
      <c r="Q218" s="61"/>
      <c r="R218" s="37"/>
      <c r="S218" s="102"/>
      <c r="T218" s="103"/>
      <c r="U218" s="37"/>
      <c r="W218" s="104"/>
      <c r="Z218" s="66"/>
    </row>
    <row r="219" spans="5:26" s="35" customFormat="1">
      <c r="E219" s="30" t="str">
        <f t="shared" si="15"/>
        <v/>
      </c>
      <c r="F219" s="45">
        <v>2420</v>
      </c>
      <c r="G219" s="106" t="s">
        <v>564</v>
      </c>
      <c r="H219" s="32">
        <f t="shared" si="12"/>
        <v>92.938674895043164</v>
      </c>
      <c r="I219" s="32">
        <f t="shared" si="13"/>
        <v>33.225712445003118</v>
      </c>
      <c r="J219" s="33" t="s">
        <v>306</v>
      </c>
      <c r="K219" s="47">
        <v>8.3000000000000007</v>
      </c>
      <c r="L219" s="34">
        <v>7.64</v>
      </c>
      <c r="M219" s="32">
        <v>21.566666666666666</v>
      </c>
      <c r="N219" s="32">
        <f t="shared" si="14"/>
        <v>63.936623624999271</v>
      </c>
      <c r="P219" s="37"/>
      <c r="Q219" s="61"/>
      <c r="R219" s="37"/>
      <c r="S219" s="102"/>
      <c r="T219" s="103"/>
      <c r="U219" s="37"/>
      <c r="W219" s="104"/>
      <c r="Z219" s="66"/>
    </row>
    <row r="220" spans="5:26" s="35" customFormat="1">
      <c r="E220" s="30" t="str">
        <f t="shared" si="15"/>
        <v/>
      </c>
      <c r="F220" s="45" t="s">
        <v>95</v>
      </c>
      <c r="G220" s="106" t="s">
        <v>564</v>
      </c>
      <c r="H220" s="32">
        <f t="shared" si="12"/>
        <v>100.43127323261263</v>
      </c>
      <c r="I220" s="32">
        <f t="shared" si="13"/>
        <v>26.280164055549552</v>
      </c>
      <c r="J220" s="33" t="s">
        <v>307</v>
      </c>
      <c r="K220" s="47">
        <v>11</v>
      </c>
      <c r="L220" s="34">
        <v>16.195</v>
      </c>
      <c r="M220" s="32">
        <v>12.066666666666666</v>
      </c>
      <c r="N220" s="32">
        <f t="shared" si="14"/>
        <v>-64.388376375000746</v>
      </c>
      <c r="P220" s="37"/>
      <c r="Q220" s="61"/>
      <c r="R220" s="37"/>
      <c r="S220" s="102"/>
      <c r="T220" s="103"/>
      <c r="U220" s="37"/>
      <c r="W220" s="104"/>
      <c r="Z220" s="66"/>
    </row>
    <row r="221" spans="5:26" s="35" customFormat="1">
      <c r="E221" s="30" t="str">
        <f t="shared" si="15"/>
        <v/>
      </c>
      <c r="F221" s="45">
        <v>6205</v>
      </c>
      <c r="G221" s="106" t="s">
        <v>564</v>
      </c>
      <c r="H221" s="32">
        <f t="shared" si="12"/>
        <v>286.63054078170262</v>
      </c>
      <c r="I221" s="32">
        <f t="shared" si="13"/>
        <v>37.08655835423037</v>
      </c>
      <c r="J221" s="33" t="s">
        <v>308</v>
      </c>
      <c r="K221" s="47">
        <v>5.8</v>
      </c>
      <c r="L221" s="34">
        <v>16.695</v>
      </c>
      <c r="M221" s="32">
        <v>36.466666666666669</v>
      </c>
      <c r="N221" s="32">
        <f t="shared" si="14"/>
        <v>-71.888376375000746</v>
      </c>
      <c r="P221" s="37"/>
      <c r="Q221" s="61"/>
      <c r="R221" s="37"/>
      <c r="S221" s="102"/>
      <c r="T221" s="103"/>
      <c r="U221" s="37"/>
      <c r="W221" s="104"/>
      <c r="Z221" s="66"/>
    </row>
    <row r="222" spans="5:26" s="35" customFormat="1">
      <c r="E222" s="30" t="str">
        <f t="shared" si="15"/>
        <v/>
      </c>
      <c r="F222" s="45">
        <v>6207</v>
      </c>
      <c r="G222" s="106" t="s">
        <v>564</v>
      </c>
      <c r="H222" s="32">
        <f t="shared" si="12"/>
        <v>72.791235458747195</v>
      </c>
      <c r="I222" s="32">
        <f t="shared" si="13"/>
        <v>37.064878910587858</v>
      </c>
      <c r="J222" s="33" t="s">
        <v>309</v>
      </c>
      <c r="K222" s="47">
        <v>11.6</v>
      </c>
      <c r="L222" s="34">
        <v>16.718333333333334</v>
      </c>
      <c r="M222" s="32">
        <v>36.833333333333336</v>
      </c>
      <c r="N222" s="32">
        <f t="shared" si="14"/>
        <v>-72.23837637500074</v>
      </c>
      <c r="P222" s="37"/>
      <c r="Q222" s="61"/>
      <c r="R222" s="37"/>
      <c r="S222" s="102"/>
      <c r="T222" s="103"/>
      <c r="U222" s="37"/>
      <c r="W222" s="104"/>
      <c r="Z222" s="66"/>
    </row>
    <row r="223" spans="5:26" s="35" customFormat="1">
      <c r="E223" s="30" t="str">
        <f t="shared" si="15"/>
        <v/>
      </c>
      <c r="F223" s="45">
        <v>6210</v>
      </c>
      <c r="G223" s="106" t="s">
        <v>564</v>
      </c>
      <c r="H223" s="32">
        <f t="shared" si="12"/>
        <v>275.20984736713746</v>
      </c>
      <c r="I223" s="32">
        <f t="shared" si="13"/>
        <v>28.758245133316358</v>
      </c>
      <c r="J223" s="33" t="s">
        <v>310</v>
      </c>
      <c r="K223" s="47">
        <v>9.6999999999999993</v>
      </c>
      <c r="L223" s="34">
        <v>16.741666666666667</v>
      </c>
      <c r="M223" s="32">
        <v>23.8</v>
      </c>
      <c r="N223" s="32">
        <f t="shared" si="14"/>
        <v>-72.588376375000735</v>
      </c>
      <c r="P223" s="37"/>
      <c r="Q223" s="61"/>
      <c r="R223" s="37"/>
      <c r="S223" s="102"/>
      <c r="T223" s="103"/>
      <c r="U223" s="37"/>
      <c r="W223" s="104"/>
      <c r="Z223" s="66"/>
    </row>
    <row r="224" spans="5:26" s="35" customFormat="1">
      <c r="E224" s="30" t="str">
        <f t="shared" si="15"/>
        <v/>
      </c>
      <c r="F224" s="45">
        <v>6341</v>
      </c>
      <c r="G224" s="106" t="s">
        <v>564</v>
      </c>
      <c r="H224" s="32">
        <f t="shared" si="12"/>
        <v>61.816107372440378</v>
      </c>
      <c r="I224" s="32">
        <f t="shared" si="13"/>
        <v>35.20111750851715</v>
      </c>
      <c r="J224" s="33" t="s">
        <v>69</v>
      </c>
      <c r="K224" s="47">
        <v>6.5</v>
      </c>
      <c r="L224" s="34">
        <v>17.285</v>
      </c>
      <c r="M224" s="32">
        <v>43.133333333333333</v>
      </c>
      <c r="N224" s="32">
        <f t="shared" si="14"/>
        <v>-80.738376375000712</v>
      </c>
      <c r="P224" s="37"/>
      <c r="Q224" s="61"/>
      <c r="R224" s="37"/>
      <c r="S224" s="102"/>
      <c r="T224" s="103"/>
      <c r="U224" s="37"/>
      <c r="W224" s="104"/>
      <c r="Z224" s="66"/>
    </row>
    <row r="225" spans="5:26" s="35" customFormat="1">
      <c r="E225" s="30" t="str">
        <f t="shared" si="15"/>
        <v/>
      </c>
      <c r="F225" s="45">
        <v>2548</v>
      </c>
      <c r="G225" s="106" t="s">
        <v>564</v>
      </c>
      <c r="H225" s="32">
        <f t="shared" si="12"/>
        <v>239.46070076530862</v>
      </c>
      <c r="I225" s="32">
        <f t="shared" si="13"/>
        <v>18.632092755453161</v>
      </c>
      <c r="J225" s="33" t="s">
        <v>46</v>
      </c>
      <c r="K225" s="47">
        <v>5.8</v>
      </c>
      <c r="L225" s="34">
        <v>8.2283333333333335</v>
      </c>
      <c r="M225" s="32">
        <v>-5.75</v>
      </c>
      <c r="N225" s="32">
        <f t="shared" si="14"/>
        <v>55.111623624999254</v>
      </c>
      <c r="P225" s="37"/>
      <c r="Q225" s="61"/>
      <c r="R225" s="37"/>
      <c r="S225" s="102"/>
      <c r="T225" s="103"/>
      <c r="U225" s="37"/>
      <c r="W225" s="104"/>
      <c r="Z225" s="66"/>
    </row>
    <row r="226" spans="5:26" s="35" customFormat="1">
      <c r="E226" s="30" t="str">
        <f t="shared" si="15"/>
        <v/>
      </c>
      <c r="F226" s="45">
        <v>2610</v>
      </c>
      <c r="G226" s="106" t="s">
        <v>564</v>
      </c>
      <c r="H226" s="32">
        <f t="shared" si="12"/>
        <v>229.17665263718214</v>
      </c>
      <c r="I226" s="32">
        <f t="shared" si="13"/>
        <v>12.83498671210457</v>
      </c>
      <c r="J226" s="33" t="s">
        <v>311</v>
      </c>
      <c r="K226" s="47">
        <v>13</v>
      </c>
      <c r="L226" s="34">
        <v>8.5566666666666666</v>
      </c>
      <c r="M226" s="32">
        <v>-16.149999999999999</v>
      </c>
      <c r="N226" s="32">
        <f t="shared" si="14"/>
        <v>50.186623624999271</v>
      </c>
      <c r="P226" s="37"/>
      <c r="Q226" s="61"/>
      <c r="R226" s="37"/>
      <c r="S226" s="102"/>
      <c r="T226" s="103"/>
      <c r="U226" s="37"/>
      <c r="W226" s="104"/>
      <c r="Z226" s="66"/>
    </row>
    <row r="227" spans="5:26" s="35" customFormat="1">
      <c r="E227" s="30" t="str">
        <f t="shared" si="15"/>
        <v/>
      </c>
      <c r="F227" s="45">
        <v>2815</v>
      </c>
      <c r="G227" s="106" t="s">
        <v>564</v>
      </c>
      <c r="H227" s="32">
        <f t="shared" si="12"/>
        <v>143.56810128425369</v>
      </c>
      <c r="I227" s="32">
        <f t="shared" si="13"/>
        <v>11.348193664032914</v>
      </c>
      <c r="J227" s="33" t="s">
        <v>312</v>
      </c>
      <c r="K227" s="47">
        <v>11.9</v>
      </c>
      <c r="L227" s="34">
        <v>9.2716666666666665</v>
      </c>
      <c r="M227" s="32">
        <v>-23.633333333333333</v>
      </c>
      <c r="N227" s="32">
        <f t="shared" si="14"/>
        <v>39.461623624999277</v>
      </c>
      <c r="P227" s="37"/>
      <c r="Q227" s="61"/>
      <c r="R227" s="37"/>
      <c r="S227" s="102"/>
      <c r="T227" s="103"/>
      <c r="U227" s="37"/>
      <c r="W227" s="104"/>
      <c r="Z227" s="66"/>
    </row>
    <row r="228" spans="5:26" s="35" customFormat="1">
      <c r="E228" s="30" t="str">
        <f t="shared" si="15"/>
        <v/>
      </c>
      <c r="F228" s="45">
        <v>3091</v>
      </c>
      <c r="G228" s="106" t="s">
        <v>564</v>
      </c>
      <c r="H228" s="32">
        <f t="shared" si="12"/>
        <v>151.61917111771064</v>
      </c>
      <c r="I228" s="32">
        <f t="shared" si="13"/>
        <v>19.077115369987752</v>
      </c>
      <c r="J228" s="33" t="s">
        <v>313</v>
      </c>
      <c r="K228" s="47">
        <v>11.1</v>
      </c>
      <c r="L228" s="34">
        <v>10.003333333333334</v>
      </c>
      <c r="M228" s="32">
        <v>-19.633333333333333</v>
      </c>
      <c r="N228" s="32">
        <f t="shared" si="14"/>
        <v>28.486623624999254</v>
      </c>
      <c r="P228" s="37"/>
      <c r="Q228" s="61"/>
      <c r="R228" s="37"/>
      <c r="S228" s="102"/>
      <c r="T228" s="103"/>
      <c r="U228" s="37"/>
      <c r="W228" s="104"/>
      <c r="Z228" s="66"/>
    </row>
    <row r="229" spans="5:26" s="35" customFormat="1">
      <c r="E229" s="30" t="str">
        <f t="shared" si="15"/>
        <v/>
      </c>
      <c r="F229" s="45">
        <v>3109</v>
      </c>
      <c r="G229" s="106" t="s">
        <v>564</v>
      </c>
      <c r="H229" s="32">
        <f t="shared" si="12"/>
        <v>154.57537907859995</v>
      </c>
      <c r="I229" s="32">
        <f t="shared" si="13"/>
        <v>13.154863711019276</v>
      </c>
      <c r="J229" s="33" t="s">
        <v>314</v>
      </c>
      <c r="K229" s="47">
        <v>9.9</v>
      </c>
      <c r="L229" s="34">
        <v>10.051666666666666</v>
      </c>
      <c r="M229" s="32">
        <v>-26.166666666666668</v>
      </c>
      <c r="N229" s="32">
        <f t="shared" si="14"/>
        <v>27.761623624999288</v>
      </c>
      <c r="P229" s="37"/>
      <c r="Q229" s="61"/>
      <c r="R229" s="37"/>
      <c r="S229" s="102"/>
      <c r="T229" s="103"/>
      <c r="U229" s="37"/>
      <c r="W229" s="104"/>
      <c r="Z229" s="66"/>
    </row>
    <row r="230" spans="5:26" s="35" customFormat="1">
      <c r="E230" s="30" t="str">
        <f t="shared" si="15"/>
        <v/>
      </c>
      <c r="F230" s="45">
        <v>3242</v>
      </c>
      <c r="G230" s="106" t="s">
        <v>564</v>
      </c>
      <c r="H230" s="32">
        <f t="shared" si="12"/>
        <v>202.82643478693885</v>
      </c>
      <c r="I230" s="32">
        <f t="shared" si="13"/>
        <v>21.842325711816031</v>
      </c>
      <c r="J230" s="33" t="s">
        <v>315</v>
      </c>
      <c r="K230" s="47">
        <v>8.6</v>
      </c>
      <c r="L230" s="34">
        <v>10.413333333333334</v>
      </c>
      <c r="M230" s="32">
        <v>-18.649999999999999</v>
      </c>
      <c r="N230" s="32">
        <f t="shared" si="14"/>
        <v>22.336623624999248</v>
      </c>
      <c r="P230" s="37"/>
      <c r="Q230" s="61"/>
      <c r="R230" s="37"/>
      <c r="S230" s="102"/>
      <c r="T230" s="103"/>
      <c r="U230" s="37"/>
      <c r="W230" s="104"/>
      <c r="Z230" s="66"/>
    </row>
    <row r="231" spans="5:26" s="35" customFormat="1">
      <c r="E231" s="30" t="str">
        <f t="shared" si="15"/>
        <v/>
      </c>
      <c r="F231" s="45">
        <v>3621</v>
      </c>
      <c r="G231" s="106" t="s">
        <v>564</v>
      </c>
      <c r="H231" s="32">
        <f t="shared" si="12"/>
        <v>172.35318816699336</v>
      </c>
      <c r="I231" s="32">
        <f t="shared" si="13"/>
        <v>10.321415636668389</v>
      </c>
      <c r="J231" s="33" t="s">
        <v>316</v>
      </c>
      <c r="K231" s="47">
        <v>8.5</v>
      </c>
      <c r="L231" s="34">
        <v>11.305</v>
      </c>
      <c r="M231" s="32">
        <v>-32.81666666666667</v>
      </c>
      <c r="N231" s="32">
        <f t="shared" si="14"/>
        <v>8.9616236249992767</v>
      </c>
      <c r="P231" s="37"/>
      <c r="Q231" s="61"/>
      <c r="R231" s="37"/>
      <c r="S231" s="102"/>
      <c r="T231" s="103"/>
      <c r="U231" s="37"/>
      <c r="W231" s="104"/>
      <c r="Z231" s="66"/>
    </row>
    <row r="232" spans="5:26" s="35" customFormat="1">
      <c r="E232" s="30" t="str">
        <f t="shared" si="15"/>
        <v/>
      </c>
      <c r="F232" s="45">
        <v>4590</v>
      </c>
      <c r="G232" s="106" t="s">
        <v>564</v>
      </c>
      <c r="H232" s="32">
        <f t="shared" si="12"/>
        <v>169.47216944892642</v>
      </c>
      <c r="I232" s="32">
        <f t="shared" si="13"/>
        <v>16.082671300659293</v>
      </c>
      <c r="J232" s="33" t="s">
        <v>54</v>
      </c>
      <c r="K232" s="47">
        <v>7.3</v>
      </c>
      <c r="L232" s="34">
        <v>12.658333333333333</v>
      </c>
      <c r="M232" s="32">
        <v>-26.75</v>
      </c>
      <c r="N232" s="32">
        <f t="shared" si="14"/>
        <v>-11.338376375000706</v>
      </c>
      <c r="P232" s="37"/>
      <c r="Q232" s="61"/>
      <c r="R232" s="37"/>
      <c r="S232" s="102"/>
      <c r="T232" s="103"/>
      <c r="U232" s="37"/>
      <c r="W232" s="104"/>
      <c r="Z232" s="66"/>
    </row>
    <row r="233" spans="5:26" s="35" customFormat="1">
      <c r="E233" s="30" t="str">
        <f t="shared" si="15"/>
        <v/>
      </c>
      <c r="F233" s="45">
        <v>5236</v>
      </c>
      <c r="G233" s="106" t="s">
        <v>564</v>
      </c>
      <c r="H233" s="32">
        <f t="shared" si="12"/>
        <v>157.5232203657603</v>
      </c>
      <c r="I233" s="32">
        <f t="shared" si="13"/>
        <v>10.217798218074256</v>
      </c>
      <c r="J233" s="33" t="s">
        <v>317</v>
      </c>
      <c r="K233" s="47">
        <v>7.5</v>
      </c>
      <c r="L233" s="34">
        <v>13.616666666666667</v>
      </c>
      <c r="M233" s="32">
        <v>-29.866666666666667</v>
      </c>
      <c r="N233" s="32">
        <f t="shared" si="14"/>
        <v>-25.713376375000735</v>
      </c>
      <c r="P233" s="37"/>
      <c r="Q233" s="61"/>
      <c r="R233" s="37"/>
      <c r="S233" s="102"/>
      <c r="T233" s="103"/>
      <c r="U233" s="37"/>
      <c r="W233" s="104"/>
      <c r="Z233" s="66"/>
    </row>
    <row r="234" spans="5:26" s="35" customFormat="1">
      <c r="E234" s="30" t="str">
        <f t="shared" si="15"/>
        <v/>
      </c>
      <c r="F234" s="45">
        <v>7209</v>
      </c>
      <c r="G234" s="106" t="s">
        <v>564</v>
      </c>
      <c r="H234" s="32">
        <f t="shared" si="12"/>
        <v>18.488583508456756</v>
      </c>
      <c r="I234" s="32">
        <f t="shared" si="13"/>
        <v>5.9620515258180369</v>
      </c>
      <c r="J234" s="33" t="s">
        <v>318</v>
      </c>
      <c r="K234" s="47">
        <v>7.7</v>
      </c>
      <c r="L234" s="34">
        <v>22.085000000000001</v>
      </c>
      <c r="M234" s="32">
        <v>46.483333333333334</v>
      </c>
      <c r="N234" s="32">
        <f t="shared" si="14"/>
        <v>-152.73837637500077</v>
      </c>
      <c r="P234" s="37"/>
      <c r="Q234" s="61"/>
      <c r="R234" s="37"/>
      <c r="S234" s="102"/>
      <c r="T234" s="103"/>
      <c r="U234" s="37"/>
      <c r="W234" s="104"/>
      <c r="Z234" s="66"/>
    </row>
    <row r="235" spans="5:26" s="35" customFormat="1">
      <c r="E235" s="30" t="str">
        <f t="shared" si="15"/>
        <v/>
      </c>
      <c r="F235" s="45" t="s">
        <v>96</v>
      </c>
      <c r="G235" s="106" t="s">
        <v>564</v>
      </c>
      <c r="H235" s="32">
        <f t="shared" si="12"/>
        <v>344.35830507809686</v>
      </c>
      <c r="I235" s="32">
        <f t="shared" si="13"/>
        <v>11.721918999257523</v>
      </c>
      <c r="J235" s="33" t="s">
        <v>319</v>
      </c>
      <c r="K235" s="47">
        <v>9</v>
      </c>
      <c r="L235" s="34">
        <v>22.175000000000001</v>
      </c>
      <c r="M235" s="32">
        <v>52.833333333333336</v>
      </c>
      <c r="N235" s="32">
        <f t="shared" si="14"/>
        <v>-154.08837637500073</v>
      </c>
      <c r="P235" s="37"/>
      <c r="Q235" s="61"/>
      <c r="R235" s="37"/>
      <c r="S235" s="102"/>
      <c r="T235" s="103"/>
      <c r="U235" s="37"/>
      <c r="W235" s="104"/>
      <c r="Z235" s="66"/>
    </row>
    <row r="236" spans="5:26" s="35" customFormat="1">
      <c r="E236" s="30" t="str">
        <f t="shared" si="15"/>
        <v/>
      </c>
      <c r="F236" s="45">
        <v>7243</v>
      </c>
      <c r="G236" s="106" t="s">
        <v>564</v>
      </c>
      <c r="H236" s="32">
        <f t="shared" si="12"/>
        <v>15.838914920028875</v>
      </c>
      <c r="I236" s="32">
        <f t="shared" si="13"/>
        <v>8.7083445555536212</v>
      </c>
      <c r="J236" s="33" t="s">
        <v>320</v>
      </c>
      <c r="K236" s="47">
        <v>6.4</v>
      </c>
      <c r="L236" s="34">
        <v>22.251666666666665</v>
      </c>
      <c r="M236" s="32">
        <v>49.9</v>
      </c>
      <c r="N236" s="32">
        <f t="shared" si="14"/>
        <v>-155.23837637500071</v>
      </c>
      <c r="P236" s="37"/>
      <c r="Q236" s="61"/>
      <c r="R236" s="37"/>
      <c r="S236" s="102"/>
      <c r="T236" s="103"/>
      <c r="U236" s="37"/>
      <c r="W236" s="104"/>
      <c r="Z236" s="66"/>
    </row>
    <row r="237" spans="5:26" s="35" customFormat="1">
      <c r="E237" s="30" t="str">
        <f t="shared" si="15"/>
        <v/>
      </c>
      <c r="F237" s="45">
        <v>7245</v>
      </c>
      <c r="G237" s="106" t="s">
        <v>564</v>
      </c>
      <c r="H237" s="32">
        <f t="shared" si="12"/>
        <v>14.483506563155283</v>
      </c>
      <c r="I237" s="32">
        <f t="shared" si="13"/>
        <v>12.937283292501521</v>
      </c>
      <c r="J237" s="33" t="s">
        <v>321</v>
      </c>
      <c r="K237" s="47">
        <v>9.1999999999999993</v>
      </c>
      <c r="L237" s="34">
        <v>22.254999999999999</v>
      </c>
      <c r="M237" s="32">
        <v>54.333333333333336</v>
      </c>
      <c r="N237" s="32">
        <f t="shared" si="14"/>
        <v>-155.28837637500072</v>
      </c>
      <c r="P237" s="37"/>
      <c r="Q237" s="61"/>
      <c r="R237" s="37"/>
      <c r="S237" s="102"/>
      <c r="T237" s="103"/>
      <c r="U237" s="37"/>
      <c r="W237" s="104"/>
      <c r="Z237" s="66"/>
    </row>
    <row r="238" spans="5:26" s="35" customFormat="1">
      <c r="E238" s="30" t="str">
        <f t="shared" si="15"/>
        <v/>
      </c>
      <c r="F238" s="45">
        <v>2903</v>
      </c>
      <c r="G238" s="106" t="s">
        <v>564</v>
      </c>
      <c r="H238" s="32">
        <f t="shared" si="12"/>
        <v>118.7703213824494</v>
      </c>
      <c r="I238" s="32">
        <f t="shared" si="13"/>
        <v>51.962036722004889</v>
      </c>
      <c r="J238" s="33" t="s">
        <v>322</v>
      </c>
      <c r="K238" s="47">
        <v>9</v>
      </c>
      <c r="L238" s="34">
        <v>9.5366666666666671</v>
      </c>
      <c r="M238" s="32">
        <v>21.5</v>
      </c>
      <c r="N238" s="32">
        <f t="shared" si="14"/>
        <v>35.486623624999254</v>
      </c>
      <c r="P238" s="37"/>
      <c r="Q238" s="61"/>
      <c r="R238" s="37"/>
      <c r="S238" s="102"/>
      <c r="T238" s="103"/>
      <c r="U238" s="37"/>
      <c r="W238" s="104"/>
      <c r="Z238" s="66"/>
    </row>
    <row r="239" spans="5:26" s="35" customFormat="1">
      <c r="E239" s="30" t="str">
        <f t="shared" si="15"/>
        <v/>
      </c>
      <c r="F239" s="45">
        <v>3226</v>
      </c>
      <c r="G239" s="106" t="s">
        <v>564</v>
      </c>
      <c r="H239" s="32">
        <f t="shared" si="12"/>
        <v>137.38985523251637</v>
      </c>
      <c r="I239" s="32">
        <f t="shared" si="13"/>
        <v>57.609799293816003</v>
      </c>
      <c r="J239" s="33" t="s">
        <v>323</v>
      </c>
      <c r="K239" s="47">
        <v>11.4</v>
      </c>
      <c r="L239" s="34">
        <v>10.39</v>
      </c>
      <c r="M239" s="32">
        <v>19.899999999999999</v>
      </c>
      <c r="N239" s="32">
        <f t="shared" si="14"/>
        <v>22.686623624999271</v>
      </c>
      <c r="P239" s="37"/>
      <c r="Q239" s="61"/>
      <c r="R239" s="37"/>
      <c r="S239" s="102"/>
      <c r="T239" s="103"/>
      <c r="U239" s="37"/>
      <c r="W239" s="104"/>
      <c r="Z239" s="66"/>
    </row>
    <row r="240" spans="5:26" s="35" customFormat="1">
      <c r="E240" s="30" t="str">
        <f t="shared" si="15"/>
        <v/>
      </c>
      <c r="F240" s="45">
        <v>3227</v>
      </c>
      <c r="G240" s="106" t="s">
        <v>564</v>
      </c>
      <c r="H240" s="32">
        <f t="shared" si="12"/>
        <v>137.45879986357608</v>
      </c>
      <c r="I240" s="32">
        <f t="shared" si="13"/>
        <v>57.59250296045618</v>
      </c>
      <c r="J240" s="33" t="s">
        <v>324</v>
      </c>
      <c r="K240" s="47">
        <v>10.3</v>
      </c>
      <c r="L240" s="34">
        <v>10.391666666666667</v>
      </c>
      <c r="M240" s="32">
        <v>19.866666666666667</v>
      </c>
      <c r="N240" s="32">
        <f t="shared" si="14"/>
        <v>22.661623624999265</v>
      </c>
      <c r="P240" s="37"/>
      <c r="Q240" s="61"/>
      <c r="R240" s="37"/>
      <c r="S240" s="102"/>
      <c r="T240" s="103"/>
      <c r="U240" s="37"/>
      <c r="W240" s="104"/>
      <c r="Z240" s="66"/>
    </row>
    <row r="241" spans="5:26" s="35" customFormat="1">
      <c r="E241" s="30" t="str">
        <f t="shared" si="15"/>
        <v/>
      </c>
      <c r="F241" s="45">
        <v>3351</v>
      </c>
      <c r="G241" s="106" t="s">
        <v>564</v>
      </c>
      <c r="H241" s="32">
        <f t="shared" si="12"/>
        <v>151.21394847079779</v>
      </c>
      <c r="I241" s="32">
        <f t="shared" si="13"/>
        <v>52.212737058648855</v>
      </c>
      <c r="J241" s="33" t="s">
        <v>71</v>
      </c>
      <c r="K241" s="47">
        <v>9.6999999999999993</v>
      </c>
      <c r="L241" s="34">
        <v>10.733333333333333</v>
      </c>
      <c r="M241" s="32">
        <v>11.7</v>
      </c>
      <c r="N241" s="32">
        <f t="shared" si="14"/>
        <v>17.536623624999265</v>
      </c>
      <c r="P241" s="37"/>
      <c r="Q241" s="61"/>
      <c r="R241" s="37"/>
      <c r="S241" s="102"/>
      <c r="T241" s="103"/>
      <c r="U241" s="37"/>
      <c r="W241" s="104"/>
      <c r="Z241" s="66"/>
    </row>
    <row r="242" spans="5:26" s="35" customFormat="1">
      <c r="E242" s="30" t="str">
        <f t="shared" si="15"/>
        <v/>
      </c>
      <c r="F242" s="45">
        <v>3368</v>
      </c>
      <c r="G242" s="106" t="s">
        <v>564</v>
      </c>
      <c r="H242" s="32">
        <f t="shared" si="12"/>
        <v>152.20866526618198</v>
      </c>
      <c r="I242" s="32">
        <f t="shared" si="13"/>
        <v>52.551292943889663</v>
      </c>
      <c r="J242" s="33" t="s">
        <v>72</v>
      </c>
      <c r="K242" s="47">
        <v>9.3000000000000007</v>
      </c>
      <c r="L242" s="34">
        <v>10.78</v>
      </c>
      <c r="M242" s="32">
        <v>11.816666666666666</v>
      </c>
      <c r="N242" s="32">
        <f t="shared" si="14"/>
        <v>16.836623624999277</v>
      </c>
      <c r="P242" s="37"/>
      <c r="Q242" s="61"/>
      <c r="R242" s="37"/>
      <c r="S242" s="102"/>
      <c r="T242" s="103"/>
      <c r="U242" s="37"/>
      <c r="W242" s="104"/>
      <c r="Z242" s="66"/>
    </row>
    <row r="243" spans="5:26" s="35" customFormat="1">
      <c r="E243" s="30" t="str">
        <f t="shared" si="15"/>
        <v/>
      </c>
      <c r="F243" s="45">
        <v>3379</v>
      </c>
      <c r="G243" s="106" t="s">
        <v>564</v>
      </c>
      <c r="H243" s="32">
        <f t="shared" si="12"/>
        <v>152.17320024498193</v>
      </c>
      <c r="I243" s="32">
        <f t="shared" si="13"/>
        <v>53.355674164030127</v>
      </c>
      <c r="J243" s="33" t="s">
        <v>75</v>
      </c>
      <c r="K243" s="47">
        <v>9.3000000000000007</v>
      </c>
      <c r="L243" s="34">
        <v>10.796666666666667</v>
      </c>
      <c r="M243" s="32">
        <v>12.583333333333334</v>
      </c>
      <c r="N243" s="32">
        <f t="shared" si="14"/>
        <v>16.586623624999277</v>
      </c>
      <c r="P243" s="37"/>
      <c r="Q243" s="61"/>
      <c r="R243" s="37"/>
      <c r="S243" s="102"/>
      <c r="T243" s="103"/>
      <c r="U243" s="37"/>
      <c r="W243" s="104"/>
      <c r="Z243" s="66"/>
    </row>
    <row r="244" spans="5:26" s="35" customFormat="1">
      <c r="E244" s="30" t="str">
        <f t="shared" si="15"/>
        <v/>
      </c>
      <c r="F244" s="45">
        <v>3384</v>
      </c>
      <c r="G244" s="106" t="s">
        <v>564</v>
      </c>
      <c r="H244" s="32">
        <f t="shared" si="12"/>
        <v>207.66113366762809</v>
      </c>
      <c r="I244" s="32">
        <f t="shared" si="13"/>
        <v>53.442988831330844</v>
      </c>
      <c r="J244" s="33">
        <v>3371</v>
      </c>
      <c r="K244" s="47">
        <v>9.9</v>
      </c>
      <c r="L244" s="34">
        <v>10.805</v>
      </c>
      <c r="M244" s="32">
        <v>12.633333333333333</v>
      </c>
      <c r="N244" s="32">
        <f t="shared" si="14"/>
        <v>16.461623624999277</v>
      </c>
      <c r="P244" s="37"/>
      <c r="Q244" s="61"/>
      <c r="R244" s="37"/>
      <c r="S244" s="102"/>
      <c r="T244" s="103"/>
      <c r="U244" s="37"/>
      <c r="W244" s="104"/>
      <c r="Z244" s="66"/>
    </row>
    <row r="245" spans="5:26" s="35" customFormat="1">
      <c r="E245" s="30" t="str">
        <f t="shared" si="15"/>
        <v/>
      </c>
      <c r="F245" s="45">
        <v>3373</v>
      </c>
      <c r="G245" s="106" t="s">
        <v>564</v>
      </c>
      <c r="H245" s="32">
        <f t="shared" si="12"/>
        <v>207.52892898031254</v>
      </c>
      <c r="I245" s="32">
        <f t="shared" si="13"/>
        <v>53.364444216093233</v>
      </c>
      <c r="J245" s="33">
        <v>3389</v>
      </c>
      <c r="K245" s="49" t="s">
        <v>551</v>
      </c>
      <c r="L245" s="34">
        <v>10.808333333333334</v>
      </c>
      <c r="M245" s="32">
        <v>12.533333333333333</v>
      </c>
      <c r="N245" s="32">
        <f t="shared" si="14"/>
        <v>16.411623624999265</v>
      </c>
      <c r="P245" s="37"/>
      <c r="Q245" s="61"/>
      <c r="R245" s="37"/>
      <c r="S245" s="102"/>
      <c r="T245" s="103"/>
      <c r="U245" s="37"/>
      <c r="W245" s="104"/>
      <c r="Z245" s="66"/>
    </row>
    <row r="246" spans="5:26" s="35" customFormat="1">
      <c r="E246" s="30" t="str">
        <f t="shared" si="15"/>
        <v/>
      </c>
      <c r="F246" s="45">
        <v>3507</v>
      </c>
      <c r="G246" s="106" t="s">
        <v>564</v>
      </c>
      <c r="H246" s="32">
        <f t="shared" si="12"/>
        <v>155.47891648003042</v>
      </c>
      <c r="I246" s="32">
        <f t="shared" si="13"/>
        <v>59.808997674602821</v>
      </c>
      <c r="J246" s="33" t="s">
        <v>325</v>
      </c>
      <c r="K246" s="47">
        <v>10.9</v>
      </c>
      <c r="L246" s="34">
        <v>11.056666666666667</v>
      </c>
      <c r="M246" s="32">
        <v>18.133333333333333</v>
      </c>
      <c r="N246" s="32">
        <f t="shared" si="14"/>
        <v>12.686623624999271</v>
      </c>
      <c r="P246" s="37"/>
      <c r="Q246" s="61"/>
      <c r="R246" s="37"/>
      <c r="S246" s="102"/>
      <c r="T246" s="103"/>
      <c r="U246" s="37"/>
      <c r="W246" s="104"/>
      <c r="Z246" s="66"/>
    </row>
    <row r="247" spans="5:26" s="35" customFormat="1">
      <c r="E247" s="30" t="str">
        <f t="shared" si="15"/>
        <v/>
      </c>
      <c r="F247" s="45">
        <v>3521</v>
      </c>
      <c r="G247" s="106" t="s">
        <v>564</v>
      </c>
      <c r="H247" s="32">
        <f t="shared" si="12"/>
        <v>196.46879983550076</v>
      </c>
      <c r="I247" s="32">
        <f t="shared" si="13"/>
        <v>42.387052369602131</v>
      </c>
      <c r="J247" s="33" t="s">
        <v>326</v>
      </c>
      <c r="K247" s="47">
        <v>9</v>
      </c>
      <c r="L247" s="34">
        <v>11.096666666666666</v>
      </c>
      <c r="M247" s="32">
        <v>3.3333333333333333E-2</v>
      </c>
      <c r="N247" s="32">
        <f t="shared" si="14"/>
        <v>12.086623624999277</v>
      </c>
      <c r="P247" s="37"/>
      <c r="Q247" s="61"/>
      <c r="R247" s="37"/>
      <c r="S247" s="102"/>
      <c r="T247" s="103"/>
      <c r="U247" s="37"/>
      <c r="W247" s="104"/>
      <c r="Z247" s="66"/>
    </row>
    <row r="248" spans="5:26" s="35" customFormat="1">
      <c r="E248" s="30" t="str">
        <f t="shared" si="15"/>
        <v/>
      </c>
      <c r="F248" s="45">
        <v>3623</v>
      </c>
      <c r="G248" s="106" t="s">
        <v>564</v>
      </c>
      <c r="H248" s="32">
        <f t="shared" si="12"/>
        <v>195.40109203121509</v>
      </c>
      <c r="I248" s="32">
        <f t="shared" si="13"/>
        <v>55.816985987273263</v>
      </c>
      <c r="J248" s="33" t="s">
        <v>327</v>
      </c>
      <c r="K248" s="47">
        <v>9.3000000000000007</v>
      </c>
      <c r="L248" s="34">
        <v>11.315</v>
      </c>
      <c r="M248" s="32">
        <v>13.083333333333334</v>
      </c>
      <c r="N248" s="32">
        <f t="shared" si="14"/>
        <v>8.811623624999271</v>
      </c>
      <c r="P248" s="37"/>
      <c r="Q248" s="61"/>
      <c r="R248" s="37"/>
      <c r="S248" s="102"/>
      <c r="T248" s="103"/>
      <c r="U248" s="37"/>
      <c r="W248" s="104"/>
      <c r="Z248" s="66"/>
    </row>
    <row r="249" spans="5:26" s="35" customFormat="1">
      <c r="E249" s="30" t="str">
        <f t="shared" si="15"/>
        <v/>
      </c>
      <c r="F249" s="45">
        <v>3627</v>
      </c>
      <c r="G249" s="106" t="s">
        <v>564</v>
      </c>
      <c r="H249" s="32">
        <f t="shared" si="12"/>
        <v>194.82004318632977</v>
      </c>
      <c r="I249" s="32">
        <f t="shared" si="13"/>
        <v>55.793453164390037</v>
      </c>
      <c r="J249" s="33" t="s">
        <v>328</v>
      </c>
      <c r="K249" s="47">
        <v>8.9</v>
      </c>
      <c r="L249" s="34">
        <v>11.336666666666666</v>
      </c>
      <c r="M249" s="32">
        <v>13</v>
      </c>
      <c r="N249" s="32">
        <f t="shared" si="14"/>
        <v>8.4866236249992824</v>
      </c>
      <c r="P249" s="37"/>
      <c r="Q249" s="61"/>
      <c r="R249" s="37"/>
      <c r="S249" s="102"/>
      <c r="T249" s="103"/>
      <c r="U249" s="37"/>
      <c r="W249" s="104"/>
      <c r="Z249" s="66"/>
    </row>
    <row r="250" spans="5:26" s="35" customFormat="1">
      <c r="E250" s="30" t="str">
        <f t="shared" si="15"/>
        <v/>
      </c>
      <c r="F250" s="45">
        <v>3628</v>
      </c>
      <c r="G250" s="106" t="s">
        <v>564</v>
      </c>
      <c r="H250" s="32">
        <f t="shared" si="12"/>
        <v>165.03260455475095</v>
      </c>
      <c r="I250" s="32">
        <f t="shared" si="13"/>
        <v>56.371475350881909</v>
      </c>
      <c r="J250" s="33" t="s">
        <v>329</v>
      </c>
      <c r="K250" s="47">
        <v>9.5</v>
      </c>
      <c r="L250" s="34">
        <v>11.338333333333333</v>
      </c>
      <c r="M250" s="32">
        <v>13.583333333333334</v>
      </c>
      <c r="N250" s="32">
        <f t="shared" si="14"/>
        <v>8.4616236249992767</v>
      </c>
      <c r="P250" s="37"/>
      <c r="Q250" s="61"/>
      <c r="R250" s="37"/>
      <c r="S250" s="102"/>
      <c r="T250" s="103"/>
      <c r="U250" s="37"/>
      <c r="W250" s="104"/>
      <c r="Z250" s="66"/>
    </row>
    <row r="251" spans="5:26" s="35" customFormat="1">
      <c r="E251" s="30" t="str">
        <f t="shared" si="15"/>
        <v/>
      </c>
      <c r="F251" s="45">
        <v>1904</v>
      </c>
      <c r="G251" s="106" t="s">
        <v>564</v>
      </c>
      <c r="H251" s="32">
        <f t="shared" si="12"/>
        <v>257.50039912199179</v>
      </c>
      <c r="I251" s="32">
        <f t="shared" si="13"/>
        <v>-22.484168407223546</v>
      </c>
      <c r="J251" s="33" t="s">
        <v>60</v>
      </c>
      <c r="K251" s="47">
        <v>7.7</v>
      </c>
      <c r="L251" s="34">
        <v>5.4033333333333333</v>
      </c>
      <c r="M251" s="32">
        <v>-24.516666666666666</v>
      </c>
      <c r="N251" s="32">
        <f t="shared" si="14"/>
        <v>97.486623624999268</v>
      </c>
      <c r="P251" s="37"/>
      <c r="Q251" s="61"/>
      <c r="R251" s="37"/>
      <c r="S251" s="102"/>
      <c r="T251" s="103"/>
      <c r="U251" s="37"/>
      <c r="W251" s="104"/>
      <c r="Z251" s="66"/>
    </row>
    <row r="252" spans="5:26" s="35" customFormat="1">
      <c r="E252" s="30" t="str">
        <f t="shared" si="15"/>
        <v/>
      </c>
      <c r="F252" s="45" t="s">
        <v>97</v>
      </c>
      <c r="G252" s="106" t="s">
        <v>564</v>
      </c>
      <c r="H252" s="32">
        <f t="shared" si="12"/>
        <v>265.90026613716213</v>
      </c>
      <c r="I252" s="32">
        <f t="shared" si="13"/>
        <v>-13.727802535791739</v>
      </c>
      <c r="J252" s="33" t="s">
        <v>330</v>
      </c>
      <c r="K252" s="47">
        <v>10.7</v>
      </c>
      <c r="L252" s="34">
        <v>5.458333333333333</v>
      </c>
      <c r="M252" s="32">
        <v>-12.7</v>
      </c>
      <c r="N252" s="32">
        <f t="shared" si="14"/>
        <v>96.661623624999265</v>
      </c>
      <c r="P252" s="37"/>
      <c r="Q252" s="61"/>
      <c r="R252" s="37"/>
      <c r="S252" s="102"/>
      <c r="T252" s="103"/>
      <c r="U252" s="37"/>
      <c r="W252" s="104"/>
      <c r="Z252" s="66"/>
    </row>
    <row r="253" spans="5:26" s="35" customFormat="1">
      <c r="E253" s="30" t="str">
        <f t="shared" si="15"/>
        <v/>
      </c>
      <c r="F253" s="45">
        <v>1964</v>
      </c>
      <c r="G253" s="106" t="s">
        <v>564</v>
      </c>
      <c r="H253" s="32">
        <f t="shared" si="12"/>
        <v>257.97446368138259</v>
      </c>
      <c r="I253" s="32">
        <f t="shared" si="13"/>
        <v>-19.189154939427979</v>
      </c>
      <c r="J253" s="33" t="s">
        <v>331</v>
      </c>
      <c r="K253" s="47">
        <v>10.8</v>
      </c>
      <c r="L253" s="34">
        <v>5.5566666666666666</v>
      </c>
      <c r="M253" s="32">
        <v>-21.95</v>
      </c>
      <c r="N253" s="32">
        <f t="shared" si="14"/>
        <v>95.186623624999271</v>
      </c>
      <c r="P253" s="37"/>
      <c r="Q253" s="61"/>
      <c r="R253" s="37"/>
      <c r="S253" s="102"/>
      <c r="T253" s="103"/>
      <c r="U253" s="37"/>
      <c r="W253" s="104"/>
      <c r="Z253" s="66"/>
    </row>
    <row r="254" spans="5:26" s="35" customFormat="1">
      <c r="E254" s="30" t="str">
        <f t="shared" si="15"/>
        <v/>
      </c>
      <c r="F254" s="45">
        <v>5897</v>
      </c>
      <c r="G254" s="106" t="s">
        <v>564</v>
      </c>
      <c r="H254" s="32">
        <f t="shared" si="12"/>
        <v>132.99483218175632</v>
      </c>
      <c r="I254" s="32">
        <f t="shared" si="13"/>
        <v>8.4208459937517919</v>
      </c>
      <c r="J254" s="33" t="s">
        <v>332</v>
      </c>
      <c r="K254" s="47">
        <v>8.5</v>
      </c>
      <c r="L254" s="34">
        <v>15.29</v>
      </c>
      <c r="M254" s="32">
        <v>-21.016666666666666</v>
      </c>
      <c r="N254" s="32">
        <f t="shared" si="14"/>
        <v>-50.813376375000729</v>
      </c>
      <c r="P254" s="37"/>
      <c r="Q254" s="61"/>
      <c r="R254" s="37"/>
      <c r="S254" s="102"/>
      <c r="T254" s="103"/>
      <c r="U254" s="37"/>
      <c r="W254" s="104"/>
      <c r="Z254" s="66"/>
    </row>
    <row r="255" spans="5:26" s="35" customFormat="1">
      <c r="E255" s="30" t="str">
        <f t="shared" si="15"/>
        <v/>
      </c>
      <c r="F255" s="45">
        <v>3003</v>
      </c>
      <c r="G255" s="106" t="s">
        <v>564</v>
      </c>
      <c r="H255" s="32">
        <f t="shared" si="12"/>
        <v>252.50829257786353</v>
      </c>
      <c r="I255" s="32">
        <f t="shared" si="13"/>
        <v>62.884257431102924</v>
      </c>
      <c r="J255" s="33" t="s">
        <v>333</v>
      </c>
      <c r="K255" s="47">
        <v>11.9</v>
      </c>
      <c r="L255" s="34">
        <v>9.81</v>
      </c>
      <c r="M255" s="32">
        <v>33.416666666666664</v>
      </c>
      <c r="N255" s="32">
        <f t="shared" si="14"/>
        <v>31.38662362499926</v>
      </c>
      <c r="P255" s="37"/>
      <c r="Q255" s="61"/>
      <c r="R255" s="37"/>
      <c r="S255" s="102"/>
      <c r="T255" s="103"/>
      <c r="U255" s="37"/>
      <c r="W255" s="104"/>
      <c r="Z255" s="66"/>
    </row>
    <row r="256" spans="5:26" s="35" customFormat="1">
      <c r="E256" s="30" t="str">
        <f t="shared" si="15"/>
        <v/>
      </c>
      <c r="F256" s="45">
        <v>3344</v>
      </c>
      <c r="G256" s="106" t="s">
        <v>564</v>
      </c>
      <c r="H256" s="32">
        <f t="shared" si="12"/>
        <v>140.690458923459</v>
      </c>
      <c r="I256" s="32">
        <f t="shared" si="13"/>
        <v>64.25702193471146</v>
      </c>
      <c r="J256" s="33" t="s">
        <v>334</v>
      </c>
      <c r="K256" s="47">
        <v>9.9</v>
      </c>
      <c r="L256" s="34">
        <v>10.725</v>
      </c>
      <c r="M256" s="32">
        <v>24.916666666666668</v>
      </c>
      <c r="N256" s="32">
        <f t="shared" si="14"/>
        <v>17.661623624999265</v>
      </c>
      <c r="P256" s="37"/>
      <c r="Q256" s="61"/>
      <c r="R256" s="37"/>
      <c r="S256" s="102"/>
      <c r="T256" s="103"/>
      <c r="U256" s="37"/>
      <c r="W256" s="104"/>
      <c r="Z256" s="66"/>
    </row>
    <row r="257" spans="5:26" s="35" customFormat="1">
      <c r="E257" s="30" t="str">
        <f t="shared" si="15"/>
        <v/>
      </c>
      <c r="F257" s="45">
        <v>3432</v>
      </c>
      <c r="G257" s="106" t="s">
        <v>564</v>
      </c>
      <c r="H257" s="32">
        <f t="shared" si="12"/>
        <v>234.90865336364635</v>
      </c>
      <c r="I257" s="32">
        <f t="shared" si="13"/>
        <v>74.889142517599765</v>
      </c>
      <c r="J257" s="33" t="s">
        <v>335</v>
      </c>
      <c r="K257" s="47">
        <v>11.3</v>
      </c>
      <c r="L257" s="34">
        <v>10.875</v>
      </c>
      <c r="M257" s="32">
        <v>36.616666666666667</v>
      </c>
      <c r="N257" s="32">
        <f t="shared" si="14"/>
        <v>15.411623624999265</v>
      </c>
      <c r="P257" s="37"/>
      <c r="Q257" s="61"/>
      <c r="R257" s="37"/>
      <c r="S257" s="102"/>
      <c r="T257" s="103"/>
      <c r="U257" s="37"/>
      <c r="W257" s="104"/>
      <c r="Z257" s="66"/>
    </row>
    <row r="258" spans="5:26" s="35" customFormat="1">
      <c r="E258" s="30" t="str">
        <f t="shared" si="15"/>
        <v/>
      </c>
      <c r="F258" s="45">
        <v>5986</v>
      </c>
      <c r="G258" s="106" t="s">
        <v>564</v>
      </c>
      <c r="H258" s="32">
        <f t="shared" si="12"/>
        <v>137.28147503178448</v>
      </c>
      <c r="I258" s="32">
        <f t="shared" si="13"/>
        <v>-8.9400952161858083</v>
      </c>
      <c r="J258" s="33" t="s">
        <v>336</v>
      </c>
      <c r="K258" s="47">
        <v>7.6</v>
      </c>
      <c r="L258" s="34">
        <v>15.768333333333333</v>
      </c>
      <c r="M258" s="32">
        <v>-37.783333333333331</v>
      </c>
      <c r="N258" s="32">
        <f t="shared" si="14"/>
        <v>-57.98837637500074</v>
      </c>
      <c r="P258" s="37"/>
      <c r="Q258" s="61"/>
      <c r="R258" s="37"/>
      <c r="S258" s="102"/>
      <c r="T258" s="103"/>
      <c r="U258" s="37"/>
      <c r="W258" s="104"/>
      <c r="Z258" s="66"/>
    </row>
    <row r="259" spans="5:26" s="35" customFormat="1">
      <c r="E259" s="30" t="str">
        <f t="shared" si="15"/>
        <v/>
      </c>
      <c r="F259" s="45">
        <v>2419</v>
      </c>
      <c r="G259" s="106" t="s">
        <v>564</v>
      </c>
      <c r="H259" s="32">
        <f t="shared" si="12"/>
        <v>75.168476856537723</v>
      </c>
      <c r="I259" s="32">
        <f t="shared" si="13"/>
        <v>43.628418491669002</v>
      </c>
      <c r="J259" s="33" t="s">
        <v>337</v>
      </c>
      <c r="K259" s="47">
        <v>10.3</v>
      </c>
      <c r="L259" s="34">
        <v>7.6349999999999998</v>
      </c>
      <c r="M259" s="32">
        <v>38.883333333333333</v>
      </c>
      <c r="N259" s="32">
        <f t="shared" si="14"/>
        <v>64.011623624999274</v>
      </c>
      <c r="P259" s="37"/>
      <c r="Q259" s="61"/>
      <c r="R259" s="37"/>
      <c r="S259" s="102"/>
      <c r="T259" s="103"/>
      <c r="U259" s="37"/>
      <c r="W259" s="104"/>
      <c r="Z259" s="66"/>
    </row>
    <row r="260" spans="5:26" s="35" customFormat="1">
      <c r="E260" s="30" t="str">
        <f t="shared" si="15"/>
        <v/>
      </c>
      <c r="F260" s="45">
        <v>2537</v>
      </c>
      <c r="G260" s="106" t="s">
        <v>564</v>
      </c>
      <c r="H260" s="32">
        <f t="shared" si="12"/>
        <v>290.04851212462836</v>
      </c>
      <c r="I260" s="32">
        <f t="shared" si="13"/>
        <v>52.579049499100094</v>
      </c>
      <c r="J260" s="33" t="s">
        <v>338</v>
      </c>
      <c r="K260" s="47">
        <v>11.7</v>
      </c>
      <c r="L260" s="34">
        <v>8.2200000000000006</v>
      </c>
      <c r="M260" s="32">
        <v>45.983333333333334</v>
      </c>
      <c r="N260" s="32">
        <f t="shared" si="14"/>
        <v>55.236623624999254</v>
      </c>
      <c r="P260" s="37"/>
      <c r="Q260" s="61"/>
      <c r="R260" s="37"/>
      <c r="S260" s="102"/>
      <c r="T260" s="103"/>
      <c r="U260" s="37"/>
      <c r="W260" s="104"/>
      <c r="Z260" s="66"/>
    </row>
    <row r="261" spans="5:26" s="35" customFormat="1">
      <c r="E261" s="30" t="str">
        <f t="shared" si="15"/>
        <v/>
      </c>
      <c r="F261" s="45">
        <v>2683</v>
      </c>
      <c r="G261" s="106" t="s">
        <v>564</v>
      </c>
      <c r="H261" s="32">
        <f t="shared" si="12"/>
        <v>94.392405333382044</v>
      </c>
      <c r="I261" s="32">
        <f t="shared" si="13"/>
        <v>53.439144524079531</v>
      </c>
      <c r="J261" s="33" t="s">
        <v>339</v>
      </c>
      <c r="K261" s="47">
        <v>9.8000000000000007</v>
      </c>
      <c r="L261" s="34">
        <v>8.8783333333333339</v>
      </c>
      <c r="M261" s="32">
        <v>33.416666666666664</v>
      </c>
      <c r="N261" s="32">
        <f t="shared" si="14"/>
        <v>45.361623624999254</v>
      </c>
      <c r="P261" s="37"/>
      <c r="Q261" s="61"/>
      <c r="R261" s="37"/>
      <c r="S261" s="102"/>
      <c r="T261" s="103"/>
      <c r="U261" s="37"/>
      <c r="W261" s="104"/>
      <c r="Z261" s="66"/>
    </row>
    <row r="262" spans="5:26" s="35" customFormat="1">
      <c r="E262" s="30" t="str">
        <f t="shared" si="15"/>
        <v/>
      </c>
      <c r="F262" s="45">
        <v>6720</v>
      </c>
      <c r="G262" s="106" t="s">
        <v>564</v>
      </c>
      <c r="H262" s="32">
        <f t="shared" si="12"/>
        <v>303.25942719262827</v>
      </c>
      <c r="I262" s="32">
        <f t="shared" si="13"/>
        <v>14.2957137408576</v>
      </c>
      <c r="J262" s="33" t="s">
        <v>340</v>
      </c>
      <c r="K262" s="47">
        <v>9.4</v>
      </c>
      <c r="L262" s="34">
        <v>18.893333333333334</v>
      </c>
      <c r="M262" s="32">
        <v>33.033333333333331</v>
      </c>
      <c r="N262" s="32">
        <f t="shared" si="14"/>
        <v>-104.86337637500077</v>
      </c>
      <c r="P262" s="37"/>
      <c r="Q262" s="61"/>
      <c r="R262" s="37"/>
      <c r="S262" s="102"/>
      <c r="T262" s="103"/>
      <c r="U262" s="37"/>
      <c r="W262" s="104"/>
      <c r="Z262" s="66"/>
    </row>
    <row r="263" spans="5:26" s="35" customFormat="1">
      <c r="E263" s="30" t="str">
        <f t="shared" si="15"/>
        <v/>
      </c>
      <c r="F263" s="45">
        <v>6779</v>
      </c>
      <c r="G263" s="106" t="s">
        <v>564</v>
      </c>
      <c r="H263" s="32">
        <f t="shared" si="12"/>
        <v>305.02124593237323</v>
      </c>
      <c r="I263" s="32">
        <f t="shared" si="13"/>
        <v>8.9002644788317244</v>
      </c>
      <c r="J263" s="33" t="s">
        <v>50</v>
      </c>
      <c r="K263" s="47">
        <v>8.4</v>
      </c>
      <c r="L263" s="34">
        <v>19.276666666666667</v>
      </c>
      <c r="M263" s="32">
        <v>30.183333333333334</v>
      </c>
      <c r="N263" s="32">
        <f t="shared" si="14"/>
        <v>-110.61337637500071</v>
      </c>
      <c r="P263" s="37"/>
      <c r="Q263" s="61"/>
      <c r="R263" s="37"/>
      <c r="S263" s="102"/>
      <c r="T263" s="103"/>
      <c r="U263" s="37"/>
      <c r="W263" s="104"/>
      <c r="Z263" s="66"/>
    </row>
    <row r="264" spans="5:26" s="35" customFormat="1">
      <c r="E264" s="30" t="str">
        <f t="shared" si="15"/>
        <v/>
      </c>
      <c r="F264" s="45">
        <v>6791</v>
      </c>
      <c r="G264" s="106" t="s">
        <v>564</v>
      </c>
      <c r="H264" s="32">
        <f t="shared" ref="H264:H327" si="16">IF(SIN($C$14*N264)&lt;0,ACOS((SIN($M$512*M264)-SIN($M$512*I264)*SIN($M$512*$C$13))/(COS($M$512*I264)*COS($M$512*$C$13)))/$M$512,360-ACOS((SIN($M$512*M264)-SIN($M$512*I264)*SIN($M$512*$C$13))/(COS($M$512*I264)*COS($M$512*$C$13)))/$M$512)</f>
        <v>310.78470257740383</v>
      </c>
      <c r="I264" s="32">
        <f t="shared" ref="I264:I327" si="17">ASIN(SIN($M$512*M264)*SIN($M$512*$C$13)+COS($M$512*M264)*COS($M$512*$C$13)*COS($M$512*N264))/$M$512</f>
        <v>14.040322762333638</v>
      </c>
      <c r="J264" s="33" t="s">
        <v>341</v>
      </c>
      <c r="K264" s="47">
        <v>9.5</v>
      </c>
      <c r="L264" s="34">
        <v>19.348333333333333</v>
      </c>
      <c r="M264" s="32">
        <v>37.766666666666666</v>
      </c>
      <c r="N264" s="32">
        <f t="shared" ref="N264:N327" si="18">$C$16-((L264/24)*360)</f>
        <v>-111.68837637500076</v>
      </c>
      <c r="P264" s="37"/>
      <c r="Q264" s="61"/>
      <c r="R264" s="37"/>
      <c r="S264" s="102"/>
      <c r="T264" s="103"/>
      <c r="U264" s="37"/>
      <c r="W264" s="104"/>
      <c r="Z264" s="66"/>
    </row>
    <row r="265" spans="5:26" s="35" customFormat="1">
      <c r="E265" s="30" t="str">
        <f t="shared" ref="E265:E328" si="19">IF(AND(I265&gt;=$I$4,I265&lt;=$I$6,H265&gt;=$H$4,H265&lt;=$H$6),IF(VLOOKUP(G265,$C$19:$D$24,2,FALSE)="yes","*","-"),"")</f>
        <v/>
      </c>
      <c r="F265" s="45">
        <v>2225</v>
      </c>
      <c r="G265" s="106" t="s">
        <v>564</v>
      </c>
      <c r="H265" s="32">
        <f t="shared" si="16"/>
        <v>102.48671280673618</v>
      </c>
      <c r="I265" s="32">
        <f t="shared" si="17"/>
        <v>-1.4565036947445735</v>
      </c>
      <c r="J265" s="33" t="s">
        <v>342</v>
      </c>
      <c r="K265" s="49" t="s">
        <v>552</v>
      </c>
      <c r="L265" s="34">
        <v>6.4433333333333334</v>
      </c>
      <c r="M265" s="32">
        <v>-9.6333333333333329</v>
      </c>
      <c r="N265" s="32">
        <f t="shared" si="18"/>
        <v>81.88662362499926</v>
      </c>
      <c r="P265" s="37"/>
      <c r="Q265" s="61"/>
      <c r="R265" s="37"/>
      <c r="S265" s="102"/>
      <c r="T265" s="103"/>
      <c r="U265" s="37"/>
      <c r="W265" s="104"/>
      <c r="Z265" s="66"/>
    </row>
    <row r="266" spans="5:26" s="35" customFormat="1">
      <c r="E266" s="30" t="str">
        <f t="shared" si="19"/>
        <v/>
      </c>
      <c r="F266" s="45">
        <v>2236</v>
      </c>
      <c r="G266" s="106" t="s">
        <v>564</v>
      </c>
      <c r="H266" s="32">
        <f t="shared" si="16"/>
        <v>91.705706071198563</v>
      </c>
      <c r="I266" s="32">
        <f t="shared" si="17"/>
        <v>11.065666575380682</v>
      </c>
      <c r="J266" s="33" t="s">
        <v>343</v>
      </c>
      <c r="K266" s="47">
        <v>8.5</v>
      </c>
      <c r="L266" s="34">
        <v>6.4950000000000001</v>
      </c>
      <c r="M266" s="32">
        <v>6.833333333333333</v>
      </c>
      <c r="N266" s="32">
        <f t="shared" si="18"/>
        <v>81.111623624999268</v>
      </c>
      <c r="P266" s="37"/>
      <c r="Q266" s="61"/>
      <c r="R266" s="37"/>
      <c r="S266" s="102"/>
      <c r="T266" s="103"/>
      <c r="U266" s="37"/>
      <c r="W266" s="104"/>
      <c r="Z266" s="66"/>
    </row>
    <row r="267" spans="5:26" s="35" customFormat="1">
      <c r="E267" s="30" t="str">
        <f t="shared" si="19"/>
        <v/>
      </c>
      <c r="F267" s="45" t="s">
        <v>98</v>
      </c>
      <c r="G267" s="106" t="s">
        <v>564</v>
      </c>
      <c r="H267" s="32">
        <f t="shared" si="16"/>
        <v>266.56679247968884</v>
      </c>
      <c r="I267" s="32">
        <f t="shared" si="17"/>
        <v>10.084561713909217</v>
      </c>
      <c r="J267" s="33" t="s">
        <v>344</v>
      </c>
      <c r="K267" s="47">
        <v>5.5</v>
      </c>
      <c r="L267" s="34">
        <v>6.5316666666666663</v>
      </c>
      <c r="M267" s="32">
        <v>4.95</v>
      </c>
      <c r="N267" s="32">
        <f t="shared" si="18"/>
        <v>80.561623624999271</v>
      </c>
      <c r="P267" s="37"/>
      <c r="Q267" s="61"/>
      <c r="R267" s="37"/>
      <c r="S267" s="102"/>
      <c r="T267" s="103"/>
      <c r="U267" s="37"/>
      <c r="W267" s="104"/>
      <c r="Z267" s="66"/>
    </row>
    <row r="268" spans="5:26" s="35" customFormat="1">
      <c r="E268" s="30" t="str">
        <f t="shared" si="19"/>
        <v/>
      </c>
      <c r="F268" s="45" t="s">
        <v>99</v>
      </c>
      <c r="G268" s="106" t="s">
        <v>564</v>
      </c>
      <c r="H268" s="32">
        <f t="shared" si="16"/>
        <v>266.4234613558923</v>
      </c>
      <c r="I268" s="32">
        <f t="shared" si="17"/>
        <v>10.080971708308327</v>
      </c>
      <c r="J268" s="33" t="s">
        <v>345</v>
      </c>
      <c r="K268" s="47">
        <v>4.8</v>
      </c>
      <c r="L268" s="34">
        <v>6.5383333333333331</v>
      </c>
      <c r="M268" s="32">
        <v>4.8499999999999996</v>
      </c>
      <c r="N268" s="32">
        <f t="shared" si="18"/>
        <v>80.461623624999262</v>
      </c>
      <c r="P268" s="37"/>
      <c r="Q268" s="61"/>
      <c r="R268" s="37"/>
      <c r="S268" s="102"/>
      <c r="T268" s="103"/>
      <c r="U268" s="37"/>
      <c r="W268" s="104"/>
      <c r="Z268" s="66"/>
    </row>
    <row r="269" spans="5:26" s="35" customFormat="1">
      <c r="E269" s="30" t="str">
        <f t="shared" si="19"/>
        <v/>
      </c>
      <c r="F269" s="45">
        <v>2251</v>
      </c>
      <c r="G269" s="106" t="s">
        <v>564</v>
      </c>
      <c r="H269" s="32">
        <f t="shared" si="16"/>
        <v>268.49084481893237</v>
      </c>
      <c r="I269" s="32">
        <f t="shared" si="17"/>
        <v>13.012059726789873</v>
      </c>
      <c r="J269" s="33" t="s">
        <v>346</v>
      </c>
      <c r="K269" s="47">
        <v>7.3</v>
      </c>
      <c r="L269" s="34">
        <v>6.5766666666666662</v>
      </c>
      <c r="M269" s="32">
        <v>8.3666666666666671</v>
      </c>
      <c r="N269" s="32">
        <f t="shared" si="18"/>
        <v>79.886623624999274</v>
      </c>
      <c r="P269" s="37"/>
      <c r="Q269" s="61"/>
      <c r="R269" s="37"/>
      <c r="S269" s="102"/>
      <c r="T269" s="103"/>
      <c r="U269" s="37"/>
      <c r="W269" s="104"/>
      <c r="Z269" s="66"/>
    </row>
    <row r="270" spans="5:26" s="35" customFormat="1">
      <c r="E270" s="30" t="str">
        <f t="shared" si="19"/>
        <v/>
      </c>
      <c r="F270" s="45">
        <v>2254</v>
      </c>
      <c r="G270" s="106" t="s">
        <v>564</v>
      </c>
      <c r="H270" s="32">
        <f t="shared" si="16"/>
        <v>92.227449853438159</v>
      </c>
      <c r="I270" s="32">
        <f t="shared" si="17"/>
        <v>12.715620314261743</v>
      </c>
      <c r="J270" s="33" t="s">
        <v>347</v>
      </c>
      <c r="K270" s="47">
        <v>9.1</v>
      </c>
      <c r="L270" s="34">
        <v>6.5966666666666667</v>
      </c>
      <c r="M270" s="32">
        <v>7.666666666666667</v>
      </c>
      <c r="N270" s="32">
        <f t="shared" si="18"/>
        <v>79.586623624999262</v>
      </c>
      <c r="P270" s="37"/>
      <c r="Q270" s="61"/>
      <c r="R270" s="37"/>
      <c r="S270" s="102"/>
      <c r="T270" s="103"/>
      <c r="U270" s="37"/>
      <c r="W270" s="104"/>
      <c r="Z270" s="66"/>
    </row>
    <row r="271" spans="5:26" s="35" customFormat="1">
      <c r="E271" s="30" t="str">
        <f t="shared" si="19"/>
        <v/>
      </c>
      <c r="F271" s="45">
        <v>2259</v>
      </c>
      <c r="G271" s="106" t="s">
        <v>564</v>
      </c>
      <c r="H271" s="32">
        <f t="shared" si="16"/>
        <v>269.57780582402836</v>
      </c>
      <c r="I271" s="32">
        <f t="shared" si="17"/>
        <v>15.501209069940959</v>
      </c>
      <c r="J271" s="33" t="s">
        <v>348</v>
      </c>
      <c r="K271" s="47">
        <v>10.8</v>
      </c>
      <c r="L271" s="34">
        <v>6.6433333333333335</v>
      </c>
      <c r="M271" s="32">
        <v>10.883333333333333</v>
      </c>
      <c r="N271" s="32">
        <f t="shared" si="18"/>
        <v>78.88662362499926</v>
      </c>
      <c r="P271" s="37"/>
      <c r="Q271" s="61"/>
      <c r="R271" s="37"/>
      <c r="S271" s="102"/>
      <c r="T271" s="103"/>
      <c r="U271" s="37"/>
      <c r="W271" s="104"/>
      <c r="Z271" s="66"/>
    </row>
    <row r="272" spans="5:26" s="35" customFormat="1">
      <c r="E272" s="30" t="str">
        <f t="shared" si="19"/>
        <v/>
      </c>
      <c r="F272" s="45">
        <v>2261</v>
      </c>
      <c r="G272" s="106" t="s">
        <v>564</v>
      </c>
      <c r="H272" s="32">
        <f t="shared" si="16"/>
        <v>92.074027935457451</v>
      </c>
      <c r="I272" s="32">
        <f t="shared" si="17"/>
        <v>14.079103927477945</v>
      </c>
      <c r="J272" s="33" t="s">
        <v>349</v>
      </c>
      <c r="K272" s="49" t="s">
        <v>549</v>
      </c>
      <c r="L272" s="34">
        <v>6.6533333333333333</v>
      </c>
      <c r="M272" s="32">
        <v>8.75</v>
      </c>
      <c r="N272" s="32">
        <f t="shared" si="18"/>
        <v>78.736623624999268</v>
      </c>
      <c r="P272" s="37"/>
      <c r="Q272" s="61"/>
      <c r="R272" s="37"/>
      <c r="S272" s="102"/>
      <c r="T272" s="103"/>
      <c r="U272" s="37"/>
      <c r="W272" s="104"/>
      <c r="Z272" s="66"/>
    </row>
    <row r="273" spans="5:26" s="35" customFormat="1">
      <c r="E273" s="30" t="str">
        <f t="shared" si="19"/>
        <v/>
      </c>
      <c r="F273" s="45">
        <v>2264</v>
      </c>
      <c r="G273" s="106" t="s">
        <v>564</v>
      </c>
      <c r="H273" s="32">
        <f t="shared" si="16"/>
        <v>268.42677086200632</v>
      </c>
      <c r="I273" s="32">
        <f t="shared" si="17"/>
        <v>15.21264690415666</v>
      </c>
      <c r="J273" s="33" t="s">
        <v>350</v>
      </c>
      <c r="K273" s="47">
        <v>4.0999999999999996</v>
      </c>
      <c r="L273" s="34">
        <v>6.6833333333333336</v>
      </c>
      <c r="M273" s="32">
        <v>9.9</v>
      </c>
      <c r="N273" s="32">
        <f t="shared" si="18"/>
        <v>78.286623624999265</v>
      </c>
      <c r="P273" s="37"/>
      <c r="Q273" s="61"/>
      <c r="R273" s="37"/>
      <c r="S273" s="102"/>
      <c r="T273" s="103"/>
      <c r="U273" s="37"/>
      <c r="W273" s="104"/>
      <c r="Z273" s="66"/>
    </row>
    <row r="274" spans="5:26" s="35" customFormat="1">
      <c r="E274" s="30" t="str">
        <f t="shared" si="19"/>
        <v/>
      </c>
      <c r="F274" s="45">
        <v>2269</v>
      </c>
      <c r="G274" s="106" t="s">
        <v>564</v>
      </c>
      <c r="H274" s="32">
        <f t="shared" si="16"/>
        <v>95.763415341286745</v>
      </c>
      <c r="I274" s="32">
        <f t="shared" si="17"/>
        <v>11.80017785581491</v>
      </c>
      <c r="J274" s="33" t="s">
        <v>351</v>
      </c>
      <c r="K274" s="47">
        <v>10</v>
      </c>
      <c r="L274" s="34">
        <v>6.7216666666666667</v>
      </c>
      <c r="M274" s="32">
        <v>4.6166666666666671</v>
      </c>
      <c r="N274" s="32">
        <f t="shared" si="18"/>
        <v>77.711623624999277</v>
      </c>
      <c r="P274" s="37"/>
      <c r="Q274" s="61"/>
      <c r="R274" s="37"/>
      <c r="S274" s="102"/>
      <c r="T274" s="103"/>
      <c r="U274" s="37"/>
      <c r="W274" s="104"/>
      <c r="Z274" s="66"/>
    </row>
    <row r="275" spans="5:26" s="35" customFormat="1">
      <c r="E275" s="30" t="str">
        <f t="shared" si="19"/>
        <v/>
      </c>
      <c r="F275" s="45">
        <v>2286</v>
      </c>
      <c r="G275" s="106" t="s">
        <v>564</v>
      </c>
      <c r="H275" s="32">
        <f t="shared" si="16"/>
        <v>258.05867021694115</v>
      </c>
      <c r="I275" s="32">
        <f t="shared" si="17"/>
        <v>6.8613959346261906</v>
      </c>
      <c r="J275" s="33" t="s">
        <v>352</v>
      </c>
      <c r="K275" s="47">
        <v>7.5</v>
      </c>
      <c r="L275" s="34">
        <v>6.7949999999999999</v>
      </c>
      <c r="M275" s="32">
        <v>-3.15</v>
      </c>
      <c r="N275" s="32">
        <f t="shared" si="18"/>
        <v>76.611623624999254</v>
      </c>
      <c r="P275" s="37"/>
      <c r="Q275" s="61"/>
      <c r="R275" s="37"/>
      <c r="S275" s="102"/>
      <c r="T275" s="103"/>
      <c r="U275" s="37"/>
      <c r="W275" s="104"/>
      <c r="Z275" s="66"/>
    </row>
    <row r="276" spans="5:26" s="35" customFormat="1">
      <c r="E276" s="30" t="str">
        <f t="shared" si="19"/>
        <v/>
      </c>
      <c r="F276" s="45">
        <v>2301</v>
      </c>
      <c r="G276" s="106" t="s">
        <v>564</v>
      </c>
      <c r="H276" s="32">
        <f t="shared" si="16"/>
        <v>259.76959259392692</v>
      </c>
      <c r="I276" s="32">
        <f t="shared" si="17"/>
        <v>10.218202536075443</v>
      </c>
      <c r="J276" s="33" t="s">
        <v>353</v>
      </c>
      <c r="K276" s="47">
        <v>6</v>
      </c>
      <c r="L276" s="34">
        <v>6.8633333333333333</v>
      </c>
      <c r="M276" s="32">
        <v>0.46666666666666667</v>
      </c>
      <c r="N276" s="32">
        <f t="shared" si="18"/>
        <v>75.586623624999262</v>
      </c>
      <c r="P276" s="37"/>
      <c r="Q276" s="61"/>
      <c r="R276" s="37"/>
      <c r="S276" s="102"/>
      <c r="T276" s="103"/>
      <c r="U276" s="37"/>
      <c r="W276" s="104"/>
      <c r="Z276" s="66"/>
    </row>
    <row r="277" spans="5:26" s="35" customFormat="1">
      <c r="E277" s="30" t="str">
        <f t="shared" si="19"/>
        <v/>
      </c>
      <c r="F277" s="45">
        <v>2309</v>
      </c>
      <c r="G277" s="106" t="s">
        <v>564</v>
      </c>
      <c r="H277" s="32">
        <f t="shared" si="16"/>
        <v>106.21104363313709</v>
      </c>
      <c r="I277" s="32">
        <f t="shared" si="17"/>
        <v>5.2862648853552976</v>
      </c>
      <c r="J277" s="33" t="s">
        <v>354</v>
      </c>
      <c r="K277" s="47">
        <v>10.5</v>
      </c>
      <c r="L277" s="34">
        <v>6.9350000000000005</v>
      </c>
      <c r="M277" s="32">
        <v>-7.166666666666667</v>
      </c>
      <c r="N277" s="32">
        <f t="shared" si="18"/>
        <v>74.511623624999245</v>
      </c>
      <c r="P277" s="37"/>
      <c r="Q277" s="61"/>
      <c r="R277" s="37"/>
      <c r="S277" s="102"/>
      <c r="T277" s="103"/>
      <c r="U277" s="37"/>
      <c r="W277" s="104"/>
      <c r="Z277" s="66"/>
    </row>
    <row r="278" spans="5:26" s="35" customFormat="1">
      <c r="E278" s="30" t="str">
        <f t="shared" si="19"/>
        <v/>
      </c>
      <c r="F278" s="45">
        <v>2316</v>
      </c>
      <c r="G278" s="106" t="s">
        <v>564</v>
      </c>
      <c r="H278" s="32">
        <f t="shared" si="16"/>
        <v>107.29221496882835</v>
      </c>
      <c r="I278" s="32">
        <f t="shared" si="17"/>
        <v>5.4196950046127057</v>
      </c>
      <c r="J278" s="33">
        <v>2317</v>
      </c>
      <c r="K278" s="49" t="s">
        <v>549</v>
      </c>
      <c r="L278" s="34">
        <v>6.9950000000000001</v>
      </c>
      <c r="M278" s="32">
        <v>-7.7833333333333332</v>
      </c>
      <c r="N278" s="32">
        <f t="shared" si="18"/>
        <v>73.611623624999268</v>
      </c>
      <c r="P278" s="37"/>
      <c r="Q278" s="61"/>
      <c r="R278" s="37"/>
      <c r="S278" s="102"/>
      <c r="T278" s="103"/>
      <c r="U278" s="37"/>
      <c r="W278" s="104"/>
      <c r="Z278" s="66"/>
    </row>
    <row r="279" spans="5:26" s="35" customFormat="1">
      <c r="E279" s="30" t="str">
        <f t="shared" si="19"/>
        <v/>
      </c>
      <c r="F279" s="45">
        <v>2323</v>
      </c>
      <c r="G279" s="106" t="s">
        <v>564</v>
      </c>
      <c r="H279" s="32">
        <f t="shared" si="16"/>
        <v>251.73113096923782</v>
      </c>
      <c r="I279" s="32">
        <f t="shared" si="17"/>
        <v>5.4787935278857463</v>
      </c>
      <c r="J279" s="33" t="s">
        <v>355</v>
      </c>
      <c r="K279" s="47">
        <v>5.9</v>
      </c>
      <c r="L279" s="34">
        <v>7.0466666666666669</v>
      </c>
      <c r="M279" s="32">
        <v>-8.3833333333333329</v>
      </c>
      <c r="N279" s="32">
        <f t="shared" si="18"/>
        <v>72.836623624999262</v>
      </c>
      <c r="P279" s="37"/>
      <c r="Q279" s="61"/>
      <c r="R279" s="37"/>
      <c r="S279" s="102"/>
      <c r="T279" s="103"/>
      <c r="U279" s="37"/>
      <c r="W279" s="104"/>
      <c r="Z279" s="66"/>
    </row>
    <row r="280" spans="5:26" s="35" customFormat="1">
      <c r="E280" s="30" t="str">
        <f t="shared" si="19"/>
        <v/>
      </c>
      <c r="F280" s="45">
        <v>2353</v>
      </c>
      <c r="G280" s="106" t="s">
        <v>564</v>
      </c>
      <c r="H280" s="32">
        <f t="shared" si="16"/>
        <v>111.69972486262861</v>
      </c>
      <c r="I280" s="32">
        <f t="shared" si="17"/>
        <v>5.9511635651060715</v>
      </c>
      <c r="J280" s="33" t="s">
        <v>356</v>
      </c>
      <c r="K280" s="47">
        <v>7.1</v>
      </c>
      <c r="L280" s="34">
        <v>7.2416666666666663</v>
      </c>
      <c r="M280" s="32">
        <v>-10.266666666666667</v>
      </c>
      <c r="N280" s="32">
        <f t="shared" si="18"/>
        <v>69.911623624999265</v>
      </c>
      <c r="P280" s="37"/>
      <c r="Q280" s="61"/>
      <c r="R280" s="37"/>
      <c r="S280" s="102"/>
      <c r="T280" s="103"/>
      <c r="U280" s="37"/>
      <c r="W280" s="104"/>
      <c r="Z280" s="66"/>
    </row>
    <row r="281" spans="5:26" s="35" customFormat="1">
      <c r="E281" s="30" t="str">
        <f t="shared" si="19"/>
        <v/>
      </c>
      <c r="F281" s="45">
        <v>2506</v>
      </c>
      <c r="G281" s="106" t="s">
        <v>564</v>
      </c>
      <c r="H281" s="32">
        <f t="shared" si="16"/>
        <v>239.1584163557186</v>
      </c>
      <c r="I281" s="32">
        <f t="shared" si="17"/>
        <v>12.585357246657885</v>
      </c>
      <c r="J281" s="33" t="s">
        <v>357</v>
      </c>
      <c r="K281" s="47">
        <v>7.6</v>
      </c>
      <c r="L281" s="34">
        <v>8</v>
      </c>
      <c r="M281" s="32">
        <v>-10.766666666666667</v>
      </c>
      <c r="N281" s="32">
        <f t="shared" si="18"/>
        <v>58.536623624999265</v>
      </c>
      <c r="P281" s="37"/>
      <c r="Q281" s="61"/>
      <c r="R281" s="37"/>
      <c r="S281" s="102"/>
      <c r="T281" s="103"/>
      <c r="U281" s="37"/>
      <c r="W281" s="104"/>
      <c r="Z281" s="66"/>
    </row>
    <row r="282" spans="5:26" s="35" customFormat="1">
      <c r="E282" s="30" t="str">
        <f t="shared" si="19"/>
        <v/>
      </c>
      <c r="F282" s="45">
        <v>6171</v>
      </c>
      <c r="G282" s="106" t="s">
        <v>564</v>
      </c>
      <c r="H282" s="32">
        <f t="shared" si="16"/>
        <v>113.75457964133021</v>
      </c>
      <c r="I282" s="32">
        <f t="shared" si="17"/>
        <v>4.03880184094134</v>
      </c>
      <c r="J282" s="33" t="s">
        <v>358</v>
      </c>
      <c r="K282" s="47">
        <v>7.8</v>
      </c>
      <c r="L282" s="34">
        <v>16.541666666666668</v>
      </c>
      <c r="M282" s="32">
        <v>-13.05</v>
      </c>
      <c r="N282" s="32">
        <f t="shared" si="18"/>
        <v>-69.588376375000763</v>
      </c>
      <c r="P282" s="37"/>
      <c r="Q282" s="61"/>
      <c r="R282" s="37"/>
      <c r="S282" s="102"/>
      <c r="T282" s="103"/>
      <c r="U282" s="37"/>
      <c r="W282" s="104"/>
      <c r="Z282" s="66"/>
    </row>
    <row r="283" spans="5:26" s="35" customFormat="1">
      <c r="E283" s="30" t="str">
        <f t="shared" si="19"/>
        <v/>
      </c>
      <c r="F283" s="45">
        <v>6218</v>
      </c>
      <c r="G283" s="106" t="s">
        <v>564</v>
      </c>
      <c r="H283" s="32">
        <f t="shared" si="16"/>
        <v>256.37198036510677</v>
      </c>
      <c r="I283" s="32">
        <f t="shared" si="17"/>
        <v>9.9990893528374958</v>
      </c>
      <c r="J283" s="33" t="s">
        <v>29</v>
      </c>
      <c r="K283" s="47">
        <v>6.1</v>
      </c>
      <c r="L283" s="34">
        <v>16.786666666666665</v>
      </c>
      <c r="M283" s="32">
        <v>-1.95</v>
      </c>
      <c r="N283" s="32">
        <f t="shared" si="18"/>
        <v>-73.263376375000718</v>
      </c>
      <c r="P283" s="37"/>
      <c r="Q283" s="61"/>
      <c r="R283" s="37"/>
      <c r="S283" s="102"/>
      <c r="T283" s="103"/>
      <c r="U283" s="37"/>
      <c r="W283" s="104"/>
      <c r="Z283" s="66"/>
    </row>
    <row r="284" spans="5:26" s="35" customFormat="1">
      <c r="E284" s="30" t="str">
        <f t="shared" si="19"/>
        <v/>
      </c>
      <c r="F284" s="45">
        <v>6254</v>
      </c>
      <c r="G284" s="106" t="s">
        <v>564</v>
      </c>
      <c r="H284" s="32">
        <f t="shared" si="16"/>
        <v>103.23449871310829</v>
      </c>
      <c r="I284" s="32">
        <f t="shared" si="17"/>
        <v>6.746581281173988</v>
      </c>
      <c r="J284" s="33" t="s">
        <v>26</v>
      </c>
      <c r="K284" s="47">
        <v>6.6</v>
      </c>
      <c r="L284" s="34">
        <v>16.951666666666668</v>
      </c>
      <c r="M284" s="32">
        <v>-4.0999999999999996</v>
      </c>
      <c r="N284" s="32">
        <f t="shared" si="18"/>
        <v>-75.738376375000769</v>
      </c>
      <c r="P284" s="37"/>
      <c r="Q284" s="61"/>
      <c r="R284" s="37"/>
      <c r="S284" s="102"/>
      <c r="T284" s="103"/>
      <c r="U284" s="37"/>
      <c r="W284" s="104"/>
      <c r="Z284" s="66"/>
    </row>
    <row r="285" spans="5:26" s="35" customFormat="1">
      <c r="E285" s="30" t="str">
        <f t="shared" si="19"/>
        <v/>
      </c>
      <c r="F285" s="45">
        <v>6266</v>
      </c>
      <c r="G285" s="106" t="s">
        <v>564</v>
      </c>
      <c r="H285" s="32">
        <f t="shared" si="16"/>
        <v>239.84125577067749</v>
      </c>
      <c r="I285" s="32">
        <f t="shared" si="17"/>
        <v>-13.132345114197227</v>
      </c>
      <c r="J285" s="33" t="s">
        <v>359</v>
      </c>
      <c r="K285" s="47">
        <v>6.4</v>
      </c>
      <c r="L285" s="34">
        <v>17.02</v>
      </c>
      <c r="M285" s="32">
        <v>-30.116666666666667</v>
      </c>
      <c r="N285" s="32">
        <f t="shared" si="18"/>
        <v>-76.763376375000718</v>
      </c>
      <c r="P285" s="37"/>
      <c r="Q285" s="61"/>
      <c r="R285" s="37"/>
      <c r="S285" s="102"/>
      <c r="T285" s="103"/>
      <c r="U285" s="37"/>
      <c r="W285" s="104"/>
      <c r="Z285" s="66"/>
    </row>
    <row r="286" spans="5:26" s="35" customFormat="1">
      <c r="E286" s="30" t="str">
        <f t="shared" si="19"/>
        <v/>
      </c>
      <c r="F286" s="45">
        <v>6273</v>
      </c>
      <c r="G286" s="106" t="s">
        <v>564</v>
      </c>
      <c r="H286" s="32">
        <f t="shared" si="16"/>
        <v>117.2313739953359</v>
      </c>
      <c r="I286" s="32">
        <f t="shared" si="17"/>
        <v>-10.541911583882101</v>
      </c>
      <c r="J286" s="33" t="s">
        <v>32</v>
      </c>
      <c r="K286" s="47">
        <v>6.8</v>
      </c>
      <c r="L286" s="34">
        <v>17.043333333333333</v>
      </c>
      <c r="M286" s="32">
        <v>-26.266666666666666</v>
      </c>
      <c r="N286" s="32">
        <f t="shared" si="18"/>
        <v>-77.11337637500074</v>
      </c>
      <c r="P286" s="37"/>
      <c r="Q286" s="61"/>
      <c r="R286" s="37"/>
      <c r="S286" s="102"/>
      <c r="T286" s="103"/>
      <c r="U286" s="37"/>
      <c r="W286" s="104"/>
      <c r="Z286" s="66"/>
    </row>
    <row r="287" spans="5:26" s="35" customFormat="1">
      <c r="E287" s="30" t="str">
        <f t="shared" si="19"/>
        <v/>
      </c>
      <c r="F287" s="45">
        <v>6284</v>
      </c>
      <c r="G287" s="106" t="s">
        <v>564</v>
      </c>
      <c r="H287" s="32">
        <f t="shared" si="16"/>
        <v>244.12738953123096</v>
      </c>
      <c r="I287" s="32">
        <f t="shared" si="17"/>
        <v>-9.7389395289622325</v>
      </c>
      <c r="J287" s="33" t="s">
        <v>360</v>
      </c>
      <c r="K287" s="47">
        <v>8.9</v>
      </c>
      <c r="L287" s="34">
        <v>17.074999999999999</v>
      </c>
      <c r="M287" s="32">
        <v>-24.766666666666666</v>
      </c>
      <c r="N287" s="32">
        <f t="shared" si="18"/>
        <v>-77.588376375000735</v>
      </c>
      <c r="P287" s="37"/>
      <c r="Q287" s="61"/>
      <c r="R287" s="37"/>
      <c r="S287" s="102"/>
      <c r="T287" s="103"/>
      <c r="U287" s="37"/>
      <c r="W287" s="104"/>
      <c r="Z287" s="66"/>
    </row>
    <row r="288" spans="5:26" s="35" customFormat="1">
      <c r="E288" s="30" t="str">
        <f t="shared" si="19"/>
        <v/>
      </c>
      <c r="F288" s="45">
        <v>6309</v>
      </c>
      <c r="G288" s="106" t="s">
        <v>564</v>
      </c>
      <c r="H288" s="32">
        <f t="shared" si="16"/>
        <v>106.08767375701269</v>
      </c>
      <c r="I288" s="32">
        <f t="shared" si="17"/>
        <v>-2.5942689587166821</v>
      </c>
      <c r="J288" s="33" t="s">
        <v>361</v>
      </c>
      <c r="K288" s="47">
        <v>11.6</v>
      </c>
      <c r="L288" s="34">
        <v>17.234999999999999</v>
      </c>
      <c r="M288" s="32">
        <v>-12.916666666666666</v>
      </c>
      <c r="N288" s="32">
        <f t="shared" si="18"/>
        <v>-79.988376375000712</v>
      </c>
      <c r="P288" s="37"/>
      <c r="Q288" s="61"/>
      <c r="R288" s="37"/>
      <c r="S288" s="102"/>
      <c r="T288" s="103"/>
      <c r="U288" s="37"/>
      <c r="W288" s="104"/>
      <c r="Z288" s="66"/>
    </row>
    <row r="289" spans="5:26" s="35" customFormat="1">
      <c r="E289" s="30" t="str">
        <f t="shared" si="19"/>
        <v/>
      </c>
      <c r="F289" s="45">
        <v>6316</v>
      </c>
      <c r="G289" s="106" t="s">
        <v>564</v>
      </c>
      <c r="H289" s="32">
        <f t="shared" si="16"/>
        <v>116.25304932525245</v>
      </c>
      <c r="I289" s="32">
        <f t="shared" si="17"/>
        <v>-14.043250247701051</v>
      </c>
      <c r="J289" s="33" t="s">
        <v>362</v>
      </c>
      <c r="K289" s="47">
        <v>8.1</v>
      </c>
      <c r="L289" s="34">
        <v>17.276666666666667</v>
      </c>
      <c r="M289" s="32">
        <v>-28.133333333333333</v>
      </c>
      <c r="N289" s="32">
        <f t="shared" si="18"/>
        <v>-80.613376375000769</v>
      </c>
      <c r="P289" s="37"/>
      <c r="Q289" s="61"/>
      <c r="R289" s="37"/>
      <c r="S289" s="102"/>
      <c r="T289" s="103"/>
      <c r="U289" s="37"/>
      <c r="W289" s="104"/>
      <c r="Z289" s="66"/>
    </row>
    <row r="290" spans="5:26" s="35" customFormat="1">
      <c r="E290" s="30" t="str">
        <f t="shared" si="19"/>
        <v/>
      </c>
      <c r="F290" s="45">
        <v>6333</v>
      </c>
      <c r="G290" s="106" t="s">
        <v>564</v>
      </c>
      <c r="H290" s="32">
        <f t="shared" si="16"/>
        <v>250.97356495303757</v>
      </c>
      <c r="I290" s="32">
        <f t="shared" si="17"/>
        <v>-7.5238855491394041</v>
      </c>
      <c r="J290" s="33" t="s">
        <v>24</v>
      </c>
      <c r="K290" s="47">
        <v>7.8</v>
      </c>
      <c r="L290" s="34">
        <v>17.32</v>
      </c>
      <c r="M290" s="32">
        <v>-18.516666666666666</v>
      </c>
      <c r="N290" s="32">
        <f t="shared" si="18"/>
        <v>-81.263376375000746</v>
      </c>
      <c r="P290" s="37"/>
      <c r="Q290" s="61"/>
      <c r="R290" s="37"/>
      <c r="S290" s="102"/>
      <c r="T290" s="103"/>
      <c r="U290" s="37"/>
      <c r="W290" s="104"/>
      <c r="Z290" s="66"/>
    </row>
    <row r="291" spans="5:26" s="35" customFormat="1">
      <c r="E291" s="30" t="str">
        <f t="shared" si="19"/>
        <v/>
      </c>
      <c r="F291" s="45">
        <v>6356</v>
      </c>
      <c r="G291" s="106" t="s">
        <v>564</v>
      </c>
      <c r="H291" s="32">
        <f t="shared" si="16"/>
        <v>107.77528916869056</v>
      </c>
      <c r="I291" s="32">
        <f t="shared" si="17"/>
        <v>-7.7350401413815151</v>
      </c>
      <c r="J291" s="33" t="s">
        <v>363</v>
      </c>
      <c r="K291" s="47">
        <v>8.1999999999999993</v>
      </c>
      <c r="L291" s="34">
        <v>17.393333333333334</v>
      </c>
      <c r="M291" s="32">
        <v>-17.816666666666666</v>
      </c>
      <c r="N291" s="32">
        <f t="shared" si="18"/>
        <v>-82.363376375000769</v>
      </c>
      <c r="P291" s="37"/>
      <c r="Q291" s="61"/>
      <c r="R291" s="37"/>
      <c r="S291" s="102"/>
      <c r="T291" s="103"/>
      <c r="U291" s="37"/>
      <c r="W291" s="104"/>
      <c r="Z291" s="66"/>
    </row>
    <row r="292" spans="5:26" s="35" customFormat="1">
      <c r="E292" s="30" t="str">
        <f t="shared" si="19"/>
        <v/>
      </c>
      <c r="F292" s="45">
        <v>6369</v>
      </c>
      <c r="G292" s="106" t="s">
        <v>564</v>
      </c>
      <c r="H292" s="32">
        <f t="shared" si="16"/>
        <v>248.98936256262226</v>
      </c>
      <c r="I292" s="32">
        <f t="shared" si="17"/>
        <v>-12.936209486099484</v>
      </c>
      <c r="J292" s="33" t="s">
        <v>364</v>
      </c>
      <c r="K292" s="47">
        <v>11</v>
      </c>
      <c r="L292" s="34">
        <v>17.488333333333333</v>
      </c>
      <c r="M292" s="32">
        <v>-23.766666666666666</v>
      </c>
      <c r="N292" s="32">
        <f t="shared" si="18"/>
        <v>-83.788376375000723</v>
      </c>
      <c r="P292" s="37"/>
      <c r="Q292" s="61"/>
      <c r="R292" s="37"/>
      <c r="S292" s="102"/>
      <c r="T292" s="103"/>
      <c r="U292" s="37"/>
      <c r="W292" s="104"/>
      <c r="Z292" s="66"/>
    </row>
    <row r="293" spans="5:26" s="35" customFormat="1">
      <c r="E293" s="30" t="str">
        <f t="shared" si="19"/>
        <v/>
      </c>
      <c r="F293" s="45">
        <v>6402</v>
      </c>
      <c r="G293" s="106" t="s">
        <v>564</v>
      </c>
      <c r="H293" s="32">
        <f t="shared" si="16"/>
        <v>95.236177099556855</v>
      </c>
      <c r="I293" s="32">
        <f t="shared" si="17"/>
        <v>0.48878133191313666</v>
      </c>
      <c r="J293" s="33" t="s">
        <v>31</v>
      </c>
      <c r="K293" s="47">
        <v>7.6</v>
      </c>
      <c r="L293" s="34">
        <v>17.626666666666665</v>
      </c>
      <c r="M293" s="32">
        <v>-3.25</v>
      </c>
      <c r="N293" s="32">
        <f t="shared" si="18"/>
        <v>-85.863376375000712</v>
      </c>
      <c r="P293" s="37"/>
      <c r="Q293" s="61"/>
      <c r="R293" s="37"/>
      <c r="S293" s="102"/>
      <c r="T293" s="103"/>
      <c r="U293" s="37"/>
      <c r="W293" s="104"/>
      <c r="Z293" s="66"/>
    </row>
    <row r="294" spans="5:26" s="35" customFormat="1">
      <c r="E294" s="30" t="str">
        <f t="shared" si="19"/>
        <v/>
      </c>
      <c r="F294" s="45" t="s">
        <v>100</v>
      </c>
      <c r="G294" s="106" t="s">
        <v>564</v>
      </c>
      <c r="H294" s="32">
        <f t="shared" si="16"/>
        <v>272.5121694321781</v>
      </c>
      <c r="I294" s="32">
        <f t="shared" si="17"/>
        <v>5.5065683716269556</v>
      </c>
      <c r="J294" s="33" t="s">
        <v>365</v>
      </c>
      <c r="K294" s="47">
        <v>4.2</v>
      </c>
      <c r="L294" s="34">
        <v>17.77</v>
      </c>
      <c r="M294" s="32">
        <v>5.7166666666666668</v>
      </c>
      <c r="N294" s="32">
        <f t="shared" si="18"/>
        <v>-88.013376375000689</v>
      </c>
      <c r="P294" s="37"/>
      <c r="Q294" s="61"/>
      <c r="R294" s="37"/>
      <c r="S294" s="102"/>
      <c r="T294" s="103"/>
      <c r="U294" s="37"/>
      <c r="W294" s="104"/>
      <c r="Z294" s="66"/>
    </row>
    <row r="295" spans="5:26" s="35" customFormat="1">
      <c r="E295" s="30" t="str">
        <f t="shared" si="19"/>
        <v/>
      </c>
      <c r="F295" s="45">
        <v>6572</v>
      </c>
      <c r="G295" s="106" t="s">
        <v>564</v>
      </c>
      <c r="H295" s="32">
        <f t="shared" si="16"/>
        <v>277.96478876419548</v>
      </c>
      <c r="I295" s="32">
        <f t="shared" si="17"/>
        <v>1.8859990018550437</v>
      </c>
      <c r="J295" s="33" t="s">
        <v>366</v>
      </c>
      <c r="K295" s="47">
        <v>8</v>
      </c>
      <c r="L295" s="34">
        <v>18.201666666666668</v>
      </c>
      <c r="M295" s="32">
        <v>6.85</v>
      </c>
      <c r="N295" s="32">
        <f t="shared" si="18"/>
        <v>-94.488376375000769</v>
      </c>
      <c r="P295" s="37"/>
      <c r="Q295" s="61"/>
      <c r="R295" s="37"/>
      <c r="S295" s="102"/>
      <c r="T295" s="103"/>
      <c r="U295" s="37"/>
      <c r="W295" s="104"/>
      <c r="Z295" s="66"/>
    </row>
    <row r="296" spans="5:26" s="35" customFormat="1">
      <c r="E296" s="30" t="str">
        <f t="shared" si="19"/>
        <v/>
      </c>
      <c r="F296" s="45">
        <v>6633</v>
      </c>
      <c r="G296" s="106" t="s">
        <v>564</v>
      </c>
      <c r="H296" s="32">
        <f t="shared" si="16"/>
        <v>79.54184922654963</v>
      </c>
      <c r="I296" s="32">
        <f t="shared" si="17"/>
        <v>-0.93628712902646105</v>
      </c>
      <c r="J296" s="33"/>
      <c r="K296" s="47">
        <v>4.5999999999999996</v>
      </c>
      <c r="L296" s="34">
        <v>18.453333333333333</v>
      </c>
      <c r="M296" s="32">
        <v>6.5</v>
      </c>
      <c r="N296" s="32">
        <f t="shared" si="18"/>
        <v>-98.263376375000746</v>
      </c>
      <c r="P296" s="37"/>
      <c r="Q296" s="61"/>
      <c r="R296" s="37"/>
      <c r="S296" s="102"/>
      <c r="T296" s="103"/>
      <c r="U296" s="37"/>
      <c r="W296" s="104"/>
      <c r="Z296" s="66"/>
    </row>
    <row r="297" spans="5:26" s="35" customFormat="1">
      <c r="E297" s="30" t="str">
        <f t="shared" si="19"/>
        <v/>
      </c>
      <c r="F297" s="45" t="s">
        <v>101</v>
      </c>
      <c r="G297" s="106" t="s">
        <v>564</v>
      </c>
      <c r="H297" s="32">
        <f t="shared" si="16"/>
        <v>89.820901518602739</v>
      </c>
      <c r="I297" s="32">
        <f t="shared" si="17"/>
        <v>-6.7077527986801773</v>
      </c>
      <c r="J297" s="33" t="s">
        <v>367</v>
      </c>
      <c r="K297" s="47">
        <v>7</v>
      </c>
      <c r="L297" s="34">
        <v>5.585</v>
      </c>
      <c r="M297" s="32">
        <v>-4.7333333333333334</v>
      </c>
      <c r="N297" s="32">
        <f t="shared" si="18"/>
        <v>94.761623624999274</v>
      </c>
      <c r="P297" s="37"/>
      <c r="Q297" s="61"/>
      <c r="R297" s="37"/>
      <c r="S297" s="102"/>
      <c r="T297" s="103"/>
      <c r="U297" s="37"/>
      <c r="W297" s="104"/>
      <c r="Z297" s="66"/>
    </row>
    <row r="298" spans="5:26" s="35" customFormat="1">
      <c r="E298" s="30" t="str">
        <f t="shared" si="19"/>
        <v/>
      </c>
      <c r="F298" s="45">
        <v>1981</v>
      </c>
      <c r="G298" s="106" t="s">
        <v>564</v>
      </c>
      <c r="H298" s="32">
        <f t="shared" si="16"/>
        <v>89.630293675367625</v>
      </c>
      <c r="I298" s="32">
        <f t="shared" si="17"/>
        <v>-6.4737264601360325</v>
      </c>
      <c r="J298" s="33" t="s">
        <v>368</v>
      </c>
      <c r="K298" s="47">
        <v>4.2</v>
      </c>
      <c r="L298" s="34">
        <v>5.5866666666666669</v>
      </c>
      <c r="M298" s="32">
        <v>-4.4333333333333336</v>
      </c>
      <c r="N298" s="32">
        <f t="shared" si="18"/>
        <v>94.736623624999268</v>
      </c>
      <c r="P298" s="37"/>
      <c r="Q298" s="61"/>
      <c r="R298" s="37"/>
      <c r="S298" s="102"/>
      <c r="T298" s="103"/>
      <c r="U298" s="37"/>
      <c r="W298" s="104"/>
      <c r="Z298" s="66"/>
    </row>
    <row r="299" spans="5:26" s="35" customFormat="1">
      <c r="E299" s="30" t="str">
        <f t="shared" si="19"/>
        <v/>
      </c>
      <c r="F299" s="45">
        <v>1976</v>
      </c>
      <c r="G299" s="106" t="s">
        <v>564</v>
      </c>
      <c r="H299" s="32">
        <f t="shared" si="16"/>
        <v>90.310034123017431</v>
      </c>
      <c r="I299" s="32">
        <f t="shared" si="17"/>
        <v>-7.1427347495851796</v>
      </c>
      <c r="J299" s="33" t="s">
        <v>369</v>
      </c>
      <c r="K299" s="47">
        <v>4</v>
      </c>
      <c r="L299" s="34">
        <v>5.5883333333333329</v>
      </c>
      <c r="M299" s="32">
        <v>-5.3833333333333337</v>
      </c>
      <c r="N299" s="32">
        <f t="shared" si="18"/>
        <v>94.711623624999277</v>
      </c>
      <c r="P299" s="37"/>
      <c r="Q299" s="61"/>
      <c r="R299" s="37"/>
      <c r="S299" s="102"/>
      <c r="T299" s="103"/>
      <c r="U299" s="37"/>
      <c r="W299" s="104"/>
      <c r="Z299" s="66"/>
    </row>
    <row r="300" spans="5:26" s="35" customFormat="1">
      <c r="E300" s="30" t="str">
        <f t="shared" si="19"/>
        <v/>
      </c>
      <c r="F300" s="45" t="s">
        <v>102</v>
      </c>
      <c r="G300" s="106" t="s">
        <v>564</v>
      </c>
      <c r="H300" s="32">
        <f t="shared" si="16"/>
        <v>89.915163599853074</v>
      </c>
      <c r="I300" s="32">
        <f t="shared" si="17"/>
        <v>-6.7335107315489564</v>
      </c>
      <c r="J300" s="33" t="s">
        <v>370</v>
      </c>
      <c r="K300" s="47">
        <v>7</v>
      </c>
      <c r="L300" s="34">
        <v>5.5883333333333329</v>
      </c>
      <c r="M300" s="32">
        <v>-4.8166666666666664</v>
      </c>
      <c r="N300" s="32">
        <f t="shared" si="18"/>
        <v>94.711623624999277</v>
      </c>
      <c r="P300" s="37"/>
      <c r="Q300" s="61"/>
      <c r="R300" s="37"/>
      <c r="S300" s="102"/>
      <c r="T300" s="103"/>
      <c r="U300" s="37"/>
      <c r="W300" s="104"/>
      <c r="Z300" s="66"/>
    </row>
    <row r="301" spans="5:26" s="35" customFormat="1">
      <c r="E301" s="30" t="str">
        <f t="shared" si="19"/>
        <v/>
      </c>
      <c r="F301" s="45">
        <v>1980</v>
      </c>
      <c r="G301" s="106" t="s">
        <v>564</v>
      </c>
      <c r="H301" s="32">
        <f t="shared" si="16"/>
        <v>90.700414140897365</v>
      </c>
      <c r="I301" s="32">
        <f t="shared" si="17"/>
        <v>-7.5103564408176755</v>
      </c>
      <c r="J301" s="33" t="s">
        <v>371</v>
      </c>
      <c r="K301" s="47">
        <v>2.5</v>
      </c>
      <c r="L301" s="34">
        <v>5.59</v>
      </c>
      <c r="M301" s="32">
        <v>-5.916666666666667</v>
      </c>
      <c r="N301" s="32">
        <f t="shared" si="18"/>
        <v>94.686623624999271</v>
      </c>
      <c r="P301" s="37"/>
      <c r="Q301" s="61"/>
      <c r="R301" s="37"/>
      <c r="S301" s="102"/>
      <c r="T301" s="103"/>
      <c r="U301" s="37"/>
      <c r="W301" s="104"/>
      <c r="Z301" s="66"/>
    </row>
    <row r="302" spans="5:26" s="35" customFormat="1">
      <c r="E302" s="30" t="str">
        <f t="shared" si="19"/>
        <v/>
      </c>
      <c r="F302" s="45">
        <v>1982</v>
      </c>
      <c r="G302" s="106" t="s">
        <v>564</v>
      </c>
      <c r="H302" s="32">
        <f t="shared" si="16"/>
        <v>90.264901149321361</v>
      </c>
      <c r="I302" s="32">
        <f t="shared" si="17"/>
        <v>-7.0240605367692996</v>
      </c>
      <c r="J302" s="33" t="s">
        <v>372</v>
      </c>
      <c r="K302" s="47">
        <v>9</v>
      </c>
      <c r="L302" s="34">
        <v>5.5916666666666668</v>
      </c>
      <c r="M302" s="32">
        <v>-5.2666666666666666</v>
      </c>
      <c r="N302" s="32">
        <f t="shared" si="18"/>
        <v>94.661623624999265</v>
      </c>
      <c r="P302" s="37"/>
      <c r="Q302" s="61"/>
      <c r="R302" s="37"/>
      <c r="S302" s="102"/>
      <c r="T302" s="103"/>
      <c r="U302" s="37"/>
      <c r="W302" s="104"/>
      <c r="Z302" s="66"/>
    </row>
    <row r="303" spans="5:26" s="35" customFormat="1">
      <c r="E303" s="30" t="str">
        <f t="shared" si="19"/>
        <v/>
      </c>
      <c r="F303" s="45">
        <v>1999</v>
      </c>
      <c r="G303" s="106" t="s">
        <v>564</v>
      </c>
      <c r="H303" s="32">
        <f t="shared" si="16"/>
        <v>268.55291645310456</v>
      </c>
      <c r="I303" s="32">
        <f t="shared" si="17"/>
        <v>-7.8856061168934648</v>
      </c>
      <c r="J303" s="33" t="s">
        <v>373</v>
      </c>
      <c r="K303" s="47">
        <v>9.1999999999999993</v>
      </c>
      <c r="L303" s="34">
        <v>5.6083333333333334</v>
      </c>
      <c r="M303" s="32">
        <v>-6.7</v>
      </c>
      <c r="N303" s="32">
        <f t="shared" si="18"/>
        <v>94.411623624999265</v>
      </c>
      <c r="P303" s="37"/>
      <c r="Q303" s="61"/>
      <c r="R303" s="37"/>
      <c r="S303" s="102"/>
      <c r="T303" s="103"/>
      <c r="U303" s="37"/>
      <c r="W303" s="104"/>
      <c r="Z303" s="66"/>
    </row>
    <row r="304" spans="5:26" s="35" customFormat="1">
      <c r="E304" s="30" t="str">
        <f t="shared" si="19"/>
        <v/>
      </c>
      <c r="F304" s="45">
        <v>2024</v>
      </c>
      <c r="G304" s="106" t="s">
        <v>564</v>
      </c>
      <c r="H304" s="32">
        <f t="shared" si="16"/>
        <v>89.019606230022404</v>
      </c>
      <c r="I304" s="32">
        <f t="shared" si="17"/>
        <v>-3.4844438977958467</v>
      </c>
      <c r="J304" s="33" t="s">
        <v>374</v>
      </c>
      <c r="K304" s="49" t="s">
        <v>549</v>
      </c>
      <c r="L304" s="34">
        <v>5.6950000000000003</v>
      </c>
      <c r="M304" s="32">
        <v>-1.85</v>
      </c>
      <c r="N304" s="32">
        <f t="shared" si="18"/>
        <v>93.111623624999254</v>
      </c>
      <c r="P304" s="37"/>
      <c r="Q304" s="61"/>
      <c r="R304" s="37"/>
      <c r="S304" s="102"/>
      <c r="T304" s="103"/>
      <c r="U304" s="37"/>
      <c r="W304" s="104"/>
      <c r="Z304" s="66"/>
    </row>
    <row r="305" spans="5:26" s="35" customFormat="1">
      <c r="E305" s="30" t="str">
        <f t="shared" si="19"/>
        <v/>
      </c>
      <c r="F305" s="45">
        <v>2022</v>
      </c>
      <c r="G305" s="106" t="s">
        <v>564</v>
      </c>
      <c r="H305" s="32">
        <f t="shared" si="16"/>
        <v>81.556899606719654</v>
      </c>
      <c r="I305" s="32">
        <f t="shared" si="17"/>
        <v>4.5124732710087212</v>
      </c>
      <c r="J305" s="33" t="s">
        <v>375</v>
      </c>
      <c r="K305" s="47">
        <v>11.6</v>
      </c>
      <c r="L305" s="34">
        <v>5.7016666666666662</v>
      </c>
      <c r="M305" s="32">
        <v>9.0833333333333339</v>
      </c>
      <c r="N305" s="32">
        <f t="shared" si="18"/>
        <v>93.011623624999274</v>
      </c>
      <c r="P305" s="37"/>
      <c r="Q305" s="61"/>
      <c r="R305" s="37"/>
      <c r="S305" s="102"/>
      <c r="T305" s="103"/>
      <c r="U305" s="37"/>
      <c r="W305" s="104"/>
      <c r="Z305" s="66"/>
    </row>
    <row r="306" spans="5:26" s="35" customFormat="1">
      <c r="E306" s="30" t="str">
        <f t="shared" si="19"/>
        <v/>
      </c>
      <c r="F306" s="45">
        <v>2068</v>
      </c>
      <c r="G306" s="106" t="s">
        <v>564</v>
      </c>
      <c r="H306" s="32">
        <f t="shared" si="16"/>
        <v>271.3887651785264</v>
      </c>
      <c r="I306" s="32">
        <f t="shared" si="17"/>
        <v>-1.204883399705672</v>
      </c>
      <c r="J306" s="33" t="s">
        <v>376</v>
      </c>
      <c r="K306" s="47">
        <v>8</v>
      </c>
      <c r="L306" s="34">
        <v>5.78</v>
      </c>
      <c r="M306" s="32">
        <v>8.3333333333333329E-2</v>
      </c>
      <c r="N306" s="32">
        <f t="shared" si="18"/>
        <v>91.836623624999262</v>
      </c>
      <c r="P306" s="37"/>
      <c r="Q306" s="61"/>
      <c r="R306" s="37"/>
      <c r="S306" s="102"/>
      <c r="T306" s="103"/>
      <c r="U306" s="37"/>
      <c r="W306" s="104"/>
      <c r="Z306" s="66"/>
    </row>
    <row r="307" spans="5:26" s="35" customFormat="1">
      <c r="E307" s="30" t="str">
        <f t="shared" si="19"/>
        <v/>
      </c>
      <c r="F307" s="45">
        <v>2141</v>
      </c>
      <c r="G307" s="106" t="s">
        <v>564</v>
      </c>
      <c r="H307" s="32">
        <f t="shared" si="16"/>
        <v>84.319391976668399</v>
      </c>
      <c r="I307" s="32">
        <f t="shared" si="17"/>
        <v>9.0519644054973938</v>
      </c>
      <c r="J307" s="33" t="s">
        <v>377</v>
      </c>
      <c r="K307" s="48">
        <v>9.4</v>
      </c>
      <c r="L307" s="34">
        <v>6.0483333333333329</v>
      </c>
      <c r="M307" s="32">
        <v>10.45</v>
      </c>
      <c r="N307" s="32">
        <f t="shared" si="18"/>
        <v>87.811623624999271</v>
      </c>
      <c r="P307" s="37"/>
      <c r="Q307" s="61"/>
      <c r="R307" s="37"/>
      <c r="S307" s="102"/>
      <c r="T307" s="103"/>
      <c r="U307" s="37"/>
      <c r="W307" s="104"/>
      <c r="Z307" s="66"/>
    </row>
    <row r="308" spans="5:26" s="35" customFormat="1">
      <c r="E308" s="30" t="str">
        <f t="shared" si="19"/>
        <v/>
      </c>
      <c r="F308" s="45">
        <v>2169</v>
      </c>
      <c r="G308" s="106" t="s">
        <v>564</v>
      </c>
      <c r="H308" s="32">
        <f t="shared" si="16"/>
        <v>277.21279654801288</v>
      </c>
      <c r="I308" s="32">
        <f t="shared" si="17"/>
        <v>12.50270674195543</v>
      </c>
      <c r="J308" s="33" t="s">
        <v>378</v>
      </c>
      <c r="K308" s="47">
        <v>5.9</v>
      </c>
      <c r="L308" s="34">
        <v>6.14</v>
      </c>
      <c r="M308" s="32">
        <v>13.966666666666667</v>
      </c>
      <c r="N308" s="32">
        <f t="shared" si="18"/>
        <v>86.436623624999271</v>
      </c>
      <c r="P308" s="37"/>
      <c r="Q308" s="61"/>
      <c r="R308" s="37"/>
      <c r="S308" s="102"/>
      <c r="T308" s="103"/>
      <c r="U308" s="37"/>
      <c r="W308" s="104"/>
      <c r="Z308" s="66"/>
    </row>
    <row r="309" spans="5:26" s="35" customFormat="1">
      <c r="E309" s="30" t="str">
        <f t="shared" si="19"/>
        <v/>
      </c>
      <c r="F309" s="45">
        <v>2194</v>
      </c>
      <c r="G309" s="106" t="s">
        <v>564</v>
      </c>
      <c r="H309" s="32">
        <f t="shared" si="16"/>
        <v>275.4157940606666</v>
      </c>
      <c r="I309" s="32">
        <f t="shared" si="17"/>
        <v>12.598484251831987</v>
      </c>
      <c r="J309" s="33" t="s">
        <v>379</v>
      </c>
      <c r="K309" s="47">
        <v>8.5</v>
      </c>
      <c r="L309" s="34">
        <v>6.23</v>
      </c>
      <c r="M309" s="32">
        <v>12.8</v>
      </c>
      <c r="N309" s="32">
        <f t="shared" si="18"/>
        <v>85.086623624999262</v>
      </c>
      <c r="P309" s="37"/>
      <c r="Q309" s="61"/>
      <c r="R309" s="37"/>
      <c r="S309" s="102"/>
      <c r="T309" s="103"/>
      <c r="U309" s="37"/>
      <c r="W309" s="104"/>
      <c r="Z309" s="66"/>
    </row>
    <row r="310" spans="5:26" s="35" customFormat="1">
      <c r="E310" s="30" t="str">
        <f t="shared" si="19"/>
        <v/>
      </c>
      <c r="F310" s="45">
        <v>7814</v>
      </c>
      <c r="G310" s="106" t="s">
        <v>564</v>
      </c>
      <c r="H310" s="32">
        <f t="shared" si="16"/>
        <v>2.4481414473026923</v>
      </c>
      <c r="I310" s="32">
        <f t="shared" si="17"/>
        <v>-27.366684863428222</v>
      </c>
      <c r="J310" s="33" t="s">
        <v>380</v>
      </c>
      <c r="K310" s="47">
        <v>11</v>
      </c>
      <c r="L310" s="34">
        <v>5.3333333333333337E-2</v>
      </c>
      <c r="M310" s="32">
        <v>16.149999999999999</v>
      </c>
      <c r="N310" s="32">
        <f t="shared" si="18"/>
        <v>177.73662362499925</v>
      </c>
      <c r="P310" s="37"/>
      <c r="Q310" s="61"/>
      <c r="R310" s="37"/>
      <c r="S310" s="102"/>
      <c r="T310" s="103"/>
      <c r="U310" s="37"/>
      <c r="W310" s="104"/>
      <c r="Z310" s="66"/>
    </row>
    <row r="311" spans="5:26" s="35" customFormat="1">
      <c r="E311" s="30" t="str">
        <f t="shared" si="19"/>
        <v/>
      </c>
      <c r="F311" s="45">
        <v>7078</v>
      </c>
      <c r="G311" s="106" t="s">
        <v>564</v>
      </c>
      <c r="H311" s="32">
        <f t="shared" si="16"/>
        <v>38.68838599203491</v>
      </c>
      <c r="I311" s="32">
        <f t="shared" si="17"/>
        <v>-23.071458431723155</v>
      </c>
      <c r="J311" s="33" t="s">
        <v>381</v>
      </c>
      <c r="K311" s="47">
        <v>6.3</v>
      </c>
      <c r="L311" s="34">
        <v>21.5</v>
      </c>
      <c r="M311" s="32">
        <v>12.166666666666666</v>
      </c>
      <c r="N311" s="32">
        <f t="shared" si="18"/>
        <v>-143.96337637500073</v>
      </c>
      <c r="P311" s="37"/>
      <c r="Q311" s="61"/>
      <c r="R311" s="37"/>
      <c r="S311" s="102"/>
      <c r="T311" s="103"/>
      <c r="U311" s="37"/>
      <c r="W311" s="104"/>
      <c r="Z311" s="66"/>
    </row>
    <row r="312" spans="5:26" s="35" customFormat="1">
      <c r="E312" s="30" t="str">
        <f t="shared" si="19"/>
        <v/>
      </c>
      <c r="F312" s="45">
        <v>7331</v>
      </c>
      <c r="G312" s="106" t="s">
        <v>564</v>
      </c>
      <c r="H312" s="32">
        <f t="shared" si="16"/>
        <v>344.07644533754342</v>
      </c>
      <c r="I312" s="32">
        <f t="shared" si="17"/>
        <v>-7.2914051044970352</v>
      </c>
      <c r="J312" s="33" t="s">
        <v>382</v>
      </c>
      <c r="K312" s="47">
        <v>9.5</v>
      </c>
      <c r="L312" s="34">
        <v>22.618333333333332</v>
      </c>
      <c r="M312" s="32">
        <v>34.416666666666664</v>
      </c>
      <c r="N312" s="32">
        <f t="shared" si="18"/>
        <v>-160.73837637500071</v>
      </c>
      <c r="P312" s="37"/>
      <c r="Q312" s="61"/>
      <c r="R312" s="37"/>
      <c r="S312" s="102"/>
      <c r="T312" s="103"/>
      <c r="U312" s="37"/>
      <c r="W312" s="104"/>
      <c r="Z312" s="66"/>
    </row>
    <row r="313" spans="5:26" s="35" customFormat="1">
      <c r="E313" s="30" t="str">
        <f t="shared" si="19"/>
        <v/>
      </c>
      <c r="F313" s="45">
        <v>7479</v>
      </c>
      <c r="G313" s="106" t="s">
        <v>564</v>
      </c>
      <c r="H313" s="32">
        <f t="shared" si="16"/>
        <v>13.947891261509344</v>
      </c>
      <c r="I313" s="32">
        <f t="shared" si="17"/>
        <v>-30.201604650504795</v>
      </c>
      <c r="J313" s="33" t="s">
        <v>383</v>
      </c>
      <c r="K313" s="47">
        <v>10.9</v>
      </c>
      <c r="L313" s="34">
        <v>23.081666666666667</v>
      </c>
      <c r="M313" s="32">
        <v>12.316666666666666</v>
      </c>
      <c r="N313" s="32">
        <f t="shared" si="18"/>
        <v>-167.68837637500076</v>
      </c>
      <c r="P313" s="37"/>
      <c r="Q313" s="61"/>
      <c r="R313" s="37"/>
      <c r="S313" s="102"/>
      <c r="T313" s="103"/>
      <c r="U313" s="37"/>
      <c r="W313" s="104"/>
      <c r="Z313" s="66"/>
    </row>
    <row r="314" spans="5:26" s="35" customFormat="1">
      <c r="E314" s="30" t="str">
        <f t="shared" si="19"/>
        <v/>
      </c>
      <c r="F314" s="45" t="s">
        <v>103</v>
      </c>
      <c r="G314" s="106" t="s">
        <v>564</v>
      </c>
      <c r="H314" s="32">
        <f t="shared" si="16"/>
        <v>16.709313070041372</v>
      </c>
      <c r="I314" s="32">
        <f t="shared" si="17"/>
        <v>10.751032868010062</v>
      </c>
      <c r="J314" s="33" t="s">
        <v>384</v>
      </c>
      <c r="K314" s="47">
        <v>11</v>
      </c>
      <c r="L314" s="34">
        <v>1.7050000000000001</v>
      </c>
      <c r="M314" s="32">
        <v>51.583333333333336</v>
      </c>
      <c r="N314" s="32">
        <f t="shared" si="18"/>
        <v>152.96162362499928</v>
      </c>
      <c r="P314" s="37"/>
      <c r="Q314" s="61"/>
      <c r="R314" s="37"/>
      <c r="S314" s="102"/>
      <c r="T314" s="103"/>
      <c r="U314" s="37"/>
      <c r="W314" s="104"/>
      <c r="Z314" s="66"/>
    </row>
    <row r="315" spans="5:26" s="35" customFormat="1">
      <c r="E315" s="30" t="str">
        <f t="shared" si="19"/>
        <v/>
      </c>
      <c r="F315" s="45">
        <v>869</v>
      </c>
      <c r="G315" s="106" t="s">
        <v>564</v>
      </c>
      <c r="H315" s="32">
        <f t="shared" si="16"/>
        <v>19.700641619334693</v>
      </c>
      <c r="I315" s="32">
        <f t="shared" si="17"/>
        <v>17.889703386589815</v>
      </c>
      <c r="J315" s="33" t="s">
        <v>385</v>
      </c>
      <c r="K315" s="47">
        <v>5.3</v>
      </c>
      <c r="L315" s="34">
        <v>2.3183333333333334</v>
      </c>
      <c r="M315" s="32">
        <v>57.133333333333333</v>
      </c>
      <c r="N315" s="32">
        <f t="shared" si="18"/>
        <v>143.76162362499926</v>
      </c>
      <c r="P315" s="37"/>
      <c r="Q315" s="61"/>
      <c r="R315" s="37"/>
      <c r="S315" s="102"/>
      <c r="T315" s="103"/>
      <c r="U315" s="37"/>
      <c r="W315" s="104"/>
      <c r="Z315" s="66"/>
    </row>
    <row r="316" spans="5:26" s="35" customFormat="1">
      <c r="E316" s="30" t="str">
        <f t="shared" si="19"/>
        <v/>
      </c>
      <c r="F316" s="45">
        <v>884</v>
      </c>
      <c r="G316" s="106" t="s">
        <v>564</v>
      </c>
      <c r="H316" s="32">
        <f t="shared" si="16"/>
        <v>20.086554649279662</v>
      </c>
      <c r="I316" s="32">
        <f t="shared" si="17"/>
        <v>18.065537552736032</v>
      </c>
      <c r="J316" s="33" t="s">
        <v>385</v>
      </c>
      <c r="K316" s="47">
        <v>6.1</v>
      </c>
      <c r="L316" s="34">
        <v>2.3683333333333332</v>
      </c>
      <c r="M316" s="32">
        <v>57.133333333333333</v>
      </c>
      <c r="N316" s="32">
        <f t="shared" si="18"/>
        <v>143.01162362499926</v>
      </c>
      <c r="P316" s="37"/>
      <c r="Q316" s="61"/>
      <c r="R316" s="37"/>
      <c r="S316" s="102"/>
      <c r="T316" s="103"/>
      <c r="U316" s="37"/>
      <c r="W316" s="104"/>
      <c r="Z316" s="66"/>
    </row>
    <row r="317" spans="5:26" s="35" customFormat="1">
      <c r="E317" s="30" t="str">
        <f t="shared" si="19"/>
        <v/>
      </c>
      <c r="F317" s="45">
        <v>1003</v>
      </c>
      <c r="G317" s="106" t="s">
        <v>564</v>
      </c>
      <c r="H317" s="32">
        <f t="shared" si="16"/>
        <v>30.047409342080702</v>
      </c>
      <c r="I317" s="32">
        <f t="shared" si="17"/>
        <v>4.7446213919793596</v>
      </c>
      <c r="J317" s="33" t="s">
        <v>386</v>
      </c>
      <c r="K317" s="47">
        <v>11.4</v>
      </c>
      <c r="L317" s="34">
        <v>2.6549999999999998</v>
      </c>
      <c r="M317" s="32">
        <v>40.866666666666667</v>
      </c>
      <c r="N317" s="32">
        <f t="shared" si="18"/>
        <v>138.71162362499928</v>
      </c>
      <c r="P317" s="37"/>
      <c r="Q317" s="61"/>
      <c r="R317" s="37"/>
      <c r="S317" s="102"/>
      <c r="T317" s="103"/>
      <c r="U317" s="37"/>
      <c r="W317" s="104"/>
      <c r="Z317" s="66"/>
    </row>
    <row r="318" spans="5:26" s="35" customFormat="1">
      <c r="E318" s="30" t="str">
        <f t="shared" si="19"/>
        <v/>
      </c>
      <c r="F318" s="45">
        <v>1023</v>
      </c>
      <c r="G318" s="106" t="s">
        <v>564</v>
      </c>
      <c r="H318" s="32">
        <f t="shared" si="16"/>
        <v>328.94006269707859</v>
      </c>
      <c r="I318" s="32">
        <f t="shared" si="17"/>
        <v>3.2398866504592445</v>
      </c>
      <c r="J318" s="33" t="s">
        <v>387</v>
      </c>
      <c r="K318" s="47">
        <v>9.4</v>
      </c>
      <c r="L318" s="34">
        <v>2.6733333333333333</v>
      </c>
      <c r="M318" s="32">
        <v>39.06666666666667</v>
      </c>
      <c r="N318" s="32">
        <f t="shared" si="18"/>
        <v>138.43662362499927</v>
      </c>
      <c r="P318" s="37"/>
      <c r="Q318" s="61"/>
      <c r="R318" s="37"/>
      <c r="S318" s="102"/>
      <c r="T318" s="103"/>
      <c r="U318" s="37"/>
      <c r="W318" s="104"/>
      <c r="Z318" s="66"/>
    </row>
    <row r="319" spans="5:26" s="35" customFormat="1">
      <c r="E319" s="30" t="str">
        <f t="shared" si="19"/>
        <v/>
      </c>
      <c r="F319" s="45">
        <v>1039</v>
      </c>
      <c r="G319" s="106" t="s">
        <v>564</v>
      </c>
      <c r="H319" s="32">
        <f t="shared" si="16"/>
        <v>29.642142366124752</v>
      </c>
      <c r="I319" s="32">
        <f t="shared" si="17"/>
        <v>6.6568173672130149</v>
      </c>
      <c r="J319" s="33" t="s">
        <v>39</v>
      </c>
      <c r="K319" s="47">
        <v>5.2</v>
      </c>
      <c r="L319" s="34">
        <v>2.7016666666666667</v>
      </c>
      <c r="M319" s="32">
        <v>42.75</v>
      </c>
      <c r="N319" s="32">
        <f t="shared" si="18"/>
        <v>138.01162362499926</v>
      </c>
      <c r="P319" s="37"/>
      <c r="Q319" s="61"/>
      <c r="R319" s="37"/>
      <c r="S319" s="102"/>
      <c r="T319" s="103"/>
      <c r="U319" s="37"/>
      <c r="W319" s="104"/>
      <c r="Z319" s="66"/>
    </row>
    <row r="320" spans="5:26" s="35" customFormat="1">
      <c r="E320" s="30" t="str">
        <f t="shared" si="19"/>
        <v/>
      </c>
      <c r="F320" s="45">
        <v>1160</v>
      </c>
      <c r="G320" s="106" t="s">
        <v>564</v>
      </c>
      <c r="H320" s="32">
        <f t="shared" si="16"/>
        <v>328.40118546579254</v>
      </c>
      <c r="I320" s="32">
        <f t="shared" si="17"/>
        <v>10.25467497734059</v>
      </c>
      <c r="J320" s="33" t="s">
        <v>388</v>
      </c>
      <c r="K320" s="47">
        <v>12.8</v>
      </c>
      <c r="L320" s="34">
        <v>3.02</v>
      </c>
      <c r="M320" s="32">
        <v>44.95</v>
      </c>
      <c r="N320" s="32">
        <f t="shared" si="18"/>
        <v>133.23662362499925</v>
      </c>
      <c r="P320" s="37"/>
      <c r="Q320" s="61"/>
      <c r="R320" s="37"/>
      <c r="S320" s="102"/>
      <c r="T320" s="103"/>
      <c r="U320" s="37"/>
      <c r="W320" s="104"/>
      <c r="Z320" s="66"/>
    </row>
    <row r="321" spans="5:26" s="35" customFormat="1">
      <c r="E321" s="30" t="str">
        <f t="shared" si="19"/>
        <v/>
      </c>
      <c r="F321" s="45">
        <v>1245</v>
      </c>
      <c r="G321" s="106" t="s">
        <v>564</v>
      </c>
      <c r="H321" s="32">
        <f t="shared" si="16"/>
        <v>327.59796358708149</v>
      </c>
      <c r="I321" s="32">
        <f t="shared" si="17"/>
        <v>13.428038197306433</v>
      </c>
      <c r="J321" s="33" t="s">
        <v>389</v>
      </c>
      <c r="K321" s="47">
        <v>8.4</v>
      </c>
      <c r="L321" s="34">
        <v>3.2450000000000001</v>
      </c>
      <c r="M321" s="32">
        <v>47.233333333333334</v>
      </c>
      <c r="N321" s="32">
        <f t="shared" si="18"/>
        <v>129.86162362499925</v>
      </c>
      <c r="P321" s="37"/>
      <c r="Q321" s="61"/>
      <c r="R321" s="37"/>
      <c r="S321" s="102"/>
      <c r="T321" s="103"/>
      <c r="U321" s="37"/>
      <c r="W321" s="104"/>
      <c r="Z321" s="66"/>
    </row>
    <row r="322" spans="5:26" s="35" customFormat="1">
      <c r="E322" s="30" t="str">
        <f t="shared" si="19"/>
        <v/>
      </c>
      <c r="F322" s="45">
        <v>1333</v>
      </c>
      <c r="G322" s="106" t="s">
        <v>564</v>
      </c>
      <c r="H322" s="32">
        <f t="shared" si="16"/>
        <v>316.45879217168226</v>
      </c>
      <c r="I322" s="32">
        <f t="shared" si="17"/>
        <v>1.7439262464415581</v>
      </c>
      <c r="J322" s="33" t="s">
        <v>390</v>
      </c>
      <c r="K322" s="47">
        <v>5.7</v>
      </c>
      <c r="L322" s="34">
        <v>3.4883333333333333</v>
      </c>
      <c r="M322" s="32">
        <v>31.416666666666668</v>
      </c>
      <c r="N322" s="32">
        <f t="shared" si="18"/>
        <v>126.21162362499928</v>
      </c>
      <c r="P322" s="37"/>
      <c r="Q322" s="61"/>
      <c r="R322" s="37"/>
      <c r="S322" s="102"/>
      <c r="T322" s="103"/>
      <c r="U322" s="37"/>
      <c r="W322" s="104"/>
      <c r="Z322" s="66"/>
    </row>
    <row r="323" spans="5:26" s="35" customFormat="1">
      <c r="E323" s="30" t="str">
        <f t="shared" si="19"/>
        <v/>
      </c>
      <c r="F323" s="45">
        <v>1342</v>
      </c>
      <c r="G323" s="106" t="s">
        <v>564</v>
      </c>
      <c r="H323" s="32">
        <f t="shared" si="16"/>
        <v>319.38923402645406</v>
      </c>
      <c r="I323" s="32">
        <f t="shared" si="17"/>
        <v>6.9511289175708999</v>
      </c>
      <c r="J323" s="33" t="s">
        <v>391</v>
      </c>
      <c r="K323" s="47">
        <v>6.7</v>
      </c>
      <c r="L323" s="34">
        <v>3.5283333333333333</v>
      </c>
      <c r="M323" s="32">
        <v>37.366666666666667</v>
      </c>
      <c r="N323" s="32">
        <f t="shared" si="18"/>
        <v>125.61162362499927</v>
      </c>
      <c r="P323" s="37"/>
      <c r="Q323" s="61"/>
      <c r="R323" s="37"/>
      <c r="S323" s="102"/>
      <c r="T323" s="103"/>
      <c r="U323" s="37"/>
      <c r="W323" s="104"/>
      <c r="Z323" s="66"/>
    </row>
    <row r="324" spans="5:26" s="35" customFormat="1">
      <c r="E324" s="30" t="str">
        <f t="shared" si="19"/>
        <v/>
      </c>
      <c r="F324" s="45">
        <v>1444</v>
      </c>
      <c r="G324" s="106" t="s">
        <v>564</v>
      </c>
      <c r="H324" s="32">
        <f t="shared" si="16"/>
        <v>326.20390972915391</v>
      </c>
      <c r="I324" s="32">
        <f t="shared" si="17"/>
        <v>21.082052122828642</v>
      </c>
      <c r="J324" s="33" t="s">
        <v>392</v>
      </c>
      <c r="K324" s="47">
        <v>6.6</v>
      </c>
      <c r="L324" s="34">
        <v>3.8233333333333333</v>
      </c>
      <c r="M324" s="32">
        <v>52.65</v>
      </c>
      <c r="N324" s="32">
        <f t="shared" si="18"/>
        <v>121.18662362499927</v>
      </c>
      <c r="P324" s="37"/>
      <c r="Q324" s="61"/>
      <c r="R324" s="37"/>
      <c r="S324" s="102"/>
      <c r="T324" s="103"/>
      <c r="U324" s="37"/>
      <c r="W324" s="104"/>
      <c r="Z324" s="66"/>
    </row>
    <row r="325" spans="5:26" s="35" customFormat="1">
      <c r="E325" s="30" t="str">
        <f t="shared" si="19"/>
        <v/>
      </c>
      <c r="F325" s="45">
        <v>1491</v>
      </c>
      <c r="G325" s="106" t="s">
        <v>564</v>
      </c>
      <c r="H325" s="32">
        <f t="shared" si="16"/>
        <v>323.53857728952767</v>
      </c>
      <c r="I325" s="32">
        <f t="shared" si="17"/>
        <v>21.429086616885815</v>
      </c>
      <c r="J325" s="33" t="s">
        <v>393</v>
      </c>
      <c r="K325" s="49" t="s">
        <v>549</v>
      </c>
      <c r="L325" s="34">
        <v>4.0533333333333337</v>
      </c>
      <c r="M325" s="32">
        <v>51.31666666666667</v>
      </c>
      <c r="N325" s="32">
        <f t="shared" si="18"/>
        <v>117.73662362499925</v>
      </c>
      <c r="P325" s="37"/>
      <c r="Q325" s="61"/>
      <c r="R325" s="37"/>
      <c r="S325" s="102"/>
      <c r="T325" s="103"/>
      <c r="U325" s="37"/>
      <c r="W325" s="104"/>
      <c r="Z325" s="66"/>
    </row>
    <row r="326" spans="5:26" s="35" customFormat="1">
      <c r="E326" s="30" t="str">
        <f t="shared" si="19"/>
        <v/>
      </c>
      <c r="F326" s="45">
        <v>1528</v>
      </c>
      <c r="G326" s="106" t="s">
        <v>564</v>
      </c>
      <c r="H326" s="32">
        <f t="shared" si="16"/>
        <v>321.94498641552855</v>
      </c>
      <c r="I326" s="32">
        <f t="shared" si="17"/>
        <v>22.616352573003322</v>
      </c>
      <c r="J326" s="33" t="s">
        <v>394</v>
      </c>
      <c r="K326" s="47">
        <v>6.4</v>
      </c>
      <c r="L326" s="34">
        <v>4.2549999999999999</v>
      </c>
      <c r="M326" s="32">
        <v>51.216666666666669</v>
      </c>
      <c r="N326" s="32">
        <f t="shared" si="18"/>
        <v>114.71162362499928</v>
      </c>
      <c r="P326" s="37"/>
      <c r="Q326" s="61"/>
      <c r="R326" s="37"/>
      <c r="S326" s="102"/>
      <c r="T326" s="103"/>
      <c r="U326" s="37"/>
      <c r="W326" s="104"/>
      <c r="Z326" s="66"/>
    </row>
    <row r="327" spans="5:26" s="35" customFormat="1">
      <c r="E327" s="30" t="str">
        <f t="shared" si="19"/>
        <v/>
      </c>
      <c r="F327" s="45">
        <v>1545</v>
      </c>
      <c r="G327" s="106" t="s">
        <v>564</v>
      </c>
      <c r="H327" s="32">
        <f t="shared" si="16"/>
        <v>39.470587929133963</v>
      </c>
      <c r="I327" s="32">
        <f t="shared" si="17"/>
        <v>22.512834062769972</v>
      </c>
      <c r="J327" s="33" t="s">
        <v>395</v>
      </c>
      <c r="K327" s="47">
        <v>6.2</v>
      </c>
      <c r="L327" s="34">
        <v>4.3483333333333336</v>
      </c>
      <c r="M327" s="32">
        <v>50.25</v>
      </c>
      <c r="N327" s="32">
        <f t="shared" si="18"/>
        <v>113.31162362499926</v>
      </c>
      <c r="P327" s="37"/>
      <c r="Q327" s="61"/>
      <c r="R327" s="37"/>
      <c r="S327" s="102"/>
      <c r="T327" s="103"/>
      <c r="U327" s="37"/>
      <c r="W327" s="104"/>
      <c r="Z327" s="66"/>
    </row>
    <row r="328" spans="5:26" s="35" customFormat="1">
      <c r="E328" s="30" t="str">
        <f t="shared" si="19"/>
        <v/>
      </c>
      <c r="F328" s="45">
        <v>1579</v>
      </c>
      <c r="G328" s="106" t="s">
        <v>564</v>
      </c>
      <c r="H328" s="32">
        <f t="shared" ref="H328:H391" si="20">IF(SIN($C$14*N328)&lt;0,ACOS((SIN($M$512*M328)-SIN($M$512*I328)*SIN($M$512*$C$13))/(COS($M$512*I328)*COS($M$512*$C$13)))/$M$512,360-ACOS((SIN($M$512*M328)-SIN($M$512*I328)*SIN($M$512*$C$13))/(COS($M$512*I328)*COS($M$512*$C$13)))/$M$512)</f>
        <v>308.66638257424552</v>
      </c>
      <c r="I328" s="32">
        <f t="shared" ref="I328:I391" si="21">ASIN(SIN($M$512*M328)*SIN($M$512*$C$13)+COS($M$512*M328)*COS($M$512*$C$13)*COS($M$512*N328))/$M$512</f>
        <v>12.545304432795568</v>
      </c>
      <c r="J328" s="33" t="s">
        <v>396</v>
      </c>
      <c r="K328" s="49" t="s">
        <v>549</v>
      </c>
      <c r="L328" s="34">
        <v>4.503333333333333</v>
      </c>
      <c r="M328" s="32">
        <v>35.283333333333331</v>
      </c>
      <c r="N328" s="32">
        <f t="shared" ref="N328:N391" si="22">$C$16-((L328/24)*360)</f>
        <v>110.98662362499927</v>
      </c>
      <c r="P328" s="37"/>
      <c r="Q328" s="61"/>
      <c r="R328" s="37"/>
      <c r="S328" s="102"/>
      <c r="T328" s="103"/>
      <c r="U328" s="37"/>
      <c r="W328" s="104"/>
      <c r="Z328" s="66"/>
    </row>
    <row r="329" spans="5:26" s="35" customFormat="1">
      <c r="E329" s="30" t="str">
        <f t="shared" ref="E329:E392" si="23">IF(AND(I329&gt;=$I$4,I329&lt;=$I$6,H329&gt;=$H$4,H329&lt;=$H$6),IF(VLOOKUP(G329,$C$19:$D$24,2,FALSE)="yes","*","-"),"")</f>
        <v/>
      </c>
      <c r="F329" s="45" t="s">
        <v>104</v>
      </c>
      <c r="G329" s="106" t="s">
        <v>564</v>
      </c>
      <c r="H329" s="32">
        <f t="shared" si="20"/>
        <v>48.685433074989618</v>
      </c>
      <c r="I329" s="32">
        <f t="shared" si="21"/>
        <v>19.423128823289137</v>
      </c>
      <c r="J329" s="33" t="s">
        <v>187</v>
      </c>
      <c r="K329" s="47">
        <v>9.8000000000000007</v>
      </c>
      <c r="L329" s="34">
        <v>4.7416666666666671</v>
      </c>
      <c r="M329" s="32">
        <v>42.06666666666667</v>
      </c>
      <c r="N329" s="32">
        <f t="shared" si="22"/>
        <v>107.41162362499927</v>
      </c>
      <c r="P329" s="37"/>
      <c r="Q329" s="61"/>
      <c r="R329" s="37"/>
      <c r="S329" s="102"/>
      <c r="T329" s="103"/>
      <c r="U329" s="37"/>
      <c r="W329" s="104"/>
      <c r="Z329" s="66"/>
    </row>
    <row r="330" spans="5:26" s="35" customFormat="1">
      <c r="E330" s="30" t="str">
        <f t="shared" si="23"/>
        <v/>
      </c>
      <c r="F330" s="45">
        <v>7174</v>
      </c>
      <c r="G330" s="106" t="s">
        <v>564</v>
      </c>
      <c r="H330" s="32">
        <f t="shared" si="20"/>
        <v>65.975684761659508</v>
      </c>
      <c r="I330" s="32">
        <f t="shared" si="21"/>
        <v>-64.14716532493955</v>
      </c>
      <c r="J330" s="33" t="s">
        <v>397</v>
      </c>
      <c r="K330" s="47">
        <v>13.3</v>
      </c>
      <c r="L330" s="34">
        <v>22.035</v>
      </c>
      <c r="M330" s="32">
        <v>-32</v>
      </c>
      <c r="N330" s="32">
        <f t="shared" si="22"/>
        <v>-151.98837637500071</v>
      </c>
      <c r="P330" s="37"/>
      <c r="Q330" s="61"/>
      <c r="R330" s="37"/>
      <c r="S330" s="102"/>
      <c r="T330" s="103"/>
      <c r="U330" s="37"/>
      <c r="W330" s="104"/>
      <c r="Z330" s="66"/>
    </row>
    <row r="331" spans="5:26" s="35" customFormat="1">
      <c r="E331" s="30" t="str">
        <f t="shared" si="23"/>
        <v/>
      </c>
      <c r="F331" s="45">
        <v>7176</v>
      </c>
      <c r="G331" s="106" t="s">
        <v>564</v>
      </c>
      <c r="H331" s="32">
        <f t="shared" si="20"/>
        <v>65.947333954965444</v>
      </c>
      <c r="I331" s="32">
        <f t="shared" si="21"/>
        <v>-64.135990340107909</v>
      </c>
      <c r="J331" s="33" t="s">
        <v>398</v>
      </c>
      <c r="K331" s="47">
        <v>11.3</v>
      </c>
      <c r="L331" s="34">
        <v>22.035</v>
      </c>
      <c r="M331" s="32">
        <v>-31.983333333333334</v>
      </c>
      <c r="N331" s="32">
        <f t="shared" si="22"/>
        <v>-151.98837637500071</v>
      </c>
      <c r="P331" s="37"/>
      <c r="Q331" s="61"/>
      <c r="R331" s="37"/>
      <c r="S331" s="102"/>
      <c r="T331" s="103"/>
      <c r="U331" s="37"/>
      <c r="W331" s="104"/>
      <c r="Z331" s="66"/>
    </row>
    <row r="332" spans="5:26" s="35" customFormat="1">
      <c r="E332" s="30" t="str">
        <f t="shared" si="23"/>
        <v/>
      </c>
      <c r="F332" s="45">
        <v>7314</v>
      </c>
      <c r="G332" s="106" t="s">
        <v>564</v>
      </c>
      <c r="H332" s="32">
        <f t="shared" si="20"/>
        <v>44.090354952508086</v>
      </c>
      <c r="I332" s="32">
        <f t="shared" si="21"/>
        <v>-64.351224388677082</v>
      </c>
      <c r="J332" s="33" t="s">
        <v>399</v>
      </c>
      <c r="K332" s="47">
        <v>11</v>
      </c>
      <c r="L332" s="34">
        <v>22.596666666666668</v>
      </c>
      <c r="M332" s="32">
        <v>-26.05</v>
      </c>
      <c r="N332" s="32">
        <f t="shared" si="22"/>
        <v>-160.41337637500078</v>
      </c>
      <c r="P332" s="37"/>
      <c r="Q332" s="61"/>
      <c r="R332" s="37"/>
      <c r="S332" s="102"/>
      <c r="T332" s="103"/>
      <c r="U332" s="37"/>
      <c r="W332" s="104"/>
      <c r="Z332" s="66"/>
    </row>
    <row r="333" spans="5:26" s="35" customFormat="1">
      <c r="E333" s="30" t="str">
        <f t="shared" si="23"/>
        <v/>
      </c>
      <c r="F333" s="45" t="s">
        <v>105</v>
      </c>
      <c r="G333" s="106" t="s">
        <v>564</v>
      </c>
      <c r="H333" s="32">
        <f t="shared" si="20"/>
        <v>315.02640216215957</v>
      </c>
      <c r="I333" s="32">
        <f t="shared" si="21"/>
        <v>-73.421376586138038</v>
      </c>
      <c r="J333" s="33" t="s">
        <v>400</v>
      </c>
      <c r="K333" s="47">
        <v>11.6</v>
      </c>
      <c r="L333" s="34">
        <v>22.966666666666665</v>
      </c>
      <c r="M333" s="32">
        <v>-33.75</v>
      </c>
      <c r="N333" s="32">
        <f t="shared" si="22"/>
        <v>-165.96337637500073</v>
      </c>
      <c r="P333" s="37"/>
      <c r="Q333" s="61"/>
      <c r="R333" s="37"/>
      <c r="S333" s="102"/>
      <c r="T333" s="103"/>
      <c r="U333" s="37"/>
      <c r="W333" s="104"/>
      <c r="Z333" s="66"/>
    </row>
    <row r="334" spans="5:26" s="35" customFormat="1">
      <c r="E334" s="30" t="str">
        <f t="shared" si="23"/>
        <v/>
      </c>
      <c r="F334" s="45">
        <v>128</v>
      </c>
      <c r="G334" s="106" t="s">
        <v>564</v>
      </c>
      <c r="H334" s="32">
        <f t="shared" si="20"/>
        <v>348.52935295050958</v>
      </c>
      <c r="I334" s="32">
        <f t="shared" si="21"/>
        <v>-40.079106422588232</v>
      </c>
      <c r="J334" s="33" t="s">
        <v>401</v>
      </c>
      <c r="K334" s="47">
        <v>11.8</v>
      </c>
      <c r="L334" s="34">
        <v>0.48666666666666664</v>
      </c>
      <c r="M334" s="32">
        <v>2.8666666666666667</v>
      </c>
      <c r="N334" s="32">
        <f t="shared" si="22"/>
        <v>171.23662362499925</v>
      </c>
      <c r="P334" s="37"/>
      <c r="Q334" s="61"/>
      <c r="R334" s="37"/>
      <c r="S334" s="102"/>
      <c r="T334" s="103"/>
      <c r="U334" s="37"/>
      <c r="W334" s="104"/>
      <c r="Z334" s="66"/>
    </row>
    <row r="335" spans="5:26" s="35" customFormat="1">
      <c r="E335" s="30" t="str">
        <f t="shared" si="23"/>
        <v/>
      </c>
      <c r="F335" s="45">
        <v>488</v>
      </c>
      <c r="G335" s="106" t="s">
        <v>564</v>
      </c>
      <c r="H335" s="32">
        <f t="shared" si="20"/>
        <v>26.897143428404881</v>
      </c>
      <c r="I335" s="32">
        <f t="shared" si="21"/>
        <v>-34.764727499889723</v>
      </c>
      <c r="J335" s="33" t="s">
        <v>402</v>
      </c>
      <c r="K335" s="47">
        <v>10.3</v>
      </c>
      <c r="L335" s="34">
        <v>1.3633333333333333</v>
      </c>
      <c r="M335" s="32">
        <v>5.25</v>
      </c>
      <c r="N335" s="32">
        <f t="shared" si="22"/>
        <v>158.08662362499928</v>
      </c>
      <c r="P335" s="37"/>
      <c r="Q335" s="61"/>
      <c r="R335" s="37"/>
      <c r="S335" s="102"/>
      <c r="T335" s="103"/>
      <c r="U335" s="37"/>
      <c r="W335" s="104"/>
      <c r="Z335" s="66"/>
    </row>
    <row r="336" spans="5:26" s="35" customFormat="1">
      <c r="E336" s="30" t="str">
        <f t="shared" si="23"/>
        <v/>
      </c>
      <c r="F336" s="45">
        <v>628</v>
      </c>
      <c r="G336" s="106" t="s">
        <v>564</v>
      </c>
      <c r="H336" s="32">
        <f t="shared" si="20"/>
        <v>332.97159635151854</v>
      </c>
      <c r="I336" s="32">
        <f t="shared" si="21"/>
        <v>-23.615308056380432</v>
      </c>
      <c r="J336" s="33" t="s">
        <v>403</v>
      </c>
      <c r="K336" s="47">
        <v>9.4</v>
      </c>
      <c r="L336" s="34">
        <v>1.6116666666666668</v>
      </c>
      <c r="M336" s="32">
        <v>15.783333333333333</v>
      </c>
      <c r="N336" s="32">
        <f t="shared" si="22"/>
        <v>154.36162362499925</v>
      </c>
      <c r="P336" s="37"/>
      <c r="Q336" s="61"/>
      <c r="R336" s="37"/>
      <c r="S336" s="102"/>
      <c r="T336" s="103"/>
      <c r="U336" s="37"/>
      <c r="W336" s="104"/>
      <c r="Z336" s="66"/>
    </row>
    <row r="337" spans="5:26" s="35" customFormat="1">
      <c r="E337" s="30" t="str">
        <f t="shared" si="23"/>
        <v/>
      </c>
      <c r="F337" s="45">
        <v>7541</v>
      </c>
      <c r="G337" s="106" t="s">
        <v>564</v>
      </c>
      <c r="H337" s="32">
        <f t="shared" si="20"/>
        <v>347.43932091223309</v>
      </c>
      <c r="I337" s="32">
        <f t="shared" si="21"/>
        <v>-38.272185093531967</v>
      </c>
      <c r="J337" s="33" t="s">
        <v>404</v>
      </c>
      <c r="K337" s="47">
        <v>11.7</v>
      </c>
      <c r="L337" s="34">
        <v>23.245000000000001</v>
      </c>
      <c r="M337" s="32">
        <v>4.5333333333333332</v>
      </c>
      <c r="N337" s="32">
        <f t="shared" si="22"/>
        <v>-170.13837637500075</v>
      </c>
      <c r="P337" s="37"/>
      <c r="Q337" s="61"/>
      <c r="R337" s="37"/>
      <c r="S337" s="102"/>
      <c r="T337" s="103"/>
      <c r="U337" s="37"/>
      <c r="W337" s="104"/>
      <c r="Z337" s="66"/>
    </row>
    <row r="338" spans="5:26" s="35" customFormat="1">
      <c r="E338" s="30" t="str">
        <f t="shared" si="23"/>
        <v/>
      </c>
      <c r="F338" s="45">
        <v>2401</v>
      </c>
      <c r="G338" s="106" t="s">
        <v>564</v>
      </c>
      <c r="H338" s="32">
        <f t="shared" si="20"/>
        <v>243.10726644925853</v>
      </c>
      <c r="I338" s="32">
        <f t="shared" si="21"/>
        <v>5.4531154292986548</v>
      </c>
      <c r="J338" s="33" t="s">
        <v>405</v>
      </c>
      <c r="K338" s="47">
        <v>12.6</v>
      </c>
      <c r="L338" s="34">
        <v>7.49</v>
      </c>
      <c r="M338" s="32">
        <v>-13.966666666666667</v>
      </c>
      <c r="N338" s="32">
        <f t="shared" si="22"/>
        <v>66.186623624999271</v>
      </c>
      <c r="P338" s="37"/>
      <c r="Q338" s="61"/>
      <c r="R338" s="37"/>
      <c r="S338" s="102"/>
      <c r="T338" s="103"/>
      <c r="U338" s="37"/>
      <c r="W338" s="104"/>
      <c r="Z338" s="66"/>
    </row>
    <row r="339" spans="5:26" s="35" customFormat="1">
      <c r="E339" s="30" t="str">
        <f t="shared" si="23"/>
        <v/>
      </c>
      <c r="F339" s="45">
        <v>2421</v>
      </c>
      <c r="G339" s="106" t="s">
        <v>564</v>
      </c>
      <c r="H339" s="32">
        <f t="shared" si="20"/>
        <v>237.66143417742023</v>
      </c>
      <c r="I339" s="32">
        <f t="shared" si="21"/>
        <v>1.2923348130123502</v>
      </c>
      <c r="J339" s="33" t="s">
        <v>406</v>
      </c>
      <c r="K339" s="47">
        <v>8.3000000000000007</v>
      </c>
      <c r="L339" s="34">
        <v>7.6033333333333335</v>
      </c>
      <c r="M339" s="32">
        <v>-20.616666666666667</v>
      </c>
      <c r="N339" s="32">
        <f t="shared" si="22"/>
        <v>64.486623624999268</v>
      </c>
      <c r="P339" s="37"/>
      <c r="Q339" s="61"/>
      <c r="R339" s="37"/>
      <c r="S339" s="102"/>
      <c r="T339" s="103"/>
      <c r="U339" s="37"/>
      <c r="W339" s="104"/>
      <c r="Z339" s="66"/>
    </row>
    <row r="340" spans="5:26" s="35" customFormat="1">
      <c r="E340" s="30" t="str">
        <f t="shared" si="23"/>
        <v/>
      </c>
      <c r="F340" s="45">
        <v>2422</v>
      </c>
      <c r="G340" s="106" t="s">
        <v>564</v>
      </c>
      <c r="H340" s="32">
        <f t="shared" si="20"/>
        <v>241.41728151602163</v>
      </c>
      <c r="I340" s="32">
        <f t="shared" si="21"/>
        <v>6.1491251978860015</v>
      </c>
      <c r="J340" s="33" t="s">
        <v>45</v>
      </c>
      <c r="K340" s="47">
        <v>4.4000000000000004</v>
      </c>
      <c r="L340" s="34">
        <v>7.61</v>
      </c>
      <c r="M340" s="32">
        <v>-14.483333333333333</v>
      </c>
      <c r="N340" s="32">
        <f t="shared" si="22"/>
        <v>64.386623624999274</v>
      </c>
      <c r="P340" s="37"/>
      <c r="Q340" s="61"/>
      <c r="R340" s="37"/>
      <c r="S340" s="102"/>
      <c r="T340" s="103"/>
      <c r="U340" s="37"/>
      <c r="W340" s="104"/>
      <c r="Z340" s="66"/>
    </row>
    <row r="341" spans="5:26" s="35" customFormat="1">
      <c r="E341" s="30" t="str">
        <f t="shared" si="23"/>
        <v/>
      </c>
      <c r="F341" s="45" t="s">
        <v>106</v>
      </c>
      <c r="G341" s="106" t="s">
        <v>564</v>
      </c>
      <c r="H341" s="32">
        <f t="shared" si="20"/>
        <v>117.22049963503694</v>
      </c>
      <c r="I341" s="32">
        <f t="shared" si="21"/>
        <v>8.1844399755335449</v>
      </c>
      <c r="J341" s="33" t="s">
        <v>407</v>
      </c>
      <c r="K341" s="48">
        <v>7.1</v>
      </c>
      <c r="L341" s="34">
        <v>7.625</v>
      </c>
      <c r="M341" s="32">
        <v>-12.05</v>
      </c>
      <c r="N341" s="32">
        <f t="shared" si="22"/>
        <v>64.161623624999265</v>
      </c>
      <c r="P341" s="37"/>
      <c r="Q341" s="61"/>
      <c r="R341" s="37"/>
      <c r="S341" s="102"/>
      <c r="T341" s="103"/>
      <c r="U341" s="37"/>
      <c r="W341" s="104"/>
      <c r="Z341" s="66"/>
    </row>
    <row r="342" spans="5:26" s="35" customFormat="1">
      <c r="E342" s="30" t="str">
        <f t="shared" si="23"/>
        <v/>
      </c>
      <c r="F342" s="45">
        <v>2425</v>
      </c>
      <c r="G342" s="106" t="s">
        <v>564</v>
      </c>
      <c r="H342" s="32">
        <f t="shared" si="20"/>
        <v>119.15683053043495</v>
      </c>
      <c r="I342" s="32">
        <f t="shared" si="21"/>
        <v>6.0928951922678252</v>
      </c>
      <c r="J342" s="33" t="s">
        <v>408</v>
      </c>
      <c r="K342" s="49" t="s">
        <v>549</v>
      </c>
      <c r="L342" s="34">
        <v>7.6383333333333336</v>
      </c>
      <c r="M342" s="32">
        <v>-14.883333333333333</v>
      </c>
      <c r="N342" s="32">
        <f t="shared" si="22"/>
        <v>63.961623624999262</v>
      </c>
      <c r="P342" s="37"/>
      <c r="Q342" s="61"/>
      <c r="R342" s="37"/>
      <c r="S342" s="102"/>
      <c r="T342" s="103"/>
      <c r="U342" s="37"/>
      <c r="W342" s="104"/>
      <c r="Z342" s="66"/>
    </row>
    <row r="343" spans="5:26" s="35" customFormat="1">
      <c r="E343" s="30" t="str">
        <f t="shared" si="23"/>
        <v/>
      </c>
      <c r="F343" s="45">
        <v>2439</v>
      </c>
      <c r="G343" s="106" t="s">
        <v>564</v>
      </c>
      <c r="H343" s="32">
        <f t="shared" si="20"/>
        <v>130.03381837535272</v>
      </c>
      <c r="I343" s="32">
        <f t="shared" si="21"/>
        <v>-6.7647324936796789</v>
      </c>
      <c r="J343" s="33" t="s">
        <v>409</v>
      </c>
      <c r="K343" s="47">
        <v>6.9</v>
      </c>
      <c r="L343" s="34">
        <v>7.68</v>
      </c>
      <c r="M343" s="32">
        <v>-31.7</v>
      </c>
      <c r="N343" s="32">
        <f t="shared" si="22"/>
        <v>63.336623624999262</v>
      </c>
      <c r="P343" s="37"/>
      <c r="Q343" s="61"/>
      <c r="R343" s="37"/>
      <c r="S343" s="102"/>
      <c r="T343" s="103"/>
      <c r="U343" s="37"/>
      <c r="W343" s="104"/>
      <c r="Z343" s="66"/>
    </row>
    <row r="344" spans="5:26" s="35" customFormat="1">
      <c r="E344" s="30" t="str">
        <f t="shared" si="23"/>
        <v/>
      </c>
      <c r="F344" s="45">
        <v>2437</v>
      </c>
      <c r="G344" s="106" t="s">
        <v>564</v>
      </c>
      <c r="H344" s="32">
        <f t="shared" si="20"/>
        <v>119.7825542084162</v>
      </c>
      <c r="I344" s="32">
        <f t="shared" si="21"/>
        <v>6.6700339279081913</v>
      </c>
      <c r="J344" s="33" t="s">
        <v>44</v>
      </c>
      <c r="K344" s="47">
        <v>6.1</v>
      </c>
      <c r="L344" s="34">
        <v>7.6966666666666663</v>
      </c>
      <c r="M344" s="32">
        <v>-14.816666666666666</v>
      </c>
      <c r="N344" s="32">
        <f t="shared" si="22"/>
        <v>63.086623624999262</v>
      </c>
      <c r="P344" s="37"/>
      <c r="Q344" s="61"/>
      <c r="R344" s="37"/>
      <c r="S344" s="102"/>
      <c r="T344" s="103"/>
      <c r="U344" s="37"/>
      <c r="W344" s="104"/>
      <c r="Z344" s="66"/>
    </row>
    <row r="345" spans="5:26" s="35" customFormat="1">
      <c r="E345" s="30" t="str">
        <f t="shared" si="23"/>
        <v/>
      </c>
      <c r="F345" s="45">
        <v>2438</v>
      </c>
      <c r="G345" s="106" t="s">
        <v>564</v>
      </c>
      <c r="H345" s="32">
        <f t="shared" si="20"/>
        <v>119.73065006477478</v>
      </c>
      <c r="I345" s="32">
        <f t="shared" si="21"/>
        <v>6.7355099255741715</v>
      </c>
      <c r="J345" s="33" t="s">
        <v>410</v>
      </c>
      <c r="K345" s="47">
        <v>11</v>
      </c>
      <c r="L345" s="34">
        <v>7.6966666666666663</v>
      </c>
      <c r="M345" s="32">
        <v>-14.733333333333333</v>
      </c>
      <c r="N345" s="32">
        <f t="shared" si="22"/>
        <v>63.086623624999262</v>
      </c>
      <c r="P345" s="37"/>
      <c r="Q345" s="61"/>
      <c r="R345" s="37"/>
      <c r="S345" s="102"/>
      <c r="T345" s="103"/>
      <c r="U345" s="37"/>
      <c r="W345" s="104"/>
      <c r="Z345" s="66"/>
    </row>
    <row r="346" spans="5:26" s="35" customFormat="1">
      <c r="E346" s="30" t="str">
        <f t="shared" si="23"/>
        <v/>
      </c>
      <c r="F346" s="45">
        <v>2440</v>
      </c>
      <c r="G346" s="106" t="s">
        <v>564</v>
      </c>
      <c r="H346" s="32">
        <f t="shared" si="20"/>
        <v>238.09125642501778</v>
      </c>
      <c r="I346" s="32">
        <f t="shared" si="21"/>
        <v>4.0092307860192715</v>
      </c>
      <c r="J346" s="33" t="s">
        <v>411</v>
      </c>
      <c r="K346" s="47">
        <v>11.5</v>
      </c>
      <c r="L346" s="34">
        <v>7.6983333333333333</v>
      </c>
      <c r="M346" s="32">
        <v>-18.216666666666665</v>
      </c>
      <c r="N346" s="32">
        <f t="shared" si="22"/>
        <v>63.061623624999257</v>
      </c>
      <c r="P346" s="37"/>
      <c r="Q346" s="61"/>
      <c r="R346" s="37"/>
      <c r="S346" s="102"/>
      <c r="T346" s="103"/>
      <c r="U346" s="37"/>
      <c r="W346" s="104"/>
      <c r="Z346" s="66"/>
    </row>
    <row r="347" spans="5:26" s="35" customFormat="1">
      <c r="E347" s="30" t="str">
        <f t="shared" si="23"/>
        <v/>
      </c>
      <c r="F347" s="45">
        <v>2447</v>
      </c>
      <c r="G347" s="106" t="s">
        <v>564</v>
      </c>
      <c r="H347" s="32">
        <f t="shared" si="20"/>
        <v>125.84396799048854</v>
      </c>
      <c r="I347" s="32">
        <f t="shared" si="21"/>
        <v>-7.0102101244249024E-2</v>
      </c>
      <c r="J347" s="33" t="s">
        <v>70</v>
      </c>
      <c r="K347" s="47">
        <v>6.2</v>
      </c>
      <c r="L347" s="34">
        <v>7.7416666666666671</v>
      </c>
      <c r="M347" s="32">
        <v>-23.85</v>
      </c>
      <c r="N347" s="32">
        <f t="shared" si="22"/>
        <v>62.411623624999265</v>
      </c>
      <c r="P347" s="37"/>
      <c r="Q347" s="61"/>
      <c r="R347" s="37"/>
      <c r="S347" s="102"/>
      <c r="T347" s="103"/>
      <c r="U347" s="37"/>
      <c r="W347" s="104"/>
      <c r="Z347" s="66"/>
    </row>
    <row r="348" spans="5:26" s="35" customFormat="1">
      <c r="E348" s="30" t="str">
        <f t="shared" si="23"/>
        <v/>
      </c>
      <c r="F348" s="45">
        <v>2451</v>
      </c>
      <c r="G348" s="106" t="s">
        <v>564</v>
      </c>
      <c r="H348" s="32">
        <f t="shared" si="20"/>
        <v>225.29199810744743</v>
      </c>
      <c r="I348" s="32">
        <f t="shared" si="21"/>
        <v>-11.082177527327556</v>
      </c>
      <c r="J348" s="33" t="s">
        <v>412</v>
      </c>
      <c r="K348" s="47">
        <v>2.8</v>
      </c>
      <c r="L348" s="34">
        <v>7.7566666666666668</v>
      </c>
      <c r="M348" s="32">
        <v>-37.950000000000003</v>
      </c>
      <c r="N348" s="32">
        <f t="shared" si="22"/>
        <v>62.186623624999257</v>
      </c>
      <c r="P348" s="37"/>
      <c r="Q348" s="61"/>
      <c r="R348" s="37"/>
      <c r="S348" s="102"/>
      <c r="T348" s="103"/>
      <c r="U348" s="37"/>
      <c r="W348" s="104"/>
      <c r="Z348" s="66"/>
    </row>
    <row r="349" spans="5:26" s="35" customFormat="1">
      <c r="E349" s="30" t="str">
        <f t="shared" si="23"/>
        <v/>
      </c>
      <c r="F349" s="45">
        <v>2452</v>
      </c>
      <c r="G349" s="106" t="s">
        <v>564</v>
      </c>
      <c r="H349" s="32">
        <f t="shared" si="20"/>
        <v>128.48408746357993</v>
      </c>
      <c r="I349" s="32">
        <f t="shared" si="21"/>
        <v>-2.4354840407236993</v>
      </c>
      <c r="J349" s="33" t="s">
        <v>413</v>
      </c>
      <c r="K349" s="47">
        <v>11.9</v>
      </c>
      <c r="L349" s="34">
        <v>7.79</v>
      </c>
      <c r="M349" s="32">
        <v>-27.333333333333332</v>
      </c>
      <c r="N349" s="32">
        <f t="shared" si="22"/>
        <v>61.686623624999271</v>
      </c>
      <c r="P349" s="37"/>
      <c r="Q349" s="61"/>
      <c r="R349" s="37"/>
      <c r="S349" s="102"/>
      <c r="T349" s="103"/>
      <c r="U349" s="37"/>
      <c r="W349" s="104"/>
      <c r="Z349" s="66"/>
    </row>
    <row r="350" spans="5:26" s="35" customFormat="1">
      <c r="E350" s="30" t="str">
        <f t="shared" si="23"/>
        <v/>
      </c>
      <c r="F350" s="45">
        <v>2453</v>
      </c>
      <c r="G350" s="106" t="s">
        <v>564</v>
      </c>
      <c r="H350" s="32">
        <f t="shared" si="20"/>
        <v>128.4384454133891</v>
      </c>
      <c r="I350" s="32">
        <f t="shared" si="21"/>
        <v>-2.3025426015959618</v>
      </c>
      <c r="J350" s="33" t="s">
        <v>414</v>
      </c>
      <c r="K350" s="47">
        <v>8.3000000000000007</v>
      </c>
      <c r="L350" s="34">
        <v>7.793333333333333</v>
      </c>
      <c r="M350" s="32">
        <v>-27.2</v>
      </c>
      <c r="N350" s="32">
        <f t="shared" si="22"/>
        <v>61.636623624999274</v>
      </c>
      <c r="P350" s="37"/>
      <c r="Q350" s="61"/>
      <c r="R350" s="37"/>
      <c r="S350" s="102"/>
      <c r="T350" s="103"/>
      <c r="U350" s="37"/>
      <c r="W350" s="104"/>
      <c r="Z350" s="66"/>
    </row>
    <row r="351" spans="5:26" s="35" customFormat="1">
      <c r="E351" s="30" t="str">
        <f t="shared" si="23"/>
        <v/>
      </c>
      <c r="F351" s="45">
        <v>2477</v>
      </c>
      <c r="G351" s="106" t="s">
        <v>564</v>
      </c>
      <c r="H351" s="32">
        <f t="shared" si="20"/>
        <v>223.85480495903653</v>
      </c>
      <c r="I351" s="32">
        <f t="shared" si="21"/>
        <v>-10.719853751016208</v>
      </c>
      <c r="J351" s="33" t="s">
        <v>415</v>
      </c>
      <c r="K351" s="47">
        <v>5.8</v>
      </c>
      <c r="L351" s="34">
        <v>7.87</v>
      </c>
      <c r="M351" s="32">
        <v>-38.533333333333331</v>
      </c>
      <c r="N351" s="32">
        <f t="shared" si="22"/>
        <v>60.486623624999254</v>
      </c>
      <c r="P351" s="37"/>
      <c r="Q351" s="61"/>
      <c r="R351" s="37"/>
      <c r="S351" s="102"/>
      <c r="T351" s="103"/>
      <c r="U351" s="37"/>
      <c r="W351" s="104"/>
      <c r="Z351" s="66"/>
    </row>
    <row r="352" spans="5:26" s="35" customFormat="1">
      <c r="E352" s="30" t="str">
        <f t="shared" si="23"/>
        <v/>
      </c>
      <c r="F352" s="45">
        <v>2467</v>
      </c>
      <c r="G352" s="106" t="s">
        <v>564</v>
      </c>
      <c r="H352" s="32">
        <f t="shared" si="20"/>
        <v>231.17152165628616</v>
      </c>
      <c r="I352" s="32">
        <f t="shared" si="21"/>
        <v>-1.005034956531478</v>
      </c>
      <c r="J352" s="33" t="s">
        <v>416</v>
      </c>
      <c r="K352" s="47">
        <v>8</v>
      </c>
      <c r="L352" s="34">
        <v>7.875</v>
      </c>
      <c r="M352" s="32">
        <v>-26.4</v>
      </c>
      <c r="N352" s="32">
        <f t="shared" si="22"/>
        <v>60.411623624999265</v>
      </c>
      <c r="P352" s="37"/>
      <c r="Q352" s="61"/>
      <c r="R352" s="37"/>
      <c r="S352" s="102"/>
      <c r="T352" s="103"/>
      <c r="U352" s="37"/>
      <c r="W352" s="104"/>
      <c r="Z352" s="66"/>
    </row>
    <row r="353" spans="5:26" s="35" customFormat="1">
      <c r="E353" s="30" t="str">
        <f t="shared" si="23"/>
        <v/>
      </c>
      <c r="F353" s="45">
        <v>2479</v>
      </c>
      <c r="G353" s="106" t="s">
        <v>564</v>
      </c>
      <c r="H353" s="32">
        <f t="shared" si="20"/>
        <v>124.09768376268336</v>
      </c>
      <c r="I353" s="32">
        <f t="shared" si="21"/>
        <v>6.3264335840583348</v>
      </c>
      <c r="J353" s="33" t="s">
        <v>417</v>
      </c>
      <c r="K353" s="47">
        <v>9.6</v>
      </c>
      <c r="L353" s="34">
        <v>7.918333333333333</v>
      </c>
      <c r="M353" s="32">
        <v>-17.7</v>
      </c>
      <c r="N353" s="32">
        <f t="shared" si="22"/>
        <v>59.76162362499926</v>
      </c>
      <c r="P353" s="37"/>
      <c r="Q353" s="61"/>
      <c r="R353" s="37"/>
      <c r="S353" s="102"/>
      <c r="T353" s="103"/>
      <c r="U353" s="37"/>
      <c r="W353" s="104"/>
      <c r="Z353" s="66"/>
    </row>
    <row r="354" spans="5:26" s="35" customFormat="1">
      <c r="E354" s="30" t="str">
        <f t="shared" si="23"/>
        <v/>
      </c>
      <c r="F354" s="45">
        <v>2489</v>
      </c>
      <c r="G354" s="106" t="s">
        <v>564</v>
      </c>
      <c r="H354" s="32">
        <f t="shared" si="20"/>
        <v>228.30947273713991</v>
      </c>
      <c r="I354" s="32">
        <f t="shared" si="21"/>
        <v>-3.4477405303859547</v>
      </c>
      <c r="J354" s="33" t="s">
        <v>418</v>
      </c>
      <c r="K354" s="47">
        <v>7.9</v>
      </c>
      <c r="L354" s="34">
        <v>7.9383333333333335</v>
      </c>
      <c r="M354" s="32">
        <v>-30.066666666666666</v>
      </c>
      <c r="N354" s="32">
        <f t="shared" si="22"/>
        <v>59.461623624999262</v>
      </c>
      <c r="P354" s="37"/>
      <c r="Q354" s="61"/>
      <c r="R354" s="37"/>
      <c r="S354" s="102"/>
      <c r="T354" s="103"/>
      <c r="U354" s="37"/>
      <c r="W354" s="104"/>
      <c r="Z354" s="66"/>
    </row>
    <row r="355" spans="5:26" s="35" customFormat="1">
      <c r="E355" s="30" t="str">
        <f t="shared" si="23"/>
        <v/>
      </c>
      <c r="F355" s="45">
        <v>2509</v>
      </c>
      <c r="G355" s="106" t="s">
        <v>564</v>
      </c>
      <c r="H355" s="32">
        <f t="shared" si="20"/>
        <v>125.99865061525566</v>
      </c>
      <c r="I355" s="32">
        <f t="shared" si="21"/>
        <v>6.0444718403383488</v>
      </c>
      <c r="J355" s="33" t="s">
        <v>419</v>
      </c>
      <c r="K355" s="47">
        <v>9.3000000000000007</v>
      </c>
      <c r="L355" s="34">
        <v>8.0133333333333336</v>
      </c>
      <c r="M355" s="32">
        <v>-19.05</v>
      </c>
      <c r="N355" s="32">
        <f t="shared" si="22"/>
        <v>58.336623624999262</v>
      </c>
      <c r="P355" s="37"/>
      <c r="Q355" s="61"/>
      <c r="R355" s="37"/>
      <c r="S355" s="102"/>
      <c r="T355" s="103"/>
      <c r="U355" s="37"/>
      <c r="W355" s="104"/>
      <c r="Z355" s="66"/>
    </row>
    <row r="356" spans="5:26" s="35" customFormat="1">
      <c r="E356" s="30" t="str">
        <f t="shared" si="23"/>
        <v/>
      </c>
      <c r="F356" s="45">
        <v>2533</v>
      </c>
      <c r="G356" s="106" t="s">
        <v>564</v>
      </c>
      <c r="H356" s="32">
        <f t="shared" si="20"/>
        <v>226.54635470989859</v>
      </c>
      <c r="I356" s="32">
        <f t="shared" si="21"/>
        <v>-1.9283643616399937</v>
      </c>
      <c r="J356" s="33" t="s">
        <v>420</v>
      </c>
      <c r="K356" s="47">
        <v>7.6</v>
      </c>
      <c r="L356" s="34">
        <v>8.1166666666666671</v>
      </c>
      <c r="M356" s="32">
        <v>-29.866666666666667</v>
      </c>
      <c r="N356" s="32">
        <f t="shared" si="22"/>
        <v>56.786623624999265</v>
      </c>
      <c r="P356" s="37"/>
      <c r="Q356" s="61"/>
      <c r="R356" s="37"/>
      <c r="S356" s="102"/>
      <c r="T356" s="103"/>
      <c r="U356" s="37"/>
      <c r="W356" s="104"/>
      <c r="Z356" s="66"/>
    </row>
    <row r="357" spans="5:26" s="35" customFormat="1">
      <c r="E357" s="30" t="str">
        <f t="shared" si="23"/>
        <v/>
      </c>
      <c r="F357" s="45">
        <v>2539</v>
      </c>
      <c r="G357" s="106" t="s">
        <v>564</v>
      </c>
      <c r="H357" s="32">
        <f t="shared" si="20"/>
        <v>124.2265458098005</v>
      </c>
      <c r="I357" s="32">
        <f t="shared" si="21"/>
        <v>12.474256914834921</v>
      </c>
      <c r="J357" s="33" t="s">
        <v>421</v>
      </c>
      <c r="K357" s="47">
        <v>6.5</v>
      </c>
      <c r="L357" s="34">
        <v>8.1766666666666659</v>
      </c>
      <c r="M357" s="32">
        <v>-12.816666666666666</v>
      </c>
      <c r="N357" s="32">
        <f t="shared" si="22"/>
        <v>55.886623624999274</v>
      </c>
      <c r="P357" s="37"/>
      <c r="Q357" s="61"/>
      <c r="R357" s="37"/>
      <c r="S357" s="102"/>
      <c r="T357" s="103"/>
      <c r="U357" s="37"/>
      <c r="W357" s="104"/>
      <c r="Z357" s="66"/>
    </row>
    <row r="358" spans="5:26" s="35" customFormat="1">
      <c r="E358" s="30" t="str">
        <f t="shared" si="23"/>
        <v/>
      </c>
      <c r="F358" s="45">
        <v>2546</v>
      </c>
      <c r="G358" s="106" t="s">
        <v>564</v>
      </c>
      <c r="H358" s="32">
        <f t="shared" si="20"/>
        <v>221.15740879285437</v>
      </c>
      <c r="I358" s="32">
        <f t="shared" si="21"/>
        <v>-7.629546576485934</v>
      </c>
      <c r="J358" s="33" t="s">
        <v>422</v>
      </c>
      <c r="K358" s="47">
        <v>6.3</v>
      </c>
      <c r="L358" s="34">
        <v>8.206666666666667</v>
      </c>
      <c r="M358" s="32">
        <v>-37.616666666666667</v>
      </c>
      <c r="N358" s="32">
        <f t="shared" si="22"/>
        <v>55.436623624999271</v>
      </c>
      <c r="P358" s="37"/>
      <c r="Q358" s="61"/>
      <c r="R358" s="37"/>
      <c r="S358" s="102"/>
      <c r="T358" s="103"/>
      <c r="U358" s="37"/>
      <c r="W358" s="104"/>
      <c r="Z358" s="66"/>
    </row>
    <row r="359" spans="5:26" s="35" customFormat="1">
      <c r="E359" s="30" t="str">
        <f t="shared" si="23"/>
        <v/>
      </c>
      <c r="F359" s="45">
        <v>2567</v>
      </c>
      <c r="G359" s="106" t="s">
        <v>564</v>
      </c>
      <c r="H359" s="32">
        <f t="shared" si="20"/>
        <v>135.94421662765072</v>
      </c>
      <c r="I359" s="32">
        <f t="shared" si="21"/>
        <v>-1.1657263531956383</v>
      </c>
      <c r="J359" s="33" t="s">
        <v>423</v>
      </c>
      <c r="K359" s="47">
        <v>7.4</v>
      </c>
      <c r="L359" s="34">
        <v>8.3083333333333336</v>
      </c>
      <c r="M359" s="32">
        <v>-30.65</v>
      </c>
      <c r="N359" s="32">
        <f t="shared" si="22"/>
        <v>53.911623624999265</v>
      </c>
      <c r="P359" s="37"/>
      <c r="Q359" s="61"/>
      <c r="R359" s="37"/>
      <c r="S359" s="102"/>
      <c r="T359" s="103"/>
      <c r="U359" s="37"/>
      <c r="W359" s="104"/>
      <c r="Z359" s="66"/>
    </row>
    <row r="360" spans="5:26" s="35" customFormat="1">
      <c r="E360" s="30" t="str">
        <f t="shared" si="23"/>
        <v/>
      </c>
      <c r="F360" s="45">
        <v>2588</v>
      </c>
      <c r="G360" s="106" t="s">
        <v>564</v>
      </c>
      <c r="H360" s="32">
        <f t="shared" si="20"/>
        <v>221.9326701213769</v>
      </c>
      <c r="I360" s="32">
        <f t="shared" si="21"/>
        <v>-2.5579903015489807</v>
      </c>
      <c r="J360" s="33" t="s">
        <v>424</v>
      </c>
      <c r="K360" s="47">
        <v>11.8</v>
      </c>
      <c r="L360" s="34">
        <v>8.3866666666666667</v>
      </c>
      <c r="M360" s="32">
        <v>-32.983333333333334</v>
      </c>
      <c r="N360" s="32">
        <f t="shared" si="22"/>
        <v>52.736623624999268</v>
      </c>
      <c r="P360" s="37"/>
      <c r="Q360" s="61"/>
      <c r="R360" s="37"/>
      <c r="S360" s="102"/>
      <c r="T360" s="103"/>
      <c r="U360" s="37"/>
      <c r="W360" s="104"/>
      <c r="Z360" s="66"/>
    </row>
    <row r="361" spans="5:26" s="35" customFormat="1">
      <c r="E361" s="30" t="str">
        <f t="shared" si="23"/>
        <v/>
      </c>
      <c r="F361" s="45">
        <v>55</v>
      </c>
      <c r="G361" s="106" t="s">
        <v>564</v>
      </c>
      <c r="H361" s="32">
        <f t="shared" si="20"/>
        <v>330.31392413873846</v>
      </c>
      <c r="I361" s="32">
        <f t="shared" si="21"/>
        <v>-81.784539022266458</v>
      </c>
      <c r="J361" s="33" t="s">
        <v>425</v>
      </c>
      <c r="K361" s="47">
        <v>7.9</v>
      </c>
      <c r="L361" s="34">
        <v>0.25166666666666665</v>
      </c>
      <c r="M361" s="32">
        <v>-39.18333333333333</v>
      </c>
      <c r="N361" s="32">
        <f t="shared" si="22"/>
        <v>174.76162362499926</v>
      </c>
      <c r="P361" s="37"/>
      <c r="Q361" s="61"/>
      <c r="R361" s="37"/>
      <c r="S361" s="102"/>
      <c r="T361" s="103"/>
      <c r="U361" s="37"/>
      <c r="W361" s="104"/>
      <c r="Z361" s="66"/>
    </row>
    <row r="362" spans="5:26" s="35" customFormat="1">
      <c r="E362" s="30" t="str">
        <f t="shared" si="23"/>
        <v/>
      </c>
      <c r="F362" s="45">
        <v>134</v>
      </c>
      <c r="G362" s="106" t="s">
        <v>564</v>
      </c>
      <c r="H362" s="32">
        <f t="shared" si="20"/>
        <v>30.823790433309142</v>
      </c>
      <c r="I362" s="32">
        <f t="shared" si="21"/>
        <v>-75.101985868906311</v>
      </c>
      <c r="J362" s="33" t="s">
        <v>426</v>
      </c>
      <c r="K362" s="47">
        <v>10</v>
      </c>
      <c r="L362" s="34">
        <v>0.5066666666666666</v>
      </c>
      <c r="M362" s="32">
        <v>-33.25</v>
      </c>
      <c r="N362" s="32">
        <f t="shared" si="22"/>
        <v>170.93662362499927</v>
      </c>
      <c r="P362" s="37"/>
      <c r="Q362" s="61"/>
      <c r="R362" s="37"/>
      <c r="S362" s="102"/>
      <c r="T362" s="103"/>
      <c r="U362" s="37"/>
      <c r="W362" s="104"/>
      <c r="Z362" s="66"/>
    </row>
    <row r="363" spans="5:26" s="35" customFormat="1">
      <c r="E363" s="30" t="str">
        <f t="shared" si="23"/>
        <v/>
      </c>
      <c r="F363" s="45">
        <v>253</v>
      </c>
      <c r="G363" s="106" t="s">
        <v>564</v>
      </c>
      <c r="H363" s="32">
        <f t="shared" si="20"/>
        <v>31.344825742441248</v>
      </c>
      <c r="I363" s="32">
        <f t="shared" si="21"/>
        <v>-66.315775429893691</v>
      </c>
      <c r="J363" s="33" t="s">
        <v>427</v>
      </c>
      <c r="K363" s="47">
        <v>7.2</v>
      </c>
      <c r="L363" s="34">
        <v>0.79333333333333333</v>
      </c>
      <c r="M363" s="32">
        <v>-25.3</v>
      </c>
      <c r="N363" s="32">
        <f t="shared" si="22"/>
        <v>166.63662362499926</v>
      </c>
      <c r="P363" s="37"/>
      <c r="Q363" s="61"/>
      <c r="R363" s="37"/>
      <c r="S363" s="102"/>
      <c r="T363" s="103"/>
      <c r="U363" s="37"/>
      <c r="W363" s="104"/>
      <c r="Z363" s="66"/>
    </row>
    <row r="364" spans="5:26" s="35" customFormat="1">
      <c r="E364" s="30" t="str">
        <f t="shared" si="23"/>
        <v/>
      </c>
      <c r="F364" s="45">
        <v>288</v>
      </c>
      <c r="G364" s="106" t="s">
        <v>564</v>
      </c>
      <c r="H364" s="32">
        <f t="shared" si="20"/>
        <v>324.61494181314191</v>
      </c>
      <c r="I364" s="32">
        <f t="shared" si="21"/>
        <v>-66.987240549979518</v>
      </c>
      <c r="J364" s="33" t="s">
        <v>428</v>
      </c>
      <c r="K364" s="47">
        <v>8.1</v>
      </c>
      <c r="L364" s="34">
        <v>0.88</v>
      </c>
      <c r="M364" s="32">
        <v>-26.583333333333332</v>
      </c>
      <c r="N364" s="32">
        <f t="shared" si="22"/>
        <v>165.33662362499928</v>
      </c>
      <c r="P364" s="37"/>
      <c r="Q364" s="61"/>
      <c r="R364" s="37"/>
      <c r="S364" s="102"/>
      <c r="T364" s="103"/>
      <c r="U364" s="37"/>
      <c r="W364" s="104"/>
      <c r="Z364" s="66"/>
    </row>
    <row r="365" spans="5:26" s="35" customFormat="1">
      <c r="E365" s="30" t="str">
        <f t="shared" si="23"/>
        <v/>
      </c>
      <c r="F365" s="45">
        <v>300</v>
      </c>
      <c r="G365" s="106" t="s">
        <v>564</v>
      </c>
      <c r="H365" s="32">
        <f t="shared" si="20"/>
        <v>57.44422658704427</v>
      </c>
      <c r="I365" s="32">
        <f t="shared" si="21"/>
        <v>-75.759313743512124</v>
      </c>
      <c r="J365" s="33" t="s">
        <v>429</v>
      </c>
      <c r="K365" s="47">
        <v>8.1</v>
      </c>
      <c r="L365" s="34">
        <v>0.91499999999999992</v>
      </c>
      <c r="M365" s="32">
        <v>-37.68333333333333</v>
      </c>
      <c r="N365" s="32">
        <f t="shared" si="22"/>
        <v>164.81162362499927</v>
      </c>
      <c r="P365" s="37"/>
      <c r="Q365" s="61"/>
      <c r="R365" s="37"/>
      <c r="S365" s="102"/>
      <c r="T365" s="103"/>
      <c r="U365" s="37"/>
      <c r="W365" s="104"/>
      <c r="Z365" s="66"/>
    </row>
    <row r="366" spans="5:26" s="35" customFormat="1">
      <c r="E366" s="30" t="str">
        <f t="shared" si="23"/>
        <v/>
      </c>
      <c r="F366" s="45">
        <v>7793</v>
      </c>
      <c r="G366" s="106" t="s">
        <v>564</v>
      </c>
      <c r="H366" s="32">
        <f t="shared" si="20"/>
        <v>356.78801984646253</v>
      </c>
      <c r="I366" s="32">
        <f t="shared" si="21"/>
        <v>-76.132358567642896</v>
      </c>
      <c r="J366" s="33" t="s">
        <v>430</v>
      </c>
      <c r="K366" s="47">
        <v>9.1</v>
      </c>
      <c r="L366" s="34">
        <v>23.963333333333335</v>
      </c>
      <c r="M366" s="32">
        <v>-32.6</v>
      </c>
      <c r="N366" s="32">
        <f t="shared" si="22"/>
        <v>-180.91337637500078</v>
      </c>
      <c r="P366" s="37"/>
      <c r="Q366" s="61"/>
      <c r="R366" s="37"/>
      <c r="S366" s="102"/>
      <c r="T366" s="103"/>
      <c r="U366" s="37"/>
      <c r="W366" s="104"/>
      <c r="Z366" s="66"/>
    </row>
    <row r="367" spans="5:26" s="35" customFormat="1">
      <c r="E367" s="30" t="str">
        <f t="shared" si="23"/>
        <v/>
      </c>
      <c r="F367" s="45">
        <v>6093</v>
      </c>
      <c r="G367" s="106" t="s">
        <v>564</v>
      </c>
      <c r="H367" s="32">
        <f t="shared" si="20"/>
        <v>237.07136785879214</v>
      </c>
      <c r="I367" s="32">
        <f t="shared" si="21"/>
        <v>-1.2669782318442293</v>
      </c>
      <c r="J367" s="33" t="s">
        <v>431</v>
      </c>
      <c r="K367" s="49">
        <v>7.3</v>
      </c>
      <c r="L367" s="34">
        <v>16.283333333333335</v>
      </c>
      <c r="M367" s="32">
        <v>-22.983333333333334</v>
      </c>
      <c r="N367" s="32">
        <f t="shared" si="22"/>
        <v>-65.713376375000735</v>
      </c>
      <c r="P367" s="37"/>
      <c r="Q367" s="61"/>
      <c r="R367" s="37"/>
      <c r="S367" s="102"/>
      <c r="T367" s="103"/>
      <c r="U367" s="37"/>
      <c r="W367" s="104"/>
      <c r="Z367" s="66"/>
    </row>
    <row r="368" spans="5:26" s="35" customFormat="1">
      <c r="E368" s="30" t="str">
        <f t="shared" si="23"/>
        <v/>
      </c>
      <c r="F368" s="45">
        <v>6121</v>
      </c>
      <c r="G368" s="106" t="s">
        <v>564</v>
      </c>
      <c r="H368" s="32">
        <f t="shared" si="20"/>
        <v>235.98189789211278</v>
      </c>
      <c r="I368" s="32">
        <f t="shared" si="21"/>
        <v>-4.9633657701154767</v>
      </c>
      <c r="J368" s="33" t="s">
        <v>432</v>
      </c>
      <c r="K368" s="47">
        <v>5.4</v>
      </c>
      <c r="L368" s="34">
        <v>16.393333333333334</v>
      </c>
      <c r="M368" s="32">
        <v>-26.533333333333335</v>
      </c>
      <c r="N368" s="32">
        <f t="shared" si="22"/>
        <v>-67.363376375000769</v>
      </c>
      <c r="P368" s="37"/>
      <c r="Q368" s="61"/>
      <c r="R368" s="37"/>
      <c r="S368" s="102"/>
      <c r="T368" s="103"/>
      <c r="U368" s="37"/>
      <c r="W368" s="104"/>
      <c r="Z368" s="66"/>
    </row>
    <row r="369" spans="5:26" s="35" customFormat="1">
      <c r="E369" s="30" t="str">
        <f t="shared" si="23"/>
        <v/>
      </c>
      <c r="F369" s="45">
        <v>6144</v>
      </c>
      <c r="G369" s="106" t="s">
        <v>564</v>
      </c>
      <c r="H369" s="32">
        <f t="shared" si="20"/>
        <v>236.93624599860283</v>
      </c>
      <c r="I369" s="32">
        <f t="shared" si="21"/>
        <v>-5.0833880085851515</v>
      </c>
      <c r="J369" s="33" t="s">
        <v>433</v>
      </c>
      <c r="K369" s="47">
        <v>9</v>
      </c>
      <c r="L369" s="34">
        <v>16.453333333333333</v>
      </c>
      <c r="M369" s="32">
        <v>-26.016666666666666</v>
      </c>
      <c r="N369" s="32">
        <f t="shared" si="22"/>
        <v>-68.263376375000746</v>
      </c>
      <c r="P369" s="37"/>
      <c r="Q369" s="61"/>
      <c r="R369" s="37"/>
      <c r="S369" s="102"/>
      <c r="T369" s="103"/>
      <c r="U369" s="37"/>
      <c r="W369" s="104"/>
      <c r="Z369" s="66"/>
    </row>
    <row r="370" spans="5:26" s="35" customFormat="1">
      <c r="E370" s="30" t="str">
        <f t="shared" si="23"/>
        <v/>
      </c>
      <c r="F370" s="45">
        <v>6242</v>
      </c>
      <c r="G370" s="106" t="s">
        <v>564</v>
      </c>
      <c r="H370" s="32">
        <f t="shared" si="20"/>
        <v>232.18852497261605</v>
      </c>
      <c r="I370" s="32">
        <f t="shared" si="21"/>
        <v>-19.029766106533582</v>
      </c>
      <c r="J370" s="33" t="s">
        <v>434</v>
      </c>
      <c r="K370" s="47">
        <v>6.4</v>
      </c>
      <c r="L370" s="34">
        <v>16.925000000000001</v>
      </c>
      <c r="M370" s="32">
        <v>-39.466666666666669</v>
      </c>
      <c r="N370" s="32">
        <f t="shared" si="22"/>
        <v>-75.338376375000735</v>
      </c>
      <c r="P370" s="37"/>
      <c r="Q370" s="61"/>
      <c r="R370" s="37"/>
      <c r="S370" s="102"/>
      <c r="T370" s="103"/>
      <c r="U370" s="37"/>
      <c r="W370" s="104"/>
      <c r="Z370" s="66"/>
    </row>
    <row r="371" spans="5:26" s="35" customFormat="1">
      <c r="E371" s="30" t="str">
        <f t="shared" si="23"/>
        <v/>
      </c>
      <c r="F371" s="45">
        <v>6281</v>
      </c>
      <c r="G371" s="106" t="s">
        <v>564</v>
      </c>
      <c r="H371" s="32">
        <f t="shared" si="20"/>
        <v>234.73121434225857</v>
      </c>
      <c r="I371" s="32">
        <f t="shared" si="21"/>
        <v>-19.200044067236316</v>
      </c>
      <c r="J371" s="33" t="s">
        <v>435</v>
      </c>
      <c r="K371" s="47">
        <v>5.4</v>
      </c>
      <c r="L371" s="34">
        <v>17.079999999999998</v>
      </c>
      <c r="M371" s="32">
        <v>-37.883333333333333</v>
      </c>
      <c r="N371" s="32">
        <f t="shared" si="22"/>
        <v>-77.663376375000723</v>
      </c>
      <c r="P371" s="37"/>
      <c r="Q371" s="61"/>
      <c r="R371" s="37"/>
      <c r="S371" s="102"/>
      <c r="T371" s="103"/>
      <c r="U371" s="37"/>
      <c r="W371" s="104"/>
      <c r="Z371" s="66"/>
    </row>
    <row r="372" spans="5:26" s="35" customFormat="1">
      <c r="E372" s="30" t="str">
        <f t="shared" si="23"/>
        <v/>
      </c>
      <c r="F372" s="45">
        <v>6302</v>
      </c>
      <c r="G372" s="106" t="s">
        <v>564</v>
      </c>
      <c r="H372" s="32">
        <f t="shared" si="20"/>
        <v>123.3669744958237</v>
      </c>
      <c r="I372" s="32">
        <f t="shared" si="21"/>
        <v>-19.920192379998483</v>
      </c>
      <c r="J372" s="33" t="s">
        <v>436</v>
      </c>
      <c r="K372" s="47">
        <v>9.6</v>
      </c>
      <c r="L372" s="34">
        <v>17.228333333333332</v>
      </c>
      <c r="M372" s="32">
        <v>-37.1</v>
      </c>
      <c r="N372" s="32">
        <f t="shared" si="22"/>
        <v>-79.888376375000746</v>
      </c>
      <c r="P372" s="37"/>
      <c r="Q372" s="61"/>
      <c r="R372" s="37"/>
      <c r="S372" s="102"/>
      <c r="T372" s="103"/>
      <c r="U372" s="37"/>
      <c r="W372" s="104"/>
      <c r="Z372" s="66"/>
    </row>
    <row r="373" spans="5:26" s="35" customFormat="1">
      <c r="E373" s="30" t="str">
        <f t="shared" si="23"/>
        <v/>
      </c>
      <c r="F373" s="45">
        <v>6383</v>
      </c>
      <c r="G373" s="106" t="s">
        <v>564</v>
      </c>
      <c r="H373" s="32">
        <f t="shared" si="20"/>
        <v>243.2711162619334</v>
      </c>
      <c r="I373" s="32">
        <f t="shared" si="21"/>
        <v>-19.944393845377707</v>
      </c>
      <c r="J373" s="33">
        <v>6374</v>
      </c>
      <c r="K373" s="47">
        <v>5.5</v>
      </c>
      <c r="L373" s="34">
        <v>17.578333333333333</v>
      </c>
      <c r="M373" s="32">
        <v>-32.583333333333336</v>
      </c>
      <c r="N373" s="32">
        <f t="shared" si="22"/>
        <v>-85.138376375000746</v>
      </c>
      <c r="P373" s="37"/>
      <c r="Q373" s="61"/>
      <c r="R373" s="37"/>
      <c r="S373" s="102"/>
      <c r="T373" s="103"/>
      <c r="U373" s="37"/>
      <c r="W373" s="104"/>
      <c r="Z373" s="66"/>
    </row>
    <row r="374" spans="5:26" s="35" customFormat="1">
      <c r="E374" s="30" t="str">
        <f t="shared" si="23"/>
        <v/>
      </c>
      <c r="F374" s="45">
        <v>6404</v>
      </c>
      <c r="G374" s="106" t="s">
        <v>564</v>
      </c>
      <c r="H374" s="32">
        <f t="shared" si="20"/>
        <v>243.5079570408646</v>
      </c>
      <c r="I374" s="32">
        <f t="shared" si="21"/>
        <v>-21.140622177724101</v>
      </c>
      <c r="J374" s="33" t="s">
        <v>437</v>
      </c>
      <c r="K374" s="47">
        <v>10.6</v>
      </c>
      <c r="L374" s="34">
        <v>17.66</v>
      </c>
      <c r="M374" s="32">
        <v>-33.233333333333334</v>
      </c>
      <c r="N374" s="32">
        <f t="shared" si="22"/>
        <v>-86.363376375000712</v>
      </c>
      <c r="P374" s="37"/>
      <c r="Q374" s="61"/>
      <c r="R374" s="37"/>
      <c r="S374" s="102"/>
      <c r="T374" s="103"/>
      <c r="U374" s="37"/>
      <c r="W374" s="104"/>
      <c r="Z374" s="66"/>
    </row>
    <row r="375" spans="5:26" s="35" customFormat="1">
      <c r="E375" s="30" t="str">
        <f t="shared" si="23"/>
        <v/>
      </c>
      <c r="F375" s="45">
        <v>6400</v>
      </c>
      <c r="G375" s="106" t="s">
        <v>564</v>
      </c>
      <c r="H375" s="32">
        <f t="shared" si="20"/>
        <v>119.40916641091907</v>
      </c>
      <c r="I375" s="32">
        <f t="shared" si="21"/>
        <v>-23.726066241317763</v>
      </c>
      <c r="J375" s="33" t="s">
        <v>438</v>
      </c>
      <c r="K375" s="47">
        <v>8.8000000000000007</v>
      </c>
      <c r="L375" s="34">
        <v>17.670000000000002</v>
      </c>
      <c r="M375" s="32">
        <v>-36.966666666666669</v>
      </c>
      <c r="N375" s="32">
        <f t="shared" si="22"/>
        <v>-86.513376375000746</v>
      </c>
      <c r="P375" s="37"/>
      <c r="Q375" s="61"/>
      <c r="R375" s="37"/>
      <c r="S375" s="102"/>
      <c r="T375" s="103"/>
      <c r="U375" s="37"/>
      <c r="W375" s="104"/>
      <c r="Z375" s="66"/>
    </row>
    <row r="376" spans="5:26" s="35" customFormat="1">
      <c r="E376" s="30" t="str">
        <f t="shared" si="23"/>
        <v/>
      </c>
      <c r="F376" s="45">
        <v>6405</v>
      </c>
      <c r="G376" s="106" t="s">
        <v>564</v>
      </c>
      <c r="H376" s="32">
        <f t="shared" si="20"/>
        <v>115.61096406908952</v>
      </c>
      <c r="I376" s="32">
        <f t="shared" si="21"/>
        <v>-20.583155832539124</v>
      </c>
      <c r="J376" s="33" t="s">
        <v>439</v>
      </c>
      <c r="K376" s="47">
        <v>4.2</v>
      </c>
      <c r="L376" s="34">
        <v>17.671666666666667</v>
      </c>
      <c r="M376" s="32">
        <v>-32.25</v>
      </c>
      <c r="N376" s="32">
        <f t="shared" si="22"/>
        <v>-86.538376375000723</v>
      </c>
      <c r="P376" s="37"/>
      <c r="Q376" s="61"/>
      <c r="R376" s="37"/>
      <c r="S376" s="102"/>
      <c r="T376" s="103"/>
      <c r="U376" s="37"/>
      <c r="W376" s="104"/>
      <c r="Z376" s="66"/>
    </row>
    <row r="377" spans="5:26" s="35" customFormat="1">
      <c r="E377" s="30" t="str">
        <f t="shared" si="23"/>
        <v/>
      </c>
      <c r="F377" s="45">
        <v>6444</v>
      </c>
      <c r="G377" s="106" t="s">
        <v>564</v>
      </c>
      <c r="H377" s="32">
        <f t="shared" si="20"/>
        <v>243.72766837157309</v>
      </c>
      <c r="I377" s="32">
        <f t="shared" si="21"/>
        <v>-23.740232259748211</v>
      </c>
      <c r="J377" s="33" t="s">
        <v>440</v>
      </c>
      <c r="K377" s="49" t="s">
        <v>549</v>
      </c>
      <c r="L377" s="34">
        <v>17.826666666666668</v>
      </c>
      <c r="M377" s="32">
        <v>-34.81666666666667</v>
      </c>
      <c r="N377" s="32">
        <f t="shared" si="22"/>
        <v>-88.863376375000769</v>
      </c>
      <c r="P377" s="37"/>
      <c r="Q377" s="61"/>
      <c r="R377" s="37"/>
      <c r="S377" s="102"/>
      <c r="T377" s="103"/>
      <c r="U377" s="37"/>
      <c r="W377" s="104"/>
      <c r="Z377" s="66"/>
    </row>
    <row r="378" spans="5:26" s="35" customFormat="1">
      <c r="E378" s="30" t="str">
        <f t="shared" si="23"/>
        <v/>
      </c>
      <c r="F378" s="45">
        <v>6441</v>
      </c>
      <c r="G378" s="106" t="s">
        <v>564</v>
      </c>
      <c r="H378" s="32">
        <f t="shared" si="20"/>
        <v>118.04384051187661</v>
      </c>
      <c r="I378" s="32">
        <f t="shared" si="21"/>
        <v>-25.291007845678092</v>
      </c>
      <c r="J378" s="33" t="s">
        <v>441</v>
      </c>
      <c r="K378" s="47">
        <v>7.2</v>
      </c>
      <c r="L378" s="34">
        <v>17.836666666666666</v>
      </c>
      <c r="M378" s="32">
        <v>-37.049999999999997</v>
      </c>
      <c r="N378" s="32">
        <f t="shared" si="22"/>
        <v>-89.013376375000689</v>
      </c>
      <c r="P378" s="37"/>
      <c r="Q378" s="61"/>
      <c r="R378" s="37"/>
      <c r="S378" s="102"/>
      <c r="T378" s="103"/>
      <c r="U378" s="37"/>
      <c r="W378" s="104"/>
      <c r="Z378" s="66"/>
    </row>
    <row r="379" spans="5:26" s="35" customFormat="1">
      <c r="E379" s="30" t="str">
        <f t="shared" si="23"/>
        <v/>
      </c>
      <c r="F379" s="45">
        <v>6451</v>
      </c>
      <c r="G379" s="106" t="s">
        <v>564</v>
      </c>
      <c r="H379" s="32">
        <f t="shared" si="20"/>
        <v>112.40214299765057</v>
      </c>
      <c r="I379" s="32">
        <f t="shared" si="21"/>
        <v>-20.842769438292407</v>
      </c>
      <c r="J379" s="33" t="s">
        <v>442</v>
      </c>
      <c r="K379" s="47">
        <v>8.1999999999999993</v>
      </c>
      <c r="L379" s="34">
        <v>17.844999999999999</v>
      </c>
      <c r="M379" s="32">
        <v>-30.216666666666665</v>
      </c>
      <c r="N379" s="32">
        <f t="shared" si="22"/>
        <v>-89.138376375000746</v>
      </c>
      <c r="P379" s="37"/>
      <c r="Q379" s="61"/>
      <c r="R379" s="37"/>
      <c r="S379" s="102"/>
      <c r="T379" s="103"/>
      <c r="U379" s="37"/>
      <c r="W379" s="104"/>
      <c r="Z379" s="66"/>
    </row>
    <row r="380" spans="5:26" s="35" customFormat="1">
      <c r="E380" s="30" t="str">
        <f t="shared" si="23"/>
        <v/>
      </c>
      <c r="F380" s="45">
        <v>6649</v>
      </c>
      <c r="G380" s="106" t="s">
        <v>564</v>
      </c>
      <c r="H380" s="32">
        <f t="shared" si="20"/>
        <v>269.84815754123497</v>
      </c>
      <c r="I380" s="32">
        <f t="shared" si="21"/>
        <v>-14.278081618816971</v>
      </c>
      <c r="J380" s="33" t="s">
        <v>443</v>
      </c>
      <c r="K380" s="47">
        <v>8.9</v>
      </c>
      <c r="L380" s="34">
        <v>18.558333333333334</v>
      </c>
      <c r="M380" s="32">
        <v>-10.4</v>
      </c>
      <c r="N380" s="32">
        <f t="shared" si="22"/>
        <v>-99.838376375000735</v>
      </c>
      <c r="P380" s="37"/>
      <c r="Q380" s="61"/>
      <c r="R380" s="37"/>
      <c r="S380" s="102"/>
      <c r="T380" s="103"/>
      <c r="U380" s="37"/>
      <c r="W380" s="104"/>
      <c r="Z380" s="66"/>
    </row>
    <row r="381" spans="5:26" s="35" customFormat="1">
      <c r="E381" s="30" t="str">
        <f t="shared" si="23"/>
        <v/>
      </c>
      <c r="F381" s="45">
        <v>6664</v>
      </c>
      <c r="G381" s="106" t="s">
        <v>564</v>
      </c>
      <c r="H381" s="32">
        <f t="shared" si="20"/>
        <v>271.98674591668771</v>
      </c>
      <c r="I381" s="32">
        <f t="shared" si="21"/>
        <v>-13.207518576702663</v>
      </c>
      <c r="J381" s="33" t="s">
        <v>444</v>
      </c>
      <c r="K381" s="47">
        <v>7.8</v>
      </c>
      <c r="L381" s="34">
        <v>18.608333333333334</v>
      </c>
      <c r="M381" s="32">
        <v>-8.1833333333333336</v>
      </c>
      <c r="N381" s="32">
        <f t="shared" si="22"/>
        <v>-100.58837637500073</v>
      </c>
      <c r="P381" s="37"/>
      <c r="Q381" s="61"/>
      <c r="R381" s="37"/>
      <c r="S381" s="102"/>
      <c r="T381" s="103"/>
      <c r="U381" s="37"/>
      <c r="W381" s="104"/>
      <c r="Z381" s="66"/>
    </row>
    <row r="382" spans="5:26" s="35" customFormat="1">
      <c r="E382" s="30" t="str">
        <f t="shared" si="23"/>
        <v/>
      </c>
      <c r="F382" s="45">
        <v>6694</v>
      </c>
      <c r="G382" s="106" t="s">
        <v>564</v>
      </c>
      <c r="H382" s="32">
        <f t="shared" si="20"/>
        <v>87.284062043811133</v>
      </c>
      <c r="I382" s="32">
        <f t="shared" si="21"/>
        <v>-15.565763106826722</v>
      </c>
      <c r="J382" s="33" t="s">
        <v>36</v>
      </c>
      <c r="K382" s="47">
        <v>8</v>
      </c>
      <c r="L382" s="34">
        <v>18.753333333333334</v>
      </c>
      <c r="M382" s="32">
        <v>-9.3833333333333329</v>
      </c>
      <c r="N382" s="32">
        <f t="shared" si="22"/>
        <v>-102.76337637500075</v>
      </c>
      <c r="P382" s="37"/>
      <c r="Q382" s="61"/>
      <c r="R382" s="37"/>
      <c r="S382" s="102"/>
      <c r="T382" s="103"/>
      <c r="U382" s="37"/>
      <c r="W382" s="104"/>
      <c r="Z382" s="66"/>
    </row>
    <row r="383" spans="5:26" s="35" customFormat="1">
      <c r="E383" s="30" t="str">
        <f t="shared" si="23"/>
        <v/>
      </c>
      <c r="F383" s="45">
        <v>6705</v>
      </c>
      <c r="G383" s="106" t="s">
        <v>564</v>
      </c>
      <c r="H383" s="32">
        <f t="shared" si="20"/>
        <v>83.957433815243107</v>
      </c>
      <c r="I383" s="32">
        <f t="shared" si="21"/>
        <v>-14.33327963727673</v>
      </c>
      <c r="J383" s="33" t="s">
        <v>445</v>
      </c>
      <c r="K383" s="47">
        <v>5.8</v>
      </c>
      <c r="L383" s="34">
        <v>18.851666666666667</v>
      </c>
      <c r="M383" s="32">
        <v>-6.2666666666666666</v>
      </c>
      <c r="N383" s="32">
        <f t="shared" si="22"/>
        <v>-104.23837637500071</v>
      </c>
      <c r="P383" s="37"/>
      <c r="Q383" s="61"/>
      <c r="R383" s="37"/>
      <c r="S383" s="102"/>
      <c r="T383" s="103"/>
      <c r="U383" s="37"/>
      <c r="W383" s="104"/>
      <c r="Z383" s="66"/>
    </row>
    <row r="384" spans="5:26" s="35" customFormat="1">
      <c r="E384" s="30" t="str">
        <f t="shared" si="23"/>
        <v/>
      </c>
      <c r="F384" s="45">
        <v>6712</v>
      </c>
      <c r="G384" s="106" t="s">
        <v>564</v>
      </c>
      <c r="H384" s="32">
        <f t="shared" si="20"/>
        <v>274.66744149283602</v>
      </c>
      <c r="I384" s="32">
        <f t="shared" si="21"/>
        <v>-16.433083987644626</v>
      </c>
      <c r="J384" s="33" t="s">
        <v>446</v>
      </c>
      <c r="K384" s="47">
        <v>8.1</v>
      </c>
      <c r="L384" s="34">
        <v>18.885000000000002</v>
      </c>
      <c r="M384" s="32">
        <v>-8.6999999999999993</v>
      </c>
      <c r="N384" s="32">
        <f t="shared" si="22"/>
        <v>-104.73837637500077</v>
      </c>
      <c r="P384" s="37"/>
      <c r="Q384" s="61"/>
      <c r="R384" s="37"/>
      <c r="S384" s="102"/>
      <c r="T384" s="103"/>
      <c r="U384" s="37"/>
      <c r="W384" s="104"/>
      <c r="Z384" s="66"/>
    </row>
    <row r="385" spans="5:26" s="35" customFormat="1">
      <c r="E385" s="30" t="str">
        <f t="shared" si="23"/>
        <v/>
      </c>
      <c r="F385" s="45">
        <v>5904</v>
      </c>
      <c r="G385" s="106" t="s">
        <v>564</v>
      </c>
      <c r="H385" s="32">
        <f t="shared" si="20"/>
        <v>118.91363219657137</v>
      </c>
      <c r="I385" s="32">
        <f t="shared" si="21"/>
        <v>27.296494712932784</v>
      </c>
      <c r="J385" s="33" t="s">
        <v>447</v>
      </c>
      <c r="K385" s="47">
        <v>5.8</v>
      </c>
      <c r="L385" s="34">
        <v>15.31</v>
      </c>
      <c r="M385" s="32">
        <v>2.0833333333333335</v>
      </c>
      <c r="N385" s="32">
        <f t="shared" si="22"/>
        <v>-51.11337637500074</v>
      </c>
      <c r="P385" s="37"/>
      <c r="Q385" s="61"/>
      <c r="R385" s="37"/>
      <c r="S385" s="102"/>
      <c r="T385" s="103"/>
      <c r="U385" s="37"/>
      <c r="W385" s="104"/>
      <c r="Z385" s="66"/>
    </row>
    <row r="386" spans="5:26" s="35" customFormat="1">
      <c r="E386" s="30" t="str">
        <f t="shared" si="23"/>
        <v/>
      </c>
      <c r="F386" s="45">
        <v>6539</v>
      </c>
      <c r="G386" s="106" t="s">
        <v>564</v>
      </c>
      <c r="H386" s="32">
        <f t="shared" si="20"/>
        <v>93.325751846785195</v>
      </c>
      <c r="I386" s="32">
        <f t="shared" si="21"/>
        <v>-7.3183773858500727</v>
      </c>
      <c r="J386" s="33" t="s">
        <v>448</v>
      </c>
      <c r="K386" s="47">
        <v>8.9</v>
      </c>
      <c r="L386" s="34">
        <v>18.079999999999998</v>
      </c>
      <c r="M386" s="32">
        <v>-7.583333333333333</v>
      </c>
      <c r="N386" s="32">
        <f t="shared" si="22"/>
        <v>-92.663376375000723</v>
      </c>
      <c r="P386" s="37"/>
      <c r="Q386" s="61"/>
      <c r="R386" s="37"/>
      <c r="S386" s="102"/>
      <c r="T386" s="103"/>
      <c r="U386" s="37"/>
      <c r="W386" s="104"/>
      <c r="Z386" s="66"/>
    </row>
    <row r="387" spans="5:26" s="35" customFormat="1">
      <c r="E387" s="30" t="str">
        <f t="shared" si="23"/>
        <v/>
      </c>
      <c r="F387" s="45" t="s">
        <v>107</v>
      </c>
      <c r="G387" s="106" t="s">
        <v>564</v>
      </c>
      <c r="H387" s="32">
        <f t="shared" si="20"/>
        <v>95.210028652317916</v>
      </c>
      <c r="I387" s="32">
        <f t="shared" si="21"/>
        <v>-13.57205952736072</v>
      </c>
      <c r="J387" s="33" t="s">
        <v>449</v>
      </c>
      <c r="K387" s="47">
        <v>12.2</v>
      </c>
      <c r="L387" s="34">
        <v>18.286666666666665</v>
      </c>
      <c r="M387" s="32">
        <v>-13.35</v>
      </c>
      <c r="N387" s="32">
        <f t="shared" si="22"/>
        <v>-95.763376375000746</v>
      </c>
      <c r="P387" s="37"/>
      <c r="Q387" s="61"/>
      <c r="R387" s="37"/>
      <c r="S387" s="102"/>
      <c r="T387" s="103"/>
      <c r="U387" s="37"/>
      <c r="W387" s="104"/>
      <c r="Z387" s="66"/>
    </row>
    <row r="388" spans="5:26" s="35" customFormat="1">
      <c r="E388" s="30" t="str">
        <f t="shared" si="23"/>
        <v/>
      </c>
      <c r="F388" s="45">
        <v>6611</v>
      </c>
      <c r="G388" s="106" t="s">
        <v>564</v>
      </c>
      <c r="H388" s="32">
        <f t="shared" si="20"/>
        <v>264.75865311602087</v>
      </c>
      <c r="I388" s="32">
        <f t="shared" si="21"/>
        <v>-14.153478646289569</v>
      </c>
      <c r="J388" s="33" t="s">
        <v>450</v>
      </c>
      <c r="K388" s="47">
        <v>6</v>
      </c>
      <c r="L388" s="34">
        <v>18.313333333333333</v>
      </c>
      <c r="M388" s="32">
        <v>-13.783333333333333</v>
      </c>
      <c r="N388" s="32">
        <f t="shared" si="22"/>
        <v>-96.163376375000723</v>
      </c>
      <c r="P388" s="37"/>
      <c r="Q388" s="61"/>
      <c r="R388" s="37"/>
      <c r="S388" s="102"/>
      <c r="T388" s="103"/>
      <c r="U388" s="37"/>
      <c r="W388" s="104"/>
      <c r="Z388" s="66"/>
    </row>
    <row r="389" spans="5:26" s="35" customFormat="1">
      <c r="E389" s="30" t="str">
        <f t="shared" si="23"/>
        <v/>
      </c>
      <c r="F389" s="45" t="s">
        <v>108</v>
      </c>
      <c r="G389" s="106" t="s">
        <v>564</v>
      </c>
      <c r="H389" s="32">
        <f t="shared" si="20"/>
        <v>264.72221914360802</v>
      </c>
      <c r="I389" s="32">
        <f t="shared" si="21"/>
        <v>-14.188864061885042</v>
      </c>
      <c r="J389" s="33" t="s">
        <v>451</v>
      </c>
      <c r="K389" s="49" t="s">
        <v>549</v>
      </c>
      <c r="L389" s="34">
        <v>18.313333333333333</v>
      </c>
      <c r="M389" s="32">
        <v>-13.833333333333334</v>
      </c>
      <c r="N389" s="32">
        <f t="shared" si="22"/>
        <v>-96.163376375000723</v>
      </c>
      <c r="P389" s="37"/>
      <c r="Q389" s="61"/>
      <c r="R389" s="37"/>
      <c r="S389" s="102"/>
      <c r="T389" s="103"/>
      <c r="U389" s="37"/>
      <c r="W389" s="104"/>
      <c r="Z389" s="66"/>
    </row>
    <row r="390" spans="5:26" s="35" customFormat="1">
      <c r="E390" s="30" t="str">
        <f t="shared" si="23"/>
        <v/>
      </c>
      <c r="F390" s="45" t="s">
        <v>109</v>
      </c>
      <c r="G390" s="106" t="s">
        <v>564</v>
      </c>
      <c r="H390" s="32">
        <f t="shared" si="20"/>
        <v>78.1315105573577</v>
      </c>
      <c r="I390" s="32">
        <f t="shared" si="21"/>
        <v>-3.6958634037695175</v>
      </c>
      <c r="J390" s="33" t="s">
        <v>452</v>
      </c>
      <c r="K390" s="47">
        <v>4.5999999999999996</v>
      </c>
      <c r="L390" s="34">
        <v>18.648333333333333</v>
      </c>
      <c r="M390" s="32">
        <v>5.4333333333333336</v>
      </c>
      <c r="N390" s="32">
        <f t="shared" si="22"/>
        <v>-101.18837637500076</v>
      </c>
      <c r="P390" s="37"/>
      <c r="Q390" s="61"/>
      <c r="R390" s="37"/>
      <c r="S390" s="102"/>
      <c r="T390" s="103"/>
      <c r="U390" s="37"/>
      <c r="W390" s="104"/>
      <c r="Z390" s="66"/>
    </row>
    <row r="391" spans="5:26" s="35" customFormat="1">
      <c r="E391" s="30" t="str">
        <f t="shared" si="23"/>
        <v/>
      </c>
      <c r="F391" s="45">
        <v>3115</v>
      </c>
      <c r="G391" s="106" t="s">
        <v>564</v>
      </c>
      <c r="H391" s="32">
        <f t="shared" si="20"/>
        <v>211.81279758322555</v>
      </c>
      <c r="I391" s="32">
        <f t="shared" si="21"/>
        <v>30.645785447717568</v>
      </c>
      <c r="J391" s="33" t="s">
        <v>453</v>
      </c>
      <c r="K391" s="47">
        <v>8.9</v>
      </c>
      <c r="L391" s="34">
        <v>10.086666666666666</v>
      </c>
      <c r="M391" s="32">
        <v>-7.7166666666666668</v>
      </c>
      <c r="N391" s="32">
        <f t="shared" si="22"/>
        <v>27.236623624999282</v>
      </c>
      <c r="P391" s="37"/>
      <c r="Q391" s="61"/>
      <c r="R391" s="37"/>
      <c r="S391" s="102"/>
      <c r="T391" s="103"/>
      <c r="U391" s="37"/>
      <c r="W391" s="104"/>
      <c r="Z391" s="66"/>
    </row>
    <row r="392" spans="5:26" s="35" customFormat="1">
      <c r="E392" s="30" t="str">
        <f t="shared" si="23"/>
        <v/>
      </c>
      <c r="F392" s="45" t="s">
        <v>110</v>
      </c>
      <c r="G392" s="106" t="s">
        <v>564</v>
      </c>
      <c r="H392" s="32">
        <f t="shared" ref="H392:H455" si="24">IF(SIN($C$14*N392)&lt;0,ACOS((SIN($M$512*M392)-SIN($M$512*I392)*SIN($M$512*$C$13))/(COS($M$512*I392)*COS($M$512*$C$13)))/$M$512,360-ACOS((SIN($M$512*M392)-SIN($M$512*I392)*SIN($M$512*$C$13))/(COS($M$512*I392)*COS($M$512*$C$13)))/$M$512)</f>
        <v>55.873620840511116</v>
      </c>
      <c r="I392" s="32">
        <f t="shared" ref="I392:I455" si="25">ASIN(SIN($M$512*M392)*SIN($M$512*$C$13)+COS($M$512*M392)*COS($M$512*$C$13)*COS($M$512*N392))/$M$512</f>
        <v>-5.5354189109488159</v>
      </c>
      <c r="J392" s="33" t="s">
        <v>187</v>
      </c>
      <c r="K392" s="47">
        <v>7.7</v>
      </c>
      <c r="L392" s="34">
        <v>19.886666666666667</v>
      </c>
      <c r="M392" s="32">
        <v>18.350000000000001</v>
      </c>
      <c r="N392" s="32">
        <f t="shared" ref="N392:N455" si="26">$C$16-((L392/24)*360)</f>
        <v>-119.76337637500075</v>
      </c>
      <c r="P392" s="37"/>
      <c r="Q392" s="61"/>
      <c r="R392" s="37"/>
      <c r="S392" s="102"/>
      <c r="T392" s="103"/>
      <c r="U392" s="37"/>
      <c r="W392" s="104"/>
      <c r="Z392" s="66"/>
    </row>
    <row r="393" spans="5:26" s="35" customFormat="1">
      <c r="E393" s="30" t="str">
        <f t="shared" ref="E393:E456" si="27">IF(AND(I393&gt;=$I$4,I393&lt;=$I$6,H393&gt;=$H$4,H393&lt;=$H$6),IF(VLOOKUP(G393,$C$19:$D$24,2,FALSE)="yes","*","-"),"")</f>
        <v/>
      </c>
      <c r="F393" s="45">
        <v>6838</v>
      </c>
      <c r="G393" s="106" t="s">
        <v>564</v>
      </c>
      <c r="H393" s="32">
        <f t="shared" si="24"/>
        <v>304.50190759568704</v>
      </c>
      <c r="I393" s="32">
        <f t="shared" si="25"/>
        <v>-5.2742172127013847</v>
      </c>
      <c r="J393" s="33" t="s">
        <v>454</v>
      </c>
      <c r="K393" s="47">
        <v>8.4</v>
      </c>
      <c r="L393" s="34">
        <v>19.896666666666668</v>
      </c>
      <c r="M393" s="32">
        <v>18.783333333333335</v>
      </c>
      <c r="N393" s="32">
        <f t="shared" si="26"/>
        <v>-119.91337637500072</v>
      </c>
      <c r="P393" s="37"/>
      <c r="Q393" s="61"/>
      <c r="R393" s="37"/>
      <c r="S393" s="102"/>
      <c r="T393" s="103"/>
      <c r="U393" s="37"/>
      <c r="W393" s="104"/>
      <c r="Z393" s="66"/>
    </row>
    <row r="394" spans="5:26" s="35" customFormat="1">
      <c r="E394" s="30" t="str">
        <f t="shared" si="27"/>
        <v/>
      </c>
      <c r="F394" s="45">
        <v>6440</v>
      </c>
      <c r="G394" s="106" t="s">
        <v>564</v>
      </c>
      <c r="H394" s="32">
        <f t="shared" si="24"/>
        <v>254.76033753576684</v>
      </c>
      <c r="I394" s="32">
        <f t="shared" si="25"/>
        <v>-13.736404480793709</v>
      </c>
      <c r="J394" s="33" t="s">
        <v>455</v>
      </c>
      <c r="K394" s="47">
        <v>9.3000000000000007</v>
      </c>
      <c r="L394" s="34">
        <v>17.815000000000001</v>
      </c>
      <c r="M394" s="32">
        <v>-20.366666666666667</v>
      </c>
      <c r="N394" s="32">
        <f t="shared" si="26"/>
        <v>-88.688376375000757</v>
      </c>
      <c r="P394" s="37"/>
      <c r="Q394" s="61"/>
      <c r="R394" s="37"/>
      <c r="S394" s="102"/>
      <c r="T394" s="103"/>
      <c r="U394" s="37"/>
      <c r="W394" s="104"/>
      <c r="Z394" s="66"/>
    </row>
    <row r="395" spans="5:26" s="35" customFormat="1">
      <c r="E395" s="30" t="str">
        <f t="shared" si="27"/>
        <v/>
      </c>
      <c r="F395" s="45">
        <v>6445</v>
      </c>
      <c r="G395" s="106" t="s">
        <v>564</v>
      </c>
      <c r="H395" s="32">
        <f t="shared" si="24"/>
        <v>255.08376095697577</v>
      </c>
      <c r="I395" s="32">
        <f t="shared" si="25"/>
        <v>-13.556048425322796</v>
      </c>
      <c r="J395" s="33" t="s">
        <v>456</v>
      </c>
      <c r="K395" s="47">
        <v>13</v>
      </c>
      <c r="L395" s="34">
        <v>17.821666666666665</v>
      </c>
      <c r="M395" s="32">
        <v>-20.016666666666666</v>
      </c>
      <c r="N395" s="32">
        <f t="shared" si="26"/>
        <v>-88.788376375000723</v>
      </c>
      <c r="P395" s="37"/>
      <c r="Q395" s="61"/>
      <c r="R395" s="37"/>
      <c r="S395" s="102"/>
      <c r="T395" s="103"/>
      <c r="U395" s="37"/>
      <c r="W395" s="104"/>
      <c r="Z395" s="66"/>
    </row>
    <row r="396" spans="5:26" s="35" customFormat="1">
      <c r="E396" s="30" t="str">
        <f t="shared" si="27"/>
        <v/>
      </c>
      <c r="F396" s="45">
        <v>6494</v>
      </c>
      <c r="G396" s="106" t="s">
        <v>564</v>
      </c>
      <c r="H396" s="32">
        <f t="shared" si="24"/>
        <v>102.8858429598408</v>
      </c>
      <c r="I396" s="32">
        <f t="shared" si="25"/>
        <v>-14.122053407985661</v>
      </c>
      <c r="J396" s="33" t="s">
        <v>34</v>
      </c>
      <c r="K396" s="47">
        <v>5.5</v>
      </c>
      <c r="L396" s="34">
        <v>17.948333333333334</v>
      </c>
      <c r="M396" s="32">
        <v>-19.016666666666666</v>
      </c>
      <c r="N396" s="32">
        <f t="shared" si="26"/>
        <v>-90.688376375000757</v>
      </c>
      <c r="P396" s="37"/>
      <c r="Q396" s="61"/>
      <c r="R396" s="37"/>
      <c r="S396" s="102"/>
      <c r="T396" s="103"/>
      <c r="U396" s="37"/>
      <c r="W396" s="104"/>
      <c r="Z396" s="66"/>
    </row>
    <row r="397" spans="5:26" s="35" customFormat="1">
      <c r="E397" s="30" t="str">
        <f t="shared" si="27"/>
        <v/>
      </c>
      <c r="F397" s="45">
        <v>6507</v>
      </c>
      <c r="G397" s="106" t="s">
        <v>564</v>
      </c>
      <c r="H397" s="32">
        <f t="shared" si="24"/>
        <v>258.75842308679682</v>
      </c>
      <c r="I397" s="32">
        <f t="shared" si="25"/>
        <v>-13.506309443615152</v>
      </c>
      <c r="J397" s="33" t="s">
        <v>457</v>
      </c>
      <c r="K397" s="47">
        <v>9.6</v>
      </c>
      <c r="L397" s="34">
        <v>17.996666666666666</v>
      </c>
      <c r="M397" s="32">
        <v>-17.45</v>
      </c>
      <c r="N397" s="32">
        <f t="shared" si="26"/>
        <v>-91.413376375000723</v>
      </c>
      <c r="P397" s="37"/>
      <c r="Q397" s="61"/>
      <c r="R397" s="37"/>
      <c r="S397" s="102"/>
      <c r="T397" s="103"/>
      <c r="U397" s="37"/>
      <c r="W397" s="104"/>
      <c r="Z397" s="66"/>
    </row>
    <row r="398" spans="5:26" s="35" customFormat="1">
      <c r="E398" s="30" t="str">
        <f t="shared" si="27"/>
        <v/>
      </c>
      <c r="F398" s="45">
        <v>6514</v>
      </c>
      <c r="G398" s="106" t="s">
        <v>564</v>
      </c>
      <c r="H398" s="32">
        <f t="shared" si="24"/>
        <v>255.07964597260053</v>
      </c>
      <c r="I398" s="32">
        <f t="shared" si="25"/>
        <v>-17.848080072359501</v>
      </c>
      <c r="J398" s="33" t="s">
        <v>458</v>
      </c>
      <c r="K398" s="47">
        <v>6.3</v>
      </c>
      <c r="L398" s="34">
        <v>18.041666666666668</v>
      </c>
      <c r="M398" s="32">
        <v>-23.016666666666666</v>
      </c>
      <c r="N398" s="32">
        <f t="shared" si="26"/>
        <v>-92.088376375000735</v>
      </c>
      <c r="P398" s="37"/>
      <c r="Q398" s="61"/>
      <c r="R398" s="37"/>
      <c r="S398" s="102"/>
      <c r="T398" s="103"/>
      <c r="U398" s="37"/>
      <c r="W398" s="104"/>
      <c r="Z398" s="66"/>
    </row>
    <row r="399" spans="5:26" s="35" customFormat="1">
      <c r="E399" s="30" t="str">
        <f t="shared" si="27"/>
        <v/>
      </c>
      <c r="F399" s="45" t="s">
        <v>111</v>
      </c>
      <c r="G399" s="106" t="s">
        <v>564</v>
      </c>
      <c r="H399" s="32">
        <f t="shared" si="24"/>
        <v>251.39952022983323</v>
      </c>
      <c r="I399" s="32">
        <f t="shared" si="25"/>
        <v>-21.24115345121637</v>
      </c>
      <c r="J399" s="33" t="s">
        <v>459</v>
      </c>
      <c r="K399" s="49" t="s">
        <v>553</v>
      </c>
      <c r="L399" s="34">
        <v>18.05</v>
      </c>
      <c r="M399" s="32">
        <v>-27.866666666666667</v>
      </c>
      <c r="N399" s="32">
        <f t="shared" si="26"/>
        <v>-92.213376375000735</v>
      </c>
      <c r="P399" s="37"/>
      <c r="Q399" s="61"/>
      <c r="R399" s="37"/>
      <c r="S399" s="102"/>
      <c r="T399" s="103"/>
      <c r="U399" s="37"/>
      <c r="W399" s="104"/>
      <c r="Z399" s="66"/>
    </row>
    <row r="400" spans="5:26" s="35" customFormat="1">
      <c r="E400" s="30" t="str">
        <f t="shared" si="27"/>
        <v/>
      </c>
      <c r="F400" s="45">
        <v>6520</v>
      </c>
      <c r="G400" s="106" t="s">
        <v>564</v>
      </c>
      <c r="H400" s="32">
        <f t="shared" si="24"/>
        <v>108.54976497672931</v>
      </c>
      <c r="I400" s="32">
        <f t="shared" si="25"/>
        <v>-21.317694714746882</v>
      </c>
      <c r="J400" s="33" t="s">
        <v>460</v>
      </c>
      <c r="K400" s="47">
        <v>7.6</v>
      </c>
      <c r="L400" s="34">
        <v>18.056666666666668</v>
      </c>
      <c r="M400" s="32">
        <v>-27.883333333333333</v>
      </c>
      <c r="N400" s="32">
        <f t="shared" si="26"/>
        <v>-92.313376375000757</v>
      </c>
      <c r="P400" s="37"/>
      <c r="Q400" s="61"/>
      <c r="R400" s="37"/>
      <c r="S400" s="102"/>
      <c r="T400" s="103"/>
      <c r="U400" s="37"/>
      <c r="W400" s="104"/>
      <c r="Z400" s="66"/>
    </row>
    <row r="401" spans="5:26" s="35" customFormat="1">
      <c r="E401" s="30" t="str">
        <f t="shared" si="27"/>
        <v/>
      </c>
      <c r="F401" s="45">
        <v>6522</v>
      </c>
      <c r="G401" s="106" t="s">
        <v>564</v>
      </c>
      <c r="H401" s="32">
        <f t="shared" si="24"/>
        <v>110.2413425778691</v>
      </c>
      <c r="I401" s="32">
        <f t="shared" si="25"/>
        <v>-22.789637202435681</v>
      </c>
      <c r="J401" s="33" t="s">
        <v>461</v>
      </c>
      <c r="K401" s="47">
        <v>9.9</v>
      </c>
      <c r="L401" s="34">
        <v>18.059999999999999</v>
      </c>
      <c r="M401" s="32">
        <v>-30.033333333333335</v>
      </c>
      <c r="N401" s="32">
        <f t="shared" si="26"/>
        <v>-92.363376375000712</v>
      </c>
      <c r="P401" s="37"/>
      <c r="Q401" s="61"/>
      <c r="R401" s="37"/>
      <c r="S401" s="102"/>
      <c r="T401" s="103"/>
      <c r="U401" s="37"/>
      <c r="W401" s="104"/>
      <c r="Z401" s="66"/>
    </row>
    <row r="402" spans="5:26" s="35" customFormat="1">
      <c r="E402" s="30" t="str">
        <f t="shared" si="27"/>
        <v/>
      </c>
      <c r="F402" s="45">
        <v>6531</v>
      </c>
      <c r="G402" s="106" t="s">
        <v>564</v>
      </c>
      <c r="H402" s="32">
        <f t="shared" si="24"/>
        <v>104.24360713336912</v>
      </c>
      <c r="I402" s="32">
        <f t="shared" si="25"/>
        <v>-17.77457552143952</v>
      </c>
      <c r="J402" s="33" t="s">
        <v>33</v>
      </c>
      <c r="K402" s="47">
        <v>5.9</v>
      </c>
      <c r="L402" s="34">
        <v>18.07</v>
      </c>
      <c r="M402" s="32">
        <v>-22.5</v>
      </c>
      <c r="N402" s="32">
        <f t="shared" si="26"/>
        <v>-92.513376375000746</v>
      </c>
      <c r="P402" s="37"/>
      <c r="Q402" s="61"/>
      <c r="R402" s="37"/>
      <c r="S402" s="102"/>
      <c r="T402" s="103"/>
      <c r="U402" s="37"/>
      <c r="W402" s="104"/>
      <c r="Z402" s="66"/>
    </row>
    <row r="403" spans="5:26" s="35" customFormat="1">
      <c r="E403" s="30" t="str">
        <f t="shared" si="27"/>
        <v/>
      </c>
      <c r="F403" s="45">
        <v>6523</v>
      </c>
      <c r="G403" s="106" t="s">
        <v>564</v>
      </c>
      <c r="H403" s="32">
        <f t="shared" si="24"/>
        <v>105.65086090844906</v>
      </c>
      <c r="I403" s="32">
        <f t="shared" si="25"/>
        <v>-19.103833006637682</v>
      </c>
      <c r="J403" s="33" t="s">
        <v>462</v>
      </c>
      <c r="K403" s="47">
        <v>4.5999999999999996</v>
      </c>
      <c r="L403" s="34">
        <v>18.073333333333334</v>
      </c>
      <c r="M403" s="32">
        <v>-24.383333333333333</v>
      </c>
      <c r="N403" s="32">
        <f t="shared" si="26"/>
        <v>-92.563376375000757</v>
      </c>
      <c r="P403" s="37"/>
      <c r="Q403" s="61"/>
      <c r="R403" s="37"/>
      <c r="S403" s="102"/>
      <c r="T403" s="103"/>
      <c r="U403" s="37"/>
      <c r="W403" s="104"/>
      <c r="Z403" s="66"/>
    </row>
    <row r="404" spans="5:26" s="35" customFormat="1">
      <c r="E404" s="30" t="str">
        <f t="shared" si="27"/>
        <v/>
      </c>
      <c r="F404" s="45">
        <v>6530</v>
      </c>
      <c r="G404" s="106" t="s">
        <v>564</v>
      </c>
      <c r="H404" s="32">
        <f t="shared" si="24"/>
        <v>105.60865424476965</v>
      </c>
      <c r="I404" s="32">
        <f t="shared" si="25"/>
        <v>-19.097582112881831</v>
      </c>
      <c r="J404" s="33" t="s">
        <v>463</v>
      </c>
      <c r="K404" s="47">
        <v>4.5999999999999996</v>
      </c>
      <c r="L404" s="34">
        <v>18.074999999999999</v>
      </c>
      <c r="M404" s="32">
        <v>-24.35</v>
      </c>
      <c r="N404" s="32">
        <f t="shared" si="26"/>
        <v>-92.588376375000735</v>
      </c>
      <c r="P404" s="37"/>
      <c r="Q404" s="61"/>
      <c r="R404" s="37"/>
      <c r="S404" s="102"/>
      <c r="T404" s="103"/>
      <c r="U404" s="37"/>
      <c r="W404" s="104"/>
      <c r="Z404" s="66"/>
    </row>
    <row r="405" spans="5:26" s="35" customFormat="1">
      <c r="E405" s="30" t="str">
        <f t="shared" si="27"/>
        <v/>
      </c>
      <c r="F405" s="45">
        <v>6528</v>
      </c>
      <c r="G405" s="106" t="s">
        <v>564</v>
      </c>
      <c r="H405" s="32">
        <f t="shared" si="24"/>
        <v>110.06749990950719</v>
      </c>
      <c r="I405" s="32">
        <f t="shared" si="25"/>
        <v>-22.994753955018528</v>
      </c>
      <c r="J405" s="33" t="s">
        <v>464</v>
      </c>
      <c r="K405" s="47">
        <v>9.6</v>
      </c>
      <c r="L405" s="34">
        <v>18.079999999999998</v>
      </c>
      <c r="M405" s="32">
        <v>-30.05</v>
      </c>
      <c r="N405" s="32">
        <f t="shared" si="26"/>
        <v>-92.663376375000723</v>
      </c>
      <c r="P405" s="37"/>
      <c r="Q405" s="61"/>
      <c r="R405" s="37"/>
      <c r="S405" s="102"/>
      <c r="T405" s="103"/>
      <c r="U405" s="37"/>
      <c r="W405" s="104"/>
      <c r="Z405" s="66"/>
    </row>
    <row r="406" spans="5:26" s="35" customFormat="1">
      <c r="E406" s="30" t="str">
        <f t="shared" si="27"/>
        <v/>
      </c>
      <c r="F406" s="45">
        <v>6540</v>
      </c>
      <c r="G406" s="106" t="s">
        <v>564</v>
      </c>
      <c r="H406" s="32">
        <f t="shared" si="24"/>
        <v>251.97473183411037</v>
      </c>
      <c r="I406" s="32">
        <f t="shared" si="25"/>
        <v>-21.680763292746796</v>
      </c>
      <c r="J406" s="33" t="s">
        <v>187</v>
      </c>
      <c r="K406" s="47">
        <v>14.6</v>
      </c>
      <c r="L406" s="34">
        <v>18.101666666666667</v>
      </c>
      <c r="M406" s="32">
        <v>-27.766666666666666</v>
      </c>
      <c r="N406" s="32">
        <f t="shared" si="26"/>
        <v>-92.988376375000712</v>
      </c>
      <c r="P406" s="37"/>
      <c r="Q406" s="61"/>
      <c r="R406" s="37"/>
      <c r="S406" s="102"/>
      <c r="T406" s="103"/>
      <c r="U406" s="37"/>
      <c r="W406" s="104"/>
      <c r="Z406" s="66"/>
    </row>
    <row r="407" spans="5:26" s="35" customFormat="1">
      <c r="E407" s="30" t="str">
        <f t="shared" si="27"/>
        <v/>
      </c>
      <c r="F407" s="45">
        <v>6544</v>
      </c>
      <c r="G407" s="106" t="s">
        <v>564</v>
      </c>
      <c r="H407" s="32">
        <f t="shared" si="24"/>
        <v>105.65113395424768</v>
      </c>
      <c r="I407" s="32">
        <f t="shared" si="25"/>
        <v>-20.006147804083621</v>
      </c>
      <c r="J407" s="33" t="s">
        <v>465</v>
      </c>
      <c r="K407" s="47">
        <v>7.5</v>
      </c>
      <c r="L407" s="34">
        <v>18.121666666666666</v>
      </c>
      <c r="M407" s="32">
        <v>-25</v>
      </c>
      <c r="N407" s="32">
        <f t="shared" si="26"/>
        <v>-93.288376375000723</v>
      </c>
      <c r="P407" s="37"/>
      <c r="Q407" s="61"/>
      <c r="R407" s="37"/>
      <c r="S407" s="102"/>
      <c r="T407" s="103"/>
      <c r="U407" s="37"/>
      <c r="W407" s="104"/>
      <c r="Z407" s="66"/>
    </row>
    <row r="408" spans="5:26" s="35" customFormat="1">
      <c r="E408" s="30" t="str">
        <f t="shared" si="27"/>
        <v/>
      </c>
      <c r="F408" s="45">
        <v>6553</v>
      </c>
      <c r="G408" s="106" t="s">
        <v>564</v>
      </c>
      <c r="H408" s="32">
        <f t="shared" si="24"/>
        <v>253.97089601286081</v>
      </c>
      <c r="I408" s="32">
        <f t="shared" si="25"/>
        <v>-20.94872633462796</v>
      </c>
      <c r="J408" s="33" t="s">
        <v>466</v>
      </c>
      <c r="K408" s="47">
        <v>8.3000000000000007</v>
      </c>
      <c r="L408" s="34">
        <v>18.155000000000001</v>
      </c>
      <c r="M408" s="32">
        <v>-25.9</v>
      </c>
      <c r="N408" s="32">
        <f t="shared" si="26"/>
        <v>-93.788376375000723</v>
      </c>
      <c r="P408" s="37"/>
      <c r="Q408" s="61"/>
      <c r="R408" s="37"/>
      <c r="S408" s="102"/>
      <c r="T408" s="103"/>
      <c r="U408" s="37"/>
      <c r="W408" s="104"/>
      <c r="Z408" s="66"/>
    </row>
    <row r="409" spans="5:26" s="35" customFormat="1">
      <c r="E409" s="30" t="str">
        <f t="shared" si="27"/>
        <v/>
      </c>
      <c r="F409" s="45">
        <v>6558</v>
      </c>
      <c r="G409" s="106" t="s">
        <v>564</v>
      </c>
      <c r="H409" s="32">
        <f t="shared" si="24"/>
        <v>110.6327859672014</v>
      </c>
      <c r="I409" s="32">
        <f t="shared" si="25"/>
        <v>-25.012640156868045</v>
      </c>
      <c r="J409" s="33" t="s">
        <v>467</v>
      </c>
      <c r="K409" s="47">
        <v>9.26</v>
      </c>
      <c r="L409" s="34">
        <v>18.171666666666667</v>
      </c>
      <c r="M409" s="32">
        <v>-31.766666666666666</v>
      </c>
      <c r="N409" s="32">
        <f t="shared" si="26"/>
        <v>-94.038376375000723</v>
      </c>
      <c r="P409" s="37"/>
      <c r="Q409" s="61"/>
      <c r="R409" s="37"/>
      <c r="S409" s="102"/>
      <c r="T409" s="103"/>
      <c r="U409" s="37"/>
      <c r="W409" s="104"/>
      <c r="Z409" s="66"/>
    </row>
    <row r="410" spans="5:26" s="35" customFormat="1">
      <c r="E410" s="30" t="str">
        <f t="shared" si="27"/>
        <v/>
      </c>
      <c r="F410" s="45">
        <v>6563</v>
      </c>
      <c r="G410" s="106" t="s">
        <v>564</v>
      </c>
      <c r="H410" s="32">
        <f t="shared" si="24"/>
        <v>247.84234923706296</v>
      </c>
      <c r="I410" s="32">
        <f t="shared" si="25"/>
        <v>-26.641715393687679</v>
      </c>
      <c r="J410" s="33" t="s">
        <v>468</v>
      </c>
      <c r="K410" s="47">
        <v>13</v>
      </c>
      <c r="L410" s="34">
        <v>18.2</v>
      </c>
      <c r="M410" s="32">
        <v>-33.866666666666667</v>
      </c>
      <c r="N410" s="32">
        <f t="shared" si="26"/>
        <v>-94.463376375000735</v>
      </c>
      <c r="P410" s="37"/>
      <c r="Q410" s="61"/>
      <c r="R410" s="37"/>
      <c r="S410" s="102"/>
      <c r="T410" s="103"/>
      <c r="U410" s="37"/>
      <c r="W410" s="104"/>
      <c r="Z410" s="66"/>
    </row>
    <row r="411" spans="5:26" s="35" customFormat="1">
      <c r="E411" s="30" t="str">
        <f t="shared" si="27"/>
        <v/>
      </c>
      <c r="F411" s="45" t="s">
        <v>112</v>
      </c>
      <c r="G411" s="106" t="s">
        <v>564</v>
      </c>
      <c r="H411" s="32">
        <f t="shared" si="24"/>
        <v>260.91385942682996</v>
      </c>
      <c r="I411" s="32">
        <f t="shared" si="25"/>
        <v>-16.734665380185216</v>
      </c>
      <c r="J411" s="33" t="s">
        <v>469</v>
      </c>
      <c r="K411" s="49" t="s">
        <v>553</v>
      </c>
      <c r="L411" s="34">
        <v>18.260000000000002</v>
      </c>
      <c r="M411" s="32">
        <v>-18.233333333333334</v>
      </c>
      <c r="N411" s="32">
        <f t="shared" si="26"/>
        <v>-95.363376375000769</v>
      </c>
      <c r="P411" s="37"/>
      <c r="Q411" s="61"/>
      <c r="R411" s="37"/>
      <c r="S411" s="102"/>
      <c r="T411" s="103"/>
      <c r="U411" s="37"/>
      <c r="W411" s="104"/>
      <c r="Z411" s="66"/>
    </row>
    <row r="412" spans="5:26" s="35" customFormat="1">
      <c r="E412" s="30" t="str">
        <f t="shared" si="27"/>
        <v/>
      </c>
      <c r="F412" s="45" t="s">
        <v>113</v>
      </c>
      <c r="G412" s="106" t="s">
        <v>564</v>
      </c>
      <c r="H412" s="32">
        <f t="shared" si="24"/>
        <v>98.736353687388942</v>
      </c>
      <c r="I412" s="32">
        <f t="shared" si="25"/>
        <v>-16.839586119906631</v>
      </c>
      <c r="J412" s="33" t="s">
        <v>469</v>
      </c>
      <c r="K412" s="49" t="s">
        <v>553</v>
      </c>
      <c r="L412" s="34">
        <v>18.281666666666666</v>
      </c>
      <c r="M412" s="32">
        <v>-18.066666666666666</v>
      </c>
      <c r="N412" s="32">
        <f t="shared" si="26"/>
        <v>-95.688376375000701</v>
      </c>
      <c r="P412" s="37"/>
      <c r="Q412" s="61"/>
      <c r="R412" s="37"/>
      <c r="S412" s="102"/>
      <c r="T412" s="103"/>
      <c r="U412" s="37"/>
      <c r="W412" s="104"/>
      <c r="Z412" s="66"/>
    </row>
    <row r="413" spans="5:26" s="35" customFormat="1">
      <c r="E413" s="30" t="str">
        <f t="shared" si="27"/>
        <v/>
      </c>
      <c r="F413" s="45">
        <v>6603</v>
      </c>
      <c r="G413" s="106" t="s">
        <v>564</v>
      </c>
      <c r="H413" s="32">
        <f t="shared" si="24"/>
        <v>98.709347495459312</v>
      </c>
      <c r="I413" s="32">
        <f t="shared" si="25"/>
        <v>-17.344343891558573</v>
      </c>
      <c r="J413" s="33" t="s">
        <v>470</v>
      </c>
      <c r="K413" s="47">
        <v>11.1</v>
      </c>
      <c r="L413" s="34">
        <v>18.308333333333334</v>
      </c>
      <c r="M413" s="32">
        <v>-18.399999999999999</v>
      </c>
      <c r="N413" s="32">
        <f t="shared" si="26"/>
        <v>-96.088376375000735</v>
      </c>
      <c r="P413" s="37"/>
      <c r="Q413" s="61"/>
      <c r="R413" s="37"/>
      <c r="S413" s="102"/>
      <c r="T413" s="103"/>
      <c r="U413" s="37"/>
      <c r="W413" s="104"/>
      <c r="Z413" s="66"/>
    </row>
    <row r="414" spans="5:26" s="35" customFormat="1">
      <c r="E414" s="30" t="str">
        <f t="shared" si="27"/>
        <v/>
      </c>
      <c r="F414" s="45">
        <v>6613</v>
      </c>
      <c r="G414" s="106" t="s">
        <v>564</v>
      </c>
      <c r="H414" s="32">
        <f t="shared" si="24"/>
        <v>262.52504831594541</v>
      </c>
      <c r="I414" s="32">
        <f t="shared" si="25"/>
        <v>-16.692909849457195</v>
      </c>
      <c r="J414" s="33" t="s">
        <v>471</v>
      </c>
      <c r="K414" s="47">
        <v>6.9</v>
      </c>
      <c r="L414" s="34">
        <v>18.333333333333332</v>
      </c>
      <c r="M414" s="32">
        <v>-17.100000000000001</v>
      </c>
      <c r="N414" s="32">
        <f t="shared" si="26"/>
        <v>-96.463376375000735</v>
      </c>
      <c r="P414" s="37"/>
      <c r="Q414" s="61"/>
      <c r="R414" s="37"/>
      <c r="S414" s="102"/>
      <c r="T414" s="103"/>
      <c r="U414" s="37"/>
      <c r="W414" s="104"/>
      <c r="Z414" s="66"/>
    </row>
    <row r="415" spans="5:26" s="35" customFormat="1">
      <c r="E415" s="30" t="str">
        <f t="shared" si="27"/>
        <v/>
      </c>
      <c r="F415" s="45">
        <v>6618</v>
      </c>
      <c r="G415" s="106" t="s">
        <v>564</v>
      </c>
      <c r="H415" s="32">
        <f t="shared" si="24"/>
        <v>96.600304399160947</v>
      </c>
      <c r="I415" s="32">
        <f t="shared" si="25"/>
        <v>-16.238864074959583</v>
      </c>
      <c r="J415" s="33" t="s">
        <v>472</v>
      </c>
      <c r="K415" s="47">
        <v>6</v>
      </c>
      <c r="L415" s="34">
        <v>18.351666666666667</v>
      </c>
      <c r="M415" s="32">
        <v>-16.183333333333334</v>
      </c>
      <c r="N415" s="32">
        <f t="shared" si="26"/>
        <v>-96.738376375000712</v>
      </c>
      <c r="P415" s="37"/>
      <c r="Q415" s="61"/>
      <c r="R415" s="37"/>
      <c r="S415" s="102"/>
      <c r="T415" s="103"/>
      <c r="U415" s="37"/>
      <c r="W415" s="104"/>
      <c r="Z415" s="66"/>
    </row>
    <row r="416" spans="5:26" s="35" customFormat="1">
      <c r="E416" s="30" t="str">
        <f t="shared" si="27"/>
        <v/>
      </c>
      <c r="F416" s="45">
        <v>6624</v>
      </c>
      <c r="G416" s="106" t="s">
        <v>564</v>
      </c>
      <c r="H416" s="32">
        <f t="shared" si="24"/>
        <v>107.38458112338154</v>
      </c>
      <c r="I416" s="32">
        <f t="shared" si="25"/>
        <v>-26.285274699427301</v>
      </c>
      <c r="J416" s="33" t="s">
        <v>473</v>
      </c>
      <c r="K416" s="47">
        <v>7.6</v>
      </c>
      <c r="L416" s="34">
        <v>18.395</v>
      </c>
      <c r="M416" s="32">
        <v>-30.366666666666667</v>
      </c>
      <c r="N416" s="32">
        <f t="shared" si="26"/>
        <v>-97.388376375000746</v>
      </c>
      <c r="P416" s="37"/>
      <c r="Q416" s="61"/>
      <c r="R416" s="37"/>
      <c r="S416" s="102"/>
      <c r="T416" s="103"/>
      <c r="U416" s="37"/>
      <c r="W416" s="104"/>
      <c r="Z416" s="66"/>
    </row>
    <row r="417" spans="5:26" s="35" customFormat="1">
      <c r="E417" s="30" t="str">
        <f t="shared" si="27"/>
        <v/>
      </c>
      <c r="F417" s="45">
        <v>6626</v>
      </c>
      <c r="G417" s="106" t="s">
        <v>564</v>
      </c>
      <c r="H417" s="32">
        <f t="shared" si="24"/>
        <v>102.7128666636449</v>
      </c>
      <c r="I417" s="32">
        <f t="shared" si="25"/>
        <v>-22.787980823883224</v>
      </c>
      <c r="J417" s="33" t="s">
        <v>37</v>
      </c>
      <c r="K417" s="47">
        <v>6.9</v>
      </c>
      <c r="L417" s="34">
        <v>18.408333333333335</v>
      </c>
      <c r="M417" s="32">
        <v>-24.866666666666667</v>
      </c>
      <c r="N417" s="32">
        <f t="shared" si="26"/>
        <v>-97.588376375000792</v>
      </c>
      <c r="P417" s="37"/>
      <c r="Q417" s="61"/>
      <c r="R417" s="37"/>
      <c r="S417" s="102"/>
      <c r="T417" s="103"/>
      <c r="U417" s="37"/>
      <c r="W417" s="104"/>
      <c r="Z417" s="66"/>
    </row>
    <row r="418" spans="5:26" s="35" customFormat="1">
      <c r="E418" s="30" t="str">
        <f t="shared" si="27"/>
        <v/>
      </c>
      <c r="F418" s="45">
        <v>6629</v>
      </c>
      <c r="G418" s="106" t="s">
        <v>564</v>
      </c>
      <c r="H418" s="32">
        <f t="shared" si="24"/>
        <v>258.81680148010958</v>
      </c>
      <c r="I418" s="32">
        <f t="shared" si="25"/>
        <v>-21.86563549930262</v>
      </c>
      <c r="J418" s="33" t="s">
        <v>474</v>
      </c>
      <c r="K418" s="47">
        <v>10.5</v>
      </c>
      <c r="L418" s="34">
        <v>18.428333333333335</v>
      </c>
      <c r="M418" s="32">
        <v>-23.2</v>
      </c>
      <c r="N418" s="32">
        <f t="shared" si="26"/>
        <v>-97.888376375000746</v>
      </c>
      <c r="P418" s="37"/>
      <c r="Q418" s="61"/>
      <c r="R418" s="37"/>
      <c r="S418" s="102"/>
      <c r="T418" s="103"/>
      <c r="U418" s="37"/>
      <c r="W418" s="104"/>
      <c r="Z418" s="66"/>
    </row>
    <row r="419" spans="5:26" s="35" customFormat="1">
      <c r="E419" s="30" t="str">
        <f t="shared" si="27"/>
        <v/>
      </c>
      <c r="F419" s="45">
        <v>6638</v>
      </c>
      <c r="G419" s="106" t="s">
        <v>564</v>
      </c>
      <c r="H419" s="32">
        <f t="shared" si="24"/>
        <v>102.17028662574845</v>
      </c>
      <c r="I419" s="32">
        <f t="shared" si="25"/>
        <v>-24.288016918778609</v>
      </c>
      <c r="J419" s="33" t="s">
        <v>475</v>
      </c>
      <c r="K419" s="47">
        <v>9.1999999999999993</v>
      </c>
      <c r="L419" s="34">
        <v>18.515000000000001</v>
      </c>
      <c r="M419" s="32">
        <v>-25.5</v>
      </c>
      <c r="N419" s="32">
        <f t="shared" si="26"/>
        <v>-99.188376375000757</v>
      </c>
      <c r="P419" s="37"/>
      <c r="Q419" s="61"/>
      <c r="R419" s="37"/>
      <c r="S419" s="102"/>
      <c r="T419" s="103"/>
      <c r="U419" s="37"/>
      <c r="W419" s="104"/>
      <c r="Z419" s="66"/>
    </row>
    <row r="420" spans="5:26" s="35" customFormat="1">
      <c r="E420" s="30" t="str">
        <f t="shared" si="27"/>
        <v/>
      </c>
      <c r="F420" s="45">
        <v>6637</v>
      </c>
      <c r="G420" s="106" t="s">
        <v>564</v>
      </c>
      <c r="H420" s="32">
        <f t="shared" si="24"/>
        <v>107.91971734278701</v>
      </c>
      <c r="I420" s="32">
        <f t="shared" si="25"/>
        <v>-28.817084402938363</v>
      </c>
      <c r="J420" s="33" t="s">
        <v>55</v>
      </c>
      <c r="K420" s="47">
        <v>7.7</v>
      </c>
      <c r="L420" s="34">
        <v>18.523333333333333</v>
      </c>
      <c r="M420" s="32">
        <v>-32.35</v>
      </c>
      <c r="N420" s="32">
        <f t="shared" si="26"/>
        <v>-99.313376375000701</v>
      </c>
      <c r="P420" s="37"/>
      <c r="Q420" s="61"/>
      <c r="R420" s="37"/>
      <c r="S420" s="102"/>
      <c r="T420" s="103"/>
      <c r="U420" s="37"/>
      <c r="W420" s="104"/>
      <c r="Z420" s="66"/>
    </row>
    <row r="421" spans="5:26" s="35" customFormat="1">
      <c r="E421" s="30" t="str">
        <f t="shared" si="27"/>
        <v/>
      </c>
      <c r="F421" s="45" t="s">
        <v>114</v>
      </c>
      <c r="G421" s="106" t="s">
        <v>564</v>
      </c>
      <c r="H421" s="32">
        <f t="shared" si="24"/>
        <v>96.950522826592746</v>
      </c>
      <c r="I421" s="32">
        <f t="shared" si="25"/>
        <v>-20.110507268487783</v>
      </c>
      <c r="J421" s="33" t="s">
        <v>35</v>
      </c>
      <c r="K421" s="47">
        <v>4.5999999999999996</v>
      </c>
      <c r="L421" s="34">
        <v>18.53</v>
      </c>
      <c r="M421" s="32">
        <v>-19.116666666666667</v>
      </c>
      <c r="N421" s="32">
        <f t="shared" si="26"/>
        <v>-99.413376375000723</v>
      </c>
      <c r="P421" s="37"/>
      <c r="Q421" s="61"/>
      <c r="R421" s="37"/>
      <c r="S421" s="102"/>
      <c r="T421" s="103"/>
      <c r="U421" s="37"/>
      <c r="W421" s="104"/>
      <c r="Z421" s="66"/>
    </row>
    <row r="422" spans="5:26" s="35" customFormat="1">
      <c r="E422" s="30" t="str">
        <f t="shared" si="27"/>
        <v/>
      </c>
      <c r="F422" s="45">
        <v>6642</v>
      </c>
      <c r="G422" s="106" t="s">
        <v>564</v>
      </c>
      <c r="H422" s="32">
        <f t="shared" si="24"/>
        <v>100.36847246592795</v>
      </c>
      <c r="I422" s="32">
        <f t="shared" si="25"/>
        <v>-23.106177551779091</v>
      </c>
      <c r="J422" s="33" t="s">
        <v>476</v>
      </c>
      <c r="K422" s="47">
        <v>8.9</v>
      </c>
      <c r="L422" s="34">
        <v>18.531666666666666</v>
      </c>
      <c r="M422" s="32">
        <v>-23.483333333333334</v>
      </c>
      <c r="N422" s="32">
        <f t="shared" si="26"/>
        <v>-99.438376375000757</v>
      </c>
      <c r="P422" s="37"/>
      <c r="Q422" s="61"/>
      <c r="R422" s="37"/>
      <c r="S422" s="102"/>
      <c r="T422" s="103"/>
      <c r="U422" s="37"/>
      <c r="W422" s="104"/>
      <c r="Z422" s="66"/>
    </row>
    <row r="423" spans="5:26" s="35" customFormat="1">
      <c r="E423" s="30" t="str">
        <f t="shared" si="27"/>
        <v/>
      </c>
      <c r="F423" s="45">
        <v>6645</v>
      </c>
      <c r="G423" s="106" t="s">
        <v>564</v>
      </c>
      <c r="H423" s="32">
        <f t="shared" si="24"/>
        <v>264.89534485830461</v>
      </c>
      <c r="I423" s="32">
        <f t="shared" si="25"/>
        <v>-18.698749737560803</v>
      </c>
      <c r="J423" s="33" t="s">
        <v>477</v>
      </c>
      <c r="K423" s="47">
        <v>8.5</v>
      </c>
      <c r="L423" s="34">
        <v>18.543333333333333</v>
      </c>
      <c r="M423" s="32">
        <v>-16.883333333333333</v>
      </c>
      <c r="N423" s="32">
        <f t="shared" si="26"/>
        <v>-99.613376375000712</v>
      </c>
      <c r="P423" s="37"/>
      <c r="Q423" s="61"/>
      <c r="R423" s="37"/>
      <c r="S423" s="102"/>
      <c r="T423" s="103"/>
      <c r="U423" s="37"/>
      <c r="W423" s="104"/>
      <c r="Z423" s="66"/>
    </row>
    <row r="424" spans="5:26" s="35" customFormat="1">
      <c r="E424" s="30" t="str">
        <f t="shared" si="27"/>
        <v/>
      </c>
      <c r="F424" s="45">
        <v>6656</v>
      </c>
      <c r="G424" s="106" t="s">
        <v>564</v>
      </c>
      <c r="H424" s="32">
        <f t="shared" si="24"/>
        <v>260.05027130822253</v>
      </c>
      <c r="I424" s="32">
        <f t="shared" si="25"/>
        <v>-24.14911016531638</v>
      </c>
      <c r="J424" s="33" t="s">
        <v>478</v>
      </c>
      <c r="K424" s="47">
        <v>5.2</v>
      </c>
      <c r="L424" s="34">
        <v>18.606666666666666</v>
      </c>
      <c r="M424" s="32">
        <v>-23.9</v>
      </c>
      <c r="N424" s="32">
        <f t="shared" si="26"/>
        <v>-100.5633763750007</v>
      </c>
      <c r="P424" s="37"/>
      <c r="Q424" s="61"/>
      <c r="R424" s="37"/>
      <c r="S424" s="102"/>
      <c r="T424" s="103"/>
      <c r="U424" s="37"/>
      <c r="W424" s="104"/>
      <c r="Z424" s="66"/>
    </row>
    <row r="425" spans="5:26" s="35" customFormat="1">
      <c r="E425" s="30" t="str">
        <f t="shared" si="27"/>
        <v/>
      </c>
      <c r="F425" s="45">
        <v>6681</v>
      </c>
      <c r="G425" s="106" t="s">
        <v>564</v>
      </c>
      <c r="H425" s="32">
        <f t="shared" si="24"/>
        <v>253.92356521656069</v>
      </c>
      <c r="I425" s="32">
        <f t="shared" si="25"/>
        <v>-30.729404633846183</v>
      </c>
      <c r="J425" s="33" t="s">
        <v>56</v>
      </c>
      <c r="K425" s="47">
        <v>7.8</v>
      </c>
      <c r="L425" s="34">
        <v>18.72</v>
      </c>
      <c r="M425" s="32">
        <v>-32.299999999999997</v>
      </c>
      <c r="N425" s="32">
        <f t="shared" si="26"/>
        <v>-102.26337637500069</v>
      </c>
      <c r="P425" s="37"/>
      <c r="Q425" s="61"/>
      <c r="R425" s="37"/>
      <c r="S425" s="102"/>
      <c r="T425" s="103"/>
      <c r="U425" s="37"/>
      <c r="W425" s="104"/>
      <c r="Z425" s="66"/>
    </row>
    <row r="426" spans="5:26" s="35" customFormat="1">
      <c r="E426" s="30" t="str">
        <f t="shared" si="27"/>
        <v/>
      </c>
      <c r="F426" s="45" t="s">
        <v>115</v>
      </c>
      <c r="G426" s="106" t="s">
        <v>564</v>
      </c>
      <c r="H426" s="32">
        <f t="shared" si="24"/>
        <v>253.3515771912347</v>
      </c>
      <c r="I426" s="32">
        <f t="shared" si="25"/>
        <v>-31.807281536963611</v>
      </c>
      <c r="J426" s="33" t="s">
        <v>479</v>
      </c>
      <c r="K426" s="47">
        <v>12.5</v>
      </c>
      <c r="L426" s="34">
        <v>18.763333333333332</v>
      </c>
      <c r="M426" s="32">
        <v>-33.35</v>
      </c>
      <c r="N426" s="32">
        <f t="shared" si="26"/>
        <v>-102.91337637500072</v>
      </c>
      <c r="P426" s="37"/>
      <c r="Q426" s="61"/>
      <c r="R426" s="37"/>
      <c r="S426" s="102"/>
      <c r="T426" s="103"/>
      <c r="U426" s="37"/>
      <c r="W426" s="104"/>
      <c r="Z426" s="66"/>
    </row>
    <row r="427" spans="5:26" s="35" customFormat="1">
      <c r="E427" s="30" t="str">
        <f t="shared" si="27"/>
        <v/>
      </c>
      <c r="F427" s="45">
        <v>6715</v>
      </c>
      <c r="G427" s="106" t="s">
        <v>564</v>
      </c>
      <c r="H427" s="32">
        <f t="shared" si="24"/>
        <v>102.56668493453418</v>
      </c>
      <c r="I427" s="32">
        <f t="shared" si="25"/>
        <v>-31.582655942061802</v>
      </c>
      <c r="J427" s="33" t="s">
        <v>49</v>
      </c>
      <c r="K427" s="47">
        <v>7.7</v>
      </c>
      <c r="L427" s="34">
        <v>18.918333333333333</v>
      </c>
      <c r="M427" s="32">
        <v>-30.483333333333334</v>
      </c>
      <c r="N427" s="32">
        <f t="shared" si="26"/>
        <v>-105.23837637500071</v>
      </c>
      <c r="P427" s="37"/>
      <c r="Q427" s="61"/>
      <c r="R427" s="37"/>
      <c r="S427" s="102"/>
      <c r="T427" s="103"/>
      <c r="U427" s="37"/>
      <c r="W427" s="104"/>
      <c r="Z427" s="66"/>
    </row>
    <row r="428" spans="5:26" s="35" customFormat="1">
      <c r="E428" s="30" t="str">
        <f t="shared" si="27"/>
        <v/>
      </c>
      <c r="F428" s="45">
        <v>6717</v>
      </c>
      <c r="G428" s="106" t="s">
        <v>564</v>
      </c>
      <c r="H428" s="32">
        <f t="shared" si="24"/>
        <v>95.782867989957012</v>
      </c>
      <c r="I428" s="32">
        <f t="shared" si="25"/>
        <v>-26.535815284179712</v>
      </c>
      <c r="J428" s="33" t="s">
        <v>480</v>
      </c>
      <c r="K428" s="47">
        <v>8.4</v>
      </c>
      <c r="L428" s="34">
        <v>18.918333333333333</v>
      </c>
      <c r="M428" s="32">
        <v>-22.7</v>
      </c>
      <c r="N428" s="32">
        <f t="shared" si="26"/>
        <v>-105.23837637500071</v>
      </c>
      <c r="P428" s="37"/>
      <c r="Q428" s="61"/>
      <c r="R428" s="37"/>
      <c r="S428" s="102"/>
      <c r="T428" s="103"/>
      <c r="U428" s="37"/>
      <c r="W428" s="104"/>
      <c r="Z428" s="66"/>
    </row>
    <row r="429" spans="5:26" s="35" customFormat="1">
      <c r="E429" s="30" t="str">
        <f t="shared" si="27"/>
        <v/>
      </c>
      <c r="F429" s="45">
        <v>6723</v>
      </c>
      <c r="G429" s="106" t="s">
        <v>564</v>
      </c>
      <c r="H429" s="32">
        <f t="shared" si="24"/>
        <v>252.19673454948901</v>
      </c>
      <c r="I429" s="32">
        <f t="shared" si="25"/>
        <v>-36.031619386472606</v>
      </c>
      <c r="J429" s="33" t="s">
        <v>481</v>
      </c>
      <c r="K429" s="47">
        <v>6.8</v>
      </c>
      <c r="L429" s="34">
        <v>18.993333333333332</v>
      </c>
      <c r="M429" s="32">
        <v>-36.633333333333333</v>
      </c>
      <c r="N429" s="32">
        <f t="shared" si="26"/>
        <v>-106.36337637500071</v>
      </c>
      <c r="P429" s="37"/>
      <c r="Q429" s="61"/>
      <c r="R429" s="37"/>
      <c r="S429" s="102"/>
      <c r="T429" s="103"/>
      <c r="U429" s="37"/>
      <c r="W429" s="104"/>
      <c r="Z429" s="66"/>
    </row>
    <row r="430" spans="5:26" s="35" customFormat="1">
      <c r="E430" s="30" t="str">
        <f t="shared" si="27"/>
        <v/>
      </c>
      <c r="F430" s="45">
        <v>6809</v>
      </c>
      <c r="G430" s="106" t="s">
        <v>564</v>
      </c>
      <c r="H430" s="32">
        <f t="shared" si="24"/>
        <v>264.22982064630219</v>
      </c>
      <c r="I430" s="32">
        <f t="shared" si="25"/>
        <v>-39.508509065581677</v>
      </c>
      <c r="J430" s="33" t="s">
        <v>482</v>
      </c>
      <c r="K430" s="47">
        <v>6.3</v>
      </c>
      <c r="L430" s="34">
        <v>19.666666666666668</v>
      </c>
      <c r="M430" s="32">
        <v>-30.966666666666665</v>
      </c>
      <c r="N430" s="32">
        <f t="shared" si="26"/>
        <v>-116.46337637500079</v>
      </c>
      <c r="P430" s="37"/>
      <c r="Q430" s="61"/>
      <c r="R430" s="37"/>
      <c r="S430" s="102"/>
      <c r="T430" s="103"/>
      <c r="U430" s="37"/>
      <c r="W430" s="104"/>
      <c r="Z430" s="66"/>
    </row>
    <row r="431" spans="5:26" s="35" customFormat="1">
      <c r="E431" s="30" t="str">
        <f t="shared" si="27"/>
        <v/>
      </c>
      <c r="F431" s="45">
        <v>6818</v>
      </c>
      <c r="G431" s="106" t="s">
        <v>564</v>
      </c>
      <c r="H431" s="32">
        <f t="shared" si="24"/>
        <v>280.25625882667964</v>
      </c>
      <c r="I431" s="32">
        <f t="shared" si="25"/>
        <v>-29.031244204293365</v>
      </c>
      <c r="J431" s="33" t="s">
        <v>483</v>
      </c>
      <c r="K431" s="47">
        <v>10</v>
      </c>
      <c r="L431" s="34">
        <v>19.733333333333334</v>
      </c>
      <c r="M431" s="32">
        <v>-14.15</v>
      </c>
      <c r="N431" s="32">
        <f t="shared" si="26"/>
        <v>-117.46337637500073</v>
      </c>
      <c r="P431" s="37"/>
      <c r="Q431" s="61"/>
      <c r="R431" s="37"/>
      <c r="S431" s="102"/>
      <c r="T431" s="103"/>
      <c r="U431" s="37"/>
      <c r="W431" s="104"/>
      <c r="Z431" s="66"/>
    </row>
    <row r="432" spans="5:26" s="35" customFormat="1">
      <c r="E432" s="30" t="str">
        <f t="shared" si="27"/>
        <v/>
      </c>
      <c r="F432" s="45">
        <v>6822</v>
      </c>
      <c r="G432" s="106" t="s">
        <v>564</v>
      </c>
      <c r="H432" s="32">
        <f t="shared" si="24"/>
        <v>279.91219844999699</v>
      </c>
      <c r="I432" s="32">
        <f t="shared" si="25"/>
        <v>-29.647690545181423</v>
      </c>
      <c r="J432" s="33" t="s">
        <v>484</v>
      </c>
      <c r="K432" s="47">
        <v>8.8000000000000007</v>
      </c>
      <c r="L432" s="34">
        <v>19.748333333333335</v>
      </c>
      <c r="M432" s="32">
        <v>-14.8</v>
      </c>
      <c r="N432" s="32">
        <f t="shared" si="26"/>
        <v>-117.68837637500076</v>
      </c>
      <c r="P432" s="37"/>
      <c r="Q432" s="61"/>
      <c r="R432" s="37"/>
      <c r="S432" s="102"/>
      <c r="T432" s="103"/>
      <c r="U432" s="37"/>
      <c r="W432" s="104"/>
      <c r="Z432" s="66"/>
    </row>
    <row r="433" spans="5:26" s="35" customFormat="1">
      <c r="E433" s="30" t="str">
        <f t="shared" si="27"/>
        <v/>
      </c>
      <c r="F433" s="45">
        <v>6864</v>
      </c>
      <c r="G433" s="106" t="s">
        <v>564</v>
      </c>
      <c r="H433" s="32">
        <f t="shared" si="24"/>
        <v>82.031511661024297</v>
      </c>
      <c r="I433" s="32">
        <f t="shared" si="25"/>
        <v>-38.210158869346252</v>
      </c>
      <c r="J433" s="33" t="s">
        <v>58</v>
      </c>
      <c r="K433" s="47">
        <v>8.6</v>
      </c>
      <c r="L433" s="34">
        <v>20.101666666666667</v>
      </c>
      <c r="M433" s="32">
        <v>-21.916666666666668</v>
      </c>
      <c r="N433" s="32">
        <f t="shared" si="26"/>
        <v>-122.98837637500077</v>
      </c>
      <c r="P433" s="37"/>
      <c r="Q433" s="61"/>
      <c r="R433" s="37"/>
      <c r="S433" s="102"/>
      <c r="T433" s="103"/>
      <c r="U433" s="37"/>
      <c r="W433" s="104"/>
      <c r="Z433" s="66"/>
    </row>
    <row r="434" spans="5:26" s="35" customFormat="1">
      <c r="E434" s="30" t="str">
        <f t="shared" si="27"/>
        <v/>
      </c>
      <c r="F434" s="45">
        <v>1435</v>
      </c>
      <c r="G434" s="106" t="s">
        <v>564</v>
      </c>
      <c r="H434" s="32">
        <f t="shared" si="24"/>
        <v>309.0201011535878</v>
      </c>
      <c r="I434" s="32">
        <f t="shared" si="25"/>
        <v>-2.4029182899480634</v>
      </c>
      <c r="J434" s="33" t="s">
        <v>485</v>
      </c>
      <c r="K434" s="49" t="s">
        <v>549</v>
      </c>
      <c r="L434" s="34">
        <v>3.77</v>
      </c>
      <c r="M434" s="32">
        <v>23.766666666666666</v>
      </c>
      <c r="N434" s="32">
        <f t="shared" si="26"/>
        <v>121.98662362499927</v>
      </c>
      <c r="P434" s="37"/>
      <c r="Q434" s="61"/>
      <c r="R434" s="37"/>
      <c r="S434" s="102"/>
      <c r="T434" s="103"/>
      <c r="U434" s="37"/>
      <c r="W434" s="104"/>
      <c r="Z434" s="66"/>
    </row>
    <row r="435" spans="5:26" s="35" customFormat="1">
      <c r="E435" s="30" t="str">
        <f t="shared" si="27"/>
        <v/>
      </c>
      <c r="F435" s="45" t="s">
        <v>116</v>
      </c>
      <c r="G435" s="106" t="s">
        <v>564</v>
      </c>
      <c r="H435" s="32">
        <f t="shared" si="24"/>
        <v>309.09911145957335</v>
      </c>
      <c r="I435" s="32">
        <f t="shared" si="25"/>
        <v>-2.2543643448088586</v>
      </c>
      <c r="J435" s="33" t="s">
        <v>486</v>
      </c>
      <c r="K435" s="49" t="s">
        <v>549</v>
      </c>
      <c r="L435" s="34">
        <v>3.7716666666666665</v>
      </c>
      <c r="M435" s="32">
        <v>23.933333333333334</v>
      </c>
      <c r="N435" s="32">
        <f t="shared" si="26"/>
        <v>121.96162362499926</v>
      </c>
      <c r="P435" s="37"/>
      <c r="Q435" s="61"/>
      <c r="R435" s="37"/>
      <c r="S435" s="102"/>
      <c r="T435" s="103"/>
      <c r="U435" s="37"/>
      <c r="W435" s="104"/>
      <c r="Z435" s="66"/>
    </row>
    <row r="436" spans="5:26" s="35" customFormat="1">
      <c r="E436" s="30" t="str">
        <f t="shared" si="27"/>
        <v/>
      </c>
      <c r="F436" s="45">
        <v>1514</v>
      </c>
      <c r="G436" s="106" t="s">
        <v>564</v>
      </c>
      <c r="H436" s="32">
        <f t="shared" si="24"/>
        <v>309.15617051150076</v>
      </c>
      <c r="I436" s="32">
        <f t="shared" si="25"/>
        <v>6.2860454312789793</v>
      </c>
      <c r="J436" s="33" t="s">
        <v>487</v>
      </c>
      <c r="K436" s="47">
        <v>10.8</v>
      </c>
      <c r="L436" s="34">
        <v>4.1550000000000002</v>
      </c>
      <c r="M436" s="32">
        <v>30.783333333333335</v>
      </c>
      <c r="N436" s="32">
        <f t="shared" si="26"/>
        <v>116.21162362499926</v>
      </c>
      <c r="P436" s="37"/>
      <c r="Q436" s="61"/>
      <c r="R436" s="37"/>
      <c r="S436" s="102"/>
      <c r="T436" s="103"/>
      <c r="U436" s="37"/>
      <c r="W436" s="104"/>
      <c r="Z436" s="66"/>
    </row>
    <row r="437" spans="5:26" s="35" customFormat="1">
      <c r="E437" s="30" t="str">
        <f t="shared" si="27"/>
        <v/>
      </c>
      <c r="F437" s="45" t="s">
        <v>117</v>
      </c>
      <c r="G437" s="106" t="s">
        <v>564</v>
      </c>
      <c r="H437" s="32">
        <f t="shared" si="24"/>
        <v>60.134103980969385</v>
      </c>
      <c r="I437" s="32">
        <f t="shared" si="25"/>
        <v>-0.68905639471717983</v>
      </c>
      <c r="J437" s="33" t="s">
        <v>488</v>
      </c>
      <c r="K437" s="49" t="s">
        <v>549</v>
      </c>
      <c r="L437" s="34">
        <v>4.3650000000000002</v>
      </c>
      <c r="M437" s="32">
        <v>19.533333333333335</v>
      </c>
      <c r="N437" s="32">
        <f t="shared" si="26"/>
        <v>113.06162362499926</v>
      </c>
      <c r="P437" s="37"/>
      <c r="Q437" s="61"/>
      <c r="R437" s="37"/>
      <c r="S437" s="102"/>
      <c r="T437" s="103"/>
      <c r="U437" s="37"/>
      <c r="W437" s="104"/>
      <c r="Z437" s="66"/>
    </row>
    <row r="438" spans="5:26" s="35" customFormat="1">
      <c r="E438" s="30" t="str">
        <f t="shared" si="27"/>
        <v/>
      </c>
      <c r="F438" s="45">
        <v>1647</v>
      </c>
      <c r="G438" s="106" t="s">
        <v>564</v>
      </c>
      <c r="H438" s="32">
        <f t="shared" si="24"/>
        <v>295.31409966895137</v>
      </c>
      <c r="I438" s="32">
        <f t="shared" si="25"/>
        <v>2.6258594561852169</v>
      </c>
      <c r="J438" s="33" t="s">
        <v>489</v>
      </c>
      <c r="K438" s="47">
        <v>6.4</v>
      </c>
      <c r="L438" s="34">
        <v>4.7616666666666667</v>
      </c>
      <c r="M438" s="32">
        <v>19.116666666666667</v>
      </c>
      <c r="N438" s="32">
        <f t="shared" si="26"/>
        <v>107.11162362499927</v>
      </c>
      <c r="P438" s="37"/>
      <c r="Q438" s="61"/>
      <c r="R438" s="37"/>
      <c r="S438" s="102"/>
      <c r="T438" s="103"/>
      <c r="U438" s="37"/>
      <c r="W438" s="104"/>
      <c r="Z438" s="66"/>
    </row>
    <row r="439" spans="5:26" s="35" customFormat="1">
      <c r="E439" s="30" t="str">
        <f t="shared" si="27"/>
        <v/>
      </c>
      <c r="F439" s="45">
        <v>1746</v>
      </c>
      <c r="G439" s="106" t="s">
        <v>564</v>
      </c>
      <c r="H439" s="32">
        <f t="shared" si="24"/>
        <v>295.36848839499999</v>
      </c>
      <c r="I439" s="32">
        <f t="shared" si="25"/>
        <v>8.9040209136137598</v>
      </c>
      <c r="J439" s="33" t="s">
        <v>490</v>
      </c>
      <c r="K439" s="47">
        <v>6.1</v>
      </c>
      <c r="L439" s="34">
        <v>5.0599999999999996</v>
      </c>
      <c r="M439" s="32">
        <v>23.816666666666666</v>
      </c>
      <c r="N439" s="32">
        <f t="shared" si="26"/>
        <v>102.63662362499927</v>
      </c>
      <c r="P439" s="37"/>
      <c r="Q439" s="61"/>
      <c r="R439" s="37"/>
      <c r="S439" s="102"/>
      <c r="T439" s="103"/>
      <c r="U439" s="37"/>
      <c r="W439" s="104"/>
      <c r="Z439" s="66"/>
    </row>
    <row r="440" spans="5:26" s="35" customFormat="1">
      <c r="E440" s="30" t="str">
        <f t="shared" si="27"/>
        <v/>
      </c>
      <c r="F440" s="45">
        <v>1817</v>
      </c>
      <c r="G440" s="106" t="s">
        <v>564</v>
      </c>
      <c r="H440" s="32">
        <f t="shared" si="24"/>
        <v>71.062021793769034</v>
      </c>
      <c r="I440" s="32">
        <f t="shared" si="25"/>
        <v>5.0944419901925651</v>
      </c>
      <c r="J440" s="33" t="s">
        <v>491</v>
      </c>
      <c r="K440" s="47">
        <v>7.7</v>
      </c>
      <c r="L440" s="34">
        <v>5.208333333333333</v>
      </c>
      <c r="M440" s="32">
        <v>16.683333333333334</v>
      </c>
      <c r="N440" s="32">
        <f t="shared" si="26"/>
        <v>100.41162362499928</v>
      </c>
      <c r="P440" s="37"/>
      <c r="Q440" s="61"/>
      <c r="R440" s="37"/>
      <c r="S440" s="102"/>
      <c r="T440" s="103"/>
      <c r="U440" s="37"/>
      <c r="W440" s="104"/>
      <c r="Z440" s="66"/>
    </row>
    <row r="441" spans="5:26" s="35" customFormat="1">
      <c r="E441" s="30" t="str">
        <f t="shared" si="27"/>
        <v/>
      </c>
      <c r="F441" s="45">
        <v>1952</v>
      </c>
      <c r="G441" s="106" t="s">
        <v>564</v>
      </c>
      <c r="H441" s="32">
        <f t="shared" si="24"/>
        <v>288.8761757214279</v>
      </c>
      <c r="I441" s="32">
        <f t="shared" si="25"/>
        <v>12.533582176732834</v>
      </c>
      <c r="J441" s="33" t="s">
        <v>492</v>
      </c>
      <c r="K441" s="47">
        <v>8.4</v>
      </c>
      <c r="L441" s="34">
        <v>5.5750000000000002</v>
      </c>
      <c r="M441" s="32">
        <v>22.016666666666666</v>
      </c>
      <c r="N441" s="32">
        <f t="shared" si="26"/>
        <v>94.911623624999265</v>
      </c>
      <c r="P441" s="37"/>
      <c r="Q441" s="61"/>
      <c r="R441" s="37"/>
      <c r="S441" s="102"/>
      <c r="T441" s="103"/>
      <c r="U441" s="37"/>
      <c r="W441" s="104"/>
      <c r="Z441" s="66"/>
    </row>
    <row r="442" spans="5:26" s="35" customFormat="1">
      <c r="E442" s="30" t="str">
        <f t="shared" si="27"/>
        <v/>
      </c>
      <c r="F442" s="45">
        <v>598</v>
      </c>
      <c r="G442" s="106" t="s">
        <v>564</v>
      </c>
      <c r="H442" s="32">
        <f t="shared" si="24"/>
        <v>338.40967229138357</v>
      </c>
      <c r="I442" s="32">
        <f t="shared" si="25"/>
        <v>-9.6706636566406647</v>
      </c>
      <c r="J442" s="33" t="s">
        <v>493</v>
      </c>
      <c r="K442" s="47">
        <v>5.7</v>
      </c>
      <c r="L442" s="34">
        <v>1.5649999999999999</v>
      </c>
      <c r="M442" s="32">
        <v>30.65</v>
      </c>
      <c r="N442" s="32">
        <f t="shared" si="26"/>
        <v>155.06162362499927</v>
      </c>
      <c r="P442" s="37"/>
      <c r="Q442" s="61"/>
      <c r="R442" s="37"/>
      <c r="S442" s="102"/>
      <c r="T442" s="103"/>
      <c r="U442" s="37"/>
      <c r="W442" s="104"/>
      <c r="Z442" s="66"/>
    </row>
    <row r="443" spans="5:26" s="35" customFormat="1">
      <c r="E443" s="30" t="str">
        <f t="shared" si="27"/>
        <v/>
      </c>
      <c r="F443" s="45">
        <v>669</v>
      </c>
      <c r="G443" s="106" t="s">
        <v>564</v>
      </c>
      <c r="H443" s="32">
        <f t="shared" si="24"/>
        <v>337.2632025304174</v>
      </c>
      <c r="I443" s="32">
        <f t="shared" si="25"/>
        <v>-4.1261424155280366</v>
      </c>
      <c r="J443" s="33" t="s">
        <v>494</v>
      </c>
      <c r="K443" s="47">
        <v>12.3</v>
      </c>
      <c r="L443" s="34">
        <v>1.7883333333333333</v>
      </c>
      <c r="M443" s="32">
        <v>35.56666666666667</v>
      </c>
      <c r="N443" s="32">
        <f t="shared" si="26"/>
        <v>151.71162362499928</v>
      </c>
      <c r="P443" s="37"/>
      <c r="Q443" s="61"/>
      <c r="R443" s="37"/>
      <c r="S443" s="102"/>
      <c r="T443" s="103"/>
      <c r="U443" s="37"/>
      <c r="W443" s="104"/>
      <c r="Z443" s="66"/>
    </row>
    <row r="444" spans="5:26" s="35" customFormat="1">
      <c r="E444" s="30" t="str">
        <f t="shared" si="27"/>
        <v/>
      </c>
      <c r="F444" s="45">
        <v>670</v>
      </c>
      <c r="G444" s="106" t="s">
        <v>564</v>
      </c>
      <c r="H444" s="32">
        <f t="shared" si="24"/>
        <v>334.68307997952832</v>
      </c>
      <c r="I444" s="32">
        <f t="shared" si="25"/>
        <v>-11.372333244304944</v>
      </c>
      <c r="J444" s="33" t="s">
        <v>495</v>
      </c>
      <c r="K444" s="47">
        <v>12.7</v>
      </c>
      <c r="L444" s="34">
        <v>1.79</v>
      </c>
      <c r="M444" s="32">
        <v>27.883333333333333</v>
      </c>
      <c r="N444" s="32">
        <f t="shared" si="26"/>
        <v>151.68662362499927</v>
      </c>
      <c r="P444" s="37"/>
      <c r="Q444" s="61"/>
      <c r="R444" s="37"/>
      <c r="S444" s="102"/>
      <c r="T444" s="103"/>
      <c r="U444" s="37"/>
      <c r="W444" s="104"/>
      <c r="Z444" s="66"/>
    </row>
    <row r="445" spans="5:26" s="35" customFormat="1">
      <c r="E445" s="30" t="str">
        <f t="shared" si="27"/>
        <v/>
      </c>
      <c r="F445" s="45">
        <v>672</v>
      </c>
      <c r="G445" s="106" t="s">
        <v>564</v>
      </c>
      <c r="H445" s="32">
        <f t="shared" si="24"/>
        <v>25.576953798347237</v>
      </c>
      <c r="I445" s="32">
        <f t="shared" si="25"/>
        <v>-11.759449284741592</v>
      </c>
      <c r="J445" s="33" t="s">
        <v>496</v>
      </c>
      <c r="K445" s="47">
        <v>10.9</v>
      </c>
      <c r="L445" s="34">
        <v>1.7983333333333333</v>
      </c>
      <c r="M445" s="32">
        <v>27.433333333333334</v>
      </c>
      <c r="N445" s="32">
        <f t="shared" si="26"/>
        <v>151.56162362499927</v>
      </c>
      <c r="P445" s="37"/>
      <c r="Q445" s="61"/>
      <c r="R445" s="37"/>
      <c r="S445" s="102"/>
      <c r="T445" s="103"/>
      <c r="U445" s="37"/>
      <c r="W445" s="104"/>
      <c r="Z445" s="66"/>
    </row>
    <row r="446" spans="5:26" s="35" customFormat="1">
      <c r="E446" s="30" t="str">
        <f t="shared" si="27"/>
        <v/>
      </c>
      <c r="F446" s="45">
        <v>684</v>
      </c>
      <c r="G446" s="106" t="s">
        <v>564</v>
      </c>
      <c r="H446" s="32">
        <f t="shared" si="24"/>
        <v>334.00801557406635</v>
      </c>
      <c r="I446" s="32">
        <f t="shared" si="25"/>
        <v>-11.383205933247533</v>
      </c>
      <c r="J446" s="33" t="s">
        <v>497</v>
      </c>
      <c r="K446" s="47">
        <v>12.4</v>
      </c>
      <c r="L446" s="34">
        <v>1.8366666666666667</v>
      </c>
      <c r="M446" s="32">
        <v>27.65</v>
      </c>
      <c r="N446" s="32">
        <f t="shared" si="26"/>
        <v>150.98662362499925</v>
      </c>
      <c r="P446" s="37"/>
      <c r="Q446" s="61"/>
      <c r="R446" s="37"/>
      <c r="S446" s="102"/>
      <c r="T446" s="103"/>
      <c r="U446" s="37"/>
      <c r="W446" s="104"/>
      <c r="Z446" s="66"/>
    </row>
    <row r="447" spans="5:26" s="35" customFormat="1">
      <c r="E447" s="30" t="str">
        <f t="shared" si="27"/>
        <v/>
      </c>
      <c r="F447" s="45">
        <v>751</v>
      </c>
      <c r="G447" s="106" t="s">
        <v>564</v>
      </c>
      <c r="H447" s="32">
        <f t="shared" si="24"/>
        <v>334.44793391832519</v>
      </c>
      <c r="I447" s="32">
        <f t="shared" si="25"/>
        <v>-5.6252494569744771</v>
      </c>
      <c r="J447" s="33" t="s">
        <v>498</v>
      </c>
      <c r="K447" s="47">
        <v>14</v>
      </c>
      <c r="L447" s="34">
        <v>1.96</v>
      </c>
      <c r="M447" s="32">
        <v>33.200000000000003</v>
      </c>
      <c r="N447" s="32">
        <f t="shared" si="26"/>
        <v>149.13662362499926</v>
      </c>
      <c r="P447" s="37"/>
      <c r="Q447" s="61"/>
      <c r="R447" s="37"/>
      <c r="S447" s="102"/>
      <c r="T447" s="103"/>
      <c r="U447" s="37"/>
      <c r="W447" s="104"/>
      <c r="Z447" s="66"/>
    </row>
    <row r="448" spans="5:26" s="35" customFormat="1">
      <c r="E448" s="30" t="str">
        <f t="shared" si="27"/>
        <v/>
      </c>
      <c r="F448" s="45">
        <v>784</v>
      </c>
      <c r="G448" s="106" t="s">
        <v>564</v>
      </c>
      <c r="H448" s="32">
        <f t="shared" si="24"/>
        <v>332.1102980745008</v>
      </c>
      <c r="I448" s="32">
        <f t="shared" si="25"/>
        <v>-9.4103048888634202</v>
      </c>
      <c r="J448" s="33" t="s">
        <v>499</v>
      </c>
      <c r="K448" s="47">
        <v>11.7</v>
      </c>
      <c r="L448" s="34">
        <v>2.0216666666666665</v>
      </c>
      <c r="M448" s="32">
        <v>28.833333333333332</v>
      </c>
      <c r="N448" s="32">
        <f t="shared" si="26"/>
        <v>148.21162362499928</v>
      </c>
      <c r="P448" s="37"/>
      <c r="Q448" s="61"/>
      <c r="R448" s="37"/>
      <c r="S448" s="102"/>
      <c r="T448" s="103"/>
      <c r="U448" s="37"/>
      <c r="W448" s="104"/>
      <c r="Z448" s="66"/>
    </row>
    <row r="449" spans="5:26" s="35" customFormat="1">
      <c r="E449" s="30" t="str">
        <f t="shared" si="27"/>
        <v/>
      </c>
      <c r="F449" s="45">
        <v>925</v>
      </c>
      <c r="G449" s="106" t="s">
        <v>564</v>
      </c>
      <c r="H449" s="32">
        <f t="shared" si="24"/>
        <v>328.88010094769595</v>
      </c>
      <c r="I449" s="32">
        <f t="shared" si="25"/>
        <v>-2.8437630703748153</v>
      </c>
      <c r="J449" s="33" t="s">
        <v>500</v>
      </c>
      <c r="K449" s="47">
        <v>10.1</v>
      </c>
      <c r="L449" s="34">
        <v>2.4550000000000001</v>
      </c>
      <c r="M449" s="32">
        <v>33.583333333333336</v>
      </c>
      <c r="N449" s="32">
        <f t="shared" si="26"/>
        <v>141.71162362499928</v>
      </c>
      <c r="P449" s="37"/>
      <c r="Q449" s="61"/>
      <c r="R449" s="37"/>
      <c r="S449" s="102"/>
      <c r="T449" s="103"/>
      <c r="U449" s="37"/>
      <c r="W449" s="104"/>
      <c r="Z449" s="66"/>
    </row>
    <row r="450" spans="5:26" s="35" customFormat="1">
      <c r="E450" s="30" t="str">
        <f t="shared" si="27"/>
        <v/>
      </c>
      <c r="F450" s="45">
        <v>949</v>
      </c>
      <c r="G450" s="106" t="s">
        <v>564</v>
      </c>
      <c r="H450" s="32">
        <f t="shared" si="24"/>
        <v>329.76726668854423</v>
      </c>
      <c r="I450" s="32">
        <f t="shared" si="25"/>
        <v>0.66690459284370196</v>
      </c>
      <c r="J450" s="33" t="s">
        <v>501</v>
      </c>
      <c r="K450" s="47">
        <v>11.8</v>
      </c>
      <c r="L450" s="34">
        <v>2.5133333333333332</v>
      </c>
      <c r="M450" s="32">
        <v>37.133333333333333</v>
      </c>
      <c r="N450" s="32">
        <f t="shared" si="26"/>
        <v>140.83662362499928</v>
      </c>
      <c r="P450" s="37"/>
      <c r="Q450" s="61"/>
      <c r="R450" s="37"/>
      <c r="S450" s="102"/>
      <c r="T450" s="103"/>
      <c r="U450" s="37"/>
      <c r="W450" s="104"/>
      <c r="Z450" s="66"/>
    </row>
    <row r="451" spans="5:26" s="35" customFormat="1">
      <c r="E451" s="30" t="str">
        <f t="shared" si="27"/>
        <v/>
      </c>
      <c r="F451" s="45">
        <v>2681</v>
      </c>
      <c r="G451" s="106" t="s">
        <v>564</v>
      </c>
      <c r="H451" s="32">
        <f t="shared" si="24"/>
        <v>296.23546557339193</v>
      </c>
      <c r="I451" s="32">
        <f t="shared" si="25"/>
        <v>60.389765618046553</v>
      </c>
      <c r="J451" s="33" t="s">
        <v>502</v>
      </c>
      <c r="K451" s="47">
        <v>10.3</v>
      </c>
      <c r="L451" s="34">
        <v>8.8916666666666675</v>
      </c>
      <c r="M451" s="32">
        <v>51.31666666666667</v>
      </c>
      <c r="N451" s="32">
        <f t="shared" si="26"/>
        <v>45.161623624999265</v>
      </c>
      <c r="P451" s="37"/>
      <c r="Q451" s="61"/>
      <c r="R451" s="37"/>
      <c r="S451" s="102"/>
      <c r="T451" s="103"/>
      <c r="U451" s="37"/>
      <c r="W451" s="104"/>
      <c r="Z451" s="66"/>
    </row>
    <row r="452" spans="5:26" s="35" customFormat="1">
      <c r="E452" s="30" t="str">
        <f t="shared" si="27"/>
        <v/>
      </c>
      <c r="F452" s="45">
        <v>2768</v>
      </c>
      <c r="G452" s="106" t="s">
        <v>564</v>
      </c>
      <c r="H452" s="32">
        <f t="shared" si="24"/>
        <v>45.278091787500728</v>
      </c>
      <c r="I452" s="32">
        <f t="shared" si="25"/>
        <v>62.752888042602535</v>
      </c>
      <c r="J452" s="33" t="s">
        <v>503</v>
      </c>
      <c r="K452" s="47">
        <v>9.9</v>
      </c>
      <c r="L452" s="34">
        <v>9.1933333333333334</v>
      </c>
      <c r="M452" s="32">
        <v>60.033333333333331</v>
      </c>
      <c r="N452" s="32">
        <f t="shared" si="26"/>
        <v>40.63662362499926</v>
      </c>
      <c r="P452" s="37"/>
      <c r="Q452" s="61"/>
      <c r="R452" s="37"/>
      <c r="S452" s="102"/>
      <c r="T452" s="103"/>
      <c r="U452" s="37"/>
      <c r="W452" s="104"/>
      <c r="Z452" s="66"/>
    </row>
    <row r="453" spans="5:26" s="35" customFormat="1">
      <c r="E453" s="30" t="str">
        <f t="shared" si="27"/>
        <v/>
      </c>
      <c r="F453" s="45">
        <v>2841</v>
      </c>
      <c r="G453" s="106" t="s">
        <v>564</v>
      </c>
      <c r="H453" s="32">
        <f t="shared" si="24"/>
        <v>65.602015467211459</v>
      </c>
      <c r="I453" s="32">
        <f t="shared" si="25"/>
        <v>64.78970376034448</v>
      </c>
      <c r="J453" s="33" t="s">
        <v>504</v>
      </c>
      <c r="K453" s="47">
        <v>9.1999999999999993</v>
      </c>
      <c r="L453" s="34">
        <v>9.3666666666666671</v>
      </c>
      <c r="M453" s="32">
        <v>50.983333333333334</v>
      </c>
      <c r="N453" s="32">
        <f t="shared" si="26"/>
        <v>38.036623624999265</v>
      </c>
      <c r="P453" s="37"/>
      <c r="Q453" s="61"/>
      <c r="R453" s="37"/>
      <c r="S453" s="102"/>
      <c r="T453" s="103"/>
      <c r="U453" s="37"/>
      <c r="W453" s="104"/>
      <c r="Z453" s="66"/>
    </row>
    <row r="454" spans="5:26" s="35" customFormat="1">
      <c r="E454" s="30" t="str">
        <f t="shared" si="27"/>
        <v/>
      </c>
      <c r="F454" s="45">
        <v>3031</v>
      </c>
      <c r="G454" s="106" t="s">
        <v>564</v>
      </c>
      <c r="H454" s="32">
        <f t="shared" si="24"/>
        <v>22.89058138529824</v>
      </c>
      <c r="I454" s="32">
        <f t="shared" si="25"/>
        <v>62.985952208284246</v>
      </c>
      <c r="J454" s="33" t="s">
        <v>505</v>
      </c>
      <c r="K454" s="47">
        <v>6.9</v>
      </c>
      <c r="L454" s="34">
        <v>9.9266666666666659</v>
      </c>
      <c r="M454" s="32">
        <v>69.066666666666663</v>
      </c>
      <c r="N454" s="32">
        <f t="shared" si="26"/>
        <v>29.63662362499926</v>
      </c>
      <c r="P454" s="37"/>
      <c r="Q454" s="61"/>
      <c r="R454" s="37"/>
      <c r="S454" s="102"/>
      <c r="T454" s="103"/>
      <c r="U454" s="37"/>
      <c r="W454" s="104"/>
      <c r="Z454" s="66"/>
    </row>
    <row r="455" spans="5:26" s="35" customFormat="1">
      <c r="E455" s="30" t="str">
        <f t="shared" si="27"/>
        <v/>
      </c>
      <c r="F455" s="45">
        <v>3034</v>
      </c>
      <c r="G455" s="106" t="s">
        <v>564</v>
      </c>
      <c r="H455" s="32">
        <f t="shared" si="24"/>
        <v>21.848180984696722</v>
      </c>
      <c r="I455" s="32">
        <f t="shared" si="25"/>
        <v>62.59377512220339</v>
      </c>
      <c r="J455" s="33" t="s">
        <v>506</v>
      </c>
      <c r="K455" s="47">
        <v>8.4</v>
      </c>
      <c r="L455" s="34">
        <v>9.9316666666666666</v>
      </c>
      <c r="M455" s="32">
        <v>69.683333333333337</v>
      </c>
      <c r="N455" s="32">
        <f t="shared" si="26"/>
        <v>29.561623624999271</v>
      </c>
      <c r="P455" s="37"/>
      <c r="Q455" s="61"/>
      <c r="R455" s="37"/>
      <c r="S455" s="102"/>
      <c r="T455" s="103"/>
      <c r="U455" s="37"/>
      <c r="W455" s="104"/>
      <c r="Z455" s="66"/>
    </row>
    <row r="456" spans="5:26" s="35" customFormat="1">
      <c r="E456" s="30" t="str">
        <f t="shared" si="27"/>
        <v/>
      </c>
      <c r="F456" s="45">
        <v>3079</v>
      </c>
      <c r="G456" s="106" t="s">
        <v>564</v>
      </c>
      <c r="H456" s="32">
        <f t="shared" ref="H456:H509" si="28">IF(SIN($C$14*N456)&lt;0,ACOS((SIN($M$512*M456)-SIN($M$512*I456)*SIN($M$512*$C$13))/(COS($M$512*I456)*COS($M$512*$C$13)))/$M$512,360-ACOS((SIN($M$512*M456)-SIN($M$512*I456)*SIN($M$512*$C$13))/(COS($M$512*I456)*COS($M$512*$C$13)))/$M$512)</f>
        <v>308.18386843262681</v>
      </c>
      <c r="I456" s="32">
        <f t="shared" ref="I456:I509" si="29">ASIN(SIN($M$512*M456)*SIN($M$512*$C$13)+COS($M$512*M456)*COS($M$512*$C$13)*COS($M$512*N456))/$M$512</f>
        <v>70.298213803024041</v>
      </c>
      <c r="J456" s="33" t="s">
        <v>507</v>
      </c>
      <c r="K456" s="47">
        <v>10.9</v>
      </c>
      <c r="L456" s="34">
        <v>10.033333333333333</v>
      </c>
      <c r="M456" s="32">
        <v>55.68333333333333</v>
      </c>
      <c r="N456" s="32">
        <f t="shared" ref="N456:N509" si="30">$C$16-((L456/24)*360)</f>
        <v>28.036623624999265</v>
      </c>
      <c r="P456" s="37"/>
      <c r="Q456" s="61"/>
      <c r="R456" s="37"/>
      <c r="S456" s="102"/>
      <c r="T456" s="103"/>
      <c r="U456" s="37"/>
      <c r="W456" s="104"/>
      <c r="Z456" s="66"/>
    </row>
    <row r="457" spans="5:26" s="35" customFormat="1">
      <c r="E457" s="30" t="str">
        <f t="shared" ref="E457:E509" si="31">IF(AND(I457&gt;=$I$4,I457&lt;=$I$6,H457&gt;=$H$4,H457&lt;=$H$6),IF(VLOOKUP(G457,$C$19:$D$24,2,FALSE)="yes","*","-"),"")</f>
        <v/>
      </c>
      <c r="F457" s="45">
        <v>3077</v>
      </c>
      <c r="G457" s="106" t="s">
        <v>564</v>
      </c>
      <c r="H457" s="32">
        <f t="shared" si="28"/>
        <v>22.39400927978021</v>
      </c>
      <c r="I457" s="32">
        <f t="shared" si="29"/>
        <v>63.721952720409718</v>
      </c>
      <c r="J457" s="33" t="s">
        <v>508</v>
      </c>
      <c r="K457" s="47">
        <v>9.9</v>
      </c>
      <c r="L457" s="34">
        <v>10.055</v>
      </c>
      <c r="M457" s="32">
        <v>68.733333333333334</v>
      </c>
      <c r="N457" s="32">
        <f t="shared" si="30"/>
        <v>27.711623624999277</v>
      </c>
      <c r="P457" s="37"/>
      <c r="Q457" s="61"/>
      <c r="R457" s="37"/>
      <c r="S457" s="102"/>
      <c r="T457" s="103"/>
      <c r="U457" s="37"/>
      <c r="W457" s="104"/>
      <c r="Z457" s="66"/>
    </row>
    <row r="458" spans="5:26" s="35" customFormat="1">
      <c r="E458" s="30" t="str">
        <f t="shared" si="31"/>
        <v/>
      </c>
      <c r="F458" s="45">
        <v>3184</v>
      </c>
      <c r="G458" s="106" t="s">
        <v>564</v>
      </c>
      <c r="H458" s="32">
        <f t="shared" si="28"/>
        <v>262.35262450312376</v>
      </c>
      <c r="I458" s="32">
        <f t="shared" si="29"/>
        <v>72.10379516121418</v>
      </c>
      <c r="J458" s="33" t="s">
        <v>509</v>
      </c>
      <c r="K458" s="47">
        <v>9.8000000000000007</v>
      </c>
      <c r="L458" s="34">
        <v>10.305</v>
      </c>
      <c r="M458" s="32">
        <v>41.416666666666664</v>
      </c>
      <c r="N458" s="32">
        <f t="shared" si="30"/>
        <v>23.961623624999277</v>
      </c>
      <c r="P458" s="37"/>
      <c r="Q458" s="61"/>
      <c r="R458" s="37"/>
      <c r="S458" s="102"/>
      <c r="T458" s="103"/>
      <c r="U458" s="37"/>
      <c r="W458" s="104"/>
      <c r="Z458" s="66"/>
    </row>
    <row r="459" spans="5:26" s="35" customFormat="1">
      <c r="E459" s="30" t="str">
        <f t="shared" si="31"/>
        <v/>
      </c>
      <c r="F459" s="45">
        <v>3556</v>
      </c>
      <c r="G459" s="106" t="s">
        <v>564</v>
      </c>
      <c r="H459" s="32">
        <f t="shared" si="28"/>
        <v>31.963551981287125</v>
      </c>
      <c r="I459" s="32">
        <f t="shared" si="29"/>
        <v>78.631996683050048</v>
      </c>
      <c r="J459" s="33" t="s">
        <v>77</v>
      </c>
      <c r="K459" s="47">
        <v>10</v>
      </c>
      <c r="L459" s="34">
        <v>11.191666666666666</v>
      </c>
      <c r="M459" s="32">
        <v>55.666666666666664</v>
      </c>
      <c r="N459" s="32">
        <f t="shared" si="30"/>
        <v>10.661623624999265</v>
      </c>
      <c r="P459" s="37"/>
      <c r="Q459" s="61"/>
      <c r="R459" s="37"/>
      <c r="S459" s="102"/>
      <c r="T459" s="103"/>
      <c r="U459" s="37"/>
      <c r="W459" s="104"/>
      <c r="Z459" s="66"/>
    </row>
    <row r="460" spans="5:26" s="35" customFormat="1">
      <c r="E460" s="30" t="str">
        <f t="shared" si="31"/>
        <v/>
      </c>
      <c r="F460" s="45">
        <v>3587</v>
      </c>
      <c r="G460" s="106" t="s">
        <v>564</v>
      </c>
      <c r="H460" s="32">
        <f t="shared" si="28"/>
        <v>32.278392049761408</v>
      </c>
      <c r="I460" s="32">
        <f t="shared" si="29"/>
        <v>79.431377536590702</v>
      </c>
      <c r="J460" s="33" t="s">
        <v>510</v>
      </c>
      <c r="K460" s="47">
        <v>11</v>
      </c>
      <c r="L460" s="34">
        <v>11.246666666666666</v>
      </c>
      <c r="M460" s="32">
        <v>55.016666666666666</v>
      </c>
      <c r="N460" s="32">
        <f t="shared" si="30"/>
        <v>9.8366236249992767</v>
      </c>
      <c r="P460" s="37"/>
      <c r="Q460" s="61"/>
      <c r="R460" s="37"/>
      <c r="S460" s="102"/>
      <c r="T460" s="103"/>
      <c r="U460" s="37"/>
      <c r="W460" s="104"/>
      <c r="Z460" s="66"/>
    </row>
    <row r="461" spans="5:26" s="35" customFormat="1">
      <c r="E461" s="30" t="str">
        <f t="shared" si="31"/>
        <v/>
      </c>
      <c r="F461" s="45">
        <v>3631</v>
      </c>
      <c r="G461" s="106" t="s">
        <v>564</v>
      </c>
      <c r="H461" s="32">
        <f t="shared" si="28"/>
        <v>35.418422772873868</v>
      </c>
      <c r="I461" s="32">
        <f t="shared" si="29"/>
        <v>81.426064656819037</v>
      </c>
      <c r="J461" s="33" t="s">
        <v>511</v>
      </c>
      <c r="K461" s="47">
        <v>10.4</v>
      </c>
      <c r="L461" s="34">
        <v>11.35</v>
      </c>
      <c r="M461" s="32">
        <v>53.166666666666664</v>
      </c>
      <c r="N461" s="32">
        <f t="shared" si="30"/>
        <v>8.2866236249992653</v>
      </c>
      <c r="P461" s="37"/>
      <c r="Q461" s="61"/>
      <c r="R461" s="37"/>
      <c r="S461" s="102"/>
      <c r="T461" s="103"/>
      <c r="U461" s="37"/>
      <c r="W461" s="104"/>
      <c r="Z461" s="66"/>
    </row>
    <row r="462" spans="5:26" s="35" customFormat="1">
      <c r="E462" s="30" t="str">
        <f t="shared" si="31"/>
        <v/>
      </c>
      <c r="F462" s="45">
        <v>3675</v>
      </c>
      <c r="G462" s="106" t="s">
        <v>564</v>
      </c>
      <c r="H462" s="32">
        <f t="shared" si="28"/>
        <v>242.47215298698848</v>
      </c>
      <c r="I462" s="32">
        <f t="shared" si="29"/>
        <v>84.277321841968174</v>
      </c>
      <c r="J462" s="33" t="s">
        <v>512</v>
      </c>
      <c r="K462" s="47">
        <v>10.199999999999999</v>
      </c>
      <c r="L462" s="34">
        <v>11.435</v>
      </c>
      <c r="M462" s="32">
        <v>43.583333333333336</v>
      </c>
      <c r="N462" s="32">
        <f t="shared" si="30"/>
        <v>7.0116236249992596</v>
      </c>
      <c r="P462" s="37"/>
      <c r="Q462" s="61"/>
      <c r="R462" s="37"/>
      <c r="S462" s="102"/>
      <c r="T462" s="103"/>
      <c r="U462" s="37"/>
      <c r="W462" s="104"/>
      <c r="Z462" s="66"/>
    </row>
    <row r="463" spans="5:26" s="35" customFormat="1">
      <c r="E463" s="30" t="str">
        <f t="shared" si="31"/>
        <v/>
      </c>
      <c r="F463" s="45">
        <v>3718</v>
      </c>
      <c r="G463" s="106" t="s">
        <v>564</v>
      </c>
      <c r="H463" s="32">
        <f t="shared" si="28"/>
        <v>334.28869324831277</v>
      </c>
      <c r="I463" s="32">
        <f t="shared" si="29"/>
        <v>82.529095840098265</v>
      </c>
      <c r="J463" s="33" t="s">
        <v>513</v>
      </c>
      <c r="K463" s="47">
        <v>10.8</v>
      </c>
      <c r="L463" s="34">
        <v>11.543333333333333</v>
      </c>
      <c r="M463" s="32">
        <v>53.06666666666667</v>
      </c>
      <c r="N463" s="32">
        <f t="shared" si="30"/>
        <v>5.386623624999288</v>
      </c>
      <c r="P463" s="37"/>
      <c r="Q463" s="61"/>
      <c r="R463" s="37"/>
      <c r="S463" s="102"/>
      <c r="T463" s="103"/>
      <c r="U463" s="37"/>
      <c r="W463" s="104"/>
      <c r="Z463" s="66"/>
    </row>
    <row r="464" spans="5:26" s="35" customFormat="1">
      <c r="E464" s="30" t="str">
        <f t="shared" si="31"/>
        <v/>
      </c>
      <c r="F464" s="45">
        <v>3726</v>
      </c>
      <c r="G464" s="106" t="s">
        <v>564</v>
      </c>
      <c r="H464" s="32">
        <f t="shared" si="28"/>
        <v>281.16834996496073</v>
      </c>
      <c r="I464" s="32">
        <f t="shared" si="29"/>
        <v>86.381918750676121</v>
      </c>
      <c r="J464" s="33" t="s">
        <v>514</v>
      </c>
      <c r="K464" s="47">
        <v>10.4</v>
      </c>
      <c r="L464" s="34">
        <v>11.555</v>
      </c>
      <c r="M464" s="32">
        <v>47.033333333333331</v>
      </c>
      <c r="N464" s="32">
        <f t="shared" si="30"/>
        <v>5.2116236249992767</v>
      </c>
      <c r="P464" s="37"/>
      <c r="Q464" s="61"/>
      <c r="R464" s="37"/>
      <c r="S464" s="102"/>
      <c r="T464" s="103"/>
      <c r="U464" s="37"/>
      <c r="W464" s="104"/>
      <c r="Z464" s="66"/>
    </row>
    <row r="465" spans="5:26" s="35" customFormat="1">
      <c r="E465" s="30" t="str">
        <f t="shared" si="31"/>
        <v/>
      </c>
      <c r="F465" s="45">
        <v>3877</v>
      </c>
      <c r="G465" s="106" t="s">
        <v>564</v>
      </c>
      <c r="H465" s="32">
        <f t="shared" si="28"/>
        <v>308.14779372423237</v>
      </c>
      <c r="I465" s="32">
        <f t="shared" si="29"/>
        <v>88.271966670414272</v>
      </c>
      <c r="J465" s="33" t="s">
        <v>515</v>
      </c>
      <c r="K465" s="47">
        <v>11</v>
      </c>
      <c r="L465" s="34">
        <v>11.768333333333333</v>
      </c>
      <c r="M465" s="32">
        <v>47.5</v>
      </c>
      <c r="N465" s="32">
        <f t="shared" si="30"/>
        <v>2.0116236249992596</v>
      </c>
      <c r="P465" s="37"/>
      <c r="Q465" s="61"/>
      <c r="R465" s="37"/>
      <c r="S465" s="102"/>
      <c r="T465" s="103"/>
      <c r="U465" s="37"/>
      <c r="W465" s="104"/>
      <c r="Z465" s="66"/>
    </row>
    <row r="466" spans="5:26" s="35" customFormat="1">
      <c r="E466" s="30" t="str">
        <f t="shared" si="31"/>
        <v/>
      </c>
      <c r="F466" s="45">
        <v>3893</v>
      </c>
      <c r="G466" s="106" t="s">
        <v>564</v>
      </c>
      <c r="H466" s="32">
        <f t="shared" si="28"/>
        <v>21.91300710026502</v>
      </c>
      <c r="I466" s="32">
        <f t="shared" si="29"/>
        <v>87.548058090893733</v>
      </c>
      <c r="J466" s="33" t="s">
        <v>516</v>
      </c>
      <c r="K466" s="47">
        <v>10.5</v>
      </c>
      <c r="L466" s="34">
        <v>11.81</v>
      </c>
      <c r="M466" s="32">
        <v>48.716666666666669</v>
      </c>
      <c r="N466" s="32">
        <f t="shared" si="30"/>
        <v>1.3866236249992596</v>
      </c>
      <c r="P466" s="37"/>
      <c r="Q466" s="61"/>
      <c r="R466" s="37"/>
      <c r="S466" s="102"/>
      <c r="T466" s="103"/>
      <c r="U466" s="37"/>
      <c r="W466" s="104"/>
      <c r="Z466" s="66"/>
    </row>
    <row r="467" spans="5:26" s="35" customFormat="1">
      <c r="E467" s="30" t="str">
        <f t="shared" si="31"/>
        <v/>
      </c>
      <c r="F467" s="45">
        <v>3896</v>
      </c>
      <c r="G467" s="106" t="s">
        <v>564</v>
      </c>
      <c r="H467" s="32">
        <f t="shared" si="28"/>
        <v>21.285299934402829</v>
      </c>
      <c r="I467" s="32">
        <f t="shared" si="29"/>
        <v>87.613243155029423</v>
      </c>
      <c r="J467" s="33" t="s">
        <v>517</v>
      </c>
      <c r="K467" s="47">
        <v>12.9</v>
      </c>
      <c r="L467" s="34">
        <v>11.815</v>
      </c>
      <c r="M467" s="32">
        <v>48.666666666666664</v>
      </c>
      <c r="N467" s="32">
        <f t="shared" si="30"/>
        <v>1.311623624999271</v>
      </c>
      <c r="P467" s="37"/>
      <c r="Q467" s="61"/>
      <c r="R467" s="37"/>
      <c r="S467" s="102"/>
      <c r="T467" s="103"/>
      <c r="U467" s="37"/>
      <c r="W467" s="104"/>
      <c r="Z467" s="66"/>
    </row>
    <row r="468" spans="5:26" s="35" customFormat="1">
      <c r="E468" s="30" t="str">
        <f t="shared" si="31"/>
        <v/>
      </c>
      <c r="F468" s="45">
        <v>3917</v>
      </c>
      <c r="G468" s="106" t="s">
        <v>564</v>
      </c>
      <c r="H468" s="32">
        <f t="shared" si="28"/>
        <v>5.5095923955851811</v>
      </c>
      <c r="I468" s="32">
        <f t="shared" si="29"/>
        <v>84.605589827906002</v>
      </c>
      <c r="J468" s="33" t="s">
        <v>518</v>
      </c>
      <c r="K468" s="47">
        <v>11.8</v>
      </c>
      <c r="L468" s="34">
        <v>11.846666666666666</v>
      </c>
      <c r="M468" s="32">
        <v>51.81666666666667</v>
      </c>
      <c r="N468" s="32">
        <f t="shared" si="30"/>
        <v>0.83662362499927667</v>
      </c>
      <c r="P468" s="37"/>
      <c r="Q468" s="61"/>
      <c r="R468" s="37"/>
      <c r="S468" s="102"/>
      <c r="T468" s="103"/>
      <c r="U468" s="37"/>
      <c r="W468" s="104"/>
      <c r="Z468" s="66"/>
    </row>
    <row r="469" spans="5:26" s="35" customFormat="1">
      <c r="E469" s="30" t="str">
        <f t="shared" si="31"/>
        <v/>
      </c>
      <c r="F469" s="45">
        <v>3938</v>
      </c>
      <c r="G469" s="106" t="s">
        <v>564</v>
      </c>
      <c r="H469" s="32">
        <f t="shared" si="28"/>
        <v>185.9160915521577</v>
      </c>
      <c r="I469" s="32">
        <f t="shared" si="29"/>
        <v>87.654683333073507</v>
      </c>
      <c r="J469" s="33" t="s">
        <v>519</v>
      </c>
      <c r="K469" s="47">
        <v>10.4</v>
      </c>
      <c r="L469" s="34">
        <v>11.88</v>
      </c>
      <c r="M469" s="32">
        <v>44.116666666666667</v>
      </c>
      <c r="N469" s="32">
        <f t="shared" si="30"/>
        <v>0.33662362499924825</v>
      </c>
      <c r="P469" s="37"/>
      <c r="Q469" s="61"/>
      <c r="R469" s="37"/>
      <c r="S469" s="102"/>
      <c r="T469" s="103"/>
      <c r="U469" s="37"/>
      <c r="W469" s="104"/>
      <c r="Z469" s="66"/>
    </row>
    <row r="470" spans="5:26" s="35" customFormat="1">
      <c r="E470" s="30" t="str">
        <f t="shared" si="31"/>
        <v/>
      </c>
      <c r="F470" s="45">
        <v>3945</v>
      </c>
      <c r="G470" s="106" t="s">
        <v>564</v>
      </c>
      <c r="H470" s="32">
        <f t="shared" si="28"/>
        <v>359.52801256210176</v>
      </c>
      <c r="I470" s="32">
        <f t="shared" si="29"/>
        <v>75.782661822696852</v>
      </c>
      <c r="J470" s="33" t="s">
        <v>520</v>
      </c>
      <c r="K470" s="48">
        <v>10.9</v>
      </c>
      <c r="L470" s="34">
        <v>11.886666666666667</v>
      </c>
      <c r="M470" s="32">
        <v>60.666666666666664</v>
      </c>
      <c r="N470" s="32">
        <f t="shared" si="30"/>
        <v>0.23662362499928236</v>
      </c>
      <c r="P470" s="37"/>
      <c r="Q470" s="61"/>
      <c r="R470" s="37"/>
      <c r="S470" s="102"/>
      <c r="T470" s="103"/>
      <c r="U470" s="37"/>
      <c r="W470" s="104"/>
      <c r="Z470" s="66"/>
    </row>
    <row r="471" spans="5:26" s="35" customFormat="1">
      <c r="E471" s="30" t="str">
        <f t="shared" si="31"/>
        <v/>
      </c>
      <c r="F471" s="45">
        <v>3953</v>
      </c>
      <c r="G471" s="106" t="s">
        <v>564</v>
      </c>
      <c r="H471" s="32">
        <f t="shared" si="28"/>
        <v>359.48195829334185</v>
      </c>
      <c r="I471" s="32">
        <f t="shared" si="29"/>
        <v>84.133063519756675</v>
      </c>
      <c r="J471" s="33" t="s">
        <v>521</v>
      </c>
      <c r="K471" s="47">
        <v>10.1</v>
      </c>
      <c r="L471" s="34">
        <v>11.896666666666667</v>
      </c>
      <c r="M471" s="32">
        <v>52.31666666666667</v>
      </c>
      <c r="N471" s="32">
        <f t="shared" si="30"/>
        <v>8.6623624999276672E-2</v>
      </c>
      <c r="P471" s="37"/>
      <c r="Q471" s="61"/>
      <c r="R471" s="37"/>
      <c r="S471" s="102"/>
      <c r="T471" s="103"/>
      <c r="U471" s="37"/>
      <c r="W471" s="104"/>
      <c r="Z471" s="66"/>
    </row>
    <row r="472" spans="5:26" s="35" customFormat="1">
      <c r="E472" s="30" t="str">
        <f t="shared" si="31"/>
        <v/>
      </c>
      <c r="F472" s="45">
        <v>3992</v>
      </c>
      <c r="G472" s="106" t="s">
        <v>564</v>
      </c>
      <c r="H472" s="32">
        <f t="shared" si="28"/>
        <v>4.2680899278436017</v>
      </c>
      <c r="I472" s="32">
        <f t="shared" si="29"/>
        <v>83.061162102002541</v>
      </c>
      <c r="J472" s="33" t="s">
        <v>78</v>
      </c>
      <c r="K472" s="47">
        <v>9.8000000000000007</v>
      </c>
      <c r="L472" s="34">
        <v>11.96</v>
      </c>
      <c r="M472" s="32">
        <v>53.366666666666667</v>
      </c>
      <c r="N472" s="32">
        <f t="shared" si="30"/>
        <v>-0.86337637500074038</v>
      </c>
      <c r="P472" s="37"/>
      <c r="Q472" s="61"/>
      <c r="R472" s="37"/>
      <c r="S472" s="102"/>
      <c r="T472" s="103"/>
      <c r="U472" s="37"/>
      <c r="W472" s="104"/>
      <c r="Z472" s="66"/>
    </row>
    <row r="473" spans="5:26" s="35" customFormat="1">
      <c r="E473" s="30" t="str">
        <f t="shared" si="31"/>
        <v/>
      </c>
      <c r="F473" s="45">
        <v>4605</v>
      </c>
      <c r="G473" s="106" t="s">
        <v>564</v>
      </c>
      <c r="H473" s="32">
        <f t="shared" si="28"/>
        <v>340.58671735111142</v>
      </c>
      <c r="I473" s="32">
        <f t="shared" si="29"/>
        <v>73.477468136710371</v>
      </c>
      <c r="J473" s="33" t="s">
        <v>522</v>
      </c>
      <c r="K473" s="47">
        <v>10.9</v>
      </c>
      <c r="L473" s="34">
        <v>12.666666666666666</v>
      </c>
      <c r="M473" s="32">
        <v>61.6</v>
      </c>
      <c r="N473" s="32">
        <f t="shared" si="30"/>
        <v>-11.463376375000735</v>
      </c>
      <c r="P473" s="37"/>
      <c r="Q473" s="61"/>
      <c r="R473" s="37"/>
      <c r="S473" s="102"/>
      <c r="T473" s="103"/>
      <c r="U473" s="37"/>
      <c r="W473" s="104"/>
      <c r="Z473" s="66"/>
    </row>
    <row r="474" spans="5:26" s="35" customFormat="1">
      <c r="E474" s="30" t="str">
        <f t="shared" si="31"/>
        <v/>
      </c>
      <c r="F474" s="45">
        <v>5457</v>
      </c>
      <c r="G474" s="106" t="s">
        <v>564</v>
      </c>
      <c r="H474" s="32">
        <f t="shared" si="28"/>
        <v>56.919828478515633</v>
      </c>
      <c r="I474" s="32">
        <f t="shared" si="29"/>
        <v>68.203616116646558</v>
      </c>
      <c r="J474" s="33" t="s">
        <v>523</v>
      </c>
      <c r="K474" s="47">
        <v>7.9</v>
      </c>
      <c r="L474" s="34">
        <v>14.053333333333333</v>
      </c>
      <c r="M474" s="32">
        <v>54.35</v>
      </c>
      <c r="N474" s="32">
        <f t="shared" si="30"/>
        <v>-32.263376375000718</v>
      </c>
      <c r="P474" s="37"/>
      <c r="Q474" s="61"/>
      <c r="R474" s="37"/>
      <c r="S474" s="102"/>
      <c r="T474" s="103"/>
      <c r="U474" s="37"/>
      <c r="W474" s="104"/>
      <c r="Z474" s="66"/>
    </row>
    <row r="475" spans="5:26" s="35" customFormat="1">
      <c r="E475" s="30" t="str">
        <f t="shared" si="31"/>
        <v>*</v>
      </c>
      <c r="F475" s="45">
        <v>4216</v>
      </c>
      <c r="G475" s="106" t="s">
        <v>564</v>
      </c>
      <c r="H475" s="32">
        <f t="shared" si="28"/>
        <v>170.4033706144694</v>
      </c>
      <c r="I475" s="32">
        <f t="shared" si="29"/>
        <v>56.38614026957881</v>
      </c>
      <c r="J475" s="33" t="s">
        <v>524</v>
      </c>
      <c r="K475" s="47">
        <v>10</v>
      </c>
      <c r="L475" s="34">
        <v>12.265000000000001</v>
      </c>
      <c r="M475" s="32">
        <v>13.15</v>
      </c>
      <c r="N475" s="32">
        <f t="shared" si="30"/>
        <v>-5.4383763750007574</v>
      </c>
      <c r="P475" s="37"/>
      <c r="Q475" s="61"/>
      <c r="R475" s="37"/>
      <c r="S475" s="102"/>
      <c r="T475" s="103"/>
      <c r="U475" s="37"/>
      <c r="W475" s="104"/>
      <c r="Z475" s="66"/>
    </row>
    <row r="476" spans="5:26" s="35" customFormat="1">
      <c r="E476" s="30" t="str">
        <f t="shared" si="31"/>
        <v/>
      </c>
      <c r="F476" s="45">
        <v>4303</v>
      </c>
      <c r="G476" s="106" t="s">
        <v>564</v>
      </c>
      <c r="H476" s="32">
        <f t="shared" si="28"/>
        <v>169.71386094947744</v>
      </c>
      <c r="I476" s="32">
        <f t="shared" si="29"/>
        <v>47.587572560450411</v>
      </c>
      <c r="J476" s="33" t="s">
        <v>525</v>
      </c>
      <c r="K476" s="47">
        <v>9.6</v>
      </c>
      <c r="L476" s="34">
        <v>12.365</v>
      </c>
      <c r="M476" s="32">
        <v>4.4666666666666668</v>
      </c>
      <c r="N476" s="32">
        <f t="shared" si="30"/>
        <v>-6.9383763750007574</v>
      </c>
      <c r="P476" s="37"/>
      <c r="Q476" s="61"/>
      <c r="R476" s="37"/>
      <c r="S476" s="102"/>
      <c r="T476" s="103"/>
      <c r="U476" s="37"/>
      <c r="W476" s="104"/>
      <c r="Z476" s="66"/>
    </row>
    <row r="477" spans="5:26" s="35" customFormat="1">
      <c r="E477" s="30" t="str">
        <f t="shared" si="31"/>
        <v/>
      </c>
      <c r="F477" s="45">
        <v>4374</v>
      </c>
      <c r="G477" s="106" t="s">
        <v>564</v>
      </c>
      <c r="H477" s="32">
        <f t="shared" si="28"/>
        <v>166.49367956771277</v>
      </c>
      <c r="I477" s="32">
        <f t="shared" si="29"/>
        <v>55.80468742171179</v>
      </c>
      <c r="J477" s="33" t="s">
        <v>61</v>
      </c>
      <c r="K477" s="47">
        <v>9.1</v>
      </c>
      <c r="L477" s="34">
        <v>12.418333333333333</v>
      </c>
      <c r="M477" s="32">
        <v>12.883333333333333</v>
      </c>
      <c r="N477" s="32">
        <f t="shared" si="30"/>
        <v>-7.738376375000712</v>
      </c>
      <c r="P477" s="37"/>
      <c r="Q477" s="61"/>
      <c r="R477" s="37"/>
      <c r="S477" s="102"/>
      <c r="T477" s="103"/>
      <c r="U477" s="37"/>
      <c r="W477" s="104"/>
      <c r="Z477" s="66"/>
    </row>
    <row r="478" spans="5:26" s="35" customFormat="1">
      <c r="E478" s="30" t="str">
        <f t="shared" si="31"/>
        <v/>
      </c>
      <c r="F478" s="45">
        <v>4406</v>
      </c>
      <c r="G478" s="106" t="s">
        <v>564</v>
      </c>
      <c r="H478" s="32">
        <f t="shared" si="28"/>
        <v>166.00346879247459</v>
      </c>
      <c r="I478" s="32">
        <f t="shared" si="29"/>
        <v>55.825367055650311</v>
      </c>
      <c r="J478" s="33" t="s">
        <v>63</v>
      </c>
      <c r="K478" s="47">
        <v>8.9</v>
      </c>
      <c r="L478" s="34">
        <v>12.436666666666667</v>
      </c>
      <c r="M478" s="32">
        <v>12.95</v>
      </c>
      <c r="N478" s="32">
        <f t="shared" si="30"/>
        <v>-8.0133763750007461</v>
      </c>
      <c r="P478" s="37"/>
      <c r="Q478" s="61"/>
      <c r="R478" s="37"/>
      <c r="S478" s="102"/>
      <c r="T478" s="103"/>
      <c r="U478" s="37"/>
      <c r="W478" s="104"/>
      <c r="Z478" s="66"/>
    </row>
    <row r="479" spans="5:26" s="35" customFormat="1">
      <c r="E479" s="30" t="str">
        <f t="shared" si="31"/>
        <v/>
      </c>
      <c r="F479" s="45">
        <v>4435</v>
      </c>
      <c r="G479" s="106" t="s">
        <v>564</v>
      </c>
      <c r="H479" s="32">
        <f t="shared" si="28"/>
        <v>194.67908242426401</v>
      </c>
      <c r="I479" s="32">
        <f t="shared" si="29"/>
        <v>55.892658339681567</v>
      </c>
      <c r="J479" s="33" t="s">
        <v>526</v>
      </c>
      <c r="K479" s="47">
        <v>10.8</v>
      </c>
      <c r="L479" s="34">
        <v>12.461666666666666</v>
      </c>
      <c r="M479" s="32">
        <v>13.083333333333334</v>
      </c>
      <c r="N479" s="32">
        <f t="shared" si="30"/>
        <v>-8.3883763750007461</v>
      </c>
      <c r="P479" s="37"/>
      <c r="Q479" s="61"/>
      <c r="R479" s="37"/>
      <c r="S479" s="102"/>
      <c r="T479" s="103"/>
      <c r="U479" s="37"/>
      <c r="W479" s="104"/>
      <c r="Z479" s="66"/>
    </row>
    <row r="480" spans="5:26" s="35" customFormat="1">
      <c r="E480" s="30" t="str">
        <f t="shared" si="31"/>
        <v/>
      </c>
      <c r="F480" s="45">
        <v>4438</v>
      </c>
      <c r="G480" s="106" t="s">
        <v>564</v>
      </c>
      <c r="H480" s="32">
        <f t="shared" si="28"/>
        <v>194.69514639324296</v>
      </c>
      <c r="I480" s="32">
        <f t="shared" si="29"/>
        <v>55.806308486740164</v>
      </c>
      <c r="J480" s="33" t="s">
        <v>527</v>
      </c>
      <c r="K480" s="47">
        <v>10.199999999999999</v>
      </c>
      <c r="L480" s="34">
        <v>12.463333333333333</v>
      </c>
      <c r="M480" s="32">
        <v>13</v>
      </c>
      <c r="N480" s="32">
        <f t="shared" si="30"/>
        <v>-8.4133763750007518</v>
      </c>
      <c r="P480" s="37"/>
      <c r="Q480" s="61"/>
      <c r="R480" s="37"/>
      <c r="S480" s="102"/>
      <c r="T480" s="103"/>
      <c r="U480" s="37"/>
      <c r="W480" s="104"/>
      <c r="Z480" s="66"/>
    </row>
    <row r="481" spans="5:26" s="35" customFormat="1">
      <c r="E481" s="30" t="str">
        <f t="shared" si="31"/>
        <v/>
      </c>
      <c r="F481" s="45">
        <v>4472</v>
      </c>
      <c r="G481" s="106" t="s">
        <v>564</v>
      </c>
      <c r="H481" s="32">
        <f t="shared" si="28"/>
        <v>194.04874371585817</v>
      </c>
      <c r="I481" s="32">
        <f t="shared" si="29"/>
        <v>50.797025410970747</v>
      </c>
      <c r="J481" s="33" t="s">
        <v>47</v>
      </c>
      <c r="K481" s="47">
        <v>8.4</v>
      </c>
      <c r="L481" s="34">
        <v>12.496666666666666</v>
      </c>
      <c r="M481" s="32">
        <v>8</v>
      </c>
      <c r="N481" s="32">
        <f t="shared" si="30"/>
        <v>-8.9133763750007518</v>
      </c>
      <c r="P481" s="37"/>
      <c r="Q481" s="61"/>
      <c r="R481" s="37"/>
      <c r="S481" s="102"/>
      <c r="T481" s="103"/>
      <c r="U481" s="37"/>
      <c r="W481" s="104"/>
      <c r="Z481" s="66"/>
    </row>
    <row r="482" spans="5:26" s="35" customFormat="1">
      <c r="E482" s="30" t="str">
        <f t="shared" si="31"/>
        <v/>
      </c>
      <c r="F482" s="45">
        <v>4486</v>
      </c>
      <c r="G482" s="106" t="s">
        <v>564</v>
      </c>
      <c r="H482" s="32">
        <f t="shared" si="28"/>
        <v>195.76082549890222</v>
      </c>
      <c r="I482" s="32">
        <f t="shared" si="29"/>
        <v>55.064602716599886</v>
      </c>
      <c r="J482" s="33" t="s">
        <v>64</v>
      </c>
      <c r="K482" s="47">
        <v>8.6</v>
      </c>
      <c r="L482" s="34">
        <v>12.513333333333334</v>
      </c>
      <c r="M482" s="32">
        <v>12.383333333333333</v>
      </c>
      <c r="N482" s="32">
        <f t="shared" si="30"/>
        <v>-9.1633763750007518</v>
      </c>
      <c r="P482" s="37"/>
      <c r="Q482" s="61"/>
      <c r="R482" s="37"/>
      <c r="S482" s="102"/>
      <c r="T482" s="103"/>
      <c r="U482" s="37"/>
      <c r="W482" s="104"/>
      <c r="Z482" s="66"/>
    </row>
    <row r="483" spans="5:26" s="35" customFormat="1">
      <c r="E483" s="30" t="str">
        <f t="shared" si="31"/>
        <v/>
      </c>
      <c r="F483" s="45">
        <v>4517</v>
      </c>
      <c r="G483" s="106" t="s">
        <v>564</v>
      </c>
      <c r="H483" s="32">
        <f t="shared" si="28"/>
        <v>166.7538317088929</v>
      </c>
      <c r="I483" s="32">
        <f t="shared" si="29"/>
        <v>42.897245029557872</v>
      </c>
      <c r="J483" s="33">
        <v>4437</v>
      </c>
      <c r="K483" s="47">
        <v>10.4</v>
      </c>
      <c r="L483" s="34">
        <v>12.546666666666667</v>
      </c>
      <c r="M483" s="32">
        <v>0.11666666666666667</v>
      </c>
      <c r="N483" s="32">
        <f t="shared" si="30"/>
        <v>-9.6633763750007233</v>
      </c>
      <c r="P483" s="37"/>
      <c r="Q483" s="61"/>
      <c r="R483" s="37"/>
      <c r="S483" s="102"/>
      <c r="T483" s="103"/>
      <c r="U483" s="37"/>
      <c r="W483" s="104"/>
      <c r="Z483" s="66"/>
    </row>
    <row r="484" spans="5:26" s="35" customFormat="1">
      <c r="E484" s="30" t="str">
        <f t="shared" si="31"/>
        <v/>
      </c>
      <c r="F484" s="45">
        <v>4526</v>
      </c>
      <c r="G484" s="106" t="s">
        <v>564</v>
      </c>
      <c r="H484" s="32">
        <f t="shared" si="28"/>
        <v>195.57597178479131</v>
      </c>
      <c r="I484" s="32">
        <f t="shared" si="29"/>
        <v>50.31683844701783</v>
      </c>
      <c r="J484" s="33" t="s">
        <v>528</v>
      </c>
      <c r="K484" s="47">
        <v>9.6999999999999993</v>
      </c>
      <c r="L484" s="34">
        <v>12.566666666666666</v>
      </c>
      <c r="M484" s="32">
        <v>7.7</v>
      </c>
      <c r="N484" s="32">
        <f t="shared" si="30"/>
        <v>-9.9633763750007347</v>
      </c>
      <c r="P484" s="37"/>
      <c r="Q484" s="61"/>
      <c r="R484" s="37"/>
      <c r="S484" s="102"/>
      <c r="T484" s="103"/>
      <c r="U484" s="37"/>
      <c r="W484" s="104"/>
      <c r="Z484" s="66"/>
    </row>
    <row r="485" spans="5:26" s="35" customFormat="1">
      <c r="E485" s="30" t="str">
        <f t="shared" si="31"/>
        <v/>
      </c>
      <c r="F485" s="45">
        <v>4535</v>
      </c>
      <c r="G485" s="106" t="s">
        <v>564</v>
      </c>
      <c r="H485" s="32">
        <f t="shared" si="28"/>
        <v>195.83901453719278</v>
      </c>
      <c r="I485" s="32">
        <f t="shared" si="29"/>
        <v>50.793901677322481</v>
      </c>
      <c r="J485" s="33" t="s">
        <v>529</v>
      </c>
      <c r="K485" s="47">
        <v>10</v>
      </c>
      <c r="L485" s="34">
        <v>12.571666666666667</v>
      </c>
      <c r="M485" s="32">
        <v>8.1999999999999993</v>
      </c>
      <c r="N485" s="32">
        <f t="shared" si="30"/>
        <v>-10.038376375000752</v>
      </c>
      <c r="P485" s="37"/>
      <c r="Q485" s="61"/>
      <c r="R485" s="37"/>
      <c r="S485" s="102"/>
      <c r="T485" s="103"/>
      <c r="U485" s="37"/>
      <c r="W485" s="104"/>
      <c r="Z485" s="66"/>
    </row>
    <row r="486" spans="5:26" s="35" customFormat="1">
      <c r="E486" s="30" t="str">
        <f t="shared" si="31"/>
        <v/>
      </c>
      <c r="F486" s="45">
        <v>4536</v>
      </c>
      <c r="G486" s="106" t="s">
        <v>564</v>
      </c>
      <c r="H486" s="32">
        <f t="shared" si="28"/>
        <v>194.26341980420605</v>
      </c>
      <c r="I486" s="32">
        <f t="shared" si="29"/>
        <v>44.870486859201037</v>
      </c>
      <c r="J486" s="33" t="s">
        <v>530</v>
      </c>
      <c r="K486" s="47">
        <v>10.6</v>
      </c>
      <c r="L486" s="34">
        <v>12.573333333333334</v>
      </c>
      <c r="M486" s="32">
        <v>2.1833333333333331</v>
      </c>
      <c r="N486" s="32">
        <f t="shared" si="30"/>
        <v>-10.063376375000757</v>
      </c>
      <c r="P486" s="37"/>
      <c r="Q486" s="61"/>
      <c r="R486" s="37"/>
      <c r="S486" s="102"/>
      <c r="T486" s="103"/>
      <c r="U486" s="37"/>
      <c r="W486" s="104"/>
      <c r="Z486" s="66"/>
    </row>
    <row r="487" spans="5:26" s="35" customFormat="1">
      <c r="E487" s="30" t="str">
        <f t="shared" si="31"/>
        <v/>
      </c>
      <c r="F487" s="45">
        <v>4552</v>
      </c>
      <c r="G487" s="106" t="s">
        <v>564</v>
      </c>
      <c r="H487" s="32">
        <f t="shared" si="28"/>
        <v>162.13705588993801</v>
      </c>
      <c r="I487" s="32">
        <f t="shared" si="29"/>
        <v>54.98364668081247</v>
      </c>
      <c r="J487" s="33" t="s">
        <v>66</v>
      </c>
      <c r="K487" s="47">
        <v>9.8000000000000007</v>
      </c>
      <c r="L487" s="34">
        <v>12.595000000000001</v>
      </c>
      <c r="M487" s="32">
        <v>12.55</v>
      </c>
      <c r="N487" s="32">
        <f t="shared" si="30"/>
        <v>-10.388376375000718</v>
      </c>
      <c r="P487" s="37"/>
      <c r="Q487" s="61"/>
      <c r="R487" s="37"/>
      <c r="S487" s="102"/>
      <c r="T487" s="103"/>
      <c r="U487" s="37"/>
      <c r="W487" s="104"/>
      <c r="Z487" s="66"/>
    </row>
    <row r="488" spans="5:26" s="35" customFormat="1">
      <c r="E488" s="30" t="str">
        <f t="shared" si="31"/>
        <v/>
      </c>
      <c r="F488" s="45">
        <v>4567</v>
      </c>
      <c r="G488" s="106" t="s">
        <v>564</v>
      </c>
      <c r="H488" s="32">
        <f t="shared" si="28"/>
        <v>197.71114942392418</v>
      </c>
      <c r="I488" s="32">
        <f t="shared" si="29"/>
        <v>53.671982042152983</v>
      </c>
      <c r="J488" s="33" t="s">
        <v>531</v>
      </c>
      <c r="K488" s="47">
        <v>11.3</v>
      </c>
      <c r="L488" s="34">
        <v>12.608333333333333</v>
      </c>
      <c r="M488" s="32">
        <v>11.25</v>
      </c>
      <c r="N488" s="32">
        <f t="shared" si="30"/>
        <v>-10.588376375000735</v>
      </c>
      <c r="P488" s="37"/>
      <c r="Q488" s="61"/>
      <c r="R488" s="37"/>
      <c r="S488" s="102"/>
      <c r="T488" s="103"/>
      <c r="U488" s="37"/>
      <c r="W488" s="104"/>
      <c r="Z488" s="66"/>
    </row>
    <row r="489" spans="5:26" s="35" customFormat="1">
      <c r="E489" s="30" t="str">
        <f t="shared" si="31"/>
        <v/>
      </c>
      <c r="F489" s="45">
        <v>4568</v>
      </c>
      <c r="G489" s="106" t="s">
        <v>564</v>
      </c>
      <c r="H489" s="32">
        <f t="shared" si="28"/>
        <v>197.74555572874044</v>
      </c>
      <c r="I489" s="32">
        <f t="shared" si="29"/>
        <v>53.650456136773577</v>
      </c>
      <c r="J489" s="33" t="s">
        <v>531</v>
      </c>
      <c r="K489" s="47">
        <v>10.8</v>
      </c>
      <c r="L489" s="34">
        <v>12.61</v>
      </c>
      <c r="M489" s="32">
        <v>11.233333333333333</v>
      </c>
      <c r="N489" s="32">
        <f t="shared" si="30"/>
        <v>-10.613376375000712</v>
      </c>
      <c r="P489" s="37"/>
      <c r="Q489" s="61"/>
      <c r="R489" s="37"/>
      <c r="S489" s="102"/>
      <c r="T489" s="103"/>
      <c r="U489" s="37"/>
      <c r="W489" s="104"/>
      <c r="Z489" s="66"/>
    </row>
    <row r="490" spans="5:26" s="35" customFormat="1">
      <c r="E490" s="30" t="str">
        <f t="shared" si="31"/>
        <v/>
      </c>
      <c r="F490" s="45">
        <v>4569</v>
      </c>
      <c r="G490" s="106" t="s">
        <v>564</v>
      </c>
      <c r="H490" s="32">
        <f t="shared" si="28"/>
        <v>198.56073323931565</v>
      </c>
      <c r="I490" s="32">
        <f t="shared" si="29"/>
        <v>55.525872893315011</v>
      </c>
      <c r="J490" s="33" t="s">
        <v>67</v>
      </c>
      <c r="K490" s="47">
        <v>9.5</v>
      </c>
      <c r="L490" s="34">
        <v>12.613333333333333</v>
      </c>
      <c r="M490" s="32">
        <v>13.166666666666666</v>
      </c>
      <c r="N490" s="32">
        <f t="shared" si="30"/>
        <v>-10.663376375000723</v>
      </c>
      <c r="P490" s="37"/>
      <c r="Q490" s="61"/>
      <c r="R490" s="37"/>
      <c r="S490" s="102"/>
      <c r="T490" s="103"/>
      <c r="U490" s="37"/>
      <c r="W490" s="104"/>
      <c r="Z490" s="66"/>
    </row>
    <row r="491" spans="5:26" s="35" customFormat="1">
      <c r="E491" s="30" t="str">
        <f t="shared" si="31"/>
        <v/>
      </c>
      <c r="F491" s="45">
        <v>4579</v>
      </c>
      <c r="G491" s="106" t="s">
        <v>564</v>
      </c>
      <c r="H491" s="32">
        <f t="shared" si="28"/>
        <v>198.40797577731553</v>
      </c>
      <c r="I491" s="32">
        <f t="shared" si="29"/>
        <v>54.160948122845859</v>
      </c>
      <c r="J491" s="33" t="s">
        <v>51</v>
      </c>
      <c r="K491" s="47">
        <v>9.6999999999999993</v>
      </c>
      <c r="L491" s="34">
        <v>12.628333333333334</v>
      </c>
      <c r="M491" s="32">
        <v>11.816666666666666</v>
      </c>
      <c r="N491" s="32">
        <f t="shared" si="30"/>
        <v>-10.888376375000718</v>
      </c>
      <c r="P491" s="37"/>
      <c r="Q491" s="61"/>
      <c r="R491" s="37"/>
      <c r="S491" s="102"/>
      <c r="T491" s="103"/>
      <c r="U491" s="37"/>
      <c r="W491" s="104"/>
      <c r="Z491" s="66"/>
    </row>
    <row r="492" spans="5:26" s="35" customFormat="1">
      <c r="E492" s="30" t="str">
        <f t="shared" si="31"/>
        <v/>
      </c>
      <c r="F492" s="45">
        <v>4594</v>
      </c>
      <c r="G492" s="106" t="s">
        <v>564</v>
      </c>
      <c r="H492" s="32">
        <f t="shared" si="28"/>
        <v>193.13098862968172</v>
      </c>
      <c r="I492" s="32">
        <f t="shared" si="29"/>
        <v>31.028856801500247</v>
      </c>
      <c r="J492" s="33" t="s">
        <v>532</v>
      </c>
      <c r="K492" s="47">
        <v>8</v>
      </c>
      <c r="L492" s="34">
        <v>12.666666666666666</v>
      </c>
      <c r="M492" s="32">
        <v>-11.616666666666667</v>
      </c>
      <c r="N492" s="32">
        <f t="shared" si="30"/>
        <v>-11.463376375000735</v>
      </c>
      <c r="P492" s="37"/>
      <c r="Q492" s="61"/>
      <c r="R492" s="37"/>
      <c r="S492" s="102"/>
      <c r="T492" s="103"/>
      <c r="U492" s="37"/>
      <c r="W492" s="104"/>
      <c r="Z492" s="66"/>
    </row>
    <row r="493" spans="5:26" s="35" customFormat="1">
      <c r="E493" s="30" t="str">
        <f t="shared" si="31"/>
        <v/>
      </c>
      <c r="F493" s="45">
        <v>4621</v>
      </c>
      <c r="G493" s="106" t="s">
        <v>564</v>
      </c>
      <c r="H493" s="32">
        <f t="shared" si="28"/>
        <v>159.91759021586273</v>
      </c>
      <c r="I493" s="32">
        <f t="shared" si="29"/>
        <v>53.754678967635073</v>
      </c>
      <c r="J493" s="33" t="s">
        <v>52</v>
      </c>
      <c r="K493" s="47">
        <v>9.6</v>
      </c>
      <c r="L493" s="34">
        <v>12.7</v>
      </c>
      <c r="M493" s="32">
        <v>11.65</v>
      </c>
      <c r="N493" s="32">
        <f t="shared" si="30"/>
        <v>-11.963376375000735</v>
      </c>
      <c r="P493" s="37"/>
      <c r="Q493" s="61"/>
      <c r="R493" s="37"/>
      <c r="S493" s="102"/>
      <c r="T493" s="103"/>
      <c r="U493" s="37"/>
      <c r="W493" s="104"/>
      <c r="Z493" s="66"/>
    </row>
    <row r="494" spans="5:26" s="35" customFormat="1">
      <c r="E494" s="30" t="str">
        <f t="shared" si="31"/>
        <v/>
      </c>
      <c r="F494" s="45">
        <v>4649</v>
      </c>
      <c r="G494" s="106" t="s">
        <v>564</v>
      </c>
      <c r="H494" s="32">
        <f t="shared" si="28"/>
        <v>200.72207423019196</v>
      </c>
      <c r="I494" s="32">
        <f t="shared" si="29"/>
        <v>53.555650869288513</v>
      </c>
      <c r="J494" s="33" t="s">
        <v>53</v>
      </c>
      <c r="K494" s="47">
        <v>8.8000000000000007</v>
      </c>
      <c r="L494" s="34">
        <v>12.728333333333333</v>
      </c>
      <c r="M494" s="32">
        <v>11.55</v>
      </c>
      <c r="N494" s="32">
        <f t="shared" si="30"/>
        <v>-12.388376375000718</v>
      </c>
      <c r="P494" s="37"/>
      <c r="Q494" s="61"/>
      <c r="R494" s="37"/>
      <c r="S494" s="102"/>
      <c r="T494" s="103"/>
      <c r="U494" s="37"/>
      <c r="W494" s="104"/>
      <c r="Z494" s="66"/>
    </row>
    <row r="495" spans="5:26" s="35" customFormat="1">
      <c r="E495" s="30" t="str">
        <f t="shared" si="31"/>
        <v/>
      </c>
      <c r="F495" s="45">
        <v>4666</v>
      </c>
      <c r="G495" s="106" t="s">
        <v>564</v>
      </c>
      <c r="H495" s="32">
        <f t="shared" si="28"/>
        <v>162.54657828651779</v>
      </c>
      <c r="I495" s="32">
        <f t="shared" si="29"/>
        <v>42.680550372229888</v>
      </c>
      <c r="J495" s="33" t="s">
        <v>533</v>
      </c>
      <c r="K495" s="47">
        <v>10.7</v>
      </c>
      <c r="L495" s="34">
        <v>12.751666666666667</v>
      </c>
      <c r="M495" s="32">
        <v>0.46666666666666667</v>
      </c>
      <c r="N495" s="32">
        <f t="shared" si="30"/>
        <v>-12.73837637500074</v>
      </c>
      <c r="P495" s="37"/>
      <c r="Q495" s="61"/>
      <c r="R495" s="37"/>
      <c r="S495" s="102"/>
      <c r="T495" s="103"/>
      <c r="U495" s="37"/>
      <c r="W495" s="104"/>
      <c r="Z495" s="66"/>
    </row>
    <row r="496" spans="5:26" s="35" customFormat="1">
      <c r="E496" s="30" t="str">
        <f t="shared" si="31"/>
        <v/>
      </c>
      <c r="F496" s="45">
        <v>4699</v>
      </c>
      <c r="G496" s="106" t="s">
        <v>564</v>
      </c>
      <c r="H496" s="32">
        <f t="shared" si="28"/>
        <v>163.67012482866343</v>
      </c>
      <c r="I496" s="32">
        <f t="shared" si="29"/>
        <v>33.538083087880921</v>
      </c>
      <c r="J496" s="33" t="s">
        <v>534</v>
      </c>
      <c r="K496" s="47">
        <v>9.5</v>
      </c>
      <c r="L496" s="34">
        <v>12.816666666666666</v>
      </c>
      <c r="M496" s="32">
        <v>-8.6666666666666661</v>
      </c>
      <c r="N496" s="32">
        <f t="shared" si="30"/>
        <v>-13.713376375000735</v>
      </c>
      <c r="P496" s="37"/>
      <c r="Q496" s="61"/>
      <c r="R496" s="37"/>
      <c r="S496" s="102"/>
      <c r="T496" s="103"/>
      <c r="U496" s="37"/>
      <c r="W496" s="104"/>
      <c r="Z496" s="66"/>
    </row>
    <row r="497" spans="5:26" s="35" customFormat="1">
      <c r="E497" s="30" t="str">
        <f t="shared" si="31"/>
        <v/>
      </c>
      <c r="F497" s="45">
        <v>5054</v>
      </c>
      <c r="G497" s="106" t="s">
        <v>564</v>
      </c>
      <c r="H497" s="32">
        <f t="shared" si="28"/>
        <v>158.18796399082314</v>
      </c>
      <c r="I497" s="32">
        <f t="shared" si="29"/>
        <v>24.206248401512617</v>
      </c>
      <c r="J497" s="33" t="s">
        <v>535</v>
      </c>
      <c r="K497" s="47">
        <v>10.9</v>
      </c>
      <c r="L497" s="34">
        <v>13.283333333333333</v>
      </c>
      <c r="M497" s="32">
        <v>-16.633333333333333</v>
      </c>
      <c r="N497" s="32">
        <f t="shared" si="30"/>
        <v>-20.713376375000735</v>
      </c>
      <c r="P497" s="37"/>
      <c r="Q497" s="61"/>
      <c r="R497" s="37"/>
      <c r="S497" s="102"/>
      <c r="T497" s="103"/>
      <c r="U497" s="37"/>
      <c r="W497" s="104"/>
      <c r="Z497" s="66"/>
    </row>
    <row r="498" spans="5:26" s="35" customFormat="1">
      <c r="E498" s="30" t="str">
        <f t="shared" si="31"/>
        <v/>
      </c>
      <c r="F498" s="45">
        <v>5363</v>
      </c>
      <c r="G498" s="106" t="s">
        <v>564</v>
      </c>
      <c r="H498" s="32">
        <f t="shared" si="28"/>
        <v>137.88685491291474</v>
      </c>
      <c r="I498" s="32">
        <f t="shared" si="29"/>
        <v>41.113267661718503</v>
      </c>
      <c r="J498" s="33" t="s">
        <v>536</v>
      </c>
      <c r="K498" s="47">
        <v>10.1</v>
      </c>
      <c r="L498" s="34">
        <v>13.935</v>
      </c>
      <c r="M498" s="32">
        <v>5.25</v>
      </c>
      <c r="N498" s="32">
        <f t="shared" si="30"/>
        <v>-30.488376375000769</v>
      </c>
      <c r="P498" s="37"/>
      <c r="Q498" s="61"/>
      <c r="R498" s="37"/>
      <c r="S498" s="102"/>
      <c r="T498" s="103"/>
      <c r="U498" s="37"/>
      <c r="W498" s="104"/>
      <c r="Z498" s="66"/>
    </row>
    <row r="499" spans="5:26" s="35" customFormat="1">
      <c r="E499" s="30" t="str">
        <f t="shared" si="31"/>
        <v/>
      </c>
      <c r="F499" s="45">
        <v>5364</v>
      </c>
      <c r="G499" s="106" t="s">
        <v>564</v>
      </c>
      <c r="H499" s="32">
        <f t="shared" si="28"/>
        <v>138.00088950318175</v>
      </c>
      <c r="I499" s="32">
        <f t="shared" si="29"/>
        <v>40.894959266639638</v>
      </c>
      <c r="J499" s="33" t="s">
        <v>537</v>
      </c>
      <c r="K499" s="47">
        <v>11.2</v>
      </c>
      <c r="L499" s="34">
        <v>13.936666666666667</v>
      </c>
      <c r="M499" s="32">
        <v>5.0166666666666666</v>
      </c>
      <c r="N499" s="32">
        <f t="shared" si="30"/>
        <v>-30.513376375000746</v>
      </c>
      <c r="P499" s="37"/>
      <c r="Q499" s="61"/>
      <c r="R499" s="37"/>
      <c r="S499" s="102"/>
      <c r="T499" s="103"/>
      <c r="U499" s="37"/>
      <c r="W499" s="104"/>
      <c r="Z499" s="66"/>
    </row>
    <row r="500" spans="5:26" s="35" customFormat="1">
      <c r="E500" s="30" t="str">
        <f t="shared" si="31"/>
        <v/>
      </c>
      <c r="F500" s="45">
        <v>5634</v>
      </c>
      <c r="G500" s="106" t="s">
        <v>564</v>
      </c>
      <c r="H500" s="32">
        <f t="shared" si="28"/>
        <v>224.58805857181551</v>
      </c>
      <c r="I500" s="32">
        <f t="shared" si="29"/>
        <v>27.258368265833962</v>
      </c>
      <c r="J500" s="33"/>
      <c r="K500" s="47">
        <v>9.5</v>
      </c>
      <c r="L500" s="34">
        <v>14.493333333333334</v>
      </c>
      <c r="M500" s="32">
        <v>-5.9833333333333334</v>
      </c>
      <c r="N500" s="32">
        <f t="shared" si="30"/>
        <v>-38.86337637500074</v>
      </c>
      <c r="P500" s="37"/>
      <c r="Q500" s="61"/>
      <c r="R500" s="37"/>
      <c r="S500" s="102"/>
      <c r="T500" s="103"/>
      <c r="U500" s="37"/>
      <c r="W500" s="104"/>
      <c r="Z500" s="66"/>
    </row>
    <row r="501" spans="5:26" s="35" customFormat="1">
      <c r="E501" s="30" t="str">
        <f t="shared" si="31"/>
        <v/>
      </c>
      <c r="F501" s="45">
        <v>5746</v>
      </c>
      <c r="G501" s="106" t="s">
        <v>564</v>
      </c>
      <c r="H501" s="32">
        <f t="shared" si="28"/>
        <v>126.91207724751932</v>
      </c>
      <c r="I501" s="32">
        <f t="shared" si="29"/>
        <v>32.060230530264633</v>
      </c>
      <c r="J501" s="33" t="s">
        <v>538</v>
      </c>
      <c r="K501" s="47">
        <v>10.3</v>
      </c>
      <c r="L501" s="34">
        <v>14.748333333333333</v>
      </c>
      <c r="M501" s="32">
        <v>1.95</v>
      </c>
      <c r="N501" s="32">
        <f t="shared" si="30"/>
        <v>-42.688376375000757</v>
      </c>
      <c r="P501" s="37"/>
      <c r="Q501" s="61"/>
      <c r="R501" s="37"/>
      <c r="S501" s="102"/>
      <c r="T501" s="103"/>
      <c r="U501" s="37"/>
      <c r="W501" s="104"/>
      <c r="Z501" s="66"/>
    </row>
    <row r="502" spans="5:26" s="35" customFormat="1">
      <c r="E502" s="30" t="str">
        <f t="shared" si="31"/>
        <v/>
      </c>
      <c r="F502" s="45">
        <v>5846</v>
      </c>
      <c r="G502" s="106" t="s">
        <v>564</v>
      </c>
      <c r="H502" s="32">
        <f t="shared" si="28"/>
        <v>238.00671521168539</v>
      </c>
      <c r="I502" s="32">
        <f t="shared" si="29"/>
        <v>28.704318868913521</v>
      </c>
      <c r="J502" s="33"/>
      <c r="K502" s="47">
        <v>10</v>
      </c>
      <c r="L502" s="34">
        <v>15.108333333333333</v>
      </c>
      <c r="M502" s="32">
        <v>1.6</v>
      </c>
      <c r="N502" s="32">
        <f t="shared" si="30"/>
        <v>-48.088376375000706</v>
      </c>
      <c r="P502" s="37"/>
      <c r="Q502" s="61"/>
      <c r="R502" s="37"/>
      <c r="S502" s="102"/>
      <c r="T502" s="103"/>
      <c r="U502" s="37"/>
      <c r="W502" s="104"/>
      <c r="Z502" s="66"/>
    </row>
    <row r="503" spans="5:26" s="35" customFormat="1">
      <c r="E503" s="30" t="str">
        <f t="shared" si="31"/>
        <v/>
      </c>
      <c r="F503" s="45">
        <v>6802</v>
      </c>
      <c r="G503" s="106" t="s">
        <v>564</v>
      </c>
      <c r="H503" s="32">
        <f t="shared" si="28"/>
        <v>301.09589465935778</v>
      </c>
      <c r="I503" s="32">
        <f t="shared" si="29"/>
        <v>-0.74491068590152043</v>
      </c>
      <c r="J503" s="33" t="s">
        <v>539</v>
      </c>
      <c r="K503" s="47">
        <v>8.8000000000000007</v>
      </c>
      <c r="L503" s="34">
        <v>19.510000000000002</v>
      </c>
      <c r="M503" s="32">
        <v>20.266666666666666</v>
      </c>
      <c r="N503" s="32">
        <f t="shared" si="30"/>
        <v>-114.11337637500077</v>
      </c>
      <c r="P503" s="37"/>
      <c r="Q503" s="61"/>
      <c r="R503" s="37"/>
      <c r="S503" s="102"/>
      <c r="T503" s="103"/>
      <c r="U503" s="37"/>
      <c r="W503" s="104"/>
      <c r="Z503" s="66"/>
    </row>
    <row r="504" spans="5:26" s="35" customFormat="1">
      <c r="E504" s="30" t="str">
        <f t="shared" si="31"/>
        <v/>
      </c>
      <c r="F504" s="45">
        <v>6820</v>
      </c>
      <c r="G504" s="106" t="s">
        <v>564</v>
      </c>
      <c r="H504" s="32">
        <f t="shared" si="28"/>
        <v>54.756424050259042</v>
      </c>
      <c r="I504" s="32">
        <f t="shared" si="29"/>
        <v>-0.18200523264493823</v>
      </c>
      <c r="J504" s="33" t="s">
        <v>540</v>
      </c>
      <c r="K504" s="49">
        <v>15</v>
      </c>
      <c r="L504" s="34">
        <v>19.718333333333334</v>
      </c>
      <c r="M504" s="32">
        <v>23.283333333333335</v>
      </c>
      <c r="N504" s="32">
        <f t="shared" si="30"/>
        <v>-117.23837637500071</v>
      </c>
      <c r="P504" s="37"/>
      <c r="Q504" s="61"/>
      <c r="R504" s="37"/>
      <c r="S504" s="102"/>
      <c r="T504" s="103"/>
      <c r="U504" s="37"/>
      <c r="W504" s="104"/>
      <c r="Z504" s="66"/>
    </row>
    <row r="505" spans="5:26" s="35" customFormat="1">
      <c r="E505" s="30" t="str">
        <f t="shared" si="31"/>
        <v/>
      </c>
      <c r="F505" s="45">
        <v>6823</v>
      </c>
      <c r="G505" s="106" t="s">
        <v>564</v>
      </c>
      <c r="H505" s="32">
        <f t="shared" si="28"/>
        <v>54.728064337617489</v>
      </c>
      <c r="I505" s="32">
        <f t="shared" si="29"/>
        <v>-0.18289602475287733</v>
      </c>
      <c r="J505" s="33" t="s">
        <v>541</v>
      </c>
      <c r="K505" s="47">
        <v>7.1</v>
      </c>
      <c r="L505" s="34">
        <v>19.72</v>
      </c>
      <c r="M505" s="32">
        <v>23.3</v>
      </c>
      <c r="N505" s="32">
        <f t="shared" si="30"/>
        <v>-117.26337637500075</v>
      </c>
      <c r="P505" s="37"/>
      <c r="Q505" s="61"/>
      <c r="R505" s="37"/>
      <c r="S505" s="102"/>
      <c r="T505" s="103"/>
      <c r="U505" s="37"/>
      <c r="W505" s="104"/>
      <c r="Z505" s="66"/>
    </row>
    <row r="506" spans="5:26" s="35" customFormat="1">
      <c r="E506" s="30" t="str">
        <f t="shared" si="31"/>
        <v/>
      </c>
      <c r="F506" s="45">
        <v>6830</v>
      </c>
      <c r="G506" s="106" t="s">
        <v>564</v>
      </c>
      <c r="H506" s="32">
        <f t="shared" si="28"/>
        <v>306.57498063094505</v>
      </c>
      <c r="I506" s="32">
        <f t="shared" si="29"/>
        <v>-1.4298174809752593</v>
      </c>
      <c r="J506" s="33" t="s">
        <v>542</v>
      </c>
      <c r="K506" s="47">
        <v>7.9</v>
      </c>
      <c r="L506" s="34">
        <v>19.850000000000001</v>
      </c>
      <c r="M506" s="32">
        <v>23.1</v>
      </c>
      <c r="N506" s="32">
        <f t="shared" si="30"/>
        <v>-119.21337637500073</v>
      </c>
      <c r="P506" s="37"/>
      <c r="Q506" s="61"/>
      <c r="R506" s="37"/>
      <c r="S506" s="102"/>
      <c r="T506" s="103"/>
      <c r="U506" s="37"/>
      <c r="W506" s="104"/>
      <c r="Z506" s="66"/>
    </row>
    <row r="507" spans="5:26" s="35" customFormat="1">
      <c r="E507" s="30" t="str">
        <f t="shared" si="31"/>
        <v/>
      </c>
      <c r="F507" s="45">
        <v>6853</v>
      </c>
      <c r="G507" s="106" t="s">
        <v>564</v>
      </c>
      <c r="H507" s="32">
        <f t="shared" si="28"/>
        <v>52.061028070926255</v>
      </c>
      <c r="I507" s="32">
        <f t="shared" si="29"/>
        <v>-2.9168451275452956</v>
      </c>
      <c r="J507" s="33" t="s">
        <v>543</v>
      </c>
      <c r="K507" s="47">
        <v>7.3</v>
      </c>
      <c r="L507" s="34">
        <v>19.993333333333332</v>
      </c>
      <c r="M507" s="32">
        <v>22.716666666666665</v>
      </c>
      <c r="N507" s="32">
        <f t="shared" si="30"/>
        <v>-121.36337637500071</v>
      </c>
      <c r="P507" s="37"/>
      <c r="Q507" s="61"/>
      <c r="R507" s="37"/>
      <c r="S507" s="102"/>
      <c r="T507" s="103"/>
      <c r="U507" s="37"/>
      <c r="W507" s="104"/>
      <c r="Z507" s="66"/>
    </row>
    <row r="508" spans="5:26" s="35" customFormat="1">
      <c r="E508" s="30" t="str">
        <f t="shared" si="31"/>
        <v/>
      </c>
      <c r="F508" s="45" t="s">
        <v>118</v>
      </c>
      <c r="G508" s="106" t="s">
        <v>564</v>
      </c>
      <c r="H508" s="32">
        <f t="shared" si="28"/>
        <v>312.42043517319689</v>
      </c>
      <c r="I508" s="32">
        <f t="shared" si="29"/>
        <v>-1.4765203075901996</v>
      </c>
      <c r="J508" s="33" t="s">
        <v>544</v>
      </c>
      <c r="K508" s="47">
        <v>8.1</v>
      </c>
      <c r="L508" s="34">
        <v>20.2</v>
      </c>
      <c r="M508" s="32">
        <v>26.483333333333334</v>
      </c>
      <c r="N508" s="32">
        <f t="shared" si="30"/>
        <v>-124.46337637500073</v>
      </c>
      <c r="P508" s="37"/>
      <c r="Q508" s="61"/>
      <c r="R508" s="37"/>
      <c r="S508" s="102"/>
      <c r="T508" s="103"/>
      <c r="U508" s="37"/>
      <c r="W508" s="104"/>
      <c r="Z508" s="66"/>
    </row>
    <row r="509" spans="5:26" s="35" customFormat="1">
      <c r="E509" s="30" t="str">
        <f t="shared" si="31"/>
        <v/>
      </c>
      <c r="F509" s="45">
        <v>6940</v>
      </c>
      <c r="G509" s="106" t="s">
        <v>564</v>
      </c>
      <c r="H509" s="32">
        <f t="shared" si="28"/>
        <v>317.58689502012516</v>
      </c>
      <c r="I509" s="32">
        <f t="shared" si="29"/>
        <v>-2.7108637829854279</v>
      </c>
      <c r="J509" s="33" t="s">
        <v>545</v>
      </c>
      <c r="K509" s="47">
        <v>6.3</v>
      </c>
      <c r="L509" s="34">
        <v>20.574999999999999</v>
      </c>
      <c r="M509" s="32">
        <v>28.283333333333335</v>
      </c>
      <c r="N509" s="32">
        <f t="shared" si="30"/>
        <v>-130.08837637500073</v>
      </c>
      <c r="P509" s="37"/>
      <c r="Q509" s="62"/>
      <c r="R509" s="69"/>
      <c r="S509" s="63"/>
      <c r="T509" s="68"/>
      <c r="U509" s="69"/>
      <c r="W509" s="104"/>
      <c r="Z509" s="66"/>
    </row>
    <row r="512" spans="5:26">
      <c r="L512" s="28" t="s">
        <v>30</v>
      </c>
      <c r="M512" s="44">
        <f>PI()/180</f>
        <v>1.7453292519943295E-2</v>
      </c>
    </row>
  </sheetData>
  <sheetProtection sheet="1" objects="1" scenarios="1"/>
  <mergeCells count="6">
    <mergeCell ref="B36:D36"/>
    <mergeCell ref="B2:C2"/>
    <mergeCell ref="F2:N2"/>
    <mergeCell ref="Q2:W2"/>
    <mergeCell ref="B19:B24"/>
    <mergeCell ref="B27:D27"/>
  </mergeCells>
  <conditionalFormatting sqref="F8:F509">
    <cfRule type="expression" dxfId="2" priority="15">
      <formula>AND($I8&gt;=$I$4,$I8&lt;=$I$6,$H8&gt;=$H$4,$H8&lt;=$H$6)</formula>
    </cfRule>
  </conditionalFormatting>
  <conditionalFormatting sqref="H8:H509">
    <cfRule type="expression" dxfId="1" priority="14">
      <formula>AND($H8&gt;=$H$4,$H8&lt;=$H$6)</formula>
    </cfRule>
  </conditionalFormatting>
  <conditionalFormatting sqref="I8:I509">
    <cfRule type="expression" dxfId="0" priority="13">
      <formula>AND($I8&gt;=$I$4,$I8&lt;=$I$6)</formula>
    </cfRule>
  </conditionalFormatting>
  <conditionalFormatting sqref="K8:K50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3">
    <dataValidation type="list" allowBlank="1" showInputMessage="1" showErrorMessage="1" sqref="G8:G509" xr:uid="{5588D3C0-B13F-A847-9DC0-C3ECD2E993BB}">
      <formula1>$C$19:$C$24</formula1>
    </dataValidation>
    <dataValidation type="list" allowBlank="1" showInputMessage="1" showErrorMessage="1" sqref="C12" xr:uid="{84D133E0-7B29-A747-8785-5C777B7103E7}">
      <formula1>$B$29:$B$33</formula1>
    </dataValidation>
    <dataValidation type="list" allowBlank="1" showInputMessage="1" showErrorMessage="1" sqref="D19:D24" xr:uid="{2455524A-BD04-AB4C-93E4-16859B517F7E}">
      <formula1>$B$55:$B$56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0EAB-9F4C-FA48-9F98-260119F0FDFF}">
  <dimension ref="B1:J209"/>
  <sheetViews>
    <sheetView showGridLines="0" workbookViewId="0">
      <selection activeCell="C21" sqref="C21"/>
    </sheetView>
  </sheetViews>
  <sheetFormatPr baseColWidth="10" defaultRowHeight="13"/>
  <cols>
    <col min="1" max="1" width="10.83203125" style="160" customWidth="1"/>
    <col min="2" max="2" width="15.83203125" style="160" customWidth="1"/>
    <col min="3" max="3" width="13.33203125" style="160" customWidth="1"/>
    <col min="4" max="4" width="15.83203125" style="160" customWidth="1"/>
    <col min="5" max="7" width="10.83203125" style="160" customWidth="1"/>
    <col min="8" max="10" width="12.1640625" style="160" customWidth="1"/>
    <col min="11" max="22" width="10.83203125" style="160" customWidth="1"/>
    <col min="23" max="23" width="10.1640625" style="160" bestFit="1" customWidth="1"/>
    <col min="24" max="247" width="8.83203125" style="160" customWidth="1"/>
    <col min="248" max="248" width="7.83203125" style="160" customWidth="1"/>
    <col min="249" max="249" width="7.5" style="160" customWidth="1"/>
    <col min="250" max="250" width="9" style="160" customWidth="1"/>
    <col min="251" max="251" width="8.33203125" style="160" customWidth="1"/>
    <col min="252" max="254" width="8.5" style="160" bestFit="1" customWidth="1"/>
    <col min="255" max="255" width="10" style="160" bestFit="1" customWidth="1"/>
    <col min="256" max="256" width="8.1640625" style="160" bestFit="1" customWidth="1"/>
    <col min="257" max="258" width="8.5" style="160" bestFit="1" customWidth="1"/>
    <col min="259" max="259" width="6" style="160" bestFit="1" customWidth="1"/>
    <col min="260" max="260" width="8.83203125" style="160" customWidth="1"/>
    <col min="261" max="261" width="8.5" style="160" bestFit="1" customWidth="1"/>
    <col min="262" max="262" width="7.1640625" style="160" bestFit="1" customWidth="1"/>
    <col min="263" max="263" width="4.5" style="160" bestFit="1" customWidth="1"/>
    <col min="264" max="264" width="5.5" style="160" bestFit="1" customWidth="1"/>
    <col min="265" max="267" width="6.1640625" style="160" bestFit="1" customWidth="1"/>
    <col min="268" max="268" width="7.1640625" style="160" bestFit="1" customWidth="1"/>
    <col min="269" max="278" width="8.83203125" style="160" customWidth="1"/>
    <col min="279" max="279" width="10" style="160" bestFit="1" customWidth="1"/>
    <col min="280" max="503" width="8.83203125" style="160" customWidth="1"/>
    <col min="504" max="504" width="7.83203125" style="160" customWidth="1"/>
    <col min="505" max="505" width="7.5" style="160" customWidth="1"/>
    <col min="506" max="506" width="9" style="160" customWidth="1"/>
    <col min="507" max="507" width="8.33203125" style="160" customWidth="1"/>
    <col min="508" max="510" width="8.5" style="160" bestFit="1" customWidth="1"/>
    <col min="511" max="511" width="10" style="160" bestFit="1" customWidth="1"/>
    <col min="512" max="512" width="8.1640625" style="160" bestFit="1" customWidth="1"/>
    <col min="513" max="514" width="8.5" style="160" bestFit="1" customWidth="1"/>
    <col min="515" max="515" width="6" style="160" bestFit="1" customWidth="1"/>
    <col min="516" max="516" width="8.83203125" style="160" customWidth="1"/>
    <col min="517" max="517" width="8.5" style="160" bestFit="1" customWidth="1"/>
    <col min="518" max="518" width="7.1640625" style="160" bestFit="1" customWidth="1"/>
    <col min="519" max="519" width="4.5" style="160" bestFit="1" customWidth="1"/>
    <col min="520" max="520" width="5.5" style="160" bestFit="1" customWidth="1"/>
    <col min="521" max="523" width="6.1640625" style="160" bestFit="1" customWidth="1"/>
    <col min="524" max="524" width="7.1640625" style="160" bestFit="1" customWidth="1"/>
    <col min="525" max="534" width="8.83203125" style="160" customWidth="1"/>
    <col min="535" max="535" width="10" style="160" bestFit="1" customWidth="1"/>
    <col min="536" max="759" width="8.83203125" style="160" customWidth="1"/>
    <col min="760" max="760" width="7.83203125" style="160" customWidth="1"/>
    <col min="761" max="761" width="7.5" style="160" customWidth="1"/>
    <col min="762" max="762" width="9" style="160" customWidth="1"/>
    <col min="763" max="763" width="8.33203125" style="160" customWidth="1"/>
    <col min="764" max="766" width="8.5" style="160" bestFit="1" customWidth="1"/>
    <col min="767" max="767" width="10" style="160" bestFit="1" customWidth="1"/>
    <col min="768" max="768" width="8.1640625" style="160" bestFit="1" customWidth="1"/>
    <col min="769" max="770" width="8.5" style="160" bestFit="1" customWidth="1"/>
    <col min="771" max="771" width="6" style="160" bestFit="1" customWidth="1"/>
    <col min="772" max="772" width="8.83203125" style="160" customWidth="1"/>
    <col min="773" max="773" width="8.5" style="160" bestFit="1" customWidth="1"/>
    <col min="774" max="774" width="7.1640625" style="160" bestFit="1" customWidth="1"/>
    <col min="775" max="775" width="4.5" style="160" bestFit="1" customWidth="1"/>
    <col min="776" max="776" width="5.5" style="160" bestFit="1" customWidth="1"/>
    <col min="777" max="779" width="6.1640625" style="160" bestFit="1" customWidth="1"/>
    <col min="780" max="780" width="7.1640625" style="160" bestFit="1" customWidth="1"/>
    <col min="781" max="790" width="8.83203125" style="160" customWidth="1"/>
    <col min="791" max="791" width="10" style="160" bestFit="1" customWidth="1"/>
    <col min="792" max="1015" width="8.83203125" style="160" customWidth="1"/>
    <col min="1016" max="1016" width="7.83203125" style="160" customWidth="1"/>
    <col min="1017" max="1017" width="7.5" style="160" customWidth="1"/>
    <col min="1018" max="1018" width="9" style="160" customWidth="1"/>
    <col min="1019" max="1019" width="8.33203125" style="160" customWidth="1"/>
    <col min="1020" max="1022" width="8.5" style="160" bestFit="1" customWidth="1"/>
    <col min="1023" max="1023" width="10" style="160" bestFit="1" customWidth="1"/>
    <col min="1024" max="1024" width="8.1640625" style="160" bestFit="1" customWidth="1"/>
    <col min="1025" max="1026" width="8.5" style="160" bestFit="1" customWidth="1"/>
    <col min="1027" max="1027" width="6" style="160" bestFit="1" customWidth="1"/>
    <col min="1028" max="1028" width="8.83203125" style="160" customWidth="1"/>
    <col min="1029" max="1029" width="8.5" style="160" bestFit="1" customWidth="1"/>
    <col min="1030" max="1030" width="7.1640625" style="160" bestFit="1" customWidth="1"/>
    <col min="1031" max="1031" width="4.5" style="160" bestFit="1" customWidth="1"/>
    <col min="1032" max="1032" width="5.5" style="160" bestFit="1" customWidth="1"/>
    <col min="1033" max="1035" width="6.1640625" style="160" bestFit="1" customWidth="1"/>
    <col min="1036" max="1036" width="7.1640625" style="160" bestFit="1" customWidth="1"/>
    <col min="1037" max="1046" width="8.83203125" style="160" customWidth="1"/>
    <col min="1047" max="1047" width="10" style="160" bestFit="1" customWidth="1"/>
    <col min="1048" max="1271" width="8.83203125" style="160" customWidth="1"/>
    <col min="1272" max="1272" width="7.83203125" style="160" customWidth="1"/>
    <col min="1273" max="1273" width="7.5" style="160" customWidth="1"/>
    <col min="1274" max="1274" width="9" style="160" customWidth="1"/>
    <col min="1275" max="1275" width="8.33203125" style="160" customWidth="1"/>
    <col min="1276" max="1278" width="8.5" style="160" bestFit="1" customWidth="1"/>
    <col min="1279" max="1279" width="10" style="160" bestFit="1" customWidth="1"/>
    <col min="1280" max="1280" width="8.1640625" style="160" bestFit="1" customWidth="1"/>
    <col min="1281" max="1282" width="8.5" style="160" bestFit="1" customWidth="1"/>
    <col min="1283" max="1283" width="6" style="160" bestFit="1" customWidth="1"/>
    <col min="1284" max="1284" width="8.83203125" style="160" customWidth="1"/>
    <col min="1285" max="1285" width="8.5" style="160" bestFit="1" customWidth="1"/>
    <col min="1286" max="1286" width="7.1640625" style="160" bestFit="1" customWidth="1"/>
    <col min="1287" max="1287" width="4.5" style="160" bestFit="1" customWidth="1"/>
    <col min="1288" max="1288" width="5.5" style="160" bestFit="1" customWidth="1"/>
    <col min="1289" max="1291" width="6.1640625" style="160" bestFit="1" customWidth="1"/>
    <col min="1292" max="1292" width="7.1640625" style="160" bestFit="1" customWidth="1"/>
    <col min="1293" max="1302" width="8.83203125" style="160" customWidth="1"/>
    <col min="1303" max="1303" width="10" style="160" bestFit="1" customWidth="1"/>
    <col min="1304" max="1527" width="8.83203125" style="160" customWidth="1"/>
    <col min="1528" max="1528" width="7.83203125" style="160" customWidth="1"/>
    <col min="1529" max="1529" width="7.5" style="160" customWidth="1"/>
    <col min="1530" max="1530" width="9" style="160" customWidth="1"/>
    <col min="1531" max="1531" width="8.33203125" style="160" customWidth="1"/>
    <col min="1532" max="1534" width="8.5" style="160" bestFit="1" customWidth="1"/>
    <col min="1535" max="1535" width="10" style="160" bestFit="1" customWidth="1"/>
    <col min="1536" max="1536" width="8.1640625" style="160" bestFit="1" customWidth="1"/>
    <col min="1537" max="1538" width="8.5" style="160" bestFit="1" customWidth="1"/>
    <col min="1539" max="1539" width="6" style="160" bestFit="1" customWidth="1"/>
    <col min="1540" max="1540" width="8.83203125" style="160" customWidth="1"/>
    <col min="1541" max="1541" width="8.5" style="160" bestFit="1" customWidth="1"/>
    <col min="1542" max="1542" width="7.1640625" style="160" bestFit="1" customWidth="1"/>
    <col min="1543" max="1543" width="4.5" style="160" bestFit="1" customWidth="1"/>
    <col min="1544" max="1544" width="5.5" style="160" bestFit="1" customWidth="1"/>
    <col min="1545" max="1547" width="6.1640625" style="160" bestFit="1" customWidth="1"/>
    <col min="1548" max="1548" width="7.1640625" style="160" bestFit="1" customWidth="1"/>
    <col min="1549" max="1558" width="8.83203125" style="160" customWidth="1"/>
    <col min="1559" max="1559" width="10" style="160" bestFit="1" customWidth="1"/>
    <col min="1560" max="1783" width="8.83203125" style="160" customWidth="1"/>
    <col min="1784" max="1784" width="7.83203125" style="160" customWidth="1"/>
    <col min="1785" max="1785" width="7.5" style="160" customWidth="1"/>
    <col min="1786" max="1786" width="9" style="160" customWidth="1"/>
    <col min="1787" max="1787" width="8.33203125" style="160" customWidth="1"/>
    <col min="1788" max="1790" width="8.5" style="160" bestFit="1" customWidth="1"/>
    <col min="1791" max="1791" width="10" style="160" bestFit="1" customWidth="1"/>
    <col min="1792" max="1792" width="8.1640625" style="160" bestFit="1" customWidth="1"/>
    <col min="1793" max="1794" width="8.5" style="160" bestFit="1" customWidth="1"/>
    <col min="1795" max="1795" width="6" style="160" bestFit="1" customWidth="1"/>
    <col min="1796" max="1796" width="8.83203125" style="160" customWidth="1"/>
    <col min="1797" max="1797" width="8.5" style="160" bestFit="1" customWidth="1"/>
    <col min="1798" max="1798" width="7.1640625" style="160" bestFit="1" customWidth="1"/>
    <col min="1799" max="1799" width="4.5" style="160" bestFit="1" customWidth="1"/>
    <col min="1800" max="1800" width="5.5" style="160" bestFit="1" customWidth="1"/>
    <col min="1801" max="1803" width="6.1640625" style="160" bestFit="1" customWidth="1"/>
    <col min="1804" max="1804" width="7.1640625" style="160" bestFit="1" customWidth="1"/>
    <col min="1805" max="1814" width="8.83203125" style="160" customWidth="1"/>
    <col min="1815" max="1815" width="10" style="160" bestFit="1" customWidth="1"/>
    <col min="1816" max="2039" width="8.83203125" style="160" customWidth="1"/>
    <col min="2040" max="2040" width="7.83203125" style="160" customWidth="1"/>
    <col min="2041" max="2041" width="7.5" style="160" customWidth="1"/>
    <col min="2042" max="2042" width="9" style="160" customWidth="1"/>
    <col min="2043" max="2043" width="8.33203125" style="160" customWidth="1"/>
    <col min="2044" max="2046" width="8.5" style="160" bestFit="1" customWidth="1"/>
    <col min="2047" max="2047" width="10" style="160" bestFit="1" customWidth="1"/>
    <col min="2048" max="2048" width="8.1640625" style="160" bestFit="1" customWidth="1"/>
    <col min="2049" max="2050" width="8.5" style="160" bestFit="1" customWidth="1"/>
    <col min="2051" max="2051" width="6" style="160" bestFit="1" customWidth="1"/>
    <col min="2052" max="2052" width="8.83203125" style="160" customWidth="1"/>
    <col min="2053" max="2053" width="8.5" style="160" bestFit="1" customWidth="1"/>
    <col min="2054" max="2054" width="7.1640625" style="160" bestFit="1" customWidth="1"/>
    <col min="2055" max="2055" width="4.5" style="160" bestFit="1" customWidth="1"/>
    <col min="2056" max="2056" width="5.5" style="160" bestFit="1" customWidth="1"/>
    <col min="2057" max="2059" width="6.1640625" style="160" bestFit="1" customWidth="1"/>
    <col min="2060" max="2060" width="7.1640625" style="160" bestFit="1" customWidth="1"/>
    <col min="2061" max="2070" width="8.83203125" style="160" customWidth="1"/>
    <col min="2071" max="2071" width="10" style="160" bestFit="1" customWidth="1"/>
    <col min="2072" max="2295" width="8.83203125" style="160" customWidth="1"/>
    <col min="2296" max="2296" width="7.83203125" style="160" customWidth="1"/>
    <col min="2297" max="2297" width="7.5" style="160" customWidth="1"/>
    <col min="2298" max="2298" width="9" style="160" customWidth="1"/>
    <col min="2299" max="2299" width="8.33203125" style="160" customWidth="1"/>
    <col min="2300" max="2302" width="8.5" style="160" bestFit="1" customWidth="1"/>
    <col min="2303" max="2303" width="10" style="160" bestFit="1" customWidth="1"/>
    <col min="2304" max="2304" width="8.1640625" style="160" bestFit="1" customWidth="1"/>
    <col min="2305" max="2306" width="8.5" style="160" bestFit="1" customWidth="1"/>
    <col min="2307" max="2307" width="6" style="160" bestFit="1" customWidth="1"/>
    <col min="2308" max="2308" width="8.83203125" style="160" customWidth="1"/>
    <col min="2309" max="2309" width="8.5" style="160" bestFit="1" customWidth="1"/>
    <col min="2310" max="2310" width="7.1640625" style="160" bestFit="1" customWidth="1"/>
    <col min="2311" max="2311" width="4.5" style="160" bestFit="1" customWidth="1"/>
    <col min="2312" max="2312" width="5.5" style="160" bestFit="1" customWidth="1"/>
    <col min="2313" max="2315" width="6.1640625" style="160" bestFit="1" customWidth="1"/>
    <col min="2316" max="2316" width="7.1640625" style="160" bestFit="1" customWidth="1"/>
    <col min="2317" max="2326" width="8.83203125" style="160" customWidth="1"/>
    <col min="2327" max="2327" width="10" style="160" bestFit="1" customWidth="1"/>
    <col min="2328" max="2551" width="8.83203125" style="160" customWidth="1"/>
    <col min="2552" max="2552" width="7.83203125" style="160" customWidth="1"/>
    <col min="2553" max="2553" width="7.5" style="160" customWidth="1"/>
    <col min="2554" max="2554" width="9" style="160" customWidth="1"/>
    <col min="2555" max="2555" width="8.33203125" style="160" customWidth="1"/>
    <col min="2556" max="2558" width="8.5" style="160" bestFit="1" customWidth="1"/>
    <col min="2559" max="2559" width="10" style="160" bestFit="1" customWidth="1"/>
    <col min="2560" max="2560" width="8.1640625" style="160" bestFit="1" customWidth="1"/>
    <col min="2561" max="2562" width="8.5" style="160" bestFit="1" customWidth="1"/>
    <col min="2563" max="2563" width="6" style="160" bestFit="1" customWidth="1"/>
    <col min="2564" max="2564" width="8.83203125" style="160" customWidth="1"/>
    <col min="2565" max="2565" width="8.5" style="160" bestFit="1" customWidth="1"/>
    <col min="2566" max="2566" width="7.1640625" style="160" bestFit="1" customWidth="1"/>
    <col min="2567" max="2567" width="4.5" style="160" bestFit="1" customWidth="1"/>
    <col min="2568" max="2568" width="5.5" style="160" bestFit="1" customWidth="1"/>
    <col min="2569" max="2571" width="6.1640625" style="160" bestFit="1" customWidth="1"/>
    <col min="2572" max="2572" width="7.1640625" style="160" bestFit="1" customWidth="1"/>
    <col min="2573" max="2582" width="8.83203125" style="160" customWidth="1"/>
    <col min="2583" max="2583" width="10" style="160" bestFit="1" customWidth="1"/>
    <col min="2584" max="2807" width="8.83203125" style="160" customWidth="1"/>
    <col min="2808" max="2808" width="7.83203125" style="160" customWidth="1"/>
    <col min="2809" max="2809" width="7.5" style="160" customWidth="1"/>
    <col min="2810" max="2810" width="9" style="160" customWidth="1"/>
    <col min="2811" max="2811" width="8.33203125" style="160" customWidth="1"/>
    <col min="2812" max="2814" width="8.5" style="160" bestFit="1" customWidth="1"/>
    <col min="2815" max="2815" width="10" style="160" bestFit="1" customWidth="1"/>
    <col min="2816" max="2816" width="8.1640625" style="160" bestFit="1" customWidth="1"/>
    <col min="2817" max="2818" width="8.5" style="160" bestFit="1" customWidth="1"/>
    <col min="2819" max="2819" width="6" style="160" bestFit="1" customWidth="1"/>
    <col min="2820" max="2820" width="8.83203125" style="160" customWidth="1"/>
    <col min="2821" max="2821" width="8.5" style="160" bestFit="1" customWidth="1"/>
    <col min="2822" max="2822" width="7.1640625" style="160" bestFit="1" customWidth="1"/>
    <col min="2823" max="2823" width="4.5" style="160" bestFit="1" customWidth="1"/>
    <col min="2824" max="2824" width="5.5" style="160" bestFit="1" customWidth="1"/>
    <col min="2825" max="2827" width="6.1640625" style="160" bestFit="1" customWidth="1"/>
    <col min="2828" max="2828" width="7.1640625" style="160" bestFit="1" customWidth="1"/>
    <col min="2829" max="2838" width="8.83203125" style="160" customWidth="1"/>
    <col min="2839" max="2839" width="10" style="160" bestFit="1" customWidth="1"/>
    <col min="2840" max="3063" width="8.83203125" style="160" customWidth="1"/>
    <col min="3064" max="3064" width="7.83203125" style="160" customWidth="1"/>
    <col min="3065" max="3065" width="7.5" style="160" customWidth="1"/>
    <col min="3066" max="3066" width="9" style="160" customWidth="1"/>
    <col min="3067" max="3067" width="8.33203125" style="160" customWidth="1"/>
    <col min="3068" max="3070" width="8.5" style="160" bestFit="1" customWidth="1"/>
    <col min="3071" max="3071" width="10" style="160" bestFit="1" customWidth="1"/>
    <col min="3072" max="3072" width="8.1640625" style="160" bestFit="1" customWidth="1"/>
    <col min="3073" max="3074" width="8.5" style="160" bestFit="1" customWidth="1"/>
    <col min="3075" max="3075" width="6" style="160" bestFit="1" customWidth="1"/>
    <col min="3076" max="3076" width="8.83203125" style="160" customWidth="1"/>
    <col min="3077" max="3077" width="8.5" style="160" bestFit="1" customWidth="1"/>
    <col min="3078" max="3078" width="7.1640625" style="160" bestFit="1" customWidth="1"/>
    <col min="3079" max="3079" width="4.5" style="160" bestFit="1" customWidth="1"/>
    <col min="3080" max="3080" width="5.5" style="160" bestFit="1" customWidth="1"/>
    <col min="3081" max="3083" width="6.1640625" style="160" bestFit="1" customWidth="1"/>
    <col min="3084" max="3084" width="7.1640625" style="160" bestFit="1" customWidth="1"/>
    <col min="3085" max="3094" width="8.83203125" style="160" customWidth="1"/>
    <col min="3095" max="3095" width="10" style="160" bestFit="1" customWidth="1"/>
    <col min="3096" max="3319" width="8.83203125" style="160" customWidth="1"/>
    <col min="3320" max="3320" width="7.83203125" style="160" customWidth="1"/>
    <col min="3321" max="3321" width="7.5" style="160" customWidth="1"/>
    <col min="3322" max="3322" width="9" style="160" customWidth="1"/>
    <col min="3323" max="3323" width="8.33203125" style="160" customWidth="1"/>
    <col min="3324" max="3326" width="8.5" style="160" bestFit="1" customWidth="1"/>
    <col min="3327" max="3327" width="10" style="160" bestFit="1" customWidth="1"/>
    <col min="3328" max="3328" width="8.1640625" style="160" bestFit="1" customWidth="1"/>
    <col min="3329" max="3330" width="8.5" style="160" bestFit="1" customWidth="1"/>
    <col min="3331" max="3331" width="6" style="160" bestFit="1" customWidth="1"/>
    <col min="3332" max="3332" width="8.83203125" style="160" customWidth="1"/>
    <col min="3333" max="3333" width="8.5" style="160" bestFit="1" customWidth="1"/>
    <col min="3334" max="3334" width="7.1640625" style="160" bestFit="1" customWidth="1"/>
    <col min="3335" max="3335" width="4.5" style="160" bestFit="1" customWidth="1"/>
    <col min="3336" max="3336" width="5.5" style="160" bestFit="1" customWidth="1"/>
    <col min="3337" max="3339" width="6.1640625" style="160" bestFit="1" customWidth="1"/>
    <col min="3340" max="3340" width="7.1640625" style="160" bestFit="1" customWidth="1"/>
    <col min="3341" max="3350" width="8.83203125" style="160" customWidth="1"/>
    <col min="3351" max="3351" width="10" style="160" bestFit="1" customWidth="1"/>
    <col min="3352" max="3575" width="8.83203125" style="160" customWidth="1"/>
    <col min="3576" max="3576" width="7.83203125" style="160" customWidth="1"/>
    <col min="3577" max="3577" width="7.5" style="160" customWidth="1"/>
    <col min="3578" max="3578" width="9" style="160" customWidth="1"/>
    <col min="3579" max="3579" width="8.33203125" style="160" customWidth="1"/>
    <col min="3580" max="3582" width="8.5" style="160" bestFit="1" customWidth="1"/>
    <col min="3583" max="3583" width="10" style="160" bestFit="1" customWidth="1"/>
    <col min="3584" max="3584" width="8.1640625" style="160" bestFit="1" customWidth="1"/>
    <col min="3585" max="3586" width="8.5" style="160" bestFit="1" customWidth="1"/>
    <col min="3587" max="3587" width="6" style="160" bestFit="1" customWidth="1"/>
    <col min="3588" max="3588" width="8.83203125" style="160" customWidth="1"/>
    <col min="3589" max="3589" width="8.5" style="160" bestFit="1" customWidth="1"/>
    <col min="3590" max="3590" width="7.1640625" style="160" bestFit="1" customWidth="1"/>
    <col min="3591" max="3591" width="4.5" style="160" bestFit="1" customWidth="1"/>
    <col min="3592" max="3592" width="5.5" style="160" bestFit="1" customWidth="1"/>
    <col min="3593" max="3595" width="6.1640625" style="160" bestFit="1" customWidth="1"/>
    <col min="3596" max="3596" width="7.1640625" style="160" bestFit="1" customWidth="1"/>
    <col min="3597" max="3606" width="8.83203125" style="160" customWidth="1"/>
    <col min="3607" max="3607" width="10" style="160" bestFit="1" customWidth="1"/>
    <col min="3608" max="3831" width="8.83203125" style="160" customWidth="1"/>
    <col min="3832" max="3832" width="7.83203125" style="160" customWidth="1"/>
    <col min="3833" max="3833" width="7.5" style="160" customWidth="1"/>
    <col min="3834" max="3834" width="9" style="160" customWidth="1"/>
    <col min="3835" max="3835" width="8.33203125" style="160" customWidth="1"/>
    <col min="3836" max="3838" width="8.5" style="160" bestFit="1" customWidth="1"/>
    <col min="3839" max="3839" width="10" style="160" bestFit="1" customWidth="1"/>
    <col min="3840" max="3840" width="8.1640625" style="160" bestFit="1" customWidth="1"/>
    <col min="3841" max="3842" width="8.5" style="160" bestFit="1" customWidth="1"/>
    <col min="3843" max="3843" width="6" style="160" bestFit="1" customWidth="1"/>
    <col min="3844" max="3844" width="8.83203125" style="160" customWidth="1"/>
    <col min="3845" max="3845" width="8.5" style="160" bestFit="1" customWidth="1"/>
    <col min="3846" max="3846" width="7.1640625" style="160" bestFit="1" customWidth="1"/>
    <col min="3847" max="3847" width="4.5" style="160" bestFit="1" customWidth="1"/>
    <col min="3848" max="3848" width="5.5" style="160" bestFit="1" customWidth="1"/>
    <col min="3849" max="3851" width="6.1640625" style="160" bestFit="1" customWidth="1"/>
    <col min="3852" max="3852" width="7.1640625" style="160" bestFit="1" customWidth="1"/>
    <col min="3853" max="3862" width="8.83203125" style="160" customWidth="1"/>
    <col min="3863" max="3863" width="10" style="160" bestFit="1" customWidth="1"/>
    <col min="3864" max="4087" width="8.83203125" style="160" customWidth="1"/>
    <col min="4088" max="4088" width="7.83203125" style="160" customWidth="1"/>
    <col min="4089" max="4089" width="7.5" style="160" customWidth="1"/>
    <col min="4090" max="4090" width="9" style="160" customWidth="1"/>
    <col min="4091" max="4091" width="8.33203125" style="160" customWidth="1"/>
    <col min="4092" max="4094" width="8.5" style="160" bestFit="1" customWidth="1"/>
    <col min="4095" max="4095" width="10" style="160" bestFit="1" customWidth="1"/>
    <col min="4096" max="4096" width="8.1640625" style="160" bestFit="1" customWidth="1"/>
    <col min="4097" max="4098" width="8.5" style="160" bestFit="1" customWidth="1"/>
    <col min="4099" max="4099" width="6" style="160" bestFit="1" customWidth="1"/>
    <col min="4100" max="4100" width="8.83203125" style="160" customWidth="1"/>
    <col min="4101" max="4101" width="8.5" style="160" bestFit="1" customWidth="1"/>
    <col min="4102" max="4102" width="7.1640625" style="160" bestFit="1" customWidth="1"/>
    <col min="4103" max="4103" width="4.5" style="160" bestFit="1" customWidth="1"/>
    <col min="4104" max="4104" width="5.5" style="160" bestFit="1" customWidth="1"/>
    <col min="4105" max="4107" width="6.1640625" style="160" bestFit="1" customWidth="1"/>
    <col min="4108" max="4108" width="7.1640625" style="160" bestFit="1" customWidth="1"/>
    <col min="4109" max="4118" width="8.83203125" style="160" customWidth="1"/>
    <col min="4119" max="4119" width="10" style="160" bestFit="1" customWidth="1"/>
    <col min="4120" max="4343" width="8.83203125" style="160" customWidth="1"/>
    <col min="4344" max="4344" width="7.83203125" style="160" customWidth="1"/>
    <col min="4345" max="4345" width="7.5" style="160" customWidth="1"/>
    <col min="4346" max="4346" width="9" style="160" customWidth="1"/>
    <col min="4347" max="4347" width="8.33203125" style="160" customWidth="1"/>
    <col min="4348" max="4350" width="8.5" style="160" bestFit="1" customWidth="1"/>
    <col min="4351" max="4351" width="10" style="160" bestFit="1" customWidth="1"/>
    <col min="4352" max="4352" width="8.1640625" style="160" bestFit="1" customWidth="1"/>
    <col min="4353" max="4354" width="8.5" style="160" bestFit="1" customWidth="1"/>
    <col min="4355" max="4355" width="6" style="160" bestFit="1" customWidth="1"/>
    <col min="4356" max="4356" width="8.83203125" style="160" customWidth="1"/>
    <col min="4357" max="4357" width="8.5" style="160" bestFit="1" customWidth="1"/>
    <col min="4358" max="4358" width="7.1640625" style="160" bestFit="1" customWidth="1"/>
    <col min="4359" max="4359" width="4.5" style="160" bestFit="1" customWidth="1"/>
    <col min="4360" max="4360" width="5.5" style="160" bestFit="1" customWidth="1"/>
    <col min="4361" max="4363" width="6.1640625" style="160" bestFit="1" customWidth="1"/>
    <col min="4364" max="4364" width="7.1640625" style="160" bestFit="1" customWidth="1"/>
    <col min="4365" max="4374" width="8.83203125" style="160" customWidth="1"/>
    <col min="4375" max="4375" width="10" style="160" bestFit="1" customWidth="1"/>
    <col min="4376" max="4599" width="8.83203125" style="160" customWidth="1"/>
    <col min="4600" max="4600" width="7.83203125" style="160" customWidth="1"/>
    <col min="4601" max="4601" width="7.5" style="160" customWidth="1"/>
    <col min="4602" max="4602" width="9" style="160" customWidth="1"/>
    <col min="4603" max="4603" width="8.33203125" style="160" customWidth="1"/>
    <col min="4604" max="4606" width="8.5" style="160" bestFit="1" customWidth="1"/>
    <col min="4607" max="4607" width="10" style="160" bestFit="1" customWidth="1"/>
    <col min="4608" max="4608" width="8.1640625" style="160" bestFit="1" customWidth="1"/>
    <col min="4609" max="4610" width="8.5" style="160" bestFit="1" customWidth="1"/>
    <col min="4611" max="4611" width="6" style="160" bestFit="1" customWidth="1"/>
    <col min="4612" max="4612" width="8.83203125" style="160" customWidth="1"/>
    <col min="4613" max="4613" width="8.5" style="160" bestFit="1" customWidth="1"/>
    <col min="4614" max="4614" width="7.1640625" style="160" bestFit="1" customWidth="1"/>
    <col min="4615" max="4615" width="4.5" style="160" bestFit="1" customWidth="1"/>
    <col min="4616" max="4616" width="5.5" style="160" bestFit="1" customWidth="1"/>
    <col min="4617" max="4619" width="6.1640625" style="160" bestFit="1" customWidth="1"/>
    <col min="4620" max="4620" width="7.1640625" style="160" bestFit="1" customWidth="1"/>
    <col min="4621" max="4630" width="8.83203125" style="160" customWidth="1"/>
    <col min="4631" max="4631" width="10" style="160" bestFit="1" customWidth="1"/>
    <col min="4632" max="4855" width="8.83203125" style="160" customWidth="1"/>
    <col min="4856" max="4856" width="7.83203125" style="160" customWidth="1"/>
    <col min="4857" max="4857" width="7.5" style="160" customWidth="1"/>
    <col min="4858" max="4858" width="9" style="160" customWidth="1"/>
    <col min="4859" max="4859" width="8.33203125" style="160" customWidth="1"/>
    <col min="4860" max="4862" width="8.5" style="160" bestFit="1" customWidth="1"/>
    <col min="4863" max="4863" width="10" style="160" bestFit="1" customWidth="1"/>
    <col min="4864" max="4864" width="8.1640625" style="160" bestFit="1" customWidth="1"/>
    <col min="4865" max="4866" width="8.5" style="160" bestFit="1" customWidth="1"/>
    <col min="4867" max="4867" width="6" style="160" bestFit="1" customWidth="1"/>
    <col min="4868" max="4868" width="8.83203125" style="160" customWidth="1"/>
    <col min="4869" max="4869" width="8.5" style="160" bestFit="1" customWidth="1"/>
    <col min="4870" max="4870" width="7.1640625" style="160" bestFit="1" customWidth="1"/>
    <col min="4871" max="4871" width="4.5" style="160" bestFit="1" customWidth="1"/>
    <col min="4872" max="4872" width="5.5" style="160" bestFit="1" customWidth="1"/>
    <col min="4873" max="4875" width="6.1640625" style="160" bestFit="1" customWidth="1"/>
    <col min="4876" max="4876" width="7.1640625" style="160" bestFit="1" customWidth="1"/>
    <col min="4877" max="4886" width="8.83203125" style="160" customWidth="1"/>
    <col min="4887" max="4887" width="10" style="160" bestFit="1" customWidth="1"/>
    <col min="4888" max="5111" width="8.83203125" style="160" customWidth="1"/>
    <col min="5112" max="5112" width="7.83203125" style="160" customWidth="1"/>
    <col min="5113" max="5113" width="7.5" style="160" customWidth="1"/>
    <col min="5114" max="5114" width="9" style="160" customWidth="1"/>
    <col min="5115" max="5115" width="8.33203125" style="160" customWidth="1"/>
    <col min="5116" max="5118" width="8.5" style="160" bestFit="1" customWidth="1"/>
    <col min="5119" max="5119" width="10" style="160" bestFit="1" customWidth="1"/>
    <col min="5120" max="5120" width="8.1640625" style="160" bestFit="1" customWidth="1"/>
    <col min="5121" max="5122" width="8.5" style="160" bestFit="1" customWidth="1"/>
    <col min="5123" max="5123" width="6" style="160" bestFit="1" customWidth="1"/>
    <col min="5124" max="5124" width="8.83203125" style="160" customWidth="1"/>
    <col min="5125" max="5125" width="8.5" style="160" bestFit="1" customWidth="1"/>
    <col min="5126" max="5126" width="7.1640625" style="160" bestFit="1" customWidth="1"/>
    <col min="5127" max="5127" width="4.5" style="160" bestFit="1" customWidth="1"/>
    <col min="5128" max="5128" width="5.5" style="160" bestFit="1" customWidth="1"/>
    <col min="5129" max="5131" width="6.1640625" style="160" bestFit="1" customWidth="1"/>
    <col min="5132" max="5132" width="7.1640625" style="160" bestFit="1" customWidth="1"/>
    <col min="5133" max="5142" width="8.83203125" style="160" customWidth="1"/>
    <col min="5143" max="5143" width="10" style="160" bestFit="1" customWidth="1"/>
    <col min="5144" max="5367" width="8.83203125" style="160" customWidth="1"/>
    <col min="5368" max="5368" width="7.83203125" style="160" customWidth="1"/>
    <col min="5369" max="5369" width="7.5" style="160" customWidth="1"/>
    <col min="5370" max="5370" width="9" style="160" customWidth="1"/>
    <col min="5371" max="5371" width="8.33203125" style="160" customWidth="1"/>
    <col min="5372" max="5374" width="8.5" style="160" bestFit="1" customWidth="1"/>
    <col min="5375" max="5375" width="10" style="160" bestFit="1" customWidth="1"/>
    <col min="5376" max="5376" width="8.1640625" style="160" bestFit="1" customWidth="1"/>
    <col min="5377" max="5378" width="8.5" style="160" bestFit="1" customWidth="1"/>
    <col min="5379" max="5379" width="6" style="160" bestFit="1" customWidth="1"/>
    <col min="5380" max="5380" width="8.83203125" style="160" customWidth="1"/>
    <col min="5381" max="5381" width="8.5" style="160" bestFit="1" customWidth="1"/>
    <col min="5382" max="5382" width="7.1640625" style="160" bestFit="1" customWidth="1"/>
    <col min="5383" max="5383" width="4.5" style="160" bestFit="1" customWidth="1"/>
    <col min="5384" max="5384" width="5.5" style="160" bestFit="1" customWidth="1"/>
    <col min="5385" max="5387" width="6.1640625" style="160" bestFit="1" customWidth="1"/>
    <col min="5388" max="5388" width="7.1640625" style="160" bestFit="1" customWidth="1"/>
    <col min="5389" max="5398" width="8.83203125" style="160" customWidth="1"/>
    <col min="5399" max="5399" width="10" style="160" bestFit="1" customWidth="1"/>
    <col min="5400" max="5623" width="8.83203125" style="160" customWidth="1"/>
    <col min="5624" max="5624" width="7.83203125" style="160" customWidth="1"/>
    <col min="5625" max="5625" width="7.5" style="160" customWidth="1"/>
    <col min="5626" max="5626" width="9" style="160" customWidth="1"/>
    <col min="5627" max="5627" width="8.33203125" style="160" customWidth="1"/>
    <col min="5628" max="5630" width="8.5" style="160" bestFit="1" customWidth="1"/>
    <col min="5631" max="5631" width="10" style="160" bestFit="1" customWidth="1"/>
    <col min="5632" max="5632" width="8.1640625" style="160" bestFit="1" customWidth="1"/>
    <col min="5633" max="5634" width="8.5" style="160" bestFit="1" customWidth="1"/>
    <col min="5635" max="5635" width="6" style="160" bestFit="1" customWidth="1"/>
    <col min="5636" max="5636" width="8.83203125" style="160" customWidth="1"/>
    <col min="5637" max="5637" width="8.5" style="160" bestFit="1" customWidth="1"/>
    <col min="5638" max="5638" width="7.1640625" style="160" bestFit="1" customWidth="1"/>
    <col min="5639" max="5639" width="4.5" style="160" bestFit="1" customWidth="1"/>
    <col min="5640" max="5640" width="5.5" style="160" bestFit="1" customWidth="1"/>
    <col min="5641" max="5643" width="6.1640625" style="160" bestFit="1" customWidth="1"/>
    <col min="5644" max="5644" width="7.1640625" style="160" bestFit="1" customWidth="1"/>
    <col min="5645" max="5654" width="8.83203125" style="160" customWidth="1"/>
    <col min="5655" max="5655" width="10" style="160" bestFit="1" customWidth="1"/>
    <col min="5656" max="5879" width="8.83203125" style="160" customWidth="1"/>
    <col min="5880" max="5880" width="7.83203125" style="160" customWidth="1"/>
    <col min="5881" max="5881" width="7.5" style="160" customWidth="1"/>
    <col min="5882" max="5882" width="9" style="160" customWidth="1"/>
    <col min="5883" max="5883" width="8.33203125" style="160" customWidth="1"/>
    <col min="5884" max="5886" width="8.5" style="160" bestFit="1" customWidth="1"/>
    <col min="5887" max="5887" width="10" style="160" bestFit="1" customWidth="1"/>
    <col min="5888" max="5888" width="8.1640625" style="160" bestFit="1" customWidth="1"/>
    <col min="5889" max="5890" width="8.5" style="160" bestFit="1" customWidth="1"/>
    <col min="5891" max="5891" width="6" style="160" bestFit="1" customWidth="1"/>
    <col min="5892" max="5892" width="8.83203125" style="160" customWidth="1"/>
    <col min="5893" max="5893" width="8.5" style="160" bestFit="1" customWidth="1"/>
    <col min="5894" max="5894" width="7.1640625" style="160" bestFit="1" customWidth="1"/>
    <col min="5895" max="5895" width="4.5" style="160" bestFit="1" customWidth="1"/>
    <col min="5896" max="5896" width="5.5" style="160" bestFit="1" customWidth="1"/>
    <col min="5897" max="5899" width="6.1640625" style="160" bestFit="1" customWidth="1"/>
    <col min="5900" max="5900" width="7.1640625" style="160" bestFit="1" customWidth="1"/>
    <col min="5901" max="5910" width="8.83203125" style="160" customWidth="1"/>
    <col min="5911" max="5911" width="10" style="160" bestFit="1" customWidth="1"/>
    <col min="5912" max="6135" width="8.83203125" style="160" customWidth="1"/>
    <col min="6136" max="6136" width="7.83203125" style="160" customWidth="1"/>
    <col min="6137" max="6137" width="7.5" style="160" customWidth="1"/>
    <col min="6138" max="6138" width="9" style="160" customWidth="1"/>
    <col min="6139" max="6139" width="8.33203125" style="160" customWidth="1"/>
    <col min="6140" max="6142" width="8.5" style="160" bestFit="1" customWidth="1"/>
    <col min="6143" max="6143" width="10" style="160" bestFit="1" customWidth="1"/>
    <col min="6144" max="6144" width="8.1640625" style="160" bestFit="1" customWidth="1"/>
    <col min="6145" max="6146" width="8.5" style="160" bestFit="1" customWidth="1"/>
    <col min="6147" max="6147" width="6" style="160" bestFit="1" customWidth="1"/>
    <col min="6148" max="6148" width="8.83203125" style="160" customWidth="1"/>
    <col min="6149" max="6149" width="8.5" style="160" bestFit="1" customWidth="1"/>
    <col min="6150" max="6150" width="7.1640625" style="160" bestFit="1" customWidth="1"/>
    <col min="6151" max="6151" width="4.5" style="160" bestFit="1" customWidth="1"/>
    <col min="6152" max="6152" width="5.5" style="160" bestFit="1" customWidth="1"/>
    <col min="6153" max="6155" width="6.1640625" style="160" bestFit="1" customWidth="1"/>
    <col min="6156" max="6156" width="7.1640625" style="160" bestFit="1" customWidth="1"/>
    <col min="6157" max="6166" width="8.83203125" style="160" customWidth="1"/>
    <col min="6167" max="6167" width="10" style="160" bestFit="1" customWidth="1"/>
    <col min="6168" max="6391" width="8.83203125" style="160" customWidth="1"/>
    <col min="6392" max="6392" width="7.83203125" style="160" customWidth="1"/>
    <col min="6393" max="6393" width="7.5" style="160" customWidth="1"/>
    <col min="6394" max="6394" width="9" style="160" customWidth="1"/>
    <col min="6395" max="6395" width="8.33203125" style="160" customWidth="1"/>
    <col min="6396" max="6398" width="8.5" style="160" bestFit="1" customWidth="1"/>
    <col min="6399" max="6399" width="10" style="160" bestFit="1" customWidth="1"/>
    <col min="6400" max="6400" width="8.1640625" style="160" bestFit="1" customWidth="1"/>
    <col min="6401" max="6402" width="8.5" style="160" bestFit="1" customWidth="1"/>
    <col min="6403" max="6403" width="6" style="160" bestFit="1" customWidth="1"/>
    <col min="6404" max="6404" width="8.83203125" style="160" customWidth="1"/>
    <col min="6405" max="6405" width="8.5" style="160" bestFit="1" customWidth="1"/>
    <col min="6406" max="6406" width="7.1640625" style="160" bestFit="1" customWidth="1"/>
    <col min="6407" max="6407" width="4.5" style="160" bestFit="1" customWidth="1"/>
    <col min="6408" max="6408" width="5.5" style="160" bestFit="1" customWidth="1"/>
    <col min="6409" max="6411" width="6.1640625" style="160" bestFit="1" customWidth="1"/>
    <col min="6412" max="6412" width="7.1640625" style="160" bestFit="1" customWidth="1"/>
    <col min="6413" max="6422" width="8.83203125" style="160" customWidth="1"/>
    <col min="6423" max="6423" width="10" style="160" bestFit="1" customWidth="1"/>
    <col min="6424" max="6647" width="8.83203125" style="160" customWidth="1"/>
    <col min="6648" max="6648" width="7.83203125" style="160" customWidth="1"/>
    <col min="6649" max="6649" width="7.5" style="160" customWidth="1"/>
    <col min="6650" max="6650" width="9" style="160" customWidth="1"/>
    <col min="6651" max="6651" width="8.33203125" style="160" customWidth="1"/>
    <col min="6652" max="6654" width="8.5" style="160" bestFit="1" customWidth="1"/>
    <col min="6655" max="6655" width="10" style="160" bestFit="1" customWidth="1"/>
    <col min="6656" max="6656" width="8.1640625" style="160" bestFit="1" customWidth="1"/>
    <col min="6657" max="6658" width="8.5" style="160" bestFit="1" customWidth="1"/>
    <col min="6659" max="6659" width="6" style="160" bestFit="1" customWidth="1"/>
    <col min="6660" max="6660" width="8.83203125" style="160" customWidth="1"/>
    <col min="6661" max="6661" width="8.5" style="160" bestFit="1" customWidth="1"/>
    <col min="6662" max="6662" width="7.1640625" style="160" bestFit="1" customWidth="1"/>
    <col min="6663" max="6663" width="4.5" style="160" bestFit="1" customWidth="1"/>
    <col min="6664" max="6664" width="5.5" style="160" bestFit="1" customWidth="1"/>
    <col min="6665" max="6667" width="6.1640625" style="160" bestFit="1" customWidth="1"/>
    <col min="6668" max="6668" width="7.1640625" style="160" bestFit="1" customWidth="1"/>
    <col min="6669" max="6678" width="8.83203125" style="160" customWidth="1"/>
    <col min="6679" max="6679" width="10" style="160" bestFit="1" customWidth="1"/>
    <col min="6680" max="6903" width="8.83203125" style="160" customWidth="1"/>
    <col min="6904" max="6904" width="7.83203125" style="160" customWidth="1"/>
    <col min="6905" max="6905" width="7.5" style="160" customWidth="1"/>
    <col min="6906" max="6906" width="9" style="160" customWidth="1"/>
    <col min="6907" max="6907" width="8.33203125" style="160" customWidth="1"/>
    <col min="6908" max="6910" width="8.5" style="160" bestFit="1" customWidth="1"/>
    <col min="6911" max="6911" width="10" style="160" bestFit="1" customWidth="1"/>
    <col min="6912" max="6912" width="8.1640625" style="160" bestFit="1" customWidth="1"/>
    <col min="6913" max="6914" width="8.5" style="160" bestFit="1" customWidth="1"/>
    <col min="6915" max="6915" width="6" style="160" bestFit="1" customWidth="1"/>
    <col min="6916" max="6916" width="8.83203125" style="160" customWidth="1"/>
    <col min="6917" max="6917" width="8.5" style="160" bestFit="1" customWidth="1"/>
    <col min="6918" max="6918" width="7.1640625" style="160" bestFit="1" customWidth="1"/>
    <col min="6919" max="6919" width="4.5" style="160" bestFit="1" customWidth="1"/>
    <col min="6920" max="6920" width="5.5" style="160" bestFit="1" customWidth="1"/>
    <col min="6921" max="6923" width="6.1640625" style="160" bestFit="1" customWidth="1"/>
    <col min="6924" max="6924" width="7.1640625" style="160" bestFit="1" customWidth="1"/>
    <col min="6925" max="6934" width="8.83203125" style="160" customWidth="1"/>
    <col min="6935" max="6935" width="10" style="160" bestFit="1" customWidth="1"/>
    <col min="6936" max="7159" width="8.83203125" style="160" customWidth="1"/>
    <col min="7160" max="7160" width="7.83203125" style="160" customWidth="1"/>
    <col min="7161" max="7161" width="7.5" style="160" customWidth="1"/>
    <col min="7162" max="7162" width="9" style="160" customWidth="1"/>
    <col min="7163" max="7163" width="8.33203125" style="160" customWidth="1"/>
    <col min="7164" max="7166" width="8.5" style="160" bestFit="1" customWidth="1"/>
    <col min="7167" max="7167" width="10" style="160" bestFit="1" customWidth="1"/>
    <col min="7168" max="7168" width="8.1640625" style="160" bestFit="1" customWidth="1"/>
    <col min="7169" max="7170" width="8.5" style="160" bestFit="1" customWidth="1"/>
    <col min="7171" max="7171" width="6" style="160" bestFit="1" customWidth="1"/>
    <col min="7172" max="7172" width="8.83203125" style="160" customWidth="1"/>
    <col min="7173" max="7173" width="8.5" style="160" bestFit="1" customWidth="1"/>
    <col min="7174" max="7174" width="7.1640625" style="160" bestFit="1" customWidth="1"/>
    <col min="7175" max="7175" width="4.5" style="160" bestFit="1" customWidth="1"/>
    <col min="7176" max="7176" width="5.5" style="160" bestFit="1" customWidth="1"/>
    <col min="7177" max="7179" width="6.1640625" style="160" bestFit="1" customWidth="1"/>
    <col min="7180" max="7180" width="7.1640625" style="160" bestFit="1" customWidth="1"/>
    <col min="7181" max="7190" width="8.83203125" style="160" customWidth="1"/>
    <col min="7191" max="7191" width="10" style="160" bestFit="1" customWidth="1"/>
    <col min="7192" max="7415" width="8.83203125" style="160" customWidth="1"/>
    <col min="7416" max="7416" width="7.83203125" style="160" customWidth="1"/>
    <col min="7417" max="7417" width="7.5" style="160" customWidth="1"/>
    <col min="7418" max="7418" width="9" style="160" customWidth="1"/>
    <col min="7419" max="7419" width="8.33203125" style="160" customWidth="1"/>
    <col min="7420" max="7422" width="8.5" style="160" bestFit="1" customWidth="1"/>
    <col min="7423" max="7423" width="10" style="160" bestFit="1" customWidth="1"/>
    <col min="7424" max="7424" width="8.1640625" style="160" bestFit="1" customWidth="1"/>
    <col min="7425" max="7426" width="8.5" style="160" bestFit="1" customWidth="1"/>
    <col min="7427" max="7427" width="6" style="160" bestFit="1" customWidth="1"/>
    <col min="7428" max="7428" width="8.83203125" style="160" customWidth="1"/>
    <col min="7429" max="7429" width="8.5" style="160" bestFit="1" customWidth="1"/>
    <col min="7430" max="7430" width="7.1640625" style="160" bestFit="1" customWidth="1"/>
    <col min="7431" max="7431" width="4.5" style="160" bestFit="1" customWidth="1"/>
    <col min="7432" max="7432" width="5.5" style="160" bestFit="1" customWidth="1"/>
    <col min="7433" max="7435" width="6.1640625" style="160" bestFit="1" customWidth="1"/>
    <col min="7436" max="7436" width="7.1640625" style="160" bestFit="1" customWidth="1"/>
    <col min="7437" max="7446" width="8.83203125" style="160" customWidth="1"/>
    <col min="7447" max="7447" width="10" style="160" bestFit="1" customWidth="1"/>
    <col min="7448" max="7671" width="8.83203125" style="160" customWidth="1"/>
    <col min="7672" max="7672" width="7.83203125" style="160" customWidth="1"/>
    <col min="7673" max="7673" width="7.5" style="160" customWidth="1"/>
    <col min="7674" max="7674" width="9" style="160" customWidth="1"/>
    <col min="7675" max="7675" width="8.33203125" style="160" customWidth="1"/>
    <col min="7676" max="7678" width="8.5" style="160" bestFit="1" customWidth="1"/>
    <col min="7679" max="7679" width="10" style="160" bestFit="1" customWidth="1"/>
    <col min="7680" max="7680" width="8.1640625" style="160" bestFit="1" customWidth="1"/>
    <col min="7681" max="7682" width="8.5" style="160" bestFit="1" customWidth="1"/>
    <col min="7683" max="7683" width="6" style="160" bestFit="1" customWidth="1"/>
    <col min="7684" max="7684" width="8.83203125" style="160" customWidth="1"/>
    <col min="7685" max="7685" width="8.5" style="160" bestFit="1" customWidth="1"/>
    <col min="7686" max="7686" width="7.1640625" style="160" bestFit="1" customWidth="1"/>
    <col min="7687" max="7687" width="4.5" style="160" bestFit="1" customWidth="1"/>
    <col min="7688" max="7688" width="5.5" style="160" bestFit="1" customWidth="1"/>
    <col min="7689" max="7691" width="6.1640625" style="160" bestFit="1" customWidth="1"/>
    <col min="7692" max="7692" width="7.1640625" style="160" bestFit="1" customWidth="1"/>
    <col min="7693" max="7702" width="8.83203125" style="160" customWidth="1"/>
    <col min="7703" max="7703" width="10" style="160" bestFit="1" customWidth="1"/>
    <col min="7704" max="7927" width="8.83203125" style="160" customWidth="1"/>
    <col min="7928" max="7928" width="7.83203125" style="160" customWidth="1"/>
    <col min="7929" max="7929" width="7.5" style="160" customWidth="1"/>
    <col min="7930" max="7930" width="9" style="160" customWidth="1"/>
    <col min="7931" max="7931" width="8.33203125" style="160" customWidth="1"/>
    <col min="7932" max="7934" width="8.5" style="160" bestFit="1" customWidth="1"/>
    <col min="7935" max="7935" width="10" style="160" bestFit="1" customWidth="1"/>
    <col min="7936" max="7936" width="8.1640625" style="160" bestFit="1" customWidth="1"/>
    <col min="7937" max="7938" width="8.5" style="160" bestFit="1" customWidth="1"/>
    <col min="7939" max="7939" width="6" style="160" bestFit="1" customWidth="1"/>
    <col min="7940" max="7940" width="8.83203125" style="160" customWidth="1"/>
    <col min="7941" max="7941" width="8.5" style="160" bestFit="1" customWidth="1"/>
    <col min="7942" max="7942" width="7.1640625" style="160" bestFit="1" customWidth="1"/>
    <col min="7943" max="7943" width="4.5" style="160" bestFit="1" customWidth="1"/>
    <col min="7944" max="7944" width="5.5" style="160" bestFit="1" customWidth="1"/>
    <col min="7945" max="7947" width="6.1640625" style="160" bestFit="1" customWidth="1"/>
    <col min="7948" max="7948" width="7.1640625" style="160" bestFit="1" customWidth="1"/>
    <col min="7949" max="7958" width="8.83203125" style="160" customWidth="1"/>
    <col min="7959" max="7959" width="10" style="160" bestFit="1" customWidth="1"/>
    <col min="7960" max="8183" width="8.83203125" style="160" customWidth="1"/>
    <col min="8184" max="8184" width="7.83203125" style="160" customWidth="1"/>
    <col min="8185" max="8185" width="7.5" style="160" customWidth="1"/>
    <col min="8186" max="8186" width="9" style="160" customWidth="1"/>
    <col min="8187" max="8187" width="8.33203125" style="160" customWidth="1"/>
    <col min="8188" max="8190" width="8.5" style="160" bestFit="1" customWidth="1"/>
    <col min="8191" max="8191" width="10" style="160" bestFit="1" customWidth="1"/>
    <col min="8192" max="8192" width="8.1640625" style="160" bestFit="1" customWidth="1"/>
    <col min="8193" max="8194" width="8.5" style="160" bestFit="1" customWidth="1"/>
    <col min="8195" max="8195" width="6" style="160" bestFit="1" customWidth="1"/>
    <col min="8196" max="8196" width="8.83203125" style="160" customWidth="1"/>
    <col min="8197" max="8197" width="8.5" style="160" bestFit="1" customWidth="1"/>
    <col min="8198" max="8198" width="7.1640625" style="160" bestFit="1" customWidth="1"/>
    <col min="8199" max="8199" width="4.5" style="160" bestFit="1" customWidth="1"/>
    <col min="8200" max="8200" width="5.5" style="160" bestFit="1" customWidth="1"/>
    <col min="8201" max="8203" width="6.1640625" style="160" bestFit="1" customWidth="1"/>
    <col min="8204" max="8204" width="7.1640625" style="160" bestFit="1" customWidth="1"/>
    <col min="8205" max="8214" width="8.83203125" style="160" customWidth="1"/>
    <col min="8215" max="8215" width="10" style="160" bestFit="1" customWidth="1"/>
    <col min="8216" max="8439" width="8.83203125" style="160" customWidth="1"/>
    <col min="8440" max="8440" width="7.83203125" style="160" customWidth="1"/>
    <col min="8441" max="8441" width="7.5" style="160" customWidth="1"/>
    <col min="8442" max="8442" width="9" style="160" customWidth="1"/>
    <col min="8443" max="8443" width="8.33203125" style="160" customWidth="1"/>
    <col min="8444" max="8446" width="8.5" style="160" bestFit="1" customWidth="1"/>
    <col min="8447" max="8447" width="10" style="160" bestFit="1" customWidth="1"/>
    <col min="8448" max="8448" width="8.1640625" style="160" bestFit="1" customWidth="1"/>
    <col min="8449" max="8450" width="8.5" style="160" bestFit="1" customWidth="1"/>
    <col min="8451" max="8451" width="6" style="160" bestFit="1" customWidth="1"/>
    <col min="8452" max="8452" width="8.83203125" style="160" customWidth="1"/>
    <col min="8453" max="8453" width="8.5" style="160" bestFit="1" customWidth="1"/>
    <col min="8454" max="8454" width="7.1640625" style="160" bestFit="1" customWidth="1"/>
    <col min="8455" max="8455" width="4.5" style="160" bestFit="1" customWidth="1"/>
    <col min="8456" max="8456" width="5.5" style="160" bestFit="1" customWidth="1"/>
    <col min="8457" max="8459" width="6.1640625" style="160" bestFit="1" customWidth="1"/>
    <col min="8460" max="8460" width="7.1640625" style="160" bestFit="1" customWidth="1"/>
    <col min="8461" max="8470" width="8.83203125" style="160" customWidth="1"/>
    <col min="8471" max="8471" width="10" style="160" bestFit="1" customWidth="1"/>
    <col min="8472" max="8695" width="8.83203125" style="160" customWidth="1"/>
    <col min="8696" max="8696" width="7.83203125" style="160" customWidth="1"/>
    <col min="8697" max="8697" width="7.5" style="160" customWidth="1"/>
    <col min="8698" max="8698" width="9" style="160" customWidth="1"/>
    <col min="8699" max="8699" width="8.33203125" style="160" customWidth="1"/>
    <col min="8700" max="8702" width="8.5" style="160" bestFit="1" customWidth="1"/>
    <col min="8703" max="8703" width="10" style="160" bestFit="1" customWidth="1"/>
    <col min="8704" max="8704" width="8.1640625" style="160" bestFit="1" customWidth="1"/>
    <col min="8705" max="8706" width="8.5" style="160" bestFit="1" customWidth="1"/>
    <col min="8707" max="8707" width="6" style="160" bestFit="1" customWidth="1"/>
    <col min="8708" max="8708" width="8.83203125" style="160" customWidth="1"/>
    <col min="8709" max="8709" width="8.5" style="160" bestFit="1" customWidth="1"/>
    <col min="8710" max="8710" width="7.1640625" style="160" bestFit="1" customWidth="1"/>
    <col min="8711" max="8711" width="4.5" style="160" bestFit="1" customWidth="1"/>
    <col min="8712" max="8712" width="5.5" style="160" bestFit="1" customWidth="1"/>
    <col min="8713" max="8715" width="6.1640625" style="160" bestFit="1" customWidth="1"/>
    <col min="8716" max="8716" width="7.1640625" style="160" bestFit="1" customWidth="1"/>
    <col min="8717" max="8726" width="8.83203125" style="160" customWidth="1"/>
    <col min="8727" max="8727" width="10" style="160" bestFit="1" customWidth="1"/>
    <col min="8728" max="8951" width="8.83203125" style="160" customWidth="1"/>
    <col min="8952" max="8952" width="7.83203125" style="160" customWidth="1"/>
    <col min="8953" max="8953" width="7.5" style="160" customWidth="1"/>
    <col min="8954" max="8954" width="9" style="160" customWidth="1"/>
    <col min="8955" max="8955" width="8.33203125" style="160" customWidth="1"/>
    <col min="8956" max="8958" width="8.5" style="160" bestFit="1" customWidth="1"/>
    <col min="8959" max="8959" width="10" style="160" bestFit="1" customWidth="1"/>
    <col min="8960" max="8960" width="8.1640625" style="160" bestFit="1" customWidth="1"/>
    <col min="8961" max="8962" width="8.5" style="160" bestFit="1" customWidth="1"/>
    <col min="8963" max="8963" width="6" style="160" bestFit="1" customWidth="1"/>
    <col min="8964" max="8964" width="8.83203125" style="160" customWidth="1"/>
    <col min="8965" max="8965" width="8.5" style="160" bestFit="1" customWidth="1"/>
    <col min="8966" max="8966" width="7.1640625" style="160" bestFit="1" customWidth="1"/>
    <col min="8967" max="8967" width="4.5" style="160" bestFit="1" customWidth="1"/>
    <col min="8968" max="8968" width="5.5" style="160" bestFit="1" customWidth="1"/>
    <col min="8969" max="8971" width="6.1640625" style="160" bestFit="1" customWidth="1"/>
    <col min="8972" max="8972" width="7.1640625" style="160" bestFit="1" customWidth="1"/>
    <col min="8973" max="8982" width="8.83203125" style="160" customWidth="1"/>
    <col min="8983" max="8983" width="10" style="160" bestFit="1" customWidth="1"/>
    <col min="8984" max="9207" width="8.83203125" style="160" customWidth="1"/>
    <col min="9208" max="9208" width="7.83203125" style="160" customWidth="1"/>
    <col min="9209" max="9209" width="7.5" style="160" customWidth="1"/>
    <col min="9210" max="9210" width="9" style="160" customWidth="1"/>
    <col min="9211" max="9211" width="8.33203125" style="160" customWidth="1"/>
    <col min="9212" max="9214" width="8.5" style="160" bestFit="1" customWidth="1"/>
    <col min="9215" max="9215" width="10" style="160" bestFit="1" customWidth="1"/>
    <col min="9216" max="9216" width="8.1640625" style="160" bestFit="1" customWidth="1"/>
    <col min="9217" max="9218" width="8.5" style="160" bestFit="1" customWidth="1"/>
    <col min="9219" max="9219" width="6" style="160" bestFit="1" customWidth="1"/>
    <col min="9220" max="9220" width="8.83203125" style="160" customWidth="1"/>
    <col min="9221" max="9221" width="8.5" style="160" bestFit="1" customWidth="1"/>
    <col min="9222" max="9222" width="7.1640625" style="160" bestFit="1" customWidth="1"/>
    <col min="9223" max="9223" width="4.5" style="160" bestFit="1" customWidth="1"/>
    <col min="9224" max="9224" width="5.5" style="160" bestFit="1" customWidth="1"/>
    <col min="9225" max="9227" width="6.1640625" style="160" bestFit="1" customWidth="1"/>
    <col min="9228" max="9228" width="7.1640625" style="160" bestFit="1" customWidth="1"/>
    <col min="9229" max="9238" width="8.83203125" style="160" customWidth="1"/>
    <col min="9239" max="9239" width="10" style="160" bestFit="1" customWidth="1"/>
    <col min="9240" max="9463" width="8.83203125" style="160" customWidth="1"/>
    <col min="9464" max="9464" width="7.83203125" style="160" customWidth="1"/>
    <col min="9465" max="9465" width="7.5" style="160" customWidth="1"/>
    <col min="9466" max="9466" width="9" style="160" customWidth="1"/>
    <col min="9467" max="9467" width="8.33203125" style="160" customWidth="1"/>
    <col min="9468" max="9470" width="8.5" style="160" bestFit="1" customWidth="1"/>
    <col min="9471" max="9471" width="10" style="160" bestFit="1" customWidth="1"/>
    <col min="9472" max="9472" width="8.1640625" style="160" bestFit="1" customWidth="1"/>
    <col min="9473" max="9474" width="8.5" style="160" bestFit="1" customWidth="1"/>
    <col min="9475" max="9475" width="6" style="160" bestFit="1" customWidth="1"/>
    <col min="9476" max="9476" width="8.83203125" style="160" customWidth="1"/>
    <col min="9477" max="9477" width="8.5" style="160" bestFit="1" customWidth="1"/>
    <col min="9478" max="9478" width="7.1640625" style="160" bestFit="1" customWidth="1"/>
    <col min="9479" max="9479" width="4.5" style="160" bestFit="1" customWidth="1"/>
    <col min="9480" max="9480" width="5.5" style="160" bestFit="1" customWidth="1"/>
    <col min="9481" max="9483" width="6.1640625" style="160" bestFit="1" customWidth="1"/>
    <col min="9484" max="9484" width="7.1640625" style="160" bestFit="1" customWidth="1"/>
    <col min="9485" max="9494" width="8.83203125" style="160" customWidth="1"/>
    <col min="9495" max="9495" width="10" style="160" bestFit="1" customWidth="1"/>
    <col min="9496" max="9719" width="8.83203125" style="160" customWidth="1"/>
    <col min="9720" max="9720" width="7.83203125" style="160" customWidth="1"/>
    <col min="9721" max="9721" width="7.5" style="160" customWidth="1"/>
    <col min="9722" max="9722" width="9" style="160" customWidth="1"/>
    <col min="9723" max="9723" width="8.33203125" style="160" customWidth="1"/>
    <col min="9724" max="9726" width="8.5" style="160" bestFit="1" customWidth="1"/>
    <col min="9727" max="9727" width="10" style="160" bestFit="1" customWidth="1"/>
    <col min="9728" max="9728" width="8.1640625" style="160" bestFit="1" customWidth="1"/>
    <col min="9729" max="9730" width="8.5" style="160" bestFit="1" customWidth="1"/>
    <col min="9731" max="9731" width="6" style="160" bestFit="1" customWidth="1"/>
    <col min="9732" max="9732" width="8.83203125" style="160" customWidth="1"/>
    <col min="9733" max="9733" width="8.5" style="160" bestFit="1" customWidth="1"/>
    <col min="9734" max="9734" width="7.1640625" style="160" bestFit="1" customWidth="1"/>
    <col min="9735" max="9735" width="4.5" style="160" bestFit="1" customWidth="1"/>
    <col min="9736" max="9736" width="5.5" style="160" bestFit="1" customWidth="1"/>
    <col min="9737" max="9739" width="6.1640625" style="160" bestFit="1" customWidth="1"/>
    <col min="9740" max="9740" width="7.1640625" style="160" bestFit="1" customWidth="1"/>
    <col min="9741" max="9750" width="8.83203125" style="160" customWidth="1"/>
    <col min="9751" max="9751" width="10" style="160" bestFit="1" customWidth="1"/>
    <col min="9752" max="9975" width="8.83203125" style="160" customWidth="1"/>
    <col min="9976" max="9976" width="7.83203125" style="160" customWidth="1"/>
    <col min="9977" max="9977" width="7.5" style="160" customWidth="1"/>
    <col min="9978" max="9978" width="9" style="160" customWidth="1"/>
    <col min="9979" max="9979" width="8.33203125" style="160" customWidth="1"/>
    <col min="9980" max="9982" width="8.5" style="160" bestFit="1" customWidth="1"/>
    <col min="9983" max="9983" width="10" style="160" bestFit="1" customWidth="1"/>
    <col min="9984" max="9984" width="8.1640625" style="160" bestFit="1" customWidth="1"/>
    <col min="9985" max="9986" width="8.5" style="160" bestFit="1" customWidth="1"/>
    <col min="9987" max="9987" width="6" style="160" bestFit="1" customWidth="1"/>
    <col min="9988" max="9988" width="8.83203125" style="160" customWidth="1"/>
    <col min="9989" max="9989" width="8.5" style="160" bestFit="1" customWidth="1"/>
    <col min="9990" max="9990" width="7.1640625" style="160" bestFit="1" customWidth="1"/>
    <col min="9991" max="9991" width="4.5" style="160" bestFit="1" customWidth="1"/>
    <col min="9992" max="9992" width="5.5" style="160" bestFit="1" customWidth="1"/>
    <col min="9993" max="9995" width="6.1640625" style="160" bestFit="1" customWidth="1"/>
    <col min="9996" max="9996" width="7.1640625" style="160" bestFit="1" customWidth="1"/>
    <col min="9997" max="10006" width="8.83203125" style="160" customWidth="1"/>
    <col min="10007" max="10007" width="10" style="160" bestFit="1" customWidth="1"/>
    <col min="10008" max="10231" width="8.83203125" style="160" customWidth="1"/>
    <col min="10232" max="10232" width="7.83203125" style="160" customWidth="1"/>
    <col min="10233" max="10233" width="7.5" style="160" customWidth="1"/>
    <col min="10234" max="10234" width="9" style="160" customWidth="1"/>
    <col min="10235" max="10235" width="8.33203125" style="160" customWidth="1"/>
    <col min="10236" max="10238" width="8.5" style="160" bestFit="1" customWidth="1"/>
    <col min="10239" max="10239" width="10" style="160" bestFit="1" customWidth="1"/>
    <col min="10240" max="10240" width="8.1640625" style="160" bestFit="1" customWidth="1"/>
    <col min="10241" max="10242" width="8.5" style="160" bestFit="1" customWidth="1"/>
    <col min="10243" max="10243" width="6" style="160" bestFit="1" customWidth="1"/>
    <col min="10244" max="10244" width="8.83203125" style="160" customWidth="1"/>
    <col min="10245" max="10245" width="8.5" style="160" bestFit="1" customWidth="1"/>
    <col min="10246" max="10246" width="7.1640625" style="160" bestFit="1" customWidth="1"/>
    <col min="10247" max="10247" width="4.5" style="160" bestFit="1" customWidth="1"/>
    <col min="10248" max="10248" width="5.5" style="160" bestFit="1" customWidth="1"/>
    <col min="10249" max="10251" width="6.1640625" style="160" bestFit="1" customWidth="1"/>
    <col min="10252" max="10252" width="7.1640625" style="160" bestFit="1" customWidth="1"/>
    <col min="10253" max="10262" width="8.83203125" style="160" customWidth="1"/>
    <col min="10263" max="10263" width="10" style="160" bestFit="1" customWidth="1"/>
    <col min="10264" max="10487" width="8.83203125" style="160" customWidth="1"/>
    <col min="10488" max="10488" width="7.83203125" style="160" customWidth="1"/>
    <col min="10489" max="10489" width="7.5" style="160" customWidth="1"/>
    <col min="10490" max="10490" width="9" style="160" customWidth="1"/>
    <col min="10491" max="10491" width="8.33203125" style="160" customWidth="1"/>
    <col min="10492" max="10494" width="8.5" style="160" bestFit="1" customWidth="1"/>
    <col min="10495" max="10495" width="10" style="160" bestFit="1" customWidth="1"/>
    <col min="10496" max="10496" width="8.1640625" style="160" bestFit="1" customWidth="1"/>
    <col min="10497" max="10498" width="8.5" style="160" bestFit="1" customWidth="1"/>
    <col min="10499" max="10499" width="6" style="160" bestFit="1" customWidth="1"/>
    <col min="10500" max="10500" width="8.83203125" style="160" customWidth="1"/>
    <col min="10501" max="10501" width="8.5" style="160" bestFit="1" customWidth="1"/>
    <col min="10502" max="10502" width="7.1640625" style="160" bestFit="1" customWidth="1"/>
    <col min="10503" max="10503" width="4.5" style="160" bestFit="1" customWidth="1"/>
    <col min="10504" max="10504" width="5.5" style="160" bestFit="1" customWidth="1"/>
    <col min="10505" max="10507" width="6.1640625" style="160" bestFit="1" customWidth="1"/>
    <col min="10508" max="10508" width="7.1640625" style="160" bestFit="1" customWidth="1"/>
    <col min="10509" max="10518" width="8.83203125" style="160" customWidth="1"/>
    <col min="10519" max="10519" width="10" style="160" bestFit="1" customWidth="1"/>
    <col min="10520" max="10743" width="8.83203125" style="160" customWidth="1"/>
    <col min="10744" max="10744" width="7.83203125" style="160" customWidth="1"/>
    <col min="10745" max="10745" width="7.5" style="160" customWidth="1"/>
    <col min="10746" max="10746" width="9" style="160" customWidth="1"/>
    <col min="10747" max="10747" width="8.33203125" style="160" customWidth="1"/>
    <col min="10748" max="10750" width="8.5" style="160" bestFit="1" customWidth="1"/>
    <col min="10751" max="10751" width="10" style="160" bestFit="1" customWidth="1"/>
    <col min="10752" max="10752" width="8.1640625" style="160" bestFit="1" customWidth="1"/>
    <col min="10753" max="10754" width="8.5" style="160" bestFit="1" customWidth="1"/>
    <col min="10755" max="10755" width="6" style="160" bestFit="1" customWidth="1"/>
    <col min="10756" max="10756" width="8.83203125" style="160" customWidth="1"/>
    <col min="10757" max="10757" width="8.5" style="160" bestFit="1" customWidth="1"/>
    <col min="10758" max="10758" width="7.1640625" style="160" bestFit="1" customWidth="1"/>
    <col min="10759" max="10759" width="4.5" style="160" bestFit="1" customWidth="1"/>
    <col min="10760" max="10760" width="5.5" style="160" bestFit="1" customWidth="1"/>
    <col min="10761" max="10763" width="6.1640625" style="160" bestFit="1" customWidth="1"/>
    <col min="10764" max="10764" width="7.1640625" style="160" bestFit="1" customWidth="1"/>
    <col min="10765" max="10774" width="8.83203125" style="160" customWidth="1"/>
    <col min="10775" max="10775" width="10" style="160" bestFit="1" customWidth="1"/>
    <col min="10776" max="10999" width="8.83203125" style="160" customWidth="1"/>
    <col min="11000" max="11000" width="7.83203125" style="160" customWidth="1"/>
    <col min="11001" max="11001" width="7.5" style="160" customWidth="1"/>
    <col min="11002" max="11002" width="9" style="160" customWidth="1"/>
    <col min="11003" max="11003" width="8.33203125" style="160" customWidth="1"/>
    <col min="11004" max="11006" width="8.5" style="160" bestFit="1" customWidth="1"/>
    <col min="11007" max="11007" width="10" style="160" bestFit="1" customWidth="1"/>
    <col min="11008" max="11008" width="8.1640625" style="160" bestFit="1" customWidth="1"/>
    <col min="11009" max="11010" width="8.5" style="160" bestFit="1" customWidth="1"/>
    <col min="11011" max="11011" width="6" style="160" bestFit="1" customWidth="1"/>
    <col min="11012" max="11012" width="8.83203125" style="160" customWidth="1"/>
    <col min="11013" max="11013" width="8.5" style="160" bestFit="1" customWidth="1"/>
    <col min="11014" max="11014" width="7.1640625" style="160" bestFit="1" customWidth="1"/>
    <col min="11015" max="11015" width="4.5" style="160" bestFit="1" customWidth="1"/>
    <col min="11016" max="11016" width="5.5" style="160" bestFit="1" customWidth="1"/>
    <col min="11017" max="11019" width="6.1640625" style="160" bestFit="1" customWidth="1"/>
    <col min="11020" max="11020" width="7.1640625" style="160" bestFit="1" customWidth="1"/>
    <col min="11021" max="11030" width="8.83203125" style="160" customWidth="1"/>
    <col min="11031" max="11031" width="10" style="160" bestFit="1" customWidth="1"/>
    <col min="11032" max="11255" width="8.83203125" style="160" customWidth="1"/>
    <col min="11256" max="11256" width="7.83203125" style="160" customWidth="1"/>
    <col min="11257" max="11257" width="7.5" style="160" customWidth="1"/>
    <col min="11258" max="11258" width="9" style="160" customWidth="1"/>
    <col min="11259" max="11259" width="8.33203125" style="160" customWidth="1"/>
    <col min="11260" max="11262" width="8.5" style="160" bestFit="1" customWidth="1"/>
    <col min="11263" max="11263" width="10" style="160" bestFit="1" customWidth="1"/>
    <col min="11264" max="11264" width="8.1640625" style="160" bestFit="1" customWidth="1"/>
    <col min="11265" max="11266" width="8.5" style="160" bestFit="1" customWidth="1"/>
    <col min="11267" max="11267" width="6" style="160" bestFit="1" customWidth="1"/>
    <col min="11268" max="11268" width="8.83203125" style="160" customWidth="1"/>
    <col min="11269" max="11269" width="8.5" style="160" bestFit="1" customWidth="1"/>
    <col min="11270" max="11270" width="7.1640625" style="160" bestFit="1" customWidth="1"/>
    <col min="11271" max="11271" width="4.5" style="160" bestFit="1" customWidth="1"/>
    <col min="11272" max="11272" width="5.5" style="160" bestFit="1" customWidth="1"/>
    <col min="11273" max="11275" width="6.1640625" style="160" bestFit="1" customWidth="1"/>
    <col min="11276" max="11276" width="7.1640625" style="160" bestFit="1" customWidth="1"/>
    <col min="11277" max="11286" width="8.83203125" style="160" customWidth="1"/>
    <col min="11287" max="11287" width="10" style="160" bestFit="1" customWidth="1"/>
    <col min="11288" max="11511" width="8.83203125" style="160" customWidth="1"/>
    <col min="11512" max="11512" width="7.83203125" style="160" customWidth="1"/>
    <col min="11513" max="11513" width="7.5" style="160" customWidth="1"/>
    <col min="11514" max="11514" width="9" style="160" customWidth="1"/>
    <col min="11515" max="11515" width="8.33203125" style="160" customWidth="1"/>
    <col min="11516" max="11518" width="8.5" style="160" bestFit="1" customWidth="1"/>
    <col min="11519" max="11519" width="10" style="160" bestFit="1" customWidth="1"/>
    <col min="11520" max="11520" width="8.1640625" style="160" bestFit="1" customWidth="1"/>
    <col min="11521" max="11522" width="8.5" style="160" bestFit="1" customWidth="1"/>
    <col min="11523" max="11523" width="6" style="160" bestFit="1" customWidth="1"/>
    <col min="11524" max="11524" width="8.83203125" style="160" customWidth="1"/>
    <col min="11525" max="11525" width="8.5" style="160" bestFit="1" customWidth="1"/>
    <col min="11526" max="11526" width="7.1640625" style="160" bestFit="1" customWidth="1"/>
    <col min="11527" max="11527" width="4.5" style="160" bestFit="1" customWidth="1"/>
    <col min="11528" max="11528" width="5.5" style="160" bestFit="1" customWidth="1"/>
    <col min="11529" max="11531" width="6.1640625" style="160" bestFit="1" customWidth="1"/>
    <col min="11532" max="11532" width="7.1640625" style="160" bestFit="1" customWidth="1"/>
    <col min="11533" max="11542" width="8.83203125" style="160" customWidth="1"/>
    <col min="11543" max="11543" width="10" style="160" bestFit="1" customWidth="1"/>
    <col min="11544" max="11767" width="8.83203125" style="160" customWidth="1"/>
    <col min="11768" max="11768" width="7.83203125" style="160" customWidth="1"/>
    <col min="11769" max="11769" width="7.5" style="160" customWidth="1"/>
    <col min="11770" max="11770" width="9" style="160" customWidth="1"/>
    <col min="11771" max="11771" width="8.33203125" style="160" customWidth="1"/>
    <col min="11772" max="11774" width="8.5" style="160" bestFit="1" customWidth="1"/>
    <col min="11775" max="11775" width="10" style="160" bestFit="1" customWidth="1"/>
    <col min="11776" max="11776" width="8.1640625" style="160" bestFit="1" customWidth="1"/>
    <col min="11777" max="11778" width="8.5" style="160" bestFit="1" customWidth="1"/>
    <col min="11779" max="11779" width="6" style="160" bestFit="1" customWidth="1"/>
    <col min="11780" max="11780" width="8.83203125" style="160" customWidth="1"/>
    <col min="11781" max="11781" width="8.5" style="160" bestFit="1" customWidth="1"/>
    <col min="11782" max="11782" width="7.1640625" style="160" bestFit="1" customWidth="1"/>
    <col min="11783" max="11783" width="4.5" style="160" bestFit="1" customWidth="1"/>
    <col min="11784" max="11784" width="5.5" style="160" bestFit="1" customWidth="1"/>
    <col min="11785" max="11787" width="6.1640625" style="160" bestFit="1" customWidth="1"/>
    <col min="11788" max="11788" width="7.1640625" style="160" bestFit="1" customWidth="1"/>
    <col min="11789" max="11798" width="8.83203125" style="160" customWidth="1"/>
    <col min="11799" max="11799" width="10" style="160" bestFit="1" customWidth="1"/>
    <col min="11800" max="12023" width="8.83203125" style="160" customWidth="1"/>
    <col min="12024" max="12024" width="7.83203125" style="160" customWidth="1"/>
    <col min="12025" max="12025" width="7.5" style="160" customWidth="1"/>
    <col min="12026" max="12026" width="9" style="160" customWidth="1"/>
    <col min="12027" max="12027" width="8.33203125" style="160" customWidth="1"/>
    <col min="12028" max="12030" width="8.5" style="160" bestFit="1" customWidth="1"/>
    <col min="12031" max="12031" width="10" style="160" bestFit="1" customWidth="1"/>
    <col min="12032" max="12032" width="8.1640625" style="160" bestFit="1" customWidth="1"/>
    <col min="12033" max="12034" width="8.5" style="160" bestFit="1" customWidth="1"/>
    <col min="12035" max="12035" width="6" style="160" bestFit="1" customWidth="1"/>
    <col min="12036" max="12036" width="8.83203125" style="160" customWidth="1"/>
    <col min="12037" max="12037" width="8.5" style="160" bestFit="1" customWidth="1"/>
    <col min="12038" max="12038" width="7.1640625" style="160" bestFit="1" customWidth="1"/>
    <col min="12039" max="12039" width="4.5" style="160" bestFit="1" customWidth="1"/>
    <col min="12040" max="12040" width="5.5" style="160" bestFit="1" customWidth="1"/>
    <col min="12041" max="12043" width="6.1640625" style="160" bestFit="1" customWidth="1"/>
    <col min="12044" max="12044" width="7.1640625" style="160" bestFit="1" customWidth="1"/>
    <col min="12045" max="12054" width="8.83203125" style="160" customWidth="1"/>
    <col min="12055" max="12055" width="10" style="160" bestFit="1" customWidth="1"/>
    <col min="12056" max="12279" width="8.83203125" style="160" customWidth="1"/>
    <col min="12280" max="12280" width="7.83203125" style="160" customWidth="1"/>
    <col min="12281" max="12281" width="7.5" style="160" customWidth="1"/>
    <col min="12282" max="12282" width="9" style="160" customWidth="1"/>
    <col min="12283" max="12283" width="8.33203125" style="160" customWidth="1"/>
    <col min="12284" max="12286" width="8.5" style="160" bestFit="1" customWidth="1"/>
    <col min="12287" max="12287" width="10" style="160" bestFit="1" customWidth="1"/>
    <col min="12288" max="12288" width="8.1640625" style="160" bestFit="1" customWidth="1"/>
    <col min="12289" max="12290" width="8.5" style="160" bestFit="1" customWidth="1"/>
    <col min="12291" max="12291" width="6" style="160" bestFit="1" customWidth="1"/>
    <col min="12292" max="12292" width="8.83203125" style="160" customWidth="1"/>
    <col min="12293" max="12293" width="8.5" style="160" bestFit="1" customWidth="1"/>
    <col min="12294" max="12294" width="7.1640625" style="160" bestFit="1" customWidth="1"/>
    <col min="12295" max="12295" width="4.5" style="160" bestFit="1" customWidth="1"/>
    <col min="12296" max="12296" width="5.5" style="160" bestFit="1" customWidth="1"/>
    <col min="12297" max="12299" width="6.1640625" style="160" bestFit="1" customWidth="1"/>
    <col min="12300" max="12300" width="7.1640625" style="160" bestFit="1" customWidth="1"/>
    <col min="12301" max="12310" width="8.83203125" style="160" customWidth="1"/>
    <col min="12311" max="12311" width="10" style="160" bestFit="1" customWidth="1"/>
    <col min="12312" max="12535" width="8.83203125" style="160" customWidth="1"/>
    <col min="12536" max="12536" width="7.83203125" style="160" customWidth="1"/>
    <col min="12537" max="12537" width="7.5" style="160" customWidth="1"/>
    <col min="12538" max="12538" width="9" style="160" customWidth="1"/>
    <col min="12539" max="12539" width="8.33203125" style="160" customWidth="1"/>
    <col min="12540" max="12542" width="8.5" style="160" bestFit="1" customWidth="1"/>
    <col min="12543" max="12543" width="10" style="160" bestFit="1" customWidth="1"/>
    <col min="12544" max="12544" width="8.1640625" style="160" bestFit="1" customWidth="1"/>
    <col min="12545" max="12546" width="8.5" style="160" bestFit="1" customWidth="1"/>
    <col min="12547" max="12547" width="6" style="160" bestFit="1" customWidth="1"/>
    <col min="12548" max="12548" width="8.83203125" style="160" customWidth="1"/>
    <col min="12549" max="12549" width="8.5" style="160" bestFit="1" customWidth="1"/>
    <col min="12550" max="12550" width="7.1640625" style="160" bestFit="1" customWidth="1"/>
    <col min="12551" max="12551" width="4.5" style="160" bestFit="1" customWidth="1"/>
    <col min="12552" max="12552" width="5.5" style="160" bestFit="1" customWidth="1"/>
    <col min="12553" max="12555" width="6.1640625" style="160" bestFit="1" customWidth="1"/>
    <col min="12556" max="12556" width="7.1640625" style="160" bestFit="1" customWidth="1"/>
    <col min="12557" max="12566" width="8.83203125" style="160" customWidth="1"/>
    <col min="12567" max="12567" width="10" style="160" bestFit="1" customWidth="1"/>
    <col min="12568" max="12791" width="8.83203125" style="160" customWidth="1"/>
    <col min="12792" max="12792" width="7.83203125" style="160" customWidth="1"/>
    <col min="12793" max="12793" width="7.5" style="160" customWidth="1"/>
    <col min="12794" max="12794" width="9" style="160" customWidth="1"/>
    <col min="12795" max="12795" width="8.33203125" style="160" customWidth="1"/>
    <col min="12796" max="12798" width="8.5" style="160" bestFit="1" customWidth="1"/>
    <col min="12799" max="12799" width="10" style="160" bestFit="1" customWidth="1"/>
    <col min="12800" max="12800" width="8.1640625" style="160" bestFit="1" customWidth="1"/>
    <col min="12801" max="12802" width="8.5" style="160" bestFit="1" customWidth="1"/>
    <col min="12803" max="12803" width="6" style="160" bestFit="1" customWidth="1"/>
    <col min="12804" max="12804" width="8.83203125" style="160" customWidth="1"/>
    <col min="12805" max="12805" width="8.5" style="160" bestFit="1" customWidth="1"/>
    <col min="12806" max="12806" width="7.1640625" style="160" bestFit="1" customWidth="1"/>
    <col min="12807" max="12807" width="4.5" style="160" bestFit="1" customWidth="1"/>
    <col min="12808" max="12808" width="5.5" style="160" bestFit="1" customWidth="1"/>
    <col min="12809" max="12811" width="6.1640625" style="160" bestFit="1" customWidth="1"/>
    <col min="12812" max="12812" width="7.1640625" style="160" bestFit="1" customWidth="1"/>
    <col min="12813" max="12822" width="8.83203125" style="160" customWidth="1"/>
    <col min="12823" max="12823" width="10" style="160" bestFit="1" customWidth="1"/>
    <col min="12824" max="13047" width="8.83203125" style="160" customWidth="1"/>
    <col min="13048" max="13048" width="7.83203125" style="160" customWidth="1"/>
    <col min="13049" max="13049" width="7.5" style="160" customWidth="1"/>
    <col min="13050" max="13050" width="9" style="160" customWidth="1"/>
    <col min="13051" max="13051" width="8.33203125" style="160" customWidth="1"/>
    <col min="13052" max="13054" width="8.5" style="160" bestFit="1" customWidth="1"/>
    <col min="13055" max="13055" width="10" style="160" bestFit="1" customWidth="1"/>
    <col min="13056" max="13056" width="8.1640625" style="160" bestFit="1" customWidth="1"/>
    <col min="13057" max="13058" width="8.5" style="160" bestFit="1" customWidth="1"/>
    <col min="13059" max="13059" width="6" style="160" bestFit="1" customWidth="1"/>
    <col min="13060" max="13060" width="8.83203125" style="160" customWidth="1"/>
    <col min="13061" max="13061" width="8.5" style="160" bestFit="1" customWidth="1"/>
    <col min="13062" max="13062" width="7.1640625" style="160" bestFit="1" customWidth="1"/>
    <col min="13063" max="13063" width="4.5" style="160" bestFit="1" customWidth="1"/>
    <col min="13064" max="13064" width="5.5" style="160" bestFit="1" customWidth="1"/>
    <col min="13065" max="13067" width="6.1640625" style="160" bestFit="1" customWidth="1"/>
    <col min="13068" max="13068" width="7.1640625" style="160" bestFit="1" customWidth="1"/>
    <col min="13069" max="13078" width="8.83203125" style="160" customWidth="1"/>
    <col min="13079" max="13079" width="10" style="160" bestFit="1" customWidth="1"/>
    <col min="13080" max="13303" width="8.83203125" style="160" customWidth="1"/>
    <col min="13304" max="13304" width="7.83203125" style="160" customWidth="1"/>
    <col min="13305" max="13305" width="7.5" style="160" customWidth="1"/>
    <col min="13306" max="13306" width="9" style="160" customWidth="1"/>
    <col min="13307" max="13307" width="8.33203125" style="160" customWidth="1"/>
    <col min="13308" max="13310" width="8.5" style="160" bestFit="1" customWidth="1"/>
    <col min="13311" max="13311" width="10" style="160" bestFit="1" customWidth="1"/>
    <col min="13312" max="13312" width="8.1640625" style="160" bestFit="1" customWidth="1"/>
    <col min="13313" max="13314" width="8.5" style="160" bestFit="1" customWidth="1"/>
    <col min="13315" max="13315" width="6" style="160" bestFit="1" customWidth="1"/>
    <col min="13316" max="13316" width="8.83203125" style="160" customWidth="1"/>
    <col min="13317" max="13317" width="8.5" style="160" bestFit="1" customWidth="1"/>
    <col min="13318" max="13318" width="7.1640625" style="160" bestFit="1" customWidth="1"/>
    <col min="13319" max="13319" width="4.5" style="160" bestFit="1" customWidth="1"/>
    <col min="13320" max="13320" width="5.5" style="160" bestFit="1" customWidth="1"/>
    <col min="13321" max="13323" width="6.1640625" style="160" bestFit="1" customWidth="1"/>
    <col min="13324" max="13324" width="7.1640625" style="160" bestFit="1" customWidth="1"/>
    <col min="13325" max="13334" width="8.83203125" style="160" customWidth="1"/>
    <col min="13335" max="13335" width="10" style="160" bestFit="1" customWidth="1"/>
    <col min="13336" max="13559" width="8.83203125" style="160" customWidth="1"/>
    <col min="13560" max="13560" width="7.83203125" style="160" customWidth="1"/>
    <col min="13561" max="13561" width="7.5" style="160" customWidth="1"/>
    <col min="13562" max="13562" width="9" style="160" customWidth="1"/>
    <col min="13563" max="13563" width="8.33203125" style="160" customWidth="1"/>
    <col min="13564" max="13566" width="8.5" style="160" bestFit="1" customWidth="1"/>
    <col min="13567" max="13567" width="10" style="160" bestFit="1" customWidth="1"/>
    <col min="13568" max="13568" width="8.1640625" style="160" bestFit="1" customWidth="1"/>
    <col min="13569" max="13570" width="8.5" style="160" bestFit="1" customWidth="1"/>
    <col min="13571" max="13571" width="6" style="160" bestFit="1" customWidth="1"/>
    <col min="13572" max="13572" width="8.83203125" style="160" customWidth="1"/>
    <col min="13573" max="13573" width="8.5" style="160" bestFit="1" customWidth="1"/>
    <col min="13574" max="13574" width="7.1640625" style="160" bestFit="1" customWidth="1"/>
    <col min="13575" max="13575" width="4.5" style="160" bestFit="1" customWidth="1"/>
    <col min="13576" max="13576" width="5.5" style="160" bestFit="1" customWidth="1"/>
    <col min="13577" max="13579" width="6.1640625" style="160" bestFit="1" customWidth="1"/>
    <col min="13580" max="13580" width="7.1640625" style="160" bestFit="1" customWidth="1"/>
    <col min="13581" max="13590" width="8.83203125" style="160" customWidth="1"/>
    <col min="13591" max="13591" width="10" style="160" bestFit="1" customWidth="1"/>
    <col min="13592" max="13815" width="8.83203125" style="160" customWidth="1"/>
    <col min="13816" max="13816" width="7.83203125" style="160" customWidth="1"/>
    <col min="13817" max="13817" width="7.5" style="160" customWidth="1"/>
    <col min="13818" max="13818" width="9" style="160" customWidth="1"/>
    <col min="13819" max="13819" width="8.33203125" style="160" customWidth="1"/>
    <col min="13820" max="13822" width="8.5" style="160" bestFit="1" customWidth="1"/>
    <col min="13823" max="13823" width="10" style="160" bestFit="1" customWidth="1"/>
    <col min="13824" max="13824" width="8.1640625" style="160" bestFit="1" customWidth="1"/>
    <col min="13825" max="13826" width="8.5" style="160" bestFit="1" customWidth="1"/>
    <col min="13827" max="13827" width="6" style="160" bestFit="1" customWidth="1"/>
    <col min="13828" max="13828" width="8.83203125" style="160" customWidth="1"/>
    <col min="13829" max="13829" width="8.5" style="160" bestFit="1" customWidth="1"/>
    <col min="13830" max="13830" width="7.1640625" style="160" bestFit="1" customWidth="1"/>
    <col min="13831" max="13831" width="4.5" style="160" bestFit="1" customWidth="1"/>
    <col min="13832" max="13832" width="5.5" style="160" bestFit="1" customWidth="1"/>
    <col min="13833" max="13835" width="6.1640625" style="160" bestFit="1" customWidth="1"/>
    <col min="13836" max="13836" width="7.1640625" style="160" bestFit="1" customWidth="1"/>
    <col min="13837" max="13846" width="8.83203125" style="160" customWidth="1"/>
    <col min="13847" max="13847" width="10" style="160" bestFit="1" customWidth="1"/>
    <col min="13848" max="14071" width="8.83203125" style="160" customWidth="1"/>
    <col min="14072" max="14072" width="7.83203125" style="160" customWidth="1"/>
    <col min="14073" max="14073" width="7.5" style="160" customWidth="1"/>
    <col min="14074" max="14074" width="9" style="160" customWidth="1"/>
    <col min="14075" max="14075" width="8.33203125" style="160" customWidth="1"/>
    <col min="14076" max="14078" width="8.5" style="160" bestFit="1" customWidth="1"/>
    <col min="14079" max="14079" width="10" style="160" bestFit="1" customWidth="1"/>
    <col min="14080" max="14080" width="8.1640625" style="160" bestFit="1" customWidth="1"/>
    <col min="14081" max="14082" width="8.5" style="160" bestFit="1" customWidth="1"/>
    <col min="14083" max="14083" width="6" style="160" bestFit="1" customWidth="1"/>
    <col min="14084" max="14084" width="8.83203125" style="160" customWidth="1"/>
    <col min="14085" max="14085" width="8.5" style="160" bestFit="1" customWidth="1"/>
    <col min="14086" max="14086" width="7.1640625" style="160" bestFit="1" customWidth="1"/>
    <col min="14087" max="14087" width="4.5" style="160" bestFit="1" customWidth="1"/>
    <col min="14088" max="14088" width="5.5" style="160" bestFit="1" customWidth="1"/>
    <col min="14089" max="14091" width="6.1640625" style="160" bestFit="1" customWidth="1"/>
    <col min="14092" max="14092" width="7.1640625" style="160" bestFit="1" customWidth="1"/>
    <col min="14093" max="14102" width="8.83203125" style="160" customWidth="1"/>
    <col min="14103" max="14103" width="10" style="160" bestFit="1" customWidth="1"/>
    <col min="14104" max="14327" width="8.83203125" style="160" customWidth="1"/>
    <col min="14328" max="14328" width="7.83203125" style="160" customWidth="1"/>
    <col min="14329" max="14329" width="7.5" style="160" customWidth="1"/>
    <col min="14330" max="14330" width="9" style="160" customWidth="1"/>
    <col min="14331" max="14331" width="8.33203125" style="160" customWidth="1"/>
    <col min="14332" max="14334" width="8.5" style="160" bestFit="1" customWidth="1"/>
    <col min="14335" max="14335" width="10" style="160" bestFit="1" customWidth="1"/>
    <col min="14336" max="14336" width="8.1640625" style="160" bestFit="1" customWidth="1"/>
    <col min="14337" max="14338" width="8.5" style="160" bestFit="1" customWidth="1"/>
    <col min="14339" max="14339" width="6" style="160" bestFit="1" customWidth="1"/>
    <col min="14340" max="14340" width="8.83203125" style="160" customWidth="1"/>
    <col min="14341" max="14341" width="8.5" style="160" bestFit="1" customWidth="1"/>
    <col min="14342" max="14342" width="7.1640625" style="160" bestFit="1" customWidth="1"/>
    <col min="14343" max="14343" width="4.5" style="160" bestFit="1" customWidth="1"/>
    <col min="14344" max="14344" width="5.5" style="160" bestFit="1" customWidth="1"/>
    <col min="14345" max="14347" width="6.1640625" style="160" bestFit="1" customWidth="1"/>
    <col min="14348" max="14348" width="7.1640625" style="160" bestFit="1" customWidth="1"/>
    <col min="14349" max="14358" width="8.83203125" style="160" customWidth="1"/>
    <col min="14359" max="14359" width="10" style="160" bestFit="1" customWidth="1"/>
    <col min="14360" max="14583" width="8.83203125" style="160" customWidth="1"/>
    <col min="14584" max="14584" width="7.83203125" style="160" customWidth="1"/>
    <col min="14585" max="14585" width="7.5" style="160" customWidth="1"/>
    <col min="14586" max="14586" width="9" style="160" customWidth="1"/>
    <col min="14587" max="14587" width="8.33203125" style="160" customWidth="1"/>
    <col min="14588" max="14590" width="8.5" style="160" bestFit="1" customWidth="1"/>
    <col min="14591" max="14591" width="10" style="160" bestFit="1" customWidth="1"/>
    <col min="14592" max="14592" width="8.1640625" style="160" bestFit="1" customWidth="1"/>
    <col min="14593" max="14594" width="8.5" style="160" bestFit="1" customWidth="1"/>
    <col min="14595" max="14595" width="6" style="160" bestFit="1" customWidth="1"/>
    <col min="14596" max="14596" width="8.83203125" style="160" customWidth="1"/>
    <col min="14597" max="14597" width="8.5" style="160" bestFit="1" customWidth="1"/>
    <col min="14598" max="14598" width="7.1640625" style="160" bestFit="1" customWidth="1"/>
    <col min="14599" max="14599" width="4.5" style="160" bestFit="1" customWidth="1"/>
    <col min="14600" max="14600" width="5.5" style="160" bestFit="1" customWidth="1"/>
    <col min="14601" max="14603" width="6.1640625" style="160" bestFit="1" customWidth="1"/>
    <col min="14604" max="14604" width="7.1640625" style="160" bestFit="1" customWidth="1"/>
    <col min="14605" max="14614" width="8.83203125" style="160" customWidth="1"/>
    <col min="14615" max="14615" width="10" style="160" bestFit="1" customWidth="1"/>
    <col min="14616" max="14839" width="8.83203125" style="160" customWidth="1"/>
    <col min="14840" max="14840" width="7.83203125" style="160" customWidth="1"/>
    <col min="14841" max="14841" width="7.5" style="160" customWidth="1"/>
    <col min="14842" max="14842" width="9" style="160" customWidth="1"/>
    <col min="14843" max="14843" width="8.33203125" style="160" customWidth="1"/>
    <col min="14844" max="14846" width="8.5" style="160" bestFit="1" customWidth="1"/>
    <col min="14847" max="14847" width="10" style="160" bestFit="1" customWidth="1"/>
    <col min="14848" max="14848" width="8.1640625" style="160" bestFit="1" customWidth="1"/>
    <col min="14849" max="14850" width="8.5" style="160" bestFit="1" customWidth="1"/>
    <col min="14851" max="14851" width="6" style="160" bestFit="1" customWidth="1"/>
    <col min="14852" max="14852" width="8.83203125" style="160" customWidth="1"/>
    <col min="14853" max="14853" width="8.5" style="160" bestFit="1" customWidth="1"/>
    <col min="14854" max="14854" width="7.1640625" style="160" bestFit="1" customWidth="1"/>
    <col min="14855" max="14855" width="4.5" style="160" bestFit="1" customWidth="1"/>
    <col min="14856" max="14856" width="5.5" style="160" bestFit="1" customWidth="1"/>
    <col min="14857" max="14859" width="6.1640625" style="160" bestFit="1" customWidth="1"/>
    <col min="14860" max="14860" width="7.1640625" style="160" bestFit="1" customWidth="1"/>
    <col min="14861" max="14870" width="8.83203125" style="160" customWidth="1"/>
    <col min="14871" max="14871" width="10" style="160" bestFit="1" customWidth="1"/>
    <col min="14872" max="15095" width="8.83203125" style="160" customWidth="1"/>
    <col min="15096" max="15096" width="7.83203125" style="160" customWidth="1"/>
    <col min="15097" max="15097" width="7.5" style="160" customWidth="1"/>
    <col min="15098" max="15098" width="9" style="160" customWidth="1"/>
    <col min="15099" max="15099" width="8.33203125" style="160" customWidth="1"/>
    <col min="15100" max="15102" width="8.5" style="160" bestFit="1" customWidth="1"/>
    <col min="15103" max="15103" width="10" style="160" bestFit="1" customWidth="1"/>
    <col min="15104" max="15104" width="8.1640625" style="160" bestFit="1" customWidth="1"/>
    <col min="15105" max="15106" width="8.5" style="160" bestFit="1" customWidth="1"/>
    <col min="15107" max="15107" width="6" style="160" bestFit="1" customWidth="1"/>
    <col min="15108" max="15108" width="8.83203125" style="160" customWidth="1"/>
    <col min="15109" max="15109" width="8.5" style="160" bestFit="1" customWidth="1"/>
    <col min="15110" max="15110" width="7.1640625" style="160" bestFit="1" customWidth="1"/>
    <col min="15111" max="15111" width="4.5" style="160" bestFit="1" customWidth="1"/>
    <col min="15112" max="15112" width="5.5" style="160" bestFit="1" customWidth="1"/>
    <col min="15113" max="15115" width="6.1640625" style="160" bestFit="1" customWidth="1"/>
    <col min="15116" max="15116" width="7.1640625" style="160" bestFit="1" customWidth="1"/>
    <col min="15117" max="15126" width="8.83203125" style="160" customWidth="1"/>
    <col min="15127" max="15127" width="10" style="160" bestFit="1" customWidth="1"/>
    <col min="15128" max="15351" width="8.83203125" style="160" customWidth="1"/>
    <col min="15352" max="15352" width="7.83203125" style="160" customWidth="1"/>
    <col min="15353" max="15353" width="7.5" style="160" customWidth="1"/>
    <col min="15354" max="15354" width="9" style="160" customWidth="1"/>
    <col min="15355" max="15355" width="8.33203125" style="160" customWidth="1"/>
    <col min="15356" max="15358" width="8.5" style="160" bestFit="1" customWidth="1"/>
    <col min="15359" max="15359" width="10" style="160" bestFit="1" customWidth="1"/>
    <col min="15360" max="15360" width="8.1640625" style="160" bestFit="1" customWidth="1"/>
    <col min="15361" max="15362" width="8.5" style="160" bestFit="1" customWidth="1"/>
    <col min="15363" max="15363" width="6" style="160" bestFit="1" customWidth="1"/>
    <col min="15364" max="15364" width="8.83203125" style="160" customWidth="1"/>
    <col min="15365" max="15365" width="8.5" style="160" bestFit="1" customWidth="1"/>
    <col min="15366" max="15366" width="7.1640625" style="160" bestFit="1" customWidth="1"/>
    <col min="15367" max="15367" width="4.5" style="160" bestFit="1" customWidth="1"/>
    <col min="15368" max="15368" width="5.5" style="160" bestFit="1" customWidth="1"/>
    <col min="15369" max="15371" width="6.1640625" style="160" bestFit="1" customWidth="1"/>
    <col min="15372" max="15372" width="7.1640625" style="160" bestFit="1" customWidth="1"/>
    <col min="15373" max="15382" width="8.83203125" style="160" customWidth="1"/>
    <col min="15383" max="15383" width="10" style="160" bestFit="1" customWidth="1"/>
    <col min="15384" max="15607" width="8.83203125" style="160" customWidth="1"/>
    <col min="15608" max="15608" width="7.83203125" style="160" customWidth="1"/>
    <col min="15609" max="15609" width="7.5" style="160" customWidth="1"/>
    <col min="15610" max="15610" width="9" style="160" customWidth="1"/>
    <col min="15611" max="15611" width="8.33203125" style="160" customWidth="1"/>
    <col min="15612" max="15614" width="8.5" style="160" bestFit="1" customWidth="1"/>
    <col min="15615" max="15615" width="10" style="160" bestFit="1" customWidth="1"/>
    <col min="15616" max="15616" width="8.1640625" style="160" bestFit="1" customWidth="1"/>
    <col min="15617" max="15618" width="8.5" style="160" bestFit="1" customWidth="1"/>
    <col min="15619" max="15619" width="6" style="160" bestFit="1" customWidth="1"/>
    <col min="15620" max="15620" width="8.83203125" style="160" customWidth="1"/>
    <col min="15621" max="15621" width="8.5" style="160" bestFit="1" customWidth="1"/>
    <col min="15622" max="15622" width="7.1640625" style="160" bestFit="1" customWidth="1"/>
    <col min="15623" max="15623" width="4.5" style="160" bestFit="1" customWidth="1"/>
    <col min="15624" max="15624" width="5.5" style="160" bestFit="1" customWidth="1"/>
    <col min="15625" max="15627" width="6.1640625" style="160" bestFit="1" customWidth="1"/>
    <col min="15628" max="15628" width="7.1640625" style="160" bestFit="1" customWidth="1"/>
    <col min="15629" max="15638" width="8.83203125" style="160" customWidth="1"/>
    <col min="15639" max="15639" width="10" style="160" bestFit="1" customWidth="1"/>
    <col min="15640" max="15863" width="8.83203125" style="160" customWidth="1"/>
    <col min="15864" max="15864" width="7.83203125" style="160" customWidth="1"/>
    <col min="15865" max="15865" width="7.5" style="160" customWidth="1"/>
    <col min="15866" max="15866" width="9" style="160" customWidth="1"/>
    <col min="15867" max="15867" width="8.33203125" style="160" customWidth="1"/>
    <col min="15868" max="15870" width="8.5" style="160" bestFit="1" customWidth="1"/>
    <col min="15871" max="15871" width="10" style="160" bestFit="1" customWidth="1"/>
    <col min="15872" max="15872" width="8.1640625" style="160" bestFit="1" customWidth="1"/>
    <col min="15873" max="15874" width="8.5" style="160" bestFit="1" customWidth="1"/>
    <col min="15875" max="15875" width="6" style="160" bestFit="1" customWidth="1"/>
    <col min="15876" max="15876" width="8.83203125" style="160" customWidth="1"/>
    <col min="15877" max="15877" width="8.5" style="160" bestFit="1" customWidth="1"/>
    <col min="15878" max="15878" width="7.1640625" style="160" bestFit="1" customWidth="1"/>
    <col min="15879" max="15879" width="4.5" style="160" bestFit="1" customWidth="1"/>
    <col min="15880" max="15880" width="5.5" style="160" bestFit="1" customWidth="1"/>
    <col min="15881" max="15883" width="6.1640625" style="160" bestFit="1" customWidth="1"/>
    <col min="15884" max="15884" width="7.1640625" style="160" bestFit="1" customWidth="1"/>
    <col min="15885" max="15894" width="8.83203125" style="160" customWidth="1"/>
    <col min="15895" max="15895" width="10" style="160" bestFit="1" customWidth="1"/>
    <col min="15896" max="16119" width="8.83203125" style="160" customWidth="1"/>
    <col min="16120" max="16120" width="7.83203125" style="160" customWidth="1"/>
    <col min="16121" max="16121" width="7.5" style="160" customWidth="1"/>
    <col min="16122" max="16122" width="9" style="160" customWidth="1"/>
    <col min="16123" max="16123" width="8.33203125" style="160" customWidth="1"/>
    <col min="16124" max="16126" width="8.5" style="160" bestFit="1" customWidth="1"/>
    <col min="16127" max="16127" width="10" style="160" bestFit="1" customWidth="1"/>
    <col min="16128" max="16128" width="8.1640625" style="160" bestFit="1" customWidth="1"/>
    <col min="16129" max="16130" width="8.5" style="160" bestFit="1" customWidth="1"/>
    <col min="16131" max="16131" width="6" style="160" bestFit="1" customWidth="1"/>
    <col min="16132" max="16132" width="8.83203125" style="160" customWidth="1"/>
    <col min="16133" max="16133" width="8.5" style="160" bestFit="1" customWidth="1"/>
    <col min="16134" max="16134" width="7.1640625" style="160" bestFit="1" customWidth="1"/>
    <col min="16135" max="16135" width="4.5" style="160" bestFit="1" customWidth="1"/>
    <col min="16136" max="16136" width="5.5" style="160" bestFit="1" customWidth="1"/>
    <col min="16137" max="16139" width="6.1640625" style="160" bestFit="1" customWidth="1"/>
    <col min="16140" max="16140" width="7.1640625" style="160" bestFit="1" customWidth="1"/>
    <col min="16141" max="16150" width="8.83203125" style="160" customWidth="1"/>
    <col min="16151" max="16151" width="10" style="160" bestFit="1" customWidth="1"/>
    <col min="16152" max="16384" width="8.83203125" style="160" customWidth="1"/>
  </cols>
  <sheetData>
    <row r="1" spans="2:10" s="120" customFormat="1" ht="14" customHeight="1"/>
    <row r="2" spans="2:10" s="120" customFormat="1" ht="14" customHeight="1">
      <c r="B2" s="121" t="s">
        <v>570</v>
      </c>
      <c r="C2" s="122">
        <f>PI()/180</f>
        <v>1.7453292519943295E-2</v>
      </c>
      <c r="F2" s="123" t="s">
        <v>571</v>
      </c>
      <c r="G2" s="124">
        <f>Illumination!C21</f>
        <v>45.5566716020695</v>
      </c>
      <c r="H2" s="125"/>
      <c r="I2" s="126"/>
      <c r="J2" s="127"/>
    </row>
    <row r="3" spans="2:10" s="120" customFormat="1" ht="14" customHeight="1">
      <c r="B3" s="128" t="s">
        <v>572</v>
      </c>
      <c r="C3" s="129">
        <f>(Visibility!C10-2451545)/36525</f>
        <v>0.24362422997946612</v>
      </c>
      <c r="F3" s="130" t="s">
        <v>573</v>
      </c>
      <c r="G3" s="131">
        <v>200</v>
      </c>
      <c r="H3" s="131"/>
      <c r="I3" s="131" t="s">
        <v>574</v>
      </c>
      <c r="J3" s="132">
        <f>MOD(360-Illumination!G2+180,360)</f>
        <v>134.44332839793049</v>
      </c>
    </row>
    <row r="4" spans="2:10" s="120" customFormat="1" ht="14" customHeight="1">
      <c r="B4" s="128" t="s">
        <v>575</v>
      </c>
      <c r="C4" s="129">
        <f>MOD(297.8502042+445267.1115168*$C$3-0.00163*POWER($C$3,2)+(POWER($C$3,3)/545868)-(POWER($C$3,4)/113065000),360)</f>
        <v>55.707285942931776</v>
      </c>
      <c r="F4" s="130" t="s">
        <v>576</v>
      </c>
      <c r="G4" s="131">
        <f>2/G3</f>
        <v>0.01</v>
      </c>
      <c r="H4" s="131"/>
      <c r="I4" s="131" t="s">
        <v>577</v>
      </c>
      <c r="J4" s="133">
        <f>COS(RADIANS(J3))</f>
        <v>-0.70020344122101019</v>
      </c>
    </row>
    <row r="5" spans="2:10" s="120" customFormat="1" ht="14" customHeight="1">
      <c r="B5" s="128" t="s">
        <v>578</v>
      </c>
      <c r="C5" s="129">
        <f>MOD(357.5291092+35999.0502909*$C$3-0.0001536*POWER($C$3,2)+(POWER($C$3,3)/24490000),360)</f>
        <v>127.77000719659554</v>
      </c>
      <c r="F5" s="130"/>
      <c r="G5" s="131"/>
      <c r="H5" s="131"/>
      <c r="I5" s="131" t="s">
        <v>579</v>
      </c>
      <c r="J5" s="134">
        <f>ABS(J4)</f>
        <v>0.70020344122101019</v>
      </c>
    </row>
    <row r="6" spans="2:10" s="120" customFormat="1" ht="14" customHeight="1">
      <c r="B6" s="128" t="s">
        <v>580</v>
      </c>
      <c r="C6" s="129">
        <f>MOD(134.9634114+477198.8676313*$C$3+0.008997*POWER($C$3,2)+(POWER($C$3,3)/69699)-(POWER($C$3,4)/14712000),360)</f>
        <v>112.17061935270613</v>
      </c>
      <c r="F6" s="135"/>
      <c r="G6" s="136"/>
      <c r="H6" s="136"/>
      <c r="I6" s="136" t="s">
        <v>581</v>
      </c>
      <c r="J6" s="137">
        <v>1</v>
      </c>
    </row>
    <row r="7" spans="2:10" s="120" customFormat="1" ht="14" customHeight="1">
      <c r="B7" s="128" t="s">
        <v>582</v>
      </c>
      <c r="C7" s="129">
        <f>180-C4-6.289*SIN($C$2*C6)+2.1*SIN($C$2*C5)-1.274*SIN($C$2*(2*C4-C6))-0.658*SIN($C$2*2*C4)-0.214*SIN($C$2*2*C6)-0.11*SIN($C$2*C4)</f>
        <v>119.59162459773606</v>
      </c>
      <c r="F7" s="130"/>
      <c r="G7" s="131"/>
      <c r="H7" s="131"/>
      <c r="I7" s="131"/>
      <c r="J7" s="134"/>
    </row>
    <row r="8" spans="2:10" s="120" customFormat="1" ht="14" customHeight="1">
      <c r="B8" s="138" t="s">
        <v>583</v>
      </c>
      <c r="C8" s="139">
        <f>(1+COS($C$2*C7))/2</f>
        <v>0.25309262001149724</v>
      </c>
      <c r="F8" s="140" t="s">
        <v>584</v>
      </c>
      <c r="G8" s="141" t="s">
        <v>585</v>
      </c>
      <c r="H8" s="141" t="s">
        <v>586</v>
      </c>
      <c r="I8" s="141" t="s">
        <v>587</v>
      </c>
      <c r="J8" s="142" t="s">
        <v>588</v>
      </c>
    </row>
    <row r="9" spans="2:10" s="120" customFormat="1" ht="14" customHeight="1">
      <c r="F9" s="143">
        <v>-1</v>
      </c>
      <c r="G9" s="144">
        <f t="shared" ref="G9:G72" si="0">IFERROR(IF(SQRT(1-(F9*F9)/($J$5*$J$5))&lt;0.05,0,SQRT(1-(F9*F9)/($J$5*$J$5))),0)</f>
        <v>0</v>
      </c>
      <c r="H9" s="144">
        <f t="shared" ref="H9:H72" si="1">CHOOSE(MATCH($J$3,degrees),IF(F9&lt;0,IFERROR(1-G9,1),0),0,0,IF(F9&gt;0,IFERROR(1-G9,1),0))</f>
        <v>0</v>
      </c>
      <c r="I9" s="144">
        <f t="shared" ref="I9:I72" si="2">CHOOSE(MATCH($J$3,degrees),IF(F9&lt;0,2*G9,2),IF(F9&lt;0,0,1-G9),IF(F9&gt;0,0,1-G9),IF(F9&gt;0,2*G9,2))</f>
        <v>0</v>
      </c>
      <c r="J9" s="133">
        <f t="shared" ref="J9:J72" si="3">CHOOSE(MATCH($J$3,degrees),IF(F9&lt;0,G9+1,2),IF(F9&lt;0,2,2*G9),IF(F9&gt;0,2,2*G9),IF(F9&gt;0,G9+1,2))</f>
        <v>2</v>
      </c>
    </row>
    <row r="10" spans="2:10" s="120" customFormat="1" ht="14" customHeight="1">
      <c r="F10" s="143">
        <f t="shared" ref="F10:F73" si="4">F9+$G$4</f>
        <v>-0.99</v>
      </c>
      <c r="G10" s="144">
        <f t="shared" si="0"/>
        <v>0</v>
      </c>
      <c r="H10" s="144">
        <f t="shared" si="1"/>
        <v>0</v>
      </c>
      <c r="I10" s="144">
        <f t="shared" si="2"/>
        <v>0</v>
      </c>
      <c r="J10" s="133">
        <f t="shared" si="3"/>
        <v>2</v>
      </c>
    </row>
    <row r="11" spans="2:10" s="120" customFormat="1" ht="16" customHeight="1">
      <c r="F11" s="143">
        <f t="shared" si="4"/>
        <v>-0.98</v>
      </c>
      <c r="G11" s="144">
        <f t="shared" si="0"/>
        <v>0</v>
      </c>
      <c r="H11" s="144">
        <f t="shared" si="1"/>
        <v>0</v>
      </c>
      <c r="I11" s="144">
        <f t="shared" si="2"/>
        <v>0</v>
      </c>
      <c r="J11" s="133">
        <f t="shared" si="3"/>
        <v>2</v>
      </c>
    </row>
    <row r="12" spans="2:10" s="120" customFormat="1" ht="16" customHeight="1">
      <c r="F12" s="143">
        <f t="shared" si="4"/>
        <v>-0.97</v>
      </c>
      <c r="G12" s="144">
        <f t="shared" si="0"/>
        <v>0</v>
      </c>
      <c r="H12" s="144">
        <f t="shared" si="1"/>
        <v>0</v>
      </c>
      <c r="I12" s="144">
        <f t="shared" si="2"/>
        <v>0</v>
      </c>
      <c r="J12" s="133">
        <f t="shared" si="3"/>
        <v>2</v>
      </c>
    </row>
    <row r="13" spans="2:10" s="120" customFormat="1" ht="16" customHeight="1">
      <c r="F13" s="143">
        <f t="shared" si="4"/>
        <v>-0.96</v>
      </c>
      <c r="G13" s="144">
        <f t="shared" si="0"/>
        <v>0</v>
      </c>
      <c r="H13" s="144">
        <f t="shared" si="1"/>
        <v>0</v>
      </c>
      <c r="I13" s="144">
        <f t="shared" si="2"/>
        <v>0</v>
      </c>
      <c r="J13" s="133">
        <f t="shared" si="3"/>
        <v>2</v>
      </c>
    </row>
    <row r="14" spans="2:10" s="120" customFormat="1" ht="16" customHeight="1">
      <c r="E14" s="145"/>
      <c r="F14" s="143">
        <f t="shared" si="4"/>
        <v>-0.95</v>
      </c>
      <c r="G14" s="144">
        <f t="shared" si="0"/>
        <v>0</v>
      </c>
      <c r="H14" s="144">
        <f t="shared" si="1"/>
        <v>0</v>
      </c>
      <c r="I14" s="144">
        <f t="shared" si="2"/>
        <v>0</v>
      </c>
      <c r="J14" s="133">
        <f t="shared" si="3"/>
        <v>2</v>
      </c>
    </row>
    <row r="15" spans="2:10" s="120" customFormat="1" ht="16" customHeight="1">
      <c r="E15" s="145"/>
      <c r="F15" s="143">
        <f t="shared" si="4"/>
        <v>-0.94</v>
      </c>
      <c r="G15" s="144">
        <f t="shared" si="0"/>
        <v>0</v>
      </c>
      <c r="H15" s="144">
        <f t="shared" si="1"/>
        <v>0</v>
      </c>
      <c r="I15" s="144">
        <f t="shared" si="2"/>
        <v>0</v>
      </c>
      <c r="J15" s="133">
        <f t="shared" si="3"/>
        <v>2</v>
      </c>
    </row>
    <row r="16" spans="2:10" s="120" customFormat="1" ht="16" customHeight="1">
      <c r="E16" s="145"/>
      <c r="F16" s="143">
        <f t="shared" si="4"/>
        <v>-0.92999999999999994</v>
      </c>
      <c r="G16" s="144">
        <f t="shared" si="0"/>
        <v>0</v>
      </c>
      <c r="H16" s="144">
        <f t="shared" si="1"/>
        <v>0</v>
      </c>
      <c r="I16" s="144">
        <f t="shared" si="2"/>
        <v>0</v>
      </c>
      <c r="J16" s="133">
        <f t="shared" si="3"/>
        <v>2</v>
      </c>
    </row>
    <row r="17" spans="2:10" s="120" customFormat="1" ht="16" customHeight="1">
      <c r="E17" s="145"/>
      <c r="F17" s="143">
        <f t="shared" si="4"/>
        <v>-0.91999999999999993</v>
      </c>
      <c r="G17" s="144">
        <f t="shared" si="0"/>
        <v>0</v>
      </c>
      <c r="H17" s="144">
        <f t="shared" si="1"/>
        <v>0</v>
      </c>
      <c r="I17" s="144">
        <f t="shared" si="2"/>
        <v>0</v>
      </c>
      <c r="J17" s="133">
        <f t="shared" si="3"/>
        <v>2</v>
      </c>
    </row>
    <row r="18" spans="2:10" s="120" customFormat="1" ht="16" customHeight="1">
      <c r="E18" s="145"/>
      <c r="F18" s="143">
        <f t="shared" si="4"/>
        <v>-0.90999999999999992</v>
      </c>
      <c r="G18" s="144">
        <f t="shared" si="0"/>
        <v>0</v>
      </c>
      <c r="H18" s="144">
        <f t="shared" si="1"/>
        <v>0</v>
      </c>
      <c r="I18" s="144">
        <f t="shared" si="2"/>
        <v>0</v>
      </c>
      <c r="J18" s="133">
        <f t="shared" si="3"/>
        <v>2</v>
      </c>
    </row>
    <row r="19" spans="2:10" s="120" customFormat="1" ht="16" customHeight="1">
      <c r="B19" s="146" t="s">
        <v>589</v>
      </c>
      <c r="C19" s="147">
        <v>2460438.64</v>
      </c>
      <c r="D19" s="120" t="s">
        <v>590</v>
      </c>
      <c r="E19" s="145"/>
      <c r="F19" s="143">
        <f t="shared" si="4"/>
        <v>-0.89999999999999991</v>
      </c>
      <c r="G19" s="144">
        <f t="shared" si="0"/>
        <v>0</v>
      </c>
      <c r="H19" s="144">
        <f t="shared" si="1"/>
        <v>0</v>
      </c>
      <c r="I19" s="144">
        <f t="shared" si="2"/>
        <v>0</v>
      </c>
      <c r="J19" s="133">
        <f t="shared" si="3"/>
        <v>2</v>
      </c>
    </row>
    <row r="20" spans="2:10" s="120" customFormat="1" ht="16" customHeight="1">
      <c r="B20" s="148" t="s">
        <v>591</v>
      </c>
      <c r="C20" s="149">
        <f>((Visibility!C10-C19)/29.530588853)-INT((Visibility!C10-C19)/29.530588853)</f>
        <v>0.16034221408316374</v>
      </c>
      <c r="D20" s="120" t="str">
        <f>IF(C20&lt;0.5,"(before FM)","(after FM)")</f>
        <v>(before FM)</v>
      </c>
      <c r="E20" s="145"/>
      <c r="F20" s="143">
        <f t="shared" si="4"/>
        <v>-0.8899999999999999</v>
      </c>
      <c r="G20" s="144">
        <f t="shared" si="0"/>
        <v>0</v>
      </c>
      <c r="H20" s="144">
        <f t="shared" si="1"/>
        <v>0</v>
      </c>
      <c r="I20" s="144">
        <f t="shared" si="2"/>
        <v>0</v>
      </c>
      <c r="J20" s="133">
        <f t="shared" si="3"/>
        <v>2</v>
      </c>
    </row>
    <row r="21" spans="2:10" s="120" customFormat="1" ht="16" customHeight="1">
      <c r="B21" s="138" t="s">
        <v>592</v>
      </c>
      <c r="C21" s="150">
        <f>IF(C20&lt;0.5,180*C8,360-180*C8)</f>
        <v>45.5566716020695</v>
      </c>
      <c r="E21" s="145"/>
      <c r="F21" s="143">
        <f t="shared" si="4"/>
        <v>-0.87999999999999989</v>
      </c>
      <c r="G21" s="144">
        <f t="shared" si="0"/>
        <v>0</v>
      </c>
      <c r="H21" s="144">
        <f t="shared" si="1"/>
        <v>0</v>
      </c>
      <c r="I21" s="144">
        <f t="shared" si="2"/>
        <v>0</v>
      </c>
      <c r="J21" s="133">
        <f t="shared" si="3"/>
        <v>2</v>
      </c>
    </row>
    <row r="22" spans="2:10" s="120" customFormat="1" ht="16" customHeight="1">
      <c r="E22" s="145"/>
      <c r="F22" s="143">
        <f t="shared" si="4"/>
        <v>-0.86999999999999988</v>
      </c>
      <c r="G22" s="144">
        <f t="shared" si="0"/>
        <v>0</v>
      </c>
      <c r="H22" s="144">
        <f t="shared" si="1"/>
        <v>0</v>
      </c>
      <c r="I22" s="144">
        <f t="shared" si="2"/>
        <v>0</v>
      </c>
      <c r="J22" s="133">
        <f t="shared" si="3"/>
        <v>2</v>
      </c>
    </row>
    <row r="23" spans="2:10" s="120" customFormat="1" ht="16" customHeight="1">
      <c r="B23" s="151">
        <v>0</v>
      </c>
      <c r="C23" s="152">
        <v>0</v>
      </c>
      <c r="D23" s="153" t="s">
        <v>593</v>
      </c>
      <c r="F23" s="143">
        <f t="shared" si="4"/>
        <v>-0.85999999999999988</v>
      </c>
      <c r="G23" s="144">
        <f t="shared" si="0"/>
        <v>0</v>
      </c>
      <c r="H23" s="144">
        <f t="shared" si="1"/>
        <v>0</v>
      </c>
      <c r="I23" s="144">
        <f t="shared" si="2"/>
        <v>0</v>
      </c>
      <c r="J23" s="133">
        <f t="shared" si="3"/>
        <v>2</v>
      </c>
    </row>
    <row r="24" spans="2:10" s="120" customFormat="1" ht="16" customHeight="1">
      <c r="B24" s="154">
        <f t="shared" ref="B24:B31" si="5">B23+45</f>
        <v>45</v>
      </c>
      <c r="C24" s="155">
        <f t="shared" ref="C24:C31" si="6">B24-22.5</f>
        <v>22.5</v>
      </c>
      <c r="D24" s="156" t="s">
        <v>594</v>
      </c>
      <c r="F24" s="143">
        <f t="shared" si="4"/>
        <v>-0.84999999999999987</v>
      </c>
      <c r="G24" s="144">
        <f t="shared" si="0"/>
        <v>0</v>
      </c>
      <c r="H24" s="144">
        <f t="shared" si="1"/>
        <v>0</v>
      </c>
      <c r="I24" s="144">
        <f t="shared" si="2"/>
        <v>0</v>
      </c>
      <c r="J24" s="133">
        <f t="shared" si="3"/>
        <v>2</v>
      </c>
    </row>
    <row r="25" spans="2:10" s="120" customFormat="1" ht="16" customHeight="1">
      <c r="B25" s="154">
        <f t="shared" si="5"/>
        <v>90</v>
      </c>
      <c r="C25" s="155">
        <f t="shared" si="6"/>
        <v>67.5</v>
      </c>
      <c r="D25" s="156" t="s">
        <v>595</v>
      </c>
      <c r="F25" s="143">
        <f t="shared" si="4"/>
        <v>-0.83999999999999986</v>
      </c>
      <c r="G25" s="144">
        <f t="shared" si="0"/>
        <v>0</v>
      </c>
      <c r="H25" s="144">
        <f t="shared" si="1"/>
        <v>0</v>
      </c>
      <c r="I25" s="144">
        <f t="shared" si="2"/>
        <v>0</v>
      </c>
      <c r="J25" s="133">
        <f t="shared" si="3"/>
        <v>2</v>
      </c>
    </row>
    <row r="26" spans="2:10" s="120" customFormat="1" ht="16" customHeight="1">
      <c r="B26" s="154">
        <f t="shared" si="5"/>
        <v>135</v>
      </c>
      <c r="C26" s="155">
        <f t="shared" si="6"/>
        <v>112.5</v>
      </c>
      <c r="D26" s="156" t="s">
        <v>596</v>
      </c>
      <c r="F26" s="143">
        <f t="shared" si="4"/>
        <v>-0.82999999999999985</v>
      </c>
      <c r="G26" s="144">
        <f t="shared" si="0"/>
        <v>0</v>
      </c>
      <c r="H26" s="144">
        <f t="shared" si="1"/>
        <v>0</v>
      </c>
      <c r="I26" s="144">
        <f t="shared" si="2"/>
        <v>0</v>
      </c>
      <c r="J26" s="133">
        <f t="shared" si="3"/>
        <v>2</v>
      </c>
    </row>
    <row r="27" spans="2:10" s="120" customFormat="1" ht="16" customHeight="1">
      <c r="B27" s="154">
        <f t="shared" si="5"/>
        <v>180</v>
      </c>
      <c r="C27" s="155">
        <f t="shared" si="6"/>
        <v>157.5</v>
      </c>
      <c r="D27" s="156" t="s">
        <v>597</v>
      </c>
      <c r="F27" s="143">
        <f t="shared" si="4"/>
        <v>-0.81999999999999984</v>
      </c>
      <c r="G27" s="144">
        <f t="shared" si="0"/>
        <v>0</v>
      </c>
      <c r="H27" s="144">
        <f t="shared" si="1"/>
        <v>0</v>
      </c>
      <c r="I27" s="144">
        <f t="shared" si="2"/>
        <v>0</v>
      </c>
      <c r="J27" s="133">
        <f t="shared" si="3"/>
        <v>2</v>
      </c>
    </row>
    <row r="28" spans="2:10" s="120" customFormat="1" ht="16" customHeight="1">
      <c r="B28" s="154">
        <f t="shared" si="5"/>
        <v>225</v>
      </c>
      <c r="C28" s="155">
        <f t="shared" si="6"/>
        <v>202.5</v>
      </c>
      <c r="D28" s="156" t="s">
        <v>598</v>
      </c>
      <c r="F28" s="143">
        <f t="shared" si="4"/>
        <v>-0.80999999999999983</v>
      </c>
      <c r="G28" s="144">
        <f t="shared" si="0"/>
        <v>0</v>
      </c>
      <c r="H28" s="144">
        <f t="shared" si="1"/>
        <v>0</v>
      </c>
      <c r="I28" s="144">
        <f t="shared" si="2"/>
        <v>0</v>
      </c>
      <c r="J28" s="133">
        <f t="shared" si="3"/>
        <v>2</v>
      </c>
    </row>
    <row r="29" spans="2:10" s="120" customFormat="1" ht="16" customHeight="1">
      <c r="B29" s="154">
        <f t="shared" si="5"/>
        <v>270</v>
      </c>
      <c r="C29" s="155">
        <f t="shared" si="6"/>
        <v>247.5</v>
      </c>
      <c r="D29" s="156" t="s">
        <v>599</v>
      </c>
      <c r="F29" s="143">
        <f t="shared" si="4"/>
        <v>-0.79999999999999982</v>
      </c>
      <c r="G29" s="144">
        <f t="shared" si="0"/>
        <v>0</v>
      </c>
      <c r="H29" s="144">
        <f t="shared" si="1"/>
        <v>0</v>
      </c>
      <c r="I29" s="144">
        <f t="shared" si="2"/>
        <v>0</v>
      </c>
      <c r="J29" s="133">
        <f t="shared" si="3"/>
        <v>2</v>
      </c>
    </row>
    <row r="30" spans="2:10" s="120" customFormat="1" ht="16" customHeight="1">
      <c r="B30" s="154">
        <f t="shared" si="5"/>
        <v>315</v>
      </c>
      <c r="C30" s="155">
        <f t="shared" si="6"/>
        <v>292.5</v>
      </c>
      <c r="D30" s="156" t="s">
        <v>600</v>
      </c>
      <c r="F30" s="143">
        <f t="shared" si="4"/>
        <v>-0.78999999999999981</v>
      </c>
      <c r="G30" s="144">
        <f t="shared" si="0"/>
        <v>0</v>
      </c>
      <c r="H30" s="144">
        <f t="shared" si="1"/>
        <v>0</v>
      </c>
      <c r="I30" s="144">
        <f t="shared" si="2"/>
        <v>0</v>
      </c>
      <c r="J30" s="133">
        <f t="shared" si="3"/>
        <v>2</v>
      </c>
    </row>
    <row r="31" spans="2:10" s="120" customFormat="1" ht="16" customHeight="1">
      <c r="B31" s="157">
        <f t="shared" si="5"/>
        <v>360</v>
      </c>
      <c r="C31" s="158">
        <f t="shared" si="6"/>
        <v>337.5</v>
      </c>
      <c r="D31" s="159" t="s">
        <v>593</v>
      </c>
      <c r="F31" s="143">
        <f t="shared" si="4"/>
        <v>-0.7799999999999998</v>
      </c>
      <c r="G31" s="144">
        <f t="shared" si="0"/>
        <v>0</v>
      </c>
      <c r="H31" s="144">
        <f t="shared" si="1"/>
        <v>0</v>
      </c>
      <c r="I31" s="144">
        <f t="shared" si="2"/>
        <v>0</v>
      </c>
      <c r="J31" s="133">
        <f t="shared" si="3"/>
        <v>2</v>
      </c>
    </row>
    <row r="32" spans="2:10" s="120" customFormat="1" ht="16" customHeight="1">
      <c r="F32" s="143">
        <f t="shared" si="4"/>
        <v>-0.7699999999999998</v>
      </c>
      <c r="G32" s="144">
        <f t="shared" si="0"/>
        <v>0</v>
      </c>
      <c r="H32" s="144">
        <f t="shared" si="1"/>
        <v>0</v>
      </c>
      <c r="I32" s="144">
        <f t="shared" si="2"/>
        <v>0</v>
      </c>
      <c r="J32" s="133">
        <f t="shared" si="3"/>
        <v>2</v>
      </c>
    </row>
    <row r="33" spans="6:10" s="120" customFormat="1" ht="16" customHeight="1">
      <c r="F33" s="143">
        <f t="shared" si="4"/>
        <v>-0.75999999999999979</v>
      </c>
      <c r="G33" s="144">
        <f t="shared" si="0"/>
        <v>0</v>
      </c>
      <c r="H33" s="144">
        <f t="shared" si="1"/>
        <v>0</v>
      </c>
      <c r="I33" s="144">
        <f t="shared" si="2"/>
        <v>0</v>
      </c>
      <c r="J33" s="133">
        <f t="shared" si="3"/>
        <v>2</v>
      </c>
    </row>
    <row r="34" spans="6:10" s="120" customFormat="1" ht="16" customHeight="1">
      <c r="F34" s="143">
        <f t="shared" si="4"/>
        <v>-0.74999999999999978</v>
      </c>
      <c r="G34" s="144">
        <f t="shared" si="0"/>
        <v>0</v>
      </c>
      <c r="H34" s="144">
        <f t="shared" si="1"/>
        <v>0</v>
      </c>
      <c r="I34" s="144">
        <f t="shared" si="2"/>
        <v>0</v>
      </c>
      <c r="J34" s="133">
        <f t="shared" si="3"/>
        <v>2</v>
      </c>
    </row>
    <row r="35" spans="6:10" s="120" customFormat="1" ht="16" customHeight="1">
      <c r="F35" s="143">
        <f t="shared" si="4"/>
        <v>-0.73999999999999977</v>
      </c>
      <c r="G35" s="144">
        <f t="shared" si="0"/>
        <v>0</v>
      </c>
      <c r="H35" s="144">
        <f t="shared" si="1"/>
        <v>0</v>
      </c>
      <c r="I35" s="144">
        <f t="shared" si="2"/>
        <v>0</v>
      </c>
      <c r="J35" s="133">
        <f t="shared" si="3"/>
        <v>2</v>
      </c>
    </row>
    <row r="36" spans="6:10" s="120" customFormat="1" ht="16" customHeight="1">
      <c r="F36" s="143">
        <f t="shared" si="4"/>
        <v>-0.72999999999999976</v>
      </c>
      <c r="G36" s="144">
        <f t="shared" si="0"/>
        <v>0</v>
      </c>
      <c r="H36" s="144">
        <f t="shared" si="1"/>
        <v>0</v>
      </c>
      <c r="I36" s="144">
        <f t="shared" si="2"/>
        <v>0</v>
      </c>
      <c r="J36" s="133">
        <f t="shared" si="3"/>
        <v>2</v>
      </c>
    </row>
    <row r="37" spans="6:10" s="120" customFormat="1" ht="16" customHeight="1">
      <c r="F37" s="143">
        <f t="shared" si="4"/>
        <v>-0.71999999999999975</v>
      </c>
      <c r="G37" s="144">
        <f t="shared" si="0"/>
        <v>0</v>
      </c>
      <c r="H37" s="144">
        <f t="shared" si="1"/>
        <v>0</v>
      </c>
      <c r="I37" s="144">
        <f t="shared" si="2"/>
        <v>0</v>
      </c>
      <c r="J37" s="133">
        <f t="shared" si="3"/>
        <v>2</v>
      </c>
    </row>
    <row r="38" spans="6:10" s="120" customFormat="1" ht="16" customHeight="1">
      <c r="F38" s="143">
        <f t="shared" si="4"/>
        <v>-0.70999999999999974</v>
      </c>
      <c r="G38" s="144">
        <f t="shared" si="0"/>
        <v>0</v>
      </c>
      <c r="H38" s="144">
        <f t="shared" si="1"/>
        <v>0</v>
      </c>
      <c r="I38" s="144">
        <f t="shared" si="2"/>
        <v>0</v>
      </c>
      <c r="J38" s="133">
        <f t="shared" si="3"/>
        <v>2</v>
      </c>
    </row>
    <row r="39" spans="6:10" s="120" customFormat="1" ht="16" customHeight="1">
      <c r="F39" s="143">
        <f t="shared" si="4"/>
        <v>-0.69999999999999973</v>
      </c>
      <c r="G39" s="144">
        <f t="shared" si="0"/>
        <v>0</v>
      </c>
      <c r="H39" s="144">
        <f t="shared" si="1"/>
        <v>0</v>
      </c>
      <c r="I39" s="144">
        <f t="shared" si="2"/>
        <v>0</v>
      </c>
      <c r="J39" s="133">
        <f t="shared" si="3"/>
        <v>2</v>
      </c>
    </row>
    <row r="40" spans="6:10" s="120" customFormat="1" ht="16" customHeight="1">
      <c r="F40" s="143">
        <f t="shared" si="4"/>
        <v>-0.68999999999999972</v>
      </c>
      <c r="G40" s="144">
        <f t="shared" si="0"/>
        <v>0.1700937172087757</v>
      </c>
      <c r="H40" s="144">
        <f t="shared" si="1"/>
        <v>0</v>
      </c>
      <c r="I40" s="144">
        <f t="shared" si="2"/>
        <v>0</v>
      </c>
      <c r="J40" s="133">
        <f t="shared" si="3"/>
        <v>2</v>
      </c>
    </row>
    <row r="41" spans="6:10" s="120" customFormat="1" ht="16" customHeight="1">
      <c r="F41" s="143">
        <f t="shared" si="4"/>
        <v>-0.67999999999999972</v>
      </c>
      <c r="G41" s="144">
        <f t="shared" si="0"/>
        <v>0.23848440581444008</v>
      </c>
      <c r="H41" s="144">
        <f t="shared" si="1"/>
        <v>0</v>
      </c>
      <c r="I41" s="144">
        <f t="shared" si="2"/>
        <v>0</v>
      </c>
      <c r="J41" s="133">
        <f t="shared" si="3"/>
        <v>2</v>
      </c>
    </row>
    <row r="42" spans="6:10" s="120" customFormat="1" ht="16" customHeight="1">
      <c r="F42" s="143">
        <f t="shared" si="4"/>
        <v>-0.66999999999999971</v>
      </c>
      <c r="G42" s="144">
        <f t="shared" si="0"/>
        <v>0.29053368975039262</v>
      </c>
      <c r="H42" s="144">
        <f t="shared" si="1"/>
        <v>0</v>
      </c>
      <c r="I42" s="144">
        <f t="shared" si="2"/>
        <v>0</v>
      </c>
      <c r="J42" s="133">
        <f t="shared" si="3"/>
        <v>2</v>
      </c>
    </row>
    <row r="43" spans="6:10" s="120" customFormat="1" ht="16" customHeight="1">
      <c r="F43" s="143">
        <f t="shared" si="4"/>
        <v>-0.6599999999999997</v>
      </c>
      <c r="G43" s="144">
        <f t="shared" si="0"/>
        <v>0.33397142366351057</v>
      </c>
      <c r="H43" s="144">
        <f t="shared" si="1"/>
        <v>0</v>
      </c>
      <c r="I43" s="144">
        <f t="shared" si="2"/>
        <v>0</v>
      </c>
      <c r="J43" s="133">
        <f t="shared" si="3"/>
        <v>2</v>
      </c>
    </row>
    <row r="44" spans="6:10" s="120" customFormat="1" ht="16" customHeight="1">
      <c r="F44" s="143">
        <f t="shared" si="4"/>
        <v>-0.64999999999999969</v>
      </c>
      <c r="G44" s="144">
        <f t="shared" si="0"/>
        <v>0.37182801487815592</v>
      </c>
      <c r="H44" s="144">
        <f t="shared" si="1"/>
        <v>0</v>
      </c>
      <c r="I44" s="144">
        <f t="shared" si="2"/>
        <v>0</v>
      </c>
      <c r="J44" s="133">
        <f t="shared" si="3"/>
        <v>2</v>
      </c>
    </row>
    <row r="45" spans="6:10" s="120" customFormat="1" ht="16" customHeight="1">
      <c r="F45" s="143">
        <f t="shared" si="4"/>
        <v>-0.63999999999999968</v>
      </c>
      <c r="G45" s="144">
        <f t="shared" si="0"/>
        <v>0.40566896276788517</v>
      </c>
      <c r="H45" s="144">
        <f t="shared" si="1"/>
        <v>0</v>
      </c>
      <c r="I45" s="144">
        <f t="shared" si="2"/>
        <v>0</v>
      </c>
      <c r="J45" s="133">
        <f t="shared" si="3"/>
        <v>2</v>
      </c>
    </row>
    <row r="46" spans="6:10" s="120" customFormat="1" ht="16" customHeight="1">
      <c r="F46" s="143">
        <f t="shared" si="4"/>
        <v>-0.62999999999999967</v>
      </c>
      <c r="G46" s="144">
        <f t="shared" si="0"/>
        <v>0.43642939399020431</v>
      </c>
      <c r="H46" s="144">
        <f t="shared" si="1"/>
        <v>0</v>
      </c>
      <c r="I46" s="144">
        <f t="shared" si="2"/>
        <v>0</v>
      </c>
      <c r="J46" s="133">
        <f t="shared" si="3"/>
        <v>2</v>
      </c>
    </row>
    <row r="47" spans="6:10" s="120" customFormat="1" ht="16" customHeight="1">
      <c r="F47" s="143">
        <f t="shared" si="4"/>
        <v>-0.61999999999999966</v>
      </c>
      <c r="G47" s="144">
        <f t="shared" si="0"/>
        <v>0.4647214202128902</v>
      </c>
      <c r="H47" s="144">
        <f t="shared" si="1"/>
        <v>0</v>
      </c>
      <c r="I47" s="144">
        <f t="shared" si="2"/>
        <v>0</v>
      </c>
      <c r="J47" s="133">
        <f t="shared" si="3"/>
        <v>2</v>
      </c>
    </row>
    <row r="48" spans="6:10" s="120" customFormat="1" ht="16" customHeight="1">
      <c r="F48" s="143">
        <f t="shared" si="4"/>
        <v>-0.60999999999999965</v>
      </c>
      <c r="G48" s="144">
        <f t="shared" si="0"/>
        <v>0.49097194904725255</v>
      </c>
      <c r="H48" s="144">
        <f t="shared" si="1"/>
        <v>0</v>
      </c>
      <c r="I48" s="144">
        <f t="shared" si="2"/>
        <v>0</v>
      </c>
      <c r="J48" s="133">
        <f t="shared" si="3"/>
        <v>2</v>
      </c>
    </row>
    <row r="49" spans="6:10" s="120" customFormat="1" ht="16" customHeight="1">
      <c r="F49" s="143">
        <f t="shared" si="4"/>
        <v>-0.59999999999999964</v>
      </c>
      <c r="G49" s="144">
        <f t="shared" si="0"/>
        <v>0.51549295337412104</v>
      </c>
      <c r="H49" s="144">
        <f t="shared" si="1"/>
        <v>0</v>
      </c>
      <c r="I49" s="144">
        <f t="shared" si="2"/>
        <v>0</v>
      </c>
      <c r="J49" s="133">
        <f t="shared" si="3"/>
        <v>2</v>
      </c>
    </row>
    <row r="50" spans="6:10" s="120" customFormat="1" ht="16" customHeight="1">
      <c r="F50" s="143">
        <f t="shared" si="4"/>
        <v>-0.58999999999999964</v>
      </c>
      <c r="G50" s="144">
        <f t="shared" si="0"/>
        <v>0.53852074155600826</v>
      </c>
      <c r="H50" s="144">
        <f t="shared" si="1"/>
        <v>0</v>
      </c>
      <c r="I50" s="144">
        <f t="shared" si="2"/>
        <v>0</v>
      </c>
      <c r="J50" s="133">
        <f t="shared" si="3"/>
        <v>2</v>
      </c>
    </row>
    <row r="51" spans="6:10" s="120" customFormat="1" ht="16" customHeight="1">
      <c r="F51" s="143">
        <f t="shared" si="4"/>
        <v>-0.57999999999999963</v>
      </c>
      <c r="G51" s="144">
        <f t="shared" si="0"/>
        <v>0.56023947297047538</v>
      </c>
      <c r="H51" s="144">
        <f t="shared" si="1"/>
        <v>0</v>
      </c>
      <c r="I51" s="144">
        <f t="shared" si="2"/>
        <v>0</v>
      </c>
      <c r="J51" s="133">
        <f t="shared" si="3"/>
        <v>2</v>
      </c>
    </row>
    <row r="52" spans="6:10" s="120" customFormat="1" ht="16" customHeight="1">
      <c r="F52" s="143">
        <f t="shared" si="4"/>
        <v>-0.56999999999999962</v>
      </c>
      <c r="G52" s="144">
        <f t="shared" si="0"/>
        <v>0.58079602180368139</v>
      </c>
      <c r="H52" s="144">
        <f t="shared" si="1"/>
        <v>0</v>
      </c>
      <c r="I52" s="144">
        <f t="shared" si="2"/>
        <v>0</v>
      </c>
      <c r="J52" s="133">
        <f t="shared" si="3"/>
        <v>2</v>
      </c>
    </row>
    <row r="53" spans="6:10" s="120" customFormat="1" ht="16" customHeight="1">
      <c r="F53" s="143">
        <f t="shared" si="4"/>
        <v>-0.55999999999999961</v>
      </c>
      <c r="G53" s="144">
        <f t="shared" si="0"/>
        <v>0.60030979060171297</v>
      </c>
      <c r="H53" s="144">
        <f t="shared" si="1"/>
        <v>0</v>
      </c>
      <c r="I53" s="144">
        <f t="shared" si="2"/>
        <v>0</v>
      </c>
      <c r="J53" s="133">
        <f t="shared" si="3"/>
        <v>2</v>
      </c>
    </row>
    <row r="54" spans="6:10" s="120" customFormat="1" ht="16" customHeight="1">
      <c r="F54" s="143">
        <f t="shared" si="4"/>
        <v>-0.5499999999999996</v>
      </c>
      <c r="G54" s="144">
        <f t="shared" si="0"/>
        <v>0.61887942631994641</v>
      </c>
      <c r="H54" s="144">
        <f t="shared" si="1"/>
        <v>0</v>
      </c>
      <c r="I54" s="144">
        <f t="shared" si="2"/>
        <v>0</v>
      </c>
      <c r="J54" s="133">
        <f t="shared" si="3"/>
        <v>2</v>
      </c>
    </row>
    <row r="55" spans="6:10" s="120" customFormat="1" ht="16" customHeight="1">
      <c r="F55" s="143">
        <f t="shared" si="4"/>
        <v>-0.53999999999999959</v>
      </c>
      <c r="G55" s="144">
        <f t="shared" si="0"/>
        <v>0.63658755708267101</v>
      </c>
      <c r="H55" s="144">
        <f t="shared" si="1"/>
        <v>0</v>
      </c>
      <c r="I55" s="144">
        <f t="shared" si="2"/>
        <v>0</v>
      </c>
      <c r="J55" s="133">
        <f t="shared" si="3"/>
        <v>2</v>
      </c>
    </row>
    <row r="56" spans="6:10" s="120" customFormat="1" ht="16" customHeight="1">
      <c r="F56" s="143">
        <f t="shared" si="4"/>
        <v>-0.52999999999999958</v>
      </c>
      <c r="G56" s="144">
        <f t="shared" si="0"/>
        <v>0.65350421974414485</v>
      </c>
      <c r="H56" s="144">
        <f t="shared" si="1"/>
        <v>0</v>
      </c>
      <c r="I56" s="144">
        <f t="shared" si="2"/>
        <v>0</v>
      </c>
      <c r="J56" s="133">
        <f t="shared" si="3"/>
        <v>2</v>
      </c>
    </row>
    <row r="57" spans="6:10" s="120" customFormat="1" ht="16" customHeight="1">
      <c r="F57" s="143">
        <f t="shared" si="4"/>
        <v>-0.51999999999999957</v>
      </c>
      <c r="G57" s="144">
        <f t="shared" si="0"/>
        <v>0.66968939553711593</v>
      </c>
      <c r="H57" s="144">
        <f t="shared" si="1"/>
        <v>0</v>
      </c>
      <c r="I57" s="144">
        <f t="shared" si="2"/>
        <v>0</v>
      </c>
      <c r="J57" s="133">
        <f t="shared" si="3"/>
        <v>2</v>
      </c>
    </row>
    <row r="58" spans="6:10" s="120" customFormat="1" ht="16" customHeight="1">
      <c r="F58" s="143">
        <f t="shared" si="4"/>
        <v>-0.50999999999999956</v>
      </c>
      <c r="G58" s="144">
        <f t="shared" si="0"/>
        <v>0.6851949223738274</v>
      </c>
      <c r="H58" s="144">
        <f t="shared" si="1"/>
        <v>0</v>
      </c>
      <c r="I58" s="144">
        <f t="shared" si="2"/>
        <v>0</v>
      </c>
      <c r="J58" s="133">
        <f t="shared" si="3"/>
        <v>2</v>
      </c>
    </row>
    <row r="59" spans="6:10" s="120" customFormat="1" ht="16" customHeight="1">
      <c r="F59" s="143">
        <f t="shared" si="4"/>
        <v>-0.49999999999999956</v>
      </c>
      <c r="G59" s="144">
        <f t="shared" si="0"/>
        <v>0.70006596166320401</v>
      </c>
      <c r="H59" s="144">
        <f t="shared" si="1"/>
        <v>0</v>
      </c>
      <c r="I59" s="144">
        <f t="shared" si="2"/>
        <v>0</v>
      </c>
      <c r="J59" s="133">
        <f t="shared" si="3"/>
        <v>2</v>
      </c>
    </row>
    <row r="60" spans="6:10" s="120" customFormat="1" ht="16" customHeight="1">
      <c r="F60" s="143">
        <f t="shared" si="4"/>
        <v>-0.48999999999999955</v>
      </c>
      <c r="G60" s="144">
        <f t="shared" si="0"/>
        <v>0.71434214042888533</v>
      </c>
      <c r="H60" s="144">
        <f t="shared" si="1"/>
        <v>0</v>
      </c>
      <c r="I60" s="144">
        <f t="shared" si="2"/>
        <v>0</v>
      </c>
      <c r="J60" s="133">
        <f t="shared" si="3"/>
        <v>2</v>
      </c>
    </row>
    <row r="61" spans="6:10" s="120" customFormat="1" ht="16" customHeight="1">
      <c r="F61" s="143">
        <f t="shared" si="4"/>
        <v>-0.47999999999999954</v>
      </c>
      <c r="G61" s="144">
        <f t="shared" si="0"/>
        <v>0.728058452588911</v>
      </c>
      <c r="H61" s="144">
        <f t="shared" si="1"/>
        <v>0</v>
      </c>
      <c r="I61" s="144">
        <f t="shared" si="2"/>
        <v>0</v>
      </c>
      <c r="J61" s="133">
        <f t="shared" si="3"/>
        <v>2</v>
      </c>
    </row>
    <row r="62" spans="6:10" s="120" customFormat="1" ht="16" customHeight="1">
      <c r="F62" s="143">
        <f t="shared" si="4"/>
        <v>-0.46999999999999953</v>
      </c>
      <c r="G62" s="144">
        <f t="shared" si="0"/>
        <v>0.74124597878190301</v>
      </c>
      <c r="H62" s="144">
        <f t="shared" si="1"/>
        <v>0</v>
      </c>
      <c r="I62" s="144">
        <f t="shared" si="2"/>
        <v>0</v>
      </c>
      <c r="J62" s="133">
        <f t="shared" si="3"/>
        <v>2</v>
      </c>
    </row>
    <row r="63" spans="6:10" s="120" customFormat="1" ht="16" customHeight="1">
      <c r="F63" s="143">
        <f t="shared" si="4"/>
        <v>-0.45999999999999952</v>
      </c>
      <c r="G63" s="144">
        <f t="shared" si="0"/>
        <v>0.75393246754272814</v>
      </c>
      <c r="H63" s="144">
        <f t="shared" si="1"/>
        <v>0</v>
      </c>
      <c r="I63" s="144">
        <f t="shared" si="2"/>
        <v>0</v>
      </c>
      <c r="J63" s="133">
        <f t="shared" si="3"/>
        <v>2</v>
      </c>
    </row>
    <row r="64" spans="6:10" ht="16">
      <c r="F64" s="143">
        <f t="shared" si="4"/>
        <v>-0.44999999999999951</v>
      </c>
      <c r="G64" s="144">
        <f t="shared" si="0"/>
        <v>0.76614280917485322</v>
      </c>
      <c r="H64" s="144">
        <f t="shared" si="1"/>
        <v>0</v>
      </c>
      <c r="I64" s="144">
        <f t="shared" si="2"/>
        <v>0</v>
      </c>
      <c r="J64" s="133">
        <f t="shared" si="3"/>
        <v>2</v>
      </c>
    </row>
    <row r="65" spans="6:10" ht="16">
      <c r="F65" s="143">
        <f t="shared" si="4"/>
        <v>-0.4399999999999995</v>
      </c>
      <c r="G65" s="144">
        <f t="shared" si="0"/>
        <v>0.77789942561114422</v>
      </c>
      <c r="H65" s="144">
        <f t="shared" si="1"/>
        <v>0</v>
      </c>
      <c r="I65" s="144">
        <f t="shared" si="2"/>
        <v>0</v>
      </c>
      <c r="J65" s="133">
        <f t="shared" si="3"/>
        <v>2</v>
      </c>
    </row>
    <row r="66" spans="6:10" ht="16">
      <c r="F66" s="143">
        <f t="shared" si="4"/>
        <v>-0.42999999999999949</v>
      </c>
      <c r="G66" s="144">
        <f t="shared" si="0"/>
        <v>0.789222593798799</v>
      </c>
      <c r="H66" s="144">
        <f t="shared" si="1"/>
        <v>0</v>
      </c>
      <c r="I66" s="144">
        <f t="shared" si="2"/>
        <v>0</v>
      </c>
      <c r="J66" s="133">
        <f t="shared" si="3"/>
        <v>2</v>
      </c>
    </row>
    <row r="67" spans="6:10" ht="16">
      <c r="F67" s="143">
        <f t="shared" si="4"/>
        <v>-0.41999999999999948</v>
      </c>
      <c r="G67" s="144">
        <f t="shared" si="0"/>
        <v>0.8001307159704617</v>
      </c>
      <c r="H67" s="144">
        <f t="shared" si="1"/>
        <v>0</v>
      </c>
      <c r="I67" s="144">
        <f t="shared" si="2"/>
        <v>0</v>
      </c>
      <c r="J67" s="133">
        <f t="shared" si="3"/>
        <v>2</v>
      </c>
    </row>
    <row r="68" spans="6:10" ht="16">
      <c r="F68" s="143">
        <f t="shared" si="4"/>
        <v>-0.40999999999999948</v>
      </c>
      <c r="G68" s="144">
        <f t="shared" si="0"/>
        <v>0.81064054709645916</v>
      </c>
      <c r="H68" s="144">
        <f t="shared" si="1"/>
        <v>0</v>
      </c>
      <c r="I68" s="144">
        <f t="shared" si="2"/>
        <v>0</v>
      </c>
      <c r="J68" s="133">
        <f t="shared" si="3"/>
        <v>2</v>
      </c>
    </row>
    <row r="69" spans="6:10" ht="16">
      <c r="F69" s="143">
        <f t="shared" si="4"/>
        <v>-0.39999999999999947</v>
      </c>
      <c r="G69" s="144">
        <f t="shared" si="0"/>
        <v>0.82076738753122569</v>
      </c>
      <c r="H69" s="144">
        <f t="shared" si="1"/>
        <v>0</v>
      </c>
      <c r="I69" s="144">
        <f t="shared" si="2"/>
        <v>0</v>
      </c>
      <c r="J69" s="133">
        <f t="shared" si="3"/>
        <v>2</v>
      </c>
    </row>
    <row r="70" spans="6:10" ht="16">
      <c r="F70" s="143">
        <f t="shared" si="4"/>
        <v>-0.38999999999999946</v>
      </c>
      <c r="G70" s="144">
        <f t="shared" si="0"/>
        <v>0.83052524714987652</v>
      </c>
      <c r="H70" s="144">
        <f t="shared" si="1"/>
        <v>0</v>
      </c>
      <c r="I70" s="144">
        <f t="shared" si="2"/>
        <v>0</v>
      </c>
      <c r="J70" s="133">
        <f t="shared" si="3"/>
        <v>2</v>
      </c>
    </row>
    <row r="71" spans="6:10" ht="16">
      <c r="F71" s="143">
        <f t="shared" si="4"/>
        <v>-0.37999999999999945</v>
      </c>
      <c r="G71" s="144">
        <f t="shared" si="0"/>
        <v>0.83992698596511184</v>
      </c>
      <c r="H71" s="144">
        <f t="shared" si="1"/>
        <v>0</v>
      </c>
      <c r="I71" s="144">
        <f t="shared" si="2"/>
        <v>0</v>
      </c>
      <c r="J71" s="133">
        <f t="shared" si="3"/>
        <v>2</v>
      </c>
    </row>
    <row r="72" spans="6:10" ht="16">
      <c r="F72" s="143">
        <f t="shared" si="4"/>
        <v>-0.36999999999999944</v>
      </c>
      <c r="G72" s="144">
        <f t="shared" si="0"/>
        <v>0.84898443521189149</v>
      </c>
      <c r="H72" s="144">
        <f t="shared" si="1"/>
        <v>0</v>
      </c>
      <c r="I72" s="144">
        <f t="shared" si="2"/>
        <v>0</v>
      </c>
      <c r="J72" s="133">
        <f t="shared" si="3"/>
        <v>2</v>
      </c>
    </row>
    <row r="73" spans="6:10" ht="16">
      <c r="F73" s="143">
        <f t="shared" si="4"/>
        <v>-0.35999999999999943</v>
      </c>
      <c r="G73" s="144">
        <f t="shared" ref="G73:G136" si="7">IFERROR(IF(SQRT(1-(F73*F73)/($J$5*$J$5))&lt;0.05,0,SQRT(1-(F73*F73)/($J$5*$J$5))),0)</f>
        <v>0.85770850211025373</v>
      </c>
      <c r="H73" s="144">
        <f t="shared" ref="H73:H136" si="8">CHOOSE(MATCH($J$3,degrees),IF(F73&lt;0,IFERROR(1-G73,1),0),0,0,IF(F73&gt;0,IFERROR(1-G73,1),0))</f>
        <v>0</v>
      </c>
      <c r="I73" s="144">
        <f t="shared" ref="I73:I136" si="9">CHOOSE(MATCH($J$3,degrees),IF(F73&lt;0,2*G73,2),IF(F73&lt;0,0,1-G73),IF(F73&gt;0,0,1-G73),IF(F73&gt;0,2*G73,2))</f>
        <v>0</v>
      </c>
      <c r="J73" s="133">
        <f t="shared" ref="J73:J136" si="10">CHOOSE(MATCH($J$3,degrees),IF(F73&lt;0,G73+1,2),IF(F73&lt;0,2,2*G73),IF(F73&gt;0,2,2*G73),IF(F73&gt;0,G73+1,2))</f>
        <v>2</v>
      </c>
    </row>
    <row r="74" spans="6:10" ht="16">
      <c r="F74" s="143">
        <f t="shared" ref="F74:F137" si="11">F73+$G$4</f>
        <v>-0.34999999999999942</v>
      </c>
      <c r="G74" s="144">
        <f t="shared" si="7"/>
        <v>0.86610926090933782</v>
      </c>
      <c r="H74" s="144">
        <f t="shared" si="8"/>
        <v>0</v>
      </c>
      <c r="I74" s="144">
        <f t="shared" si="9"/>
        <v>0</v>
      </c>
      <c r="J74" s="133">
        <f t="shared" si="10"/>
        <v>2</v>
      </c>
    </row>
    <row r="75" spans="6:10" ht="16">
      <c r="F75" s="143">
        <f t="shared" si="11"/>
        <v>-0.33999999999999941</v>
      </c>
      <c r="G75" s="144">
        <f t="shared" si="7"/>
        <v>0.87419603233723675</v>
      </c>
      <c r="H75" s="144">
        <f t="shared" si="8"/>
        <v>0</v>
      </c>
      <c r="I75" s="144">
        <f t="shared" si="9"/>
        <v>0</v>
      </c>
      <c r="J75" s="133">
        <f t="shared" si="10"/>
        <v>2</v>
      </c>
    </row>
    <row r="76" spans="6:10" ht="16">
      <c r="F76" s="143">
        <f t="shared" si="11"/>
        <v>-0.3299999999999994</v>
      </c>
      <c r="G76" s="144">
        <f t="shared" si="7"/>
        <v>0.8819774532015876</v>
      </c>
      <c r="H76" s="144">
        <f t="shared" si="8"/>
        <v>0</v>
      </c>
      <c r="I76" s="144">
        <f t="shared" si="9"/>
        <v>0</v>
      </c>
      <c r="J76" s="133">
        <f t="shared" si="10"/>
        <v>2</v>
      </c>
    </row>
    <row r="77" spans="6:10" ht="16">
      <c r="F77" s="143">
        <f t="shared" si="11"/>
        <v>-0.3199999999999994</v>
      </c>
      <c r="G77" s="144">
        <f t="shared" si="7"/>
        <v>0.88946153758231361</v>
      </c>
      <c r="H77" s="144">
        <f t="shared" si="8"/>
        <v>0</v>
      </c>
      <c r="I77" s="144">
        <f t="shared" si="9"/>
        <v>0</v>
      </c>
      <c r="J77" s="133">
        <f t="shared" si="10"/>
        <v>2</v>
      </c>
    </row>
    <row r="78" spans="6:10" ht="16">
      <c r="F78" s="143">
        <f t="shared" si="11"/>
        <v>-0.30999999999999939</v>
      </c>
      <c r="G78" s="144">
        <f t="shared" si="7"/>
        <v>0.89665573081376782</v>
      </c>
      <c r="H78" s="144">
        <f t="shared" si="8"/>
        <v>0</v>
      </c>
      <c r="I78" s="144">
        <f t="shared" si="9"/>
        <v>0</v>
      </c>
      <c r="J78" s="133">
        <f t="shared" si="10"/>
        <v>2</v>
      </c>
    </row>
    <row r="79" spans="6:10" ht="16">
      <c r="F79" s="143">
        <f t="shared" si="11"/>
        <v>-0.29999999999999938</v>
      </c>
      <c r="G79" s="144">
        <f t="shared" si="7"/>
        <v>0.90356695725584946</v>
      </c>
      <c r="H79" s="144">
        <f t="shared" si="8"/>
        <v>0</v>
      </c>
      <c r="I79" s="144">
        <f t="shared" si="9"/>
        <v>0</v>
      </c>
      <c r="J79" s="133">
        <f t="shared" si="10"/>
        <v>2</v>
      </c>
    </row>
    <row r="80" spans="6:10" ht="16">
      <c r="F80" s="143">
        <f t="shared" si="11"/>
        <v>-0.28999999999999937</v>
      </c>
      <c r="G80" s="144">
        <f t="shared" si="7"/>
        <v>0.9102016626927022</v>
      </c>
      <c r="H80" s="144">
        <f t="shared" si="8"/>
        <v>0</v>
      </c>
      <c r="I80" s="144">
        <f t="shared" si="9"/>
        <v>0</v>
      </c>
      <c r="J80" s="133">
        <f t="shared" si="10"/>
        <v>2</v>
      </c>
    </row>
    <row r="81" spans="6:10" ht="16">
      <c r="F81" s="143">
        <f t="shared" si="11"/>
        <v>-0.27999999999999936</v>
      </c>
      <c r="G81" s="144">
        <f t="shared" si="7"/>
        <v>0.91656585206577967</v>
      </c>
      <c r="H81" s="144">
        <f t="shared" si="8"/>
        <v>0</v>
      </c>
      <c r="I81" s="144">
        <f t="shared" si="9"/>
        <v>0</v>
      </c>
      <c r="J81" s="133">
        <f t="shared" si="10"/>
        <v>2</v>
      </c>
    </row>
    <row r="82" spans="6:10" ht="16">
      <c r="F82" s="143">
        <f t="shared" si="11"/>
        <v>-0.26999999999999935</v>
      </c>
      <c r="G82" s="144">
        <f t="shared" si="7"/>
        <v>0.92266512313955018</v>
      </c>
      <c r="H82" s="144">
        <f t="shared" si="8"/>
        <v>0</v>
      </c>
      <c r="I82" s="144">
        <f t="shared" si="9"/>
        <v>0</v>
      </c>
      <c r="J82" s="133">
        <f t="shared" si="10"/>
        <v>2</v>
      </c>
    </row>
    <row r="83" spans="6:10" ht="16">
      <c r="F83" s="143">
        <f t="shared" si="11"/>
        <v>-0.25999999999999934</v>
      </c>
      <c r="G83" s="144">
        <f t="shared" si="7"/>
        <v>0.9285046966083248</v>
      </c>
      <c r="H83" s="144">
        <f t="shared" si="8"/>
        <v>0</v>
      </c>
      <c r="I83" s="144">
        <f t="shared" si="9"/>
        <v>0</v>
      </c>
      <c r="J83" s="133">
        <f t="shared" si="10"/>
        <v>2</v>
      </c>
    </row>
    <row r="84" spans="6:10" ht="16">
      <c r="F84" s="143">
        <f t="shared" si="11"/>
        <v>-0.24999999999999933</v>
      </c>
      <c r="G84" s="144">
        <f t="shared" si="7"/>
        <v>0.93408944307804753</v>
      </c>
      <c r="H84" s="144">
        <f t="shared" si="8"/>
        <v>0</v>
      </c>
      <c r="I84" s="144">
        <f t="shared" si="9"/>
        <v>0</v>
      </c>
      <c r="J84" s="133">
        <f t="shared" si="10"/>
        <v>2</v>
      </c>
    </row>
    <row r="85" spans="6:10" ht="16">
      <c r="F85" s="143">
        <f t="shared" si="11"/>
        <v>-0.23999999999999932</v>
      </c>
      <c r="G85" s="144">
        <f t="shared" si="7"/>
        <v>0.93942390729453995</v>
      </c>
      <c r="H85" s="144">
        <f t="shared" si="8"/>
        <v>0</v>
      </c>
      <c r="I85" s="144">
        <f t="shared" si="9"/>
        <v>0</v>
      </c>
      <c r="J85" s="133">
        <f t="shared" si="10"/>
        <v>2</v>
      </c>
    </row>
    <row r="86" spans="6:10" ht="16">
      <c r="F86" s="143">
        <f t="shared" si="11"/>
        <v>-0.22999999999999932</v>
      </c>
      <c r="G86" s="144">
        <f t="shared" si="7"/>
        <v>0.94451232993739531</v>
      </c>
      <c r="H86" s="144">
        <f t="shared" si="8"/>
        <v>0</v>
      </c>
      <c r="I86" s="144">
        <f t="shared" si="9"/>
        <v>0</v>
      </c>
      <c r="J86" s="133">
        <f t="shared" si="10"/>
        <v>2</v>
      </c>
    </row>
    <row r="87" spans="6:10" ht="16">
      <c r="F87" s="143">
        <f t="shared" si="11"/>
        <v>-0.21999999999999931</v>
      </c>
      <c r="G87" s="144">
        <f t="shared" si="7"/>
        <v>0.94935866725465645</v>
      </c>
      <c r="H87" s="144">
        <f t="shared" si="8"/>
        <v>0</v>
      </c>
      <c r="I87" s="144">
        <f t="shared" si="9"/>
        <v>0</v>
      </c>
      <c r="J87" s="133">
        <f t="shared" si="10"/>
        <v>2</v>
      </c>
    </row>
    <row r="88" spans="6:10" ht="16">
      <c r="F88" s="143">
        <f t="shared" si="11"/>
        <v>-0.2099999999999993</v>
      </c>
      <c r="G88" s="144">
        <f t="shared" si="7"/>
        <v>0.95396660877614126</v>
      </c>
      <c r="H88" s="144">
        <f t="shared" si="8"/>
        <v>0</v>
      </c>
      <c r="I88" s="144">
        <f t="shared" si="9"/>
        <v>0</v>
      </c>
      <c r="J88" s="133">
        <f t="shared" si="10"/>
        <v>2</v>
      </c>
    </row>
    <row r="89" spans="6:10" ht="16">
      <c r="F89" s="143">
        <f t="shared" si="11"/>
        <v>-0.19999999999999929</v>
      </c>
      <c r="G89" s="144">
        <f t="shared" si="7"/>
        <v>0.95833959331163432</v>
      </c>
      <c r="H89" s="144">
        <f t="shared" si="8"/>
        <v>0</v>
      </c>
      <c r="I89" s="144">
        <f t="shared" si="9"/>
        <v>0</v>
      </c>
      <c r="J89" s="133">
        <f t="shared" si="10"/>
        <v>2</v>
      </c>
    </row>
    <row r="90" spans="6:10" ht="16">
      <c r="F90" s="143">
        <f t="shared" si="11"/>
        <v>-0.18999999999999928</v>
      </c>
      <c r="G90" s="144">
        <f t="shared" si="7"/>
        <v>0.9624808234131782</v>
      </c>
      <c r="H90" s="144">
        <f t="shared" si="8"/>
        <v>0</v>
      </c>
      <c r="I90" s="144">
        <f t="shared" si="9"/>
        <v>0</v>
      </c>
      <c r="J90" s="133">
        <f t="shared" si="10"/>
        <v>2</v>
      </c>
    </row>
    <row r="91" spans="6:10" ht="16">
      <c r="F91" s="143">
        <f t="shared" si="11"/>
        <v>-0.17999999999999927</v>
      </c>
      <c r="G91" s="144">
        <f t="shared" si="7"/>
        <v>0.96639327845761336</v>
      </c>
      <c r="H91" s="144">
        <f t="shared" si="8"/>
        <v>0</v>
      </c>
      <c r="I91" s="144">
        <f t="shared" si="9"/>
        <v>0</v>
      </c>
      <c r="J91" s="133">
        <f t="shared" si="10"/>
        <v>2</v>
      </c>
    </row>
    <row r="92" spans="6:10" ht="16">
      <c r="F92" s="143">
        <f t="shared" si="11"/>
        <v>-0.16999999999999926</v>
      </c>
      <c r="G92" s="144">
        <f t="shared" si="7"/>
        <v>0.9700797264856853</v>
      </c>
      <c r="H92" s="144">
        <f t="shared" si="8"/>
        <v>0</v>
      </c>
      <c r="I92" s="144">
        <f t="shared" si="9"/>
        <v>0</v>
      </c>
      <c r="J92" s="133">
        <f t="shared" si="10"/>
        <v>2</v>
      </c>
    </row>
    <row r="93" spans="6:10" ht="16">
      <c r="F93" s="143">
        <f t="shared" si="11"/>
        <v>-0.15999999999999925</v>
      </c>
      <c r="G93" s="144">
        <f t="shared" si="7"/>
        <v>0.97354273491694943</v>
      </c>
      <c r="H93" s="144">
        <f t="shared" si="8"/>
        <v>0</v>
      </c>
      <c r="I93" s="144">
        <f t="shared" si="9"/>
        <v>0</v>
      </c>
      <c r="J93" s="133">
        <f t="shared" si="10"/>
        <v>2</v>
      </c>
    </row>
    <row r="94" spans="6:10" ht="16">
      <c r="F94" s="143">
        <f t="shared" si="11"/>
        <v>-0.14999999999999925</v>
      </c>
      <c r="G94" s="144">
        <f t="shared" si="7"/>
        <v>0.97678468024490883</v>
      </c>
      <c r="H94" s="144">
        <f t="shared" si="8"/>
        <v>0</v>
      </c>
      <c r="I94" s="144">
        <f t="shared" si="9"/>
        <v>0</v>
      </c>
      <c r="J94" s="133">
        <f t="shared" si="10"/>
        <v>2</v>
      </c>
    </row>
    <row r="95" spans="6:10" ht="16">
      <c r="F95" s="143">
        <f t="shared" si="11"/>
        <v>-0.13999999999999924</v>
      </c>
      <c r="G95" s="144">
        <f t="shared" si="7"/>
        <v>0.97980775680399024</v>
      </c>
      <c r="H95" s="144">
        <f t="shared" si="8"/>
        <v>0</v>
      </c>
      <c r="I95" s="144">
        <f t="shared" si="9"/>
        <v>0</v>
      </c>
      <c r="J95" s="133">
        <f t="shared" si="10"/>
        <v>2</v>
      </c>
    </row>
    <row r="96" spans="6:10" ht="16">
      <c r="F96" s="143">
        <f t="shared" si="11"/>
        <v>-0.12999999999999923</v>
      </c>
      <c r="G96" s="144">
        <f t="shared" si="7"/>
        <v>0.98261398468876349</v>
      </c>
      <c r="H96" s="144">
        <f t="shared" si="8"/>
        <v>0</v>
      </c>
      <c r="I96" s="144">
        <f t="shared" si="9"/>
        <v>0</v>
      </c>
      <c r="J96" s="133">
        <f t="shared" si="10"/>
        <v>2</v>
      </c>
    </row>
    <row r="97" spans="6:10" ht="16">
      <c r="F97" s="143">
        <f t="shared" si="11"/>
        <v>-0.11999999999999923</v>
      </c>
      <c r="G97" s="144">
        <f t="shared" si="7"/>
        <v>0.98520521689602081</v>
      </c>
      <c r="H97" s="144">
        <f t="shared" si="8"/>
        <v>0</v>
      </c>
      <c r="I97" s="144">
        <f t="shared" si="9"/>
        <v>0</v>
      </c>
      <c r="J97" s="133">
        <f t="shared" si="10"/>
        <v>2</v>
      </c>
    </row>
    <row r="98" spans="6:10" ht="16">
      <c r="F98" s="143">
        <f t="shared" si="11"/>
        <v>-0.10999999999999924</v>
      </c>
      <c r="G98" s="144">
        <f t="shared" si="7"/>
        <v>0.9875831457517309</v>
      </c>
      <c r="H98" s="144">
        <f t="shared" si="8"/>
        <v>0</v>
      </c>
      <c r="I98" s="144">
        <f t="shared" si="9"/>
        <v>0</v>
      </c>
      <c r="J98" s="133">
        <f t="shared" si="10"/>
        <v>2</v>
      </c>
    </row>
    <row r="99" spans="6:10" ht="16">
      <c r="F99" s="143">
        <f t="shared" si="11"/>
        <v>-9.9999999999999242E-2</v>
      </c>
      <c r="G99" s="144">
        <f t="shared" si="7"/>
        <v>0.98974930867729194</v>
      </c>
      <c r="H99" s="144">
        <f t="shared" si="8"/>
        <v>0</v>
      </c>
      <c r="I99" s="144">
        <f t="shared" si="9"/>
        <v>0</v>
      </c>
      <c r="J99" s="133">
        <f t="shared" si="10"/>
        <v>2</v>
      </c>
    </row>
    <row r="100" spans="6:10" ht="16">
      <c r="F100" s="143">
        <f t="shared" si="11"/>
        <v>-8.9999999999999247E-2</v>
      </c>
      <c r="G100" s="144">
        <f t="shared" si="7"/>
        <v>0.99170509334278079</v>
      </c>
      <c r="H100" s="144">
        <f t="shared" si="8"/>
        <v>0</v>
      </c>
      <c r="I100" s="144">
        <f t="shared" si="9"/>
        <v>0</v>
      </c>
      <c r="J100" s="133">
        <f t="shared" si="10"/>
        <v>2</v>
      </c>
    </row>
    <row r="101" spans="6:10" ht="16">
      <c r="F101" s="143">
        <f t="shared" si="11"/>
        <v>-7.9999999999999252E-2</v>
      </c>
      <c r="G101" s="144">
        <f t="shared" si="7"/>
        <v>0.99345174224890942</v>
      </c>
      <c r="H101" s="144">
        <f t="shared" si="8"/>
        <v>0</v>
      </c>
      <c r="I101" s="144">
        <f t="shared" si="9"/>
        <v>0</v>
      </c>
      <c r="J101" s="133">
        <f t="shared" si="10"/>
        <v>2</v>
      </c>
    </row>
    <row r="102" spans="6:10" ht="16">
      <c r="F102" s="143">
        <f t="shared" si="11"/>
        <v>-6.9999999999999257E-2</v>
      </c>
      <c r="G102" s="144">
        <f t="shared" si="7"/>
        <v>0.9949903567740328</v>
      </c>
      <c r="H102" s="144">
        <f t="shared" si="8"/>
        <v>0</v>
      </c>
      <c r="I102" s="144">
        <f t="shared" si="9"/>
        <v>0</v>
      </c>
      <c r="J102" s="133">
        <f t="shared" si="10"/>
        <v>2</v>
      </c>
    </row>
    <row r="103" spans="6:10" ht="16">
      <c r="F103" s="143">
        <f t="shared" si="11"/>
        <v>-5.9999999999999255E-2</v>
      </c>
      <c r="G103" s="144">
        <f t="shared" si="7"/>
        <v>0.99632190071772686</v>
      </c>
      <c r="H103" s="144">
        <f t="shared" si="8"/>
        <v>0</v>
      </c>
      <c r="I103" s="144">
        <f t="shared" si="9"/>
        <v>0</v>
      </c>
      <c r="J103" s="133">
        <f t="shared" si="10"/>
        <v>2</v>
      </c>
    </row>
    <row r="104" spans="6:10" ht="16">
      <c r="F104" s="143">
        <f t="shared" si="11"/>
        <v>-4.9999999999999253E-2</v>
      </c>
      <c r="G104" s="144">
        <f t="shared" si="7"/>
        <v>0.99744720336807524</v>
      </c>
      <c r="H104" s="144">
        <f t="shared" si="8"/>
        <v>0</v>
      </c>
      <c r="I104" s="144">
        <f t="shared" si="9"/>
        <v>0</v>
      </c>
      <c r="J104" s="133">
        <f t="shared" si="10"/>
        <v>2</v>
      </c>
    </row>
    <row r="105" spans="6:10" ht="16">
      <c r="F105" s="143">
        <f t="shared" si="11"/>
        <v>-3.9999999999999251E-2</v>
      </c>
      <c r="G105" s="144">
        <f t="shared" si="7"/>
        <v>0.99836696211580855</v>
      </c>
      <c r="H105" s="144">
        <f t="shared" si="8"/>
        <v>0</v>
      </c>
      <c r="I105" s="144">
        <f t="shared" si="9"/>
        <v>0</v>
      </c>
      <c r="J105" s="133">
        <f t="shared" si="10"/>
        <v>2</v>
      </c>
    </row>
    <row r="106" spans="6:10" ht="16">
      <c r="F106" s="143">
        <f t="shared" si="11"/>
        <v>-2.9999999999999249E-2</v>
      </c>
      <c r="G106" s="144">
        <f t="shared" si="7"/>
        <v>0.99908174463476518</v>
      </c>
      <c r="H106" s="144">
        <f t="shared" si="8"/>
        <v>0</v>
      </c>
      <c r="I106" s="144">
        <f t="shared" si="9"/>
        <v>0</v>
      </c>
      <c r="J106" s="133">
        <f t="shared" si="10"/>
        <v>2</v>
      </c>
    </row>
    <row r="107" spans="6:10" ht="16">
      <c r="F107" s="143">
        <f t="shared" si="11"/>
        <v>-1.9999999999999248E-2</v>
      </c>
      <c r="G107" s="144">
        <f t="shared" si="7"/>
        <v>0.99959199064472659</v>
      </c>
      <c r="H107" s="144">
        <f t="shared" si="8"/>
        <v>0</v>
      </c>
      <c r="I107" s="144">
        <f t="shared" si="9"/>
        <v>0</v>
      </c>
      <c r="J107" s="133">
        <f t="shared" si="10"/>
        <v>2</v>
      </c>
    </row>
    <row r="108" spans="6:10" ht="16">
      <c r="F108" s="143">
        <f t="shared" si="11"/>
        <v>-9.9999999999992473E-3</v>
      </c>
      <c r="G108" s="144">
        <f t="shared" si="7"/>
        <v>0.99989801326948924</v>
      </c>
      <c r="H108" s="144">
        <f t="shared" si="8"/>
        <v>0</v>
      </c>
      <c r="I108" s="144">
        <f t="shared" si="9"/>
        <v>0</v>
      </c>
      <c r="J108" s="133">
        <f t="shared" si="10"/>
        <v>2</v>
      </c>
    </row>
    <row r="109" spans="6:10" ht="16">
      <c r="F109" s="143">
        <f t="shared" si="11"/>
        <v>7.5286998857393428E-16</v>
      </c>
      <c r="G109" s="144">
        <f t="shared" si="7"/>
        <v>1</v>
      </c>
      <c r="H109" s="144">
        <f t="shared" si="8"/>
        <v>0</v>
      </c>
      <c r="I109" s="144">
        <f t="shared" si="9"/>
        <v>0</v>
      </c>
      <c r="J109" s="133">
        <f t="shared" si="10"/>
        <v>2</v>
      </c>
    </row>
    <row r="110" spans="6:10" ht="16">
      <c r="F110" s="143">
        <f t="shared" si="11"/>
        <v>1.0000000000000753E-2</v>
      </c>
      <c r="G110" s="144">
        <f t="shared" si="7"/>
        <v>0.99989801326948924</v>
      </c>
      <c r="H110" s="144">
        <f t="shared" si="8"/>
        <v>0</v>
      </c>
      <c r="I110" s="144">
        <f t="shared" si="9"/>
        <v>1.0198673051076135E-4</v>
      </c>
      <c r="J110" s="133">
        <f t="shared" si="10"/>
        <v>1.9997960265389785</v>
      </c>
    </row>
    <row r="111" spans="6:10" ht="16">
      <c r="F111" s="143">
        <f t="shared" si="11"/>
        <v>2.0000000000000753E-2</v>
      </c>
      <c r="G111" s="144">
        <f t="shared" si="7"/>
        <v>0.99959199064472648</v>
      </c>
      <c r="H111" s="144">
        <f t="shared" si="8"/>
        <v>0</v>
      </c>
      <c r="I111" s="144">
        <f t="shared" si="9"/>
        <v>4.0800935527351978E-4</v>
      </c>
      <c r="J111" s="133">
        <f t="shared" si="10"/>
        <v>1.999183981289453</v>
      </c>
    </row>
    <row r="112" spans="6:10" ht="16">
      <c r="F112" s="143">
        <f t="shared" si="11"/>
        <v>3.0000000000000755E-2</v>
      </c>
      <c r="G112" s="144">
        <f t="shared" si="7"/>
        <v>0.99908174463476507</v>
      </c>
      <c r="H112" s="144">
        <f t="shared" si="8"/>
        <v>0</v>
      </c>
      <c r="I112" s="144">
        <f t="shared" si="9"/>
        <v>9.1825536523493234E-4</v>
      </c>
      <c r="J112" s="133">
        <f t="shared" si="10"/>
        <v>1.9981634892695301</v>
      </c>
    </row>
    <row r="113" spans="6:10" ht="16">
      <c r="F113" s="143">
        <f t="shared" si="11"/>
        <v>4.0000000000000757E-2</v>
      </c>
      <c r="G113" s="144">
        <f t="shared" si="7"/>
        <v>0.99836696211580844</v>
      </c>
      <c r="H113" s="144">
        <f t="shared" si="8"/>
        <v>0</v>
      </c>
      <c r="I113" s="144">
        <f t="shared" si="9"/>
        <v>1.6330378841915572E-3</v>
      </c>
      <c r="J113" s="133">
        <f t="shared" si="10"/>
        <v>1.9967339242316169</v>
      </c>
    </row>
    <row r="114" spans="6:10" ht="16">
      <c r="F114" s="143">
        <f t="shared" si="11"/>
        <v>5.0000000000000759E-2</v>
      </c>
      <c r="G114" s="144">
        <f t="shared" si="7"/>
        <v>0.99744720336807513</v>
      </c>
      <c r="H114" s="144">
        <f t="shared" si="8"/>
        <v>0</v>
      </c>
      <c r="I114" s="144">
        <f t="shared" si="9"/>
        <v>2.5527966319248696E-3</v>
      </c>
      <c r="J114" s="133">
        <f t="shared" si="10"/>
        <v>1.9948944067361503</v>
      </c>
    </row>
    <row r="115" spans="6:10" ht="16">
      <c r="F115" s="143">
        <f t="shared" si="11"/>
        <v>6.0000000000000761E-2</v>
      </c>
      <c r="G115" s="144">
        <f t="shared" si="7"/>
        <v>0.99632190071772664</v>
      </c>
      <c r="H115" s="144">
        <f t="shared" si="8"/>
        <v>0</v>
      </c>
      <c r="I115" s="144">
        <f t="shared" si="9"/>
        <v>3.6780992822733616E-3</v>
      </c>
      <c r="J115" s="133">
        <f t="shared" si="10"/>
        <v>1.9926438014354533</v>
      </c>
    </row>
    <row r="116" spans="6:10" ht="16">
      <c r="F116" s="143">
        <f t="shared" si="11"/>
        <v>7.0000000000000756E-2</v>
      </c>
      <c r="G116" s="144">
        <f t="shared" si="7"/>
        <v>0.99499035677403258</v>
      </c>
      <c r="H116" s="144">
        <f t="shared" si="8"/>
        <v>0</v>
      </c>
      <c r="I116" s="144">
        <f t="shared" si="9"/>
        <v>5.0096432259674195E-3</v>
      </c>
      <c r="J116" s="133">
        <f t="shared" si="10"/>
        <v>1.9899807135480652</v>
      </c>
    </row>
    <row r="117" spans="6:10" ht="16">
      <c r="F117" s="143">
        <f t="shared" si="11"/>
        <v>8.0000000000000751E-2</v>
      </c>
      <c r="G117" s="144">
        <f t="shared" si="7"/>
        <v>0.9934517422489092</v>
      </c>
      <c r="H117" s="144">
        <f t="shared" si="8"/>
        <v>0</v>
      </c>
      <c r="I117" s="144">
        <f t="shared" si="9"/>
        <v>6.5482577510908024E-3</v>
      </c>
      <c r="J117" s="133">
        <f t="shared" si="10"/>
        <v>1.9869034844978184</v>
      </c>
    </row>
    <row r="118" spans="6:10" ht="16">
      <c r="F118" s="143">
        <f t="shared" si="11"/>
        <v>9.0000000000000746E-2</v>
      </c>
      <c r="G118" s="144">
        <f t="shared" si="7"/>
        <v>0.99170509334278056</v>
      </c>
      <c r="H118" s="144">
        <f t="shared" si="8"/>
        <v>0</v>
      </c>
      <c r="I118" s="144">
        <f t="shared" si="9"/>
        <v>8.2949066572194363E-3</v>
      </c>
      <c r="J118" s="133">
        <f t="shared" si="10"/>
        <v>1.9834101866855611</v>
      </c>
    </row>
    <row r="119" spans="6:10" ht="16">
      <c r="F119" s="143">
        <f t="shared" si="11"/>
        <v>0.10000000000000074</v>
      </c>
      <c r="G119" s="144">
        <f t="shared" si="7"/>
        <v>0.98974930867729161</v>
      </c>
      <c r="H119" s="144">
        <f t="shared" si="8"/>
        <v>0</v>
      </c>
      <c r="I119" s="144">
        <f t="shared" si="9"/>
        <v>1.0250691322708394E-2</v>
      </c>
      <c r="J119" s="133">
        <f t="shared" si="10"/>
        <v>1.9794986173545832</v>
      </c>
    </row>
    <row r="120" spans="6:10" ht="16">
      <c r="F120" s="143">
        <f t="shared" si="11"/>
        <v>0.11000000000000074</v>
      </c>
      <c r="G120" s="144">
        <f t="shared" si="7"/>
        <v>0.98758314575173056</v>
      </c>
      <c r="H120" s="144">
        <f t="shared" si="8"/>
        <v>0</v>
      </c>
      <c r="I120" s="144">
        <f t="shared" si="9"/>
        <v>1.2416854248269438E-2</v>
      </c>
      <c r="J120" s="133">
        <f t="shared" si="10"/>
        <v>1.9751662915034611</v>
      </c>
    </row>
    <row r="121" spans="6:10" ht="16">
      <c r="F121" s="143">
        <f t="shared" si="11"/>
        <v>0.12000000000000073</v>
      </c>
      <c r="G121" s="144">
        <f t="shared" si="7"/>
        <v>0.98520521689602036</v>
      </c>
      <c r="H121" s="144">
        <f t="shared" si="8"/>
        <v>0</v>
      </c>
      <c r="I121" s="144">
        <f t="shared" si="9"/>
        <v>1.4794783103979636E-2</v>
      </c>
      <c r="J121" s="133">
        <f t="shared" si="10"/>
        <v>1.9704104337920407</v>
      </c>
    </row>
    <row r="122" spans="6:10" ht="16">
      <c r="F122" s="143">
        <f t="shared" si="11"/>
        <v>0.13000000000000073</v>
      </c>
      <c r="G122" s="144">
        <f t="shared" si="7"/>
        <v>0.98261398468876315</v>
      </c>
      <c r="H122" s="144">
        <f t="shared" si="8"/>
        <v>0</v>
      </c>
      <c r="I122" s="144">
        <f t="shared" si="9"/>
        <v>1.7386015311236847E-2</v>
      </c>
      <c r="J122" s="133">
        <f t="shared" si="10"/>
        <v>1.9652279693775263</v>
      </c>
    </row>
    <row r="123" spans="6:10" ht="16">
      <c r="F123" s="143">
        <f t="shared" si="11"/>
        <v>0.14000000000000073</v>
      </c>
      <c r="G123" s="144">
        <f t="shared" si="7"/>
        <v>0.9798077568039899</v>
      </c>
      <c r="H123" s="144">
        <f t="shared" si="8"/>
        <v>0</v>
      </c>
      <c r="I123" s="144">
        <f t="shared" si="9"/>
        <v>2.0192243196010096E-2</v>
      </c>
      <c r="J123" s="133">
        <f t="shared" si="10"/>
        <v>1.9596155136079798</v>
      </c>
    </row>
    <row r="124" spans="6:10" ht="16">
      <c r="F124" s="143">
        <f t="shared" si="11"/>
        <v>0.15000000000000074</v>
      </c>
      <c r="G124" s="144">
        <f t="shared" si="7"/>
        <v>0.97678468024490839</v>
      </c>
      <c r="H124" s="144">
        <f t="shared" si="8"/>
        <v>0</v>
      </c>
      <c r="I124" s="144">
        <f t="shared" si="9"/>
        <v>2.3215319755091612E-2</v>
      </c>
      <c r="J124" s="133">
        <f t="shared" si="10"/>
        <v>1.9535693604898168</v>
      </c>
    </row>
    <row r="125" spans="6:10" ht="16">
      <c r="F125" s="143">
        <f t="shared" si="11"/>
        <v>0.16000000000000075</v>
      </c>
      <c r="G125" s="144">
        <f t="shared" si="7"/>
        <v>0.97354273491694898</v>
      </c>
      <c r="H125" s="144">
        <f t="shared" si="8"/>
        <v>0</v>
      </c>
      <c r="I125" s="144">
        <f t="shared" si="9"/>
        <v>2.6457265083051018E-2</v>
      </c>
      <c r="J125" s="133">
        <f t="shared" si="10"/>
        <v>1.947085469833898</v>
      </c>
    </row>
    <row r="126" spans="6:10" ht="16">
      <c r="F126" s="143">
        <f t="shared" si="11"/>
        <v>0.17000000000000076</v>
      </c>
      <c r="G126" s="144">
        <f t="shared" si="7"/>
        <v>0.97007972648568486</v>
      </c>
      <c r="H126" s="144">
        <f t="shared" si="8"/>
        <v>0</v>
      </c>
      <c r="I126" s="144">
        <f t="shared" si="9"/>
        <v>2.9920273514315143E-2</v>
      </c>
      <c r="J126" s="133">
        <f t="shared" si="10"/>
        <v>1.9401594529713697</v>
      </c>
    </row>
    <row r="127" spans="6:10" ht="16">
      <c r="F127" s="143">
        <f t="shared" si="11"/>
        <v>0.18000000000000077</v>
      </c>
      <c r="G127" s="144">
        <f t="shared" si="7"/>
        <v>0.96639327845761269</v>
      </c>
      <c r="H127" s="144">
        <f t="shared" si="8"/>
        <v>0</v>
      </c>
      <c r="I127" s="144">
        <f t="shared" si="9"/>
        <v>3.3606721542387308E-2</v>
      </c>
      <c r="J127" s="133">
        <f t="shared" si="10"/>
        <v>1.9327865569152254</v>
      </c>
    </row>
    <row r="128" spans="6:10" ht="16">
      <c r="F128" s="143">
        <f t="shared" si="11"/>
        <v>0.19000000000000078</v>
      </c>
      <c r="G128" s="144">
        <f t="shared" si="7"/>
        <v>0.96248082341317764</v>
      </c>
      <c r="H128" s="144">
        <f t="shared" si="8"/>
        <v>0</v>
      </c>
      <c r="I128" s="144">
        <f t="shared" si="9"/>
        <v>3.7519176586822356E-2</v>
      </c>
      <c r="J128" s="133">
        <f t="shared" si="10"/>
        <v>1.9249616468263553</v>
      </c>
    </row>
    <row r="129" spans="6:10" ht="16">
      <c r="F129" s="143">
        <f t="shared" si="11"/>
        <v>0.20000000000000079</v>
      </c>
      <c r="G129" s="144">
        <f t="shared" si="7"/>
        <v>0.95833959331163365</v>
      </c>
      <c r="H129" s="144">
        <f t="shared" si="8"/>
        <v>0</v>
      </c>
      <c r="I129" s="144">
        <f t="shared" si="9"/>
        <v>4.1660406688366347E-2</v>
      </c>
      <c r="J129" s="133">
        <f t="shared" si="10"/>
        <v>1.9166791866232673</v>
      </c>
    </row>
    <row r="130" spans="6:10" ht="16">
      <c r="F130" s="143">
        <f t="shared" si="11"/>
        <v>0.2100000000000008</v>
      </c>
      <c r="G130" s="144">
        <f t="shared" si="7"/>
        <v>0.95396660877614059</v>
      </c>
      <c r="H130" s="144">
        <f t="shared" si="8"/>
        <v>0</v>
      </c>
      <c r="I130" s="144">
        <f t="shared" si="9"/>
        <v>4.603339122385941E-2</v>
      </c>
      <c r="J130" s="133">
        <f t="shared" si="10"/>
        <v>1.9079332175522812</v>
      </c>
    </row>
    <row r="131" spans="6:10" ht="16">
      <c r="F131" s="143">
        <f t="shared" si="11"/>
        <v>0.22000000000000081</v>
      </c>
      <c r="G131" s="144">
        <f t="shared" si="7"/>
        <v>0.94935866725465567</v>
      </c>
      <c r="H131" s="144">
        <f t="shared" si="8"/>
        <v>0</v>
      </c>
      <c r="I131" s="144">
        <f t="shared" si="9"/>
        <v>5.0641332745344325E-2</v>
      </c>
      <c r="J131" s="133">
        <f t="shared" si="10"/>
        <v>1.8987173345093113</v>
      </c>
    </row>
    <row r="132" spans="6:10" ht="16">
      <c r="F132" s="143">
        <f t="shared" si="11"/>
        <v>0.23000000000000081</v>
      </c>
      <c r="G132" s="144">
        <f t="shared" si="7"/>
        <v>0.94451232993739453</v>
      </c>
      <c r="H132" s="144">
        <f t="shared" si="8"/>
        <v>0</v>
      </c>
      <c r="I132" s="144">
        <f t="shared" si="9"/>
        <v>5.5487670062605465E-2</v>
      </c>
      <c r="J132" s="133">
        <f t="shared" si="10"/>
        <v>1.8890246598747891</v>
      </c>
    </row>
    <row r="133" spans="6:10" ht="16">
      <c r="F133" s="143">
        <f t="shared" si="11"/>
        <v>0.24000000000000082</v>
      </c>
      <c r="G133" s="144">
        <f t="shared" si="7"/>
        <v>0.93942390729453917</v>
      </c>
      <c r="H133" s="144">
        <f t="shared" si="8"/>
        <v>0</v>
      </c>
      <c r="I133" s="144">
        <f t="shared" si="9"/>
        <v>6.0576092705460827E-2</v>
      </c>
      <c r="J133" s="133">
        <f t="shared" si="10"/>
        <v>1.8788478145890783</v>
      </c>
    </row>
    <row r="134" spans="6:10" ht="16">
      <c r="F134" s="143">
        <f t="shared" si="11"/>
        <v>0.25000000000000083</v>
      </c>
      <c r="G134" s="144">
        <f t="shared" si="7"/>
        <v>0.93408944307804675</v>
      </c>
      <c r="H134" s="144">
        <f t="shared" si="8"/>
        <v>0</v>
      </c>
      <c r="I134" s="144">
        <f t="shared" si="9"/>
        <v>6.5910556921953245E-2</v>
      </c>
      <c r="J134" s="133">
        <f t="shared" si="10"/>
        <v>1.8681788861560935</v>
      </c>
    </row>
    <row r="135" spans="6:10" ht="16">
      <c r="F135" s="143">
        <f t="shared" si="11"/>
        <v>0.26000000000000084</v>
      </c>
      <c r="G135" s="144">
        <f t="shared" si="7"/>
        <v>0.92850469660832402</v>
      </c>
      <c r="H135" s="144">
        <f t="shared" si="8"/>
        <v>0</v>
      </c>
      <c r="I135" s="144">
        <f t="shared" si="9"/>
        <v>7.1495303391675979E-2</v>
      </c>
      <c r="J135" s="133">
        <f t="shared" si="10"/>
        <v>1.857009393216648</v>
      </c>
    </row>
    <row r="136" spans="6:10" ht="16">
      <c r="F136" s="143">
        <f t="shared" si="11"/>
        <v>0.27000000000000085</v>
      </c>
      <c r="G136" s="144">
        <f t="shared" si="7"/>
        <v>0.92266512313954929</v>
      </c>
      <c r="H136" s="144">
        <f t="shared" si="8"/>
        <v>0</v>
      </c>
      <c r="I136" s="144">
        <f t="shared" si="9"/>
        <v>7.7334876860450708E-2</v>
      </c>
      <c r="J136" s="133">
        <f t="shared" si="10"/>
        <v>1.8453302462790986</v>
      </c>
    </row>
    <row r="137" spans="6:10" ht="16">
      <c r="F137" s="143">
        <f t="shared" si="11"/>
        <v>0.28000000000000086</v>
      </c>
      <c r="G137" s="144">
        <f t="shared" ref="G137:G200" si="12">IFERROR(IF(SQRT(1-(F137*F137)/($J$5*$J$5))&lt;0.05,0,SQRT(1-(F137*F137)/($J$5*$J$5))),0)</f>
        <v>0.91656585206577867</v>
      </c>
      <c r="H137" s="144">
        <f t="shared" ref="H137:H200" si="13">CHOOSE(MATCH($J$3,degrees),IF(F137&lt;0,IFERROR(1-G137,1),0),0,0,IF(F137&gt;0,IFERROR(1-G137,1),0))</f>
        <v>0</v>
      </c>
      <c r="I137" s="144">
        <f t="shared" ref="I137:I200" si="14">CHOOSE(MATCH($J$3,degrees),IF(F137&lt;0,2*G137,2),IF(F137&lt;0,0,1-G137),IF(F137&gt;0,0,1-G137),IF(F137&gt;0,2*G137,2))</f>
        <v>8.3434147934221325E-2</v>
      </c>
      <c r="J137" s="133">
        <f t="shared" ref="J137:J200" si="15">CHOOSE(MATCH($J$3,degrees),IF(F137&lt;0,G137+1,2),IF(F137&lt;0,2,2*G137),IF(F137&gt;0,2,2*G137),IF(F137&gt;0,G137+1,2))</f>
        <v>1.8331317041315573</v>
      </c>
    </row>
    <row r="138" spans="6:10" ht="16">
      <c r="F138" s="143">
        <f t="shared" ref="F138:F201" si="16">F137+$G$4</f>
        <v>0.29000000000000087</v>
      </c>
      <c r="G138" s="144">
        <f t="shared" si="12"/>
        <v>0.9102016626927012</v>
      </c>
      <c r="H138" s="144">
        <f t="shared" si="13"/>
        <v>0</v>
      </c>
      <c r="I138" s="144">
        <f t="shared" si="14"/>
        <v>8.9798337307298803E-2</v>
      </c>
      <c r="J138" s="133">
        <f t="shared" si="15"/>
        <v>1.8204033253854024</v>
      </c>
    </row>
    <row r="139" spans="6:10" ht="16">
      <c r="F139" s="143">
        <f t="shared" si="16"/>
        <v>0.30000000000000088</v>
      </c>
      <c r="G139" s="144">
        <f t="shared" si="12"/>
        <v>0.90356695725584835</v>
      </c>
      <c r="H139" s="144">
        <f t="shared" si="13"/>
        <v>0</v>
      </c>
      <c r="I139" s="144">
        <f t="shared" si="14"/>
        <v>9.6433042744151654E-2</v>
      </c>
      <c r="J139" s="133">
        <f t="shared" si="15"/>
        <v>1.8071339145116967</v>
      </c>
    </row>
    <row r="140" spans="6:10" ht="16">
      <c r="F140" s="143">
        <f t="shared" si="16"/>
        <v>0.31000000000000089</v>
      </c>
      <c r="G140" s="144">
        <f t="shared" si="12"/>
        <v>0.8966557308137667</v>
      </c>
      <c r="H140" s="144">
        <f t="shared" si="13"/>
        <v>0</v>
      </c>
      <c r="I140" s="144">
        <f t="shared" si="14"/>
        <v>0.1033442691862333</v>
      </c>
      <c r="J140" s="133">
        <f t="shared" si="15"/>
        <v>1.7933114616275334</v>
      </c>
    </row>
    <row r="141" spans="6:10" ht="16">
      <c r="F141" s="143">
        <f t="shared" si="16"/>
        <v>0.32000000000000089</v>
      </c>
      <c r="G141" s="144">
        <f t="shared" si="12"/>
        <v>0.8894615375823125</v>
      </c>
      <c r="H141" s="144">
        <f t="shared" si="13"/>
        <v>0</v>
      </c>
      <c r="I141" s="144">
        <f t="shared" si="14"/>
        <v>0.1105384624176875</v>
      </c>
      <c r="J141" s="133">
        <f t="shared" si="15"/>
        <v>1.778923075164625</v>
      </c>
    </row>
    <row r="142" spans="6:10" ht="16">
      <c r="F142" s="143">
        <f t="shared" si="16"/>
        <v>0.3300000000000009</v>
      </c>
      <c r="G142" s="144">
        <f t="shared" si="12"/>
        <v>0.88197745320158638</v>
      </c>
      <c r="H142" s="144">
        <f t="shared" si="13"/>
        <v>0</v>
      </c>
      <c r="I142" s="144">
        <f t="shared" si="14"/>
        <v>0.11802254679841362</v>
      </c>
      <c r="J142" s="133">
        <f t="shared" si="15"/>
        <v>1.7639549064031728</v>
      </c>
    </row>
    <row r="143" spans="6:10" ht="16">
      <c r="F143" s="143">
        <f t="shared" si="16"/>
        <v>0.34000000000000091</v>
      </c>
      <c r="G143" s="144">
        <f t="shared" si="12"/>
        <v>0.87419603233723564</v>
      </c>
      <c r="H143" s="144">
        <f t="shared" si="13"/>
        <v>0</v>
      </c>
      <c r="I143" s="144">
        <f t="shared" si="14"/>
        <v>0.12580396766276436</v>
      </c>
      <c r="J143" s="133">
        <f t="shared" si="15"/>
        <v>1.7483920646744713</v>
      </c>
    </row>
    <row r="144" spans="6:10" ht="16">
      <c r="F144" s="143">
        <f t="shared" si="16"/>
        <v>0.35000000000000092</v>
      </c>
      <c r="G144" s="144">
        <f t="shared" si="12"/>
        <v>0.8661092609093366</v>
      </c>
      <c r="H144" s="144">
        <f t="shared" si="13"/>
        <v>0</v>
      </c>
      <c r="I144" s="144">
        <f t="shared" si="14"/>
        <v>0.1338907390906634</v>
      </c>
      <c r="J144" s="133">
        <f t="shared" si="15"/>
        <v>1.7322185218186732</v>
      </c>
    </row>
    <row r="145" spans="6:10" ht="16">
      <c r="F145" s="143">
        <f t="shared" si="16"/>
        <v>0.36000000000000093</v>
      </c>
      <c r="G145" s="144">
        <f t="shared" si="12"/>
        <v>0.8577085021102524</v>
      </c>
      <c r="H145" s="144">
        <f t="shared" si="13"/>
        <v>0</v>
      </c>
      <c r="I145" s="144">
        <f t="shared" si="14"/>
        <v>0.1422914978897476</v>
      </c>
      <c r="J145" s="133">
        <f t="shared" si="15"/>
        <v>1.7154170042205048</v>
      </c>
    </row>
    <row r="146" spans="6:10" ht="16">
      <c r="F146" s="143">
        <f t="shared" si="16"/>
        <v>0.37000000000000094</v>
      </c>
      <c r="G146" s="144">
        <f t="shared" si="12"/>
        <v>0.84898443521189015</v>
      </c>
      <c r="H146" s="144">
        <f t="shared" si="13"/>
        <v>0</v>
      </c>
      <c r="I146" s="144">
        <f t="shared" si="14"/>
        <v>0.15101556478810985</v>
      </c>
      <c r="J146" s="133">
        <f t="shared" si="15"/>
        <v>1.6979688704237803</v>
      </c>
    </row>
    <row r="147" spans="6:10" ht="16">
      <c r="F147" s="143">
        <f t="shared" si="16"/>
        <v>0.38000000000000095</v>
      </c>
      <c r="G147" s="144">
        <f t="shared" si="12"/>
        <v>0.8399269859651104</v>
      </c>
      <c r="H147" s="144">
        <f t="shared" si="13"/>
        <v>0</v>
      </c>
      <c r="I147" s="144">
        <f t="shared" si="14"/>
        <v>0.1600730140348896</v>
      </c>
      <c r="J147" s="133">
        <f t="shared" si="15"/>
        <v>1.6798539719302208</v>
      </c>
    </row>
    <row r="148" spans="6:10" ht="16">
      <c r="F148" s="143">
        <f t="shared" si="16"/>
        <v>0.39000000000000096</v>
      </c>
      <c r="G148" s="144">
        <f t="shared" si="12"/>
        <v>0.83052524714987508</v>
      </c>
      <c r="H148" s="144">
        <f t="shared" si="13"/>
        <v>0</v>
      </c>
      <c r="I148" s="144">
        <f t="shared" si="14"/>
        <v>0.16947475285012492</v>
      </c>
      <c r="J148" s="133">
        <f t="shared" si="15"/>
        <v>1.6610504942997502</v>
      </c>
    </row>
    <row r="149" spans="6:10" ht="16">
      <c r="F149" s="143">
        <f t="shared" si="16"/>
        <v>0.40000000000000097</v>
      </c>
      <c r="G149" s="144">
        <f t="shared" si="12"/>
        <v>0.82076738753122425</v>
      </c>
      <c r="H149" s="144">
        <f t="shared" si="13"/>
        <v>0</v>
      </c>
      <c r="I149" s="144">
        <f t="shared" si="14"/>
        <v>0.17923261246877575</v>
      </c>
      <c r="J149" s="133">
        <f t="shared" si="15"/>
        <v>1.6415347750624485</v>
      </c>
    </row>
    <row r="150" spans="6:10" ht="16">
      <c r="F150" s="143">
        <f t="shared" si="16"/>
        <v>0.41000000000000097</v>
      </c>
      <c r="G150" s="144">
        <f t="shared" si="12"/>
        <v>0.81064054709645761</v>
      </c>
      <c r="H150" s="144">
        <f t="shared" si="13"/>
        <v>0</v>
      </c>
      <c r="I150" s="144">
        <f t="shared" si="14"/>
        <v>0.18935945290354239</v>
      </c>
      <c r="J150" s="133">
        <f t="shared" si="15"/>
        <v>1.6212810941929152</v>
      </c>
    </row>
    <row r="151" spans="6:10" ht="16">
      <c r="F151" s="143">
        <f t="shared" si="16"/>
        <v>0.42000000000000098</v>
      </c>
      <c r="G151" s="144">
        <f t="shared" si="12"/>
        <v>0.80013071597046015</v>
      </c>
      <c r="H151" s="144">
        <f t="shared" si="13"/>
        <v>0</v>
      </c>
      <c r="I151" s="144">
        <f t="shared" si="14"/>
        <v>0.19986928402953985</v>
      </c>
      <c r="J151" s="133">
        <f t="shared" si="15"/>
        <v>1.6002614319409203</v>
      </c>
    </row>
    <row r="152" spans="6:10" ht="16">
      <c r="F152" s="143">
        <f t="shared" si="16"/>
        <v>0.43000000000000099</v>
      </c>
      <c r="G152" s="144">
        <f t="shared" si="12"/>
        <v>0.78922259379879733</v>
      </c>
      <c r="H152" s="144">
        <f t="shared" si="13"/>
        <v>0</v>
      </c>
      <c r="I152" s="144">
        <f t="shared" si="14"/>
        <v>0.21077740620120267</v>
      </c>
      <c r="J152" s="133">
        <f t="shared" si="15"/>
        <v>1.5784451875975947</v>
      </c>
    </row>
    <row r="153" spans="6:10" ht="16">
      <c r="F153" s="143">
        <f t="shared" si="16"/>
        <v>0.440000000000001</v>
      </c>
      <c r="G153" s="144">
        <f t="shared" si="12"/>
        <v>0.77789942561114245</v>
      </c>
      <c r="H153" s="144">
        <f t="shared" si="13"/>
        <v>0</v>
      </c>
      <c r="I153" s="144">
        <f t="shared" si="14"/>
        <v>0.22210057438885755</v>
      </c>
      <c r="J153" s="133">
        <f t="shared" si="15"/>
        <v>1.5557988512222849</v>
      </c>
    </row>
    <row r="154" spans="6:10" ht="16">
      <c r="F154" s="143">
        <f t="shared" si="16"/>
        <v>0.45000000000000101</v>
      </c>
      <c r="G154" s="144">
        <f t="shared" si="12"/>
        <v>0.76614280917485145</v>
      </c>
      <c r="H154" s="144">
        <f t="shared" si="13"/>
        <v>0</v>
      </c>
      <c r="I154" s="144">
        <f t="shared" si="14"/>
        <v>0.23385719082514855</v>
      </c>
      <c r="J154" s="133">
        <f t="shared" si="15"/>
        <v>1.5322856183497029</v>
      </c>
    </row>
    <row r="155" spans="6:10" ht="16">
      <c r="F155" s="143">
        <f t="shared" si="16"/>
        <v>0.46000000000000102</v>
      </c>
      <c r="G155" s="144">
        <f t="shared" si="12"/>
        <v>0.75393246754272625</v>
      </c>
      <c r="H155" s="144">
        <f t="shared" si="13"/>
        <v>0</v>
      </c>
      <c r="I155" s="144">
        <f t="shared" si="14"/>
        <v>0.24606753245727375</v>
      </c>
      <c r="J155" s="133">
        <f t="shared" si="15"/>
        <v>1.5078649350854525</v>
      </c>
    </row>
    <row r="156" spans="6:10" ht="16">
      <c r="F156" s="143">
        <f t="shared" si="16"/>
        <v>0.47000000000000103</v>
      </c>
      <c r="G156" s="144">
        <f t="shared" si="12"/>
        <v>0.74124597878190113</v>
      </c>
      <c r="H156" s="144">
        <f t="shared" si="13"/>
        <v>0</v>
      </c>
      <c r="I156" s="144">
        <f t="shared" si="14"/>
        <v>0.25875402121809887</v>
      </c>
      <c r="J156" s="133">
        <f t="shared" si="15"/>
        <v>1.4824919575638023</v>
      </c>
    </row>
    <row r="157" spans="6:10" ht="16">
      <c r="F157" s="143">
        <f t="shared" si="16"/>
        <v>0.48000000000000104</v>
      </c>
      <c r="G157" s="144">
        <f t="shared" si="12"/>
        <v>0.72805845258890889</v>
      </c>
      <c r="H157" s="144">
        <f t="shared" si="13"/>
        <v>0</v>
      </c>
      <c r="I157" s="144">
        <f t="shared" si="14"/>
        <v>0.27194154741109111</v>
      </c>
      <c r="J157" s="133">
        <f t="shared" si="15"/>
        <v>1.4561169051778178</v>
      </c>
    </row>
    <row r="158" spans="6:10" ht="16">
      <c r="F158" s="143">
        <f t="shared" si="16"/>
        <v>0.49000000000000105</v>
      </c>
      <c r="G158" s="144">
        <f t="shared" si="12"/>
        <v>0.71434214042888322</v>
      </c>
      <c r="H158" s="144">
        <f t="shared" si="13"/>
        <v>0</v>
      </c>
      <c r="I158" s="144">
        <f t="shared" si="14"/>
        <v>0.28565785957111678</v>
      </c>
      <c r="J158" s="133">
        <f t="shared" si="15"/>
        <v>1.4286842808577664</v>
      </c>
    </row>
    <row r="159" spans="6:10" ht="16">
      <c r="F159" s="143">
        <f t="shared" si="16"/>
        <v>0.500000000000001</v>
      </c>
      <c r="G159" s="144">
        <f t="shared" si="12"/>
        <v>0.70006596166320179</v>
      </c>
      <c r="H159" s="144">
        <f t="shared" si="13"/>
        <v>0</v>
      </c>
      <c r="I159" s="144">
        <f t="shared" si="14"/>
        <v>0.29993403833679821</v>
      </c>
      <c r="J159" s="133">
        <f t="shared" si="15"/>
        <v>1.4001319233264036</v>
      </c>
    </row>
    <row r="160" spans="6:10" ht="16">
      <c r="F160" s="143">
        <f t="shared" si="16"/>
        <v>0.51000000000000101</v>
      </c>
      <c r="G160" s="144">
        <f t="shared" si="12"/>
        <v>0.68519492237382518</v>
      </c>
      <c r="H160" s="144">
        <f t="shared" si="13"/>
        <v>0</v>
      </c>
      <c r="I160" s="144">
        <f t="shared" si="14"/>
        <v>0.31480507762617482</v>
      </c>
      <c r="J160" s="133">
        <f t="shared" si="15"/>
        <v>1.3703898447476504</v>
      </c>
    </row>
    <row r="161" spans="6:10" ht="16">
      <c r="F161" s="143">
        <f t="shared" si="16"/>
        <v>0.52000000000000102</v>
      </c>
      <c r="G161" s="144">
        <f t="shared" si="12"/>
        <v>0.6696893955371136</v>
      </c>
      <c r="H161" s="144">
        <f t="shared" si="13"/>
        <v>0</v>
      </c>
      <c r="I161" s="144">
        <f t="shared" si="14"/>
        <v>0.3303106044628864</v>
      </c>
      <c r="J161" s="133">
        <f t="shared" si="15"/>
        <v>1.3393787910742272</v>
      </c>
    </row>
    <row r="162" spans="6:10" ht="16">
      <c r="F162" s="143">
        <f t="shared" si="16"/>
        <v>0.53000000000000103</v>
      </c>
      <c r="G162" s="144">
        <f t="shared" si="12"/>
        <v>0.65350421974414241</v>
      </c>
      <c r="H162" s="144">
        <f t="shared" si="13"/>
        <v>0</v>
      </c>
      <c r="I162" s="144">
        <f t="shared" si="14"/>
        <v>0.34649578025585759</v>
      </c>
      <c r="J162" s="133">
        <f t="shared" si="15"/>
        <v>1.3070084394882848</v>
      </c>
    </row>
    <row r="163" spans="6:10" ht="16">
      <c r="F163" s="143">
        <f t="shared" si="16"/>
        <v>0.54000000000000103</v>
      </c>
      <c r="G163" s="144">
        <f t="shared" si="12"/>
        <v>0.63658755708266845</v>
      </c>
      <c r="H163" s="144">
        <f t="shared" si="13"/>
        <v>0</v>
      </c>
      <c r="I163" s="144">
        <f t="shared" si="14"/>
        <v>0.36341244291733155</v>
      </c>
      <c r="J163" s="133">
        <f t="shared" si="15"/>
        <v>1.2731751141653369</v>
      </c>
    </row>
    <row r="164" spans="6:10" ht="16">
      <c r="F164" s="143">
        <f t="shared" si="16"/>
        <v>0.55000000000000104</v>
      </c>
      <c r="G164" s="144">
        <f t="shared" si="12"/>
        <v>0.61887942631994364</v>
      </c>
      <c r="H164" s="144">
        <f t="shared" si="13"/>
        <v>0</v>
      </c>
      <c r="I164" s="144">
        <f t="shared" si="14"/>
        <v>0.38112057368005636</v>
      </c>
      <c r="J164" s="133">
        <f t="shared" si="15"/>
        <v>1.2377588526398873</v>
      </c>
    </row>
    <row r="165" spans="6:10" ht="16">
      <c r="F165" s="143">
        <f t="shared" si="16"/>
        <v>0.56000000000000105</v>
      </c>
      <c r="G165" s="144">
        <f t="shared" si="12"/>
        <v>0.60030979060171019</v>
      </c>
      <c r="H165" s="144">
        <f t="shared" si="13"/>
        <v>0</v>
      </c>
      <c r="I165" s="144">
        <f t="shared" si="14"/>
        <v>0.39969020939828981</v>
      </c>
      <c r="J165" s="133">
        <f t="shared" si="15"/>
        <v>1.2006195812034204</v>
      </c>
    </row>
    <row r="166" spans="6:10" ht="16">
      <c r="F166" s="143">
        <f t="shared" si="16"/>
        <v>0.57000000000000106</v>
      </c>
      <c r="G166" s="144">
        <f t="shared" si="12"/>
        <v>0.58079602180367862</v>
      </c>
      <c r="H166" s="144">
        <f t="shared" si="13"/>
        <v>0</v>
      </c>
      <c r="I166" s="144">
        <f t="shared" si="14"/>
        <v>0.41920397819632138</v>
      </c>
      <c r="J166" s="133">
        <f t="shared" si="15"/>
        <v>1.1615920436073572</v>
      </c>
    </row>
    <row r="167" spans="6:10" ht="16">
      <c r="F167" s="143">
        <f t="shared" si="16"/>
        <v>0.58000000000000107</v>
      </c>
      <c r="G167" s="144">
        <f t="shared" si="12"/>
        <v>0.56023947297047227</v>
      </c>
      <c r="H167" s="144">
        <f t="shared" si="13"/>
        <v>0</v>
      </c>
      <c r="I167" s="144">
        <f t="shared" si="14"/>
        <v>0.43976052702952773</v>
      </c>
      <c r="J167" s="133">
        <f t="shared" si="15"/>
        <v>1.1204789459409445</v>
      </c>
    </row>
    <row r="168" spans="6:10" ht="16">
      <c r="F168" s="143">
        <f t="shared" si="16"/>
        <v>0.59000000000000108</v>
      </c>
      <c r="G168" s="144">
        <f t="shared" si="12"/>
        <v>0.53852074155600516</v>
      </c>
      <c r="H168" s="144">
        <f t="shared" si="13"/>
        <v>0</v>
      </c>
      <c r="I168" s="144">
        <f t="shared" si="14"/>
        <v>0.46147925844399484</v>
      </c>
      <c r="J168" s="133">
        <f t="shared" si="15"/>
        <v>1.0770414831120103</v>
      </c>
    </row>
    <row r="169" spans="6:10" ht="16">
      <c r="F169" s="143">
        <f t="shared" si="16"/>
        <v>0.60000000000000109</v>
      </c>
      <c r="G169" s="144">
        <f t="shared" si="12"/>
        <v>0.5154929533741176</v>
      </c>
      <c r="H169" s="144">
        <f t="shared" si="13"/>
        <v>0</v>
      </c>
      <c r="I169" s="144">
        <f t="shared" si="14"/>
        <v>0.4845070466258824</v>
      </c>
      <c r="J169" s="133">
        <f t="shared" si="15"/>
        <v>1.0309859067482352</v>
      </c>
    </row>
    <row r="170" spans="6:10" ht="16">
      <c r="F170" s="143">
        <f t="shared" si="16"/>
        <v>0.6100000000000011</v>
      </c>
      <c r="G170" s="144">
        <f t="shared" si="12"/>
        <v>0.49097194904724895</v>
      </c>
      <c r="H170" s="144">
        <f t="shared" si="13"/>
        <v>0</v>
      </c>
      <c r="I170" s="144">
        <f t="shared" si="14"/>
        <v>0.50902805095275105</v>
      </c>
      <c r="J170" s="133">
        <f t="shared" si="15"/>
        <v>0.98194389809449789</v>
      </c>
    </row>
    <row r="171" spans="6:10" ht="16">
      <c r="F171" s="143">
        <f t="shared" si="16"/>
        <v>0.62000000000000111</v>
      </c>
      <c r="G171" s="144">
        <f t="shared" si="12"/>
        <v>0.46472142021288637</v>
      </c>
      <c r="H171" s="144">
        <f t="shared" si="13"/>
        <v>0</v>
      </c>
      <c r="I171" s="144">
        <f t="shared" si="14"/>
        <v>0.53527857978711357</v>
      </c>
      <c r="J171" s="133">
        <f t="shared" si="15"/>
        <v>0.92944284042577274</v>
      </c>
    </row>
    <row r="172" spans="6:10" ht="16">
      <c r="F172" s="143">
        <f t="shared" si="16"/>
        <v>0.63000000000000111</v>
      </c>
      <c r="G172" s="144">
        <f t="shared" si="12"/>
        <v>0.43642939399019998</v>
      </c>
      <c r="H172" s="144">
        <f t="shared" si="13"/>
        <v>0</v>
      </c>
      <c r="I172" s="144">
        <f t="shared" si="14"/>
        <v>0.56357060600980002</v>
      </c>
      <c r="J172" s="133">
        <f t="shared" si="15"/>
        <v>0.87285878798039995</v>
      </c>
    </row>
    <row r="173" spans="6:10" ht="16">
      <c r="F173" s="143">
        <f t="shared" si="16"/>
        <v>0.64000000000000112</v>
      </c>
      <c r="G173" s="144">
        <f t="shared" si="12"/>
        <v>0.40566896276788039</v>
      </c>
      <c r="H173" s="144">
        <f t="shared" si="13"/>
        <v>0</v>
      </c>
      <c r="I173" s="144">
        <f t="shared" si="14"/>
        <v>0.59433103723211955</v>
      </c>
      <c r="J173" s="133">
        <f t="shared" si="15"/>
        <v>0.81133792553576078</v>
      </c>
    </row>
    <row r="174" spans="6:10" ht="16">
      <c r="F174" s="143">
        <f t="shared" si="16"/>
        <v>0.65000000000000113</v>
      </c>
      <c r="G174" s="144">
        <f t="shared" si="12"/>
        <v>0.3718280148781507</v>
      </c>
      <c r="H174" s="144">
        <f t="shared" si="13"/>
        <v>0</v>
      </c>
      <c r="I174" s="144">
        <f t="shared" si="14"/>
        <v>0.62817198512184924</v>
      </c>
      <c r="J174" s="133">
        <f t="shared" si="15"/>
        <v>0.74365602975630141</v>
      </c>
    </row>
    <row r="175" spans="6:10" ht="16">
      <c r="F175" s="143">
        <f t="shared" si="16"/>
        <v>0.66000000000000114</v>
      </c>
      <c r="G175" s="144">
        <f t="shared" si="12"/>
        <v>0.33397142366350474</v>
      </c>
      <c r="H175" s="144">
        <f t="shared" si="13"/>
        <v>0</v>
      </c>
      <c r="I175" s="144">
        <f t="shared" si="14"/>
        <v>0.66602857633649526</v>
      </c>
      <c r="J175" s="133">
        <f t="shared" si="15"/>
        <v>0.66794284732700948</v>
      </c>
    </row>
    <row r="176" spans="6:10" ht="16">
      <c r="F176" s="143">
        <f t="shared" si="16"/>
        <v>0.67000000000000115</v>
      </c>
      <c r="G176" s="144">
        <f t="shared" si="12"/>
        <v>0.29053368975038613</v>
      </c>
      <c r="H176" s="144">
        <f t="shared" si="13"/>
        <v>0</v>
      </c>
      <c r="I176" s="144">
        <f t="shared" si="14"/>
        <v>0.70946631024961393</v>
      </c>
      <c r="J176" s="133">
        <f t="shared" si="15"/>
        <v>0.58106737950077225</v>
      </c>
    </row>
    <row r="177" spans="6:10" ht="16">
      <c r="F177" s="143">
        <f t="shared" si="16"/>
        <v>0.68000000000000116</v>
      </c>
      <c r="G177" s="144">
        <f t="shared" si="12"/>
        <v>0.23848440581443145</v>
      </c>
      <c r="H177" s="144">
        <f t="shared" si="13"/>
        <v>0</v>
      </c>
      <c r="I177" s="144">
        <f t="shared" si="14"/>
        <v>0.76151559418556858</v>
      </c>
      <c r="J177" s="133">
        <f t="shared" si="15"/>
        <v>0.4769688116288629</v>
      </c>
    </row>
    <row r="178" spans="6:10" ht="16">
      <c r="F178" s="143">
        <f t="shared" si="16"/>
        <v>0.69000000000000117</v>
      </c>
      <c r="G178" s="144">
        <f t="shared" si="12"/>
        <v>0.17009371720876362</v>
      </c>
      <c r="H178" s="144">
        <f t="shared" si="13"/>
        <v>0</v>
      </c>
      <c r="I178" s="144">
        <f t="shared" si="14"/>
        <v>0.82990628279123635</v>
      </c>
      <c r="J178" s="133">
        <f t="shared" si="15"/>
        <v>0.34018743441752725</v>
      </c>
    </row>
    <row r="179" spans="6:10" ht="16">
      <c r="F179" s="143">
        <f t="shared" si="16"/>
        <v>0.70000000000000118</v>
      </c>
      <c r="G179" s="144">
        <f t="shared" si="12"/>
        <v>0</v>
      </c>
      <c r="H179" s="144">
        <f t="shared" si="13"/>
        <v>0</v>
      </c>
      <c r="I179" s="144">
        <f t="shared" si="14"/>
        <v>1</v>
      </c>
      <c r="J179" s="133">
        <f t="shared" si="15"/>
        <v>0</v>
      </c>
    </row>
    <row r="180" spans="6:10" ht="16">
      <c r="F180" s="143">
        <f t="shared" si="16"/>
        <v>0.71000000000000119</v>
      </c>
      <c r="G180" s="144">
        <f t="shared" si="12"/>
        <v>0</v>
      </c>
      <c r="H180" s="144">
        <f t="shared" si="13"/>
        <v>0</v>
      </c>
      <c r="I180" s="144">
        <f t="shared" si="14"/>
        <v>1</v>
      </c>
      <c r="J180" s="133">
        <f t="shared" si="15"/>
        <v>0</v>
      </c>
    </row>
    <row r="181" spans="6:10" ht="16">
      <c r="F181" s="143">
        <f t="shared" si="16"/>
        <v>0.72000000000000119</v>
      </c>
      <c r="G181" s="144">
        <f t="shared" si="12"/>
        <v>0</v>
      </c>
      <c r="H181" s="144">
        <f t="shared" si="13"/>
        <v>0</v>
      </c>
      <c r="I181" s="144">
        <f t="shared" si="14"/>
        <v>1</v>
      </c>
      <c r="J181" s="133">
        <f t="shared" si="15"/>
        <v>0</v>
      </c>
    </row>
    <row r="182" spans="6:10" ht="16">
      <c r="F182" s="143">
        <f t="shared" si="16"/>
        <v>0.7300000000000012</v>
      </c>
      <c r="G182" s="144">
        <f t="shared" si="12"/>
        <v>0</v>
      </c>
      <c r="H182" s="144">
        <f t="shared" si="13"/>
        <v>0</v>
      </c>
      <c r="I182" s="144">
        <f t="shared" si="14"/>
        <v>1</v>
      </c>
      <c r="J182" s="133">
        <f t="shared" si="15"/>
        <v>0</v>
      </c>
    </row>
    <row r="183" spans="6:10" ht="16">
      <c r="F183" s="143">
        <f t="shared" si="16"/>
        <v>0.74000000000000121</v>
      </c>
      <c r="G183" s="144">
        <f t="shared" si="12"/>
        <v>0</v>
      </c>
      <c r="H183" s="144">
        <f t="shared" si="13"/>
        <v>0</v>
      </c>
      <c r="I183" s="144">
        <f t="shared" si="14"/>
        <v>1</v>
      </c>
      <c r="J183" s="133">
        <f t="shared" si="15"/>
        <v>0</v>
      </c>
    </row>
    <row r="184" spans="6:10" ht="16">
      <c r="F184" s="143">
        <f t="shared" si="16"/>
        <v>0.75000000000000122</v>
      </c>
      <c r="G184" s="144">
        <f t="shared" si="12"/>
        <v>0</v>
      </c>
      <c r="H184" s="144">
        <f t="shared" si="13"/>
        <v>0</v>
      </c>
      <c r="I184" s="144">
        <f t="shared" si="14"/>
        <v>1</v>
      </c>
      <c r="J184" s="133">
        <f t="shared" si="15"/>
        <v>0</v>
      </c>
    </row>
    <row r="185" spans="6:10" ht="16">
      <c r="F185" s="143">
        <f t="shared" si="16"/>
        <v>0.76000000000000123</v>
      </c>
      <c r="G185" s="144">
        <f t="shared" si="12"/>
        <v>0</v>
      </c>
      <c r="H185" s="144">
        <f t="shared" si="13"/>
        <v>0</v>
      </c>
      <c r="I185" s="144">
        <f t="shared" si="14"/>
        <v>1</v>
      </c>
      <c r="J185" s="133">
        <f t="shared" si="15"/>
        <v>0</v>
      </c>
    </row>
    <row r="186" spans="6:10" ht="16">
      <c r="F186" s="143">
        <f t="shared" si="16"/>
        <v>0.77000000000000124</v>
      </c>
      <c r="G186" s="144">
        <f t="shared" si="12"/>
        <v>0</v>
      </c>
      <c r="H186" s="144">
        <f t="shared" si="13"/>
        <v>0</v>
      </c>
      <c r="I186" s="144">
        <f t="shared" si="14"/>
        <v>1</v>
      </c>
      <c r="J186" s="133">
        <f t="shared" si="15"/>
        <v>0</v>
      </c>
    </row>
    <row r="187" spans="6:10" ht="16">
      <c r="F187" s="143">
        <f t="shared" si="16"/>
        <v>0.78000000000000125</v>
      </c>
      <c r="G187" s="144">
        <f t="shared" si="12"/>
        <v>0</v>
      </c>
      <c r="H187" s="144">
        <f t="shared" si="13"/>
        <v>0</v>
      </c>
      <c r="I187" s="144">
        <f t="shared" si="14"/>
        <v>1</v>
      </c>
      <c r="J187" s="133">
        <f t="shared" si="15"/>
        <v>0</v>
      </c>
    </row>
    <row r="188" spans="6:10" ht="16">
      <c r="F188" s="143">
        <f t="shared" si="16"/>
        <v>0.79000000000000126</v>
      </c>
      <c r="G188" s="144">
        <f t="shared" si="12"/>
        <v>0</v>
      </c>
      <c r="H188" s="144">
        <f t="shared" si="13"/>
        <v>0</v>
      </c>
      <c r="I188" s="144">
        <f t="shared" si="14"/>
        <v>1</v>
      </c>
      <c r="J188" s="133">
        <f t="shared" si="15"/>
        <v>0</v>
      </c>
    </row>
    <row r="189" spans="6:10" ht="16">
      <c r="F189" s="143">
        <f t="shared" si="16"/>
        <v>0.80000000000000127</v>
      </c>
      <c r="G189" s="144">
        <f t="shared" si="12"/>
        <v>0</v>
      </c>
      <c r="H189" s="144">
        <f t="shared" si="13"/>
        <v>0</v>
      </c>
      <c r="I189" s="144">
        <f t="shared" si="14"/>
        <v>1</v>
      </c>
      <c r="J189" s="133">
        <f t="shared" si="15"/>
        <v>0</v>
      </c>
    </row>
    <row r="190" spans="6:10" ht="16">
      <c r="F190" s="143">
        <f t="shared" si="16"/>
        <v>0.81000000000000127</v>
      </c>
      <c r="G190" s="144">
        <f t="shared" si="12"/>
        <v>0</v>
      </c>
      <c r="H190" s="144">
        <f t="shared" si="13"/>
        <v>0</v>
      </c>
      <c r="I190" s="144">
        <f t="shared" si="14"/>
        <v>1</v>
      </c>
      <c r="J190" s="133">
        <f t="shared" si="15"/>
        <v>0</v>
      </c>
    </row>
    <row r="191" spans="6:10" ht="16">
      <c r="F191" s="143">
        <f t="shared" si="16"/>
        <v>0.82000000000000128</v>
      </c>
      <c r="G191" s="144">
        <f t="shared" si="12"/>
        <v>0</v>
      </c>
      <c r="H191" s="144">
        <f t="shared" si="13"/>
        <v>0</v>
      </c>
      <c r="I191" s="144">
        <f t="shared" si="14"/>
        <v>1</v>
      </c>
      <c r="J191" s="133">
        <f t="shared" si="15"/>
        <v>0</v>
      </c>
    </row>
    <row r="192" spans="6:10" ht="16">
      <c r="F192" s="143">
        <f t="shared" si="16"/>
        <v>0.83000000000000129</v>
      </c>
      <c r="G192" s="144">
        <f t="shared" si="12"/>
        <v>0</v>
      </c>
      <c r="H192" s="144">
        <f t="shared" si="13"/>
        <v>0</v>
      </c>
      <c r="I192" s="144">
        <f t="shared" si="14"/>
        <v>1</v>
      </c>
      <c r="J192" s="133">
        <f t="shared" si="15"/>
        <v>0</v>
      </c>
    </row>
    <row r="193" spans="6:10" ht="16">
      <c r="F193" s="143">
        <f t="shared" si="16"/>
        <v>0.8400000000000013</v>
      </c>
      <c r="G193" s="144">
        <f t="shared" si="12"/>
        <v>0</v>
      </c>
      <c r="H193" s="144">
        <f t="shared" si="13"/>
        <v>0</v>
      </c>
      <c r="I193" s="144">
        <f t="shared" si="14"/>
        <v>1</v>
      </c>
      <c r="J193" s="133">
        <f t="shared" si="15"/>
        <v>0</v>
      </c>
    </row>
    <row r="194" spans="6:10" ht="16">
      <c r="F194" s="143">
        <f t="shared" si="16"/>
        <v>0.85000000000000131</v>
      </c>
      <c r="G194" s="144">
        <f t="shared" si="12"/>
        <v>0</v>
      </c>
      <c r="H194" s="144">
        <f t="shared" si="13"/>
        <v>0</v>
      </c>
      <c r="I194" s="144">
        <f t="shared" si="14"/>
        <v>1</v>
      </c>
      <c r="J194" s="133">
        <f t="shared" si="15"/>
        <v>0</v>
      </c>
    </row>
    <row r="195" spans="6:10" ht="16">
      <c r="F195" s="143">
        <f t="shared" si="16"/>
        <v>0.86000000000000132</v>
      </c>
      <c r="G195" s="144">
        <f t="shared" si="12"/>
        <v>0</v>
      </c>
      <c r="H195" s="144">
        <f t="shared" si="13"/>
        <v>0</v>
      </c>
      <c r="I195" s="144">
        <f t="shared" si="14"/>
        <v>1</v>
      </c>
      <c r="J195" s="133">
        <f t="shared" si="15"/>
        <v>0</v>
      </c>
    </row>
    <row r="196" spans="6:10" ht="16">
      <c r="F196" s="143">
        <f t="shared" si="16"/>
        <v>0.87000000000000133</v>
      </c>
      <c r="G196" s="144">
        <f t="shared" si="12"/>
        <v>0</v>
      </c>
      <c r="H196" s="144">
        <f t="shared" si="13"/>
        <v>0</v>
      </c>
      <c r="I196" s="144">
        <f t="shared" si="14"/>
        <v>1</v>
      </c>
      <c r="J196" s="133">
        <f t="shared" si="15"/>
        <v>0</v>
      </c>
    </row>
    <row r="197" spans="6:10" ht="16">
      <c r="F197" s="143">
        <f t="shared" si="16"/>
        <v>0.88000000000000134</v>
      </c>
      <c r="G197" s="144">
        <f t="shared" si="12"/>
        <v>0</v>
      </c>
      <c r="H197" s="144">
        <f t="shared" si="13"/>
        <v>0</v>
      </c>
      <c r="I197" s="144">
        <f t="shared" si="14"/>
        <v>1</v>
      </c>
      <c r="J197" s="133">
        <f t="shared" si="15"/>
        <v>0</v>
      </c>
    </row>
    <row r="198" spans="6:10" ht="16">
      <c r="F198" s="143">
        <f t="shared" si="16"/>
        <v>0.89000000000000135</v>
      </c>
      <c r="G198" s="144">
        <f t="shared" si="12"/>
        <v>0</v>
      </c>
      <c r="H198" s="144">
        <f t="shared" si="13"/>
        <v>0</v>
      </c>
      <c r="I198" s="144">
        <f t="shared" si="14"/>
        <v>1</v>
      </c>
      <c r="J198" s="133">
        <f t="shared" si="15"/>
        <v>0</v>
      </c>
    </row>
    <row r="199" spans="6:10" ht="16">
      <c r="F199" s="143">
        <f t="shared" si="16"/>
        <v>0.90000000000000135</v>
      </c>
      <c r="G199" s="144">
        <f t="shared" si="12"/>
        <v>0</v>
      </c>
      <c r="H199" s="144">
        <f t="shared" si="13"/>
        <v>0</v>
      </c>
      <c r="I199" s="144">
        <f t="shared" si="14"/>
        <v>1</v>
      </c>
      <c r="J199" s="133">
        <f t="shared" si="15"/>
        <v>0</v>
      </c>
    </row>
    <row r="200" spans="6:10" ht="16">
      <c r="F200" s="143">
        <f t="shared" si="16"/>
        <v>0.91000000000000136</v>
      </c>
      <c r="G200" s="144">
        <f t="shared" si="12"/>
        <v>0</v>
      </c>
      <c r="H200" s="144">
        <f t="shared" si="13"/>
        <v>0</v>
      </c>
      <c r="I200" s="144">
        <f t="shared" si="14"/>
        <v>1</v>
      </c>
      <c r="J200" s="133">
        <f t="shared" si="15"/>
        <v>0</v>
      </c>
    </row>
    <row r="201" spans="6:10" ht="16">
      <c r="F201" s="143">
        <f t="shared" si="16"/>
        <v>0.92000000000000137</v>
      </c>
      <c r="G201" s="144">
        <f t="shared" ref="G201:G209" si="17">IFERROR(IF(SQRT(1-(F201*F201)/($J$5*$J$5))&lt;0.05,0,SQRT(1-(F201*F201)/($J$5*$J$5))),0)</f>
        <v>0</v>
      </c>
      <c r="H201" s="144">
        <f t="shared" ref="H201:H209" si="18">CHOOSE(MATCH($J$3,degrees),IF(F201&lt;0,IFERROR(1-G201,1),0),0,0,IF(F201&gt;0,IFERROR(1-G201,1),0))</f>
        <v>0</v>
      </c>
      <c r="I201" s="144">
        <f t="shared" ref="I201:I209" si="19">CHOOSE(MATCH($J$3,degrees),IF(F201&lt;0,2*G201,2),IF(F201&lt;0,0,1-G201),IF(F201&gt;0,0,1-G201),IF(F201&gt;0,2*G201,2))</f>
        <v>1</v>
      </c>
      <c r="J201" s="133">
        <f t="shared" ref="J201:J209" si="20">CHOOSE(MATCH($J$3,degrees),IF(F201&lt;0,G201+1,2),IF(F201&lt;0,2,2*G201),IF(F201&gt;0,2,2*G201),IF(F201&gt;0,G201+1,2))</f>
        <v>0</v>
      </c>
    </row>
    <row r="202" spans="6:10" ht="16">
      <c r="F202" s="143">
        <f t="shared" ref="F202:F209" si="21">F201+$G$4</f>
        <v>0.93000000000000138</v>
      </c>
      <c r="G202" s="144">
        <f t="shared" si="17"/>
        <v>0</v>
      </c>
      <c r="H202" s="144">
        <f t="shared" si="18"/>
        <v>0</v>
      </c>
      <c r="I202" s="144">
        <f t="shared" si="19"/>
        <v>1</v>
      </c>
      <c r="J202" s="133">
        <f t="shared" si="20"/>
        <v>0</v>
      </c>
    </row>
    <row r="203" spans="6:10" ht="16">
      <c r="F203" s="143">
        <f t="shared" si="21"/>
        <v>0.94000000000000139</v>
      </c>
      <c r="G203" s="144">
        <f t="shared" si="17"/>
        <v>0</v>
      </c>
      <c r="H203" s="144">
        <f t="shared" si="18"/>
        <v>0</v>
      </c>
      <c r="I203" s="144">
        <f t="shared" si="19"/>
        <v>1</v>
      </c>
      <c r="J203" s="133">
        <f t="shared" si="20"/>
        <v>0</v>
      </c>
    </row>
    <row r="204" spans="6:10" ht="16">
      <c r="F204" s="143">
        <f t="shared" si="21"/>
        <v>0.9500000000000014</v>
      </c>
      <c r="G204" s="144">
        <f t="shared" si="17"/>
        <v>0</v>
      </c>
      <c r="H204" s="144">
        <f t="shared" si="18"/>
        <v>0</v>
      </c>
      <c r="I204" s="144">
        <f t="shared" si="19"/>
        <v>1</v>
      </c>
      <c r="J204" s="133">
        <f t="shared" si="20"/>
        <v>0</v>
      </c>
    </row>
    <row r="205" spans="6:10" ht="16">
      <c r="F205" s="143">
        <f t="shared" si="21"/>
        <v>0.96000000000000141</v>
      </c>
      <c r="G205" s="144">
        <f t="shared" si="17"/>
        <v>0</v>
      </c>
      <c r="H205" s="144">
        <f t="shared" si="18"/>
        <v>0</v>
      </c>
      <c r="I205" s="144">
        <f t="shared" si="19"/>
        <v>1</v>
      </c>
      <c r="J205" s="133">
        <f t="shared" si="20"/>
        <v>0</v>
      </c>
    </row>
    <row r="206" spans="6:10" ht="16">
      <c r="F206" s="143">
        <f t="shared" si="21"/>
        <v>0.97000000000000142</v>
      </c>
      <c r="G206" s="144">
        <f t="shared" si="17"/>
        <v>0</v>
      </c>
      <c r="H206" s="144">
        <f t="shared" si="18"/>
        <v>0</v>
      </c>
      <c r="I206" s="144">
        <f t="shared" si="19"/>
        <v>1</v>
      </c>
      <c r="J206" s="133">
        <f t="shared" si="20"/>
        <v>0</v>
      </c>
    </row>
    <row r="207" spans="6:10" ht="16">
      <c r="F207" s="143">
        <f t="shared" si="21"/>
        <v>0.98000000000000143</v>
      </c>
      <c r="G207" s="144">
        <f t="shared" si="17"/>
        <v>0</v>
      </c>
      <c r="H207" s="144">
        <f t="shared" si="18"/>
        <v>0</v>
      </c>
      <c r="I207" s="144">
        <f t="shared" si="19"/>
        <v>1</v>
      </c>
      <c r="J207" s="133">
        <f t="shared" si="20"/>
        <v>0</v>
      </c>
    </row>
    <row r="208" spans="6:10" ht="16">
      <c r="F208" s="143">
        <f t="shared" si="21"/>
        <v>0.99000000000000143</v>
      </c>
      <c r="G208" s="144">
        <f t="shared" si="17"/>
        <v>0</v>
      </c>
      <c r="H208" s="144">
        <f t="shared" si="18"/>
        <v>0</v>
      </c>
      <c r="I208" s="144">
        <f t="shared" si="19"/>
        <v>1</v>
      </c>
      <c r="J208" s="133">
        <f t="shared" si="20"/>
        <v>0</v>
      </c>
    </row>
    <row r="209" spans="6:10" ht="16">
      <c r="F209" s="161">
        <f t="shared" si="21"/>
        <v>1.0000000000000013</v>
      </c>
      <c r="G209" s="162">
        <f t="shared" si="17"/>
        <v>0</v>
      </c>
      <c r="H209" s="162">
        <f t="shared" si="18"/>
        <v>0</v>
      </c>
      <c r="I209" s="162">
        <f t="shared" si="19"/>
        <v>1</v>
      </c>
      <c r="J209" s="163">
        <f t="shared" si="20"/>
        <v>0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Introduction</vt:lpstr>
      <vt:lpstr>Visibility</vt:lpstr>
      <vt:lpstr>Illumination</vt:lpstr>
      <vt:lpstr>Visibility!Print_Area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Best Deep Sky Objects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2024-08-09T07:40:12Z</dcterms:modified>
  <cp:category/>
</cp:coreProperties>
</file>