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4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hanssassenburg/Library/CloudStorage/Dropbox/X_Private/20_Astronomy/Morsels/"/>
    </mc:Choice>
  </mc:AlternateContent>
  <xr:revisionPtr revIDLastSave="0" documentId="13_ncr:1_{625D6180-69FF-BB41-AD5D-8BAF866BCD8D}" xr6:coauthVersionLast="47" xr6:coauthVersionMax="47" xr10:uidLastSave="{00000000-0000-0000-0000-000000000000}"/>
  <bookViews>
    <workbookView xWindow="6220" yWindow="7740" windowWidth="31200" windowHeight="16300" xr2:uid="{00000000-000D-0000-FFFF-FFFF00000000}"/>
  </bookViews>
  <sheets>
    <sheet name="Introduction" sheetId="9" r:id="rId1"/>
    <sheet name="Visibility" sheetId="16" r:id="rId2"/>
    <sheet name="Illumination" sheetId="18" r:id="rId3"/>
    <sheet name="Catalogue" sheetId="17" r:id="rId4"/>
  </sheets>
  <definedNames>
    <definedName name="_xlnm._FilterDatabase" localSheetId="1" hidden="1">Visibility!$B$3:$M$407</definedName>
    <definedName name="degrees">{0;90;180;270}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0" i="18" l="1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E56" i="16"/>
  <c r="E57" i="16"/>
  <c r="E58" i="16"/>
  <c r="E59" i="16"/>
  <c r="E60" i="16"/>
  <c r="E61" i="16"/>
  <c r="E62" i="16"/>
  <c r="E63" i="16"/>
  <c r="E64" i="16"/>
  <c r="E65" i="16"/>
  <c r="E66" i="16"/>
  <c r="E67" i="16"/>
  <c r="E68" i="16"/>
  <c r="E69" i="16"/>
  <c r="E70" i="16"/>
  <c r="E71" i="16"/>
  <c r="E72" i="16"/>
  <c r="E73" i="16"/>
  <c r="E74" i="16"/>
  <c r="E75" i="16"/>
  <c r="E76" i="16"/>
  <c r="E77" i="16"/>
  <c r="E78" i="16"/>
  <c r="E79" i="16"/>
  <c r="E80" i="16"/>
  <c r="E81" i="16"/>
  <c r="E82" i="16"/>
  <c r="E83" i="16"/>
  <c r="E84" i="16"/>
  <c r="E85" i="16"/>
  <c r="E86" i="16"/>
  <c r="E87" i="16"/>
  <c r="E88" i="16"/>
  <c r="E89" i="16"/>
  <c r="E90" i="16"/>
  <c r="E91" i="16"/>
  <c r="E92" i="16"/>
  <c r="E93" i="16"/>
  <c r="E94" i="16"/>
  <c r="E95" i="16"/>
  <c r="E96" i="16"/>
  <c r="E97" i="16"/>
  <c r="E98" i="16"/>
  <c r="E99" i="16"/>
  <c r="E100" i="16"/>
  <c r="E101" i="16"/>
  <c r="E102" i="16"/>
  <c r="E103" i="16"/>
  <c r="E104" i="16"/>
  <c r="E105" i="16"/>
  <c r="E106" i="16"/>
  <c r="E107" i="16"/>
  <c r="E108" i="16"/>
  <c r="E109" i="16"/>
  <c r="E110" i="16"/>
  <c r="E111" i="16"/>
  <c r="E112" i="16"/>
  <c r="E113" i="16"/>
  <c r="E114" i="16"/>
  <c r="E115" i="16"/>
  <c r="E116" i="16"/>
  <c r="E117" i="16"/>
  <c r="E118" i="16"/>
  <c r="E119" i="16"/>
  <c r="E120" i="16"/>
  <c r="E121" i="16"/>
  <c r="E122" i="16"/>
  <c r="E123" i="16"/>
  <c r="E124" i="16"/>
  <c r="E125" i="16"/>
  <c r="E126" i="16"/>
  <c r="E127" i="16"/>
  <c r="E128" i="16"/>
  <c r="E129" i="16"/>
  <c r="E130" i="16"/>
  <c r="E131" i="16"/>
  <c r="E132" i="16"/>
  <c r="E133" i="16"/>
  <c r="E134" i="16"/>
  <c r="E135" i="16"/>
  <c r="E136" i="16"/>
  <c r="E137" i="16"/>
  <c r="E138" i="16"/>
  <c r="E139" i="16"/>
  <c r="E140" i="16"/>
  <c r="E141" i="16"/>
  <c r="E142" i="16"/>
  <c r="E143" i="16"/>
  <c r="E144" i="16"/>
  <c r="E145" i="16"/>
  <c r="E146" i="16"/>
  <c r="E147" i="16"/>
  <c r="E148" i="16"/>
  <c r="E149" i="16"/>
  <c r="E150" i="16"/>
  <c r="E151" i="16"/>
  <c r="E152" i="16"/>
  <c r="E153" i="16"/>
  <c r="E154" i="16"/>
  <c r="E155" i="16"/>
  <c r="E156" i="16"/>
  <c r="E157" i="16"/>
  <c r="E158" i="16"/>
  <c r="E159" i="16"/>
  <c r="E160" i="16"/>
  <c r="E161" i="16"/>
  <c r="E162" i="16"/>
  <c r="E163" i="16"/>
  <c r="E164" i="16"/>
  <c r="E165" i="16"/>
  <c r="E166" i="16"/>
  <c r="E167" i="16"/>
  <c r="E168" i="16"/>
  <c r="E169" i="16"/>
  <c r="E170" i="16"/>
  <c r="E171" i="16"/>
  <c r="E172" i="16"/>
  <c r="E173" i="16"/>
  <c r="E174" i="16"/>
  <c r="E175" i="16"/>
  <c r="E176" i="16"/>
  <c r="E177" i="16"/>
  <c r="E178" i="16"/>
  <c r="E179" i="16"/>
  <c r="E180" i="16"/>
  <c r="E181" i="16"/>
  <c r="E182" i="16"/>
  <c r="E183" i="16"/>
  <c r="E184" i="16"/>
  <c r="E185" i="16"/>
  <c r="E186" i="16"/>
  <c r="E187" i="16"/>
  <c r="E188" i="16"/>
  <c r="E189" i="16"/>
  <c r="E190" i="16"/>
  <c r="E191" i="16"/>
  <c r="E192" i="16"/>
  <c r="E193" i="16"/>
  <c r="E194" i="16"/>
  <c r="E195" i="16"/>
  <c r="E196" i="16"/>
  <c r="E197" i="16"/>
  <c r="E198" i="16"/>
  <c r="E199" i="16"/>
  <c r="E200" i="16"/>
  <c r="E201" i="16"/>
  <c r="E202" i="16"/>
  <c r="E203" i="16"/>
  <c r="E204" i="16"/>
  <c r="E205" i="16"/>
  <c r="E206" i="16"/>
  <c r="E207" i="16"/>
  <c r="E208" i="16"/>
  <c r="E209" i="16"/>
  <c r="E210" i="16"/>
  <c r="E211" i="16"/>
  <c r="E212" i="16"/>
  <c r="E213" i="16"/>
  <c r="E214" i="16"/>
  <c r="E215" i="16"/>
  <c r="E216" i="16"/>
  <c r="E217" i="16"/>
  <c r="E218" i="16"/>
  <c r="E219" i="16"/>
  <c r="E220" i="16"/>
  <c r="E221" i="16"/>
  <c r="E222" i="16"/>
  <c r="E223" i="16"/>
  <c r="E224" i="16"/>
  <c r="E225" i="16"/>
  <c r="E226" i="16"/>
  <c r="E227" i="16"/>
  <c r="E228" i="16"/>
  <c r="E229" i="16"/>
  <c r="E230" i="16"/>
  <c r="E231" i="16"/>
  <c r="E232" i="16"/>
  <c r="E233" i="16"/>
  <c r="E234" i="16"/>
  <c r="E235" i="16"/>
  <c r="E236" i="16"/>
  <c r="E237" i="16"/>
  <c r="E238" i="16"/>
  <c r="E239" i="16"/>
  <c r="E240" i="16"/>
  <c r="E241" i="16"/>
  <c r="E242" i="16"/>
  <c r="E243" i="16"/>
  <c r="E244" i="16"/>
  <c r="E245" i="16"/>
  <c r="E246" i="16"/>
  <c r="E247" i="16"/>
  <c r="E248" i="16"/>
  <c r="E249" i="16"/>
  <c r="E250" i="16"/>
  <c r="E251" i="16"/>
  <c r="E252" i="16"/>
  <c r="E253" i="16"/>
  <c r="E254" i="16"/>
  <c r="E255" i="16"/>
  <c r="E256" i="16"/>
  <c r="E257" i="16"/>
  <c r="E258" i="16"/>
  <c r="E259" i="16"/>
  <c r="E260" i="16"/>
  <c r="E261" i="16"/>
  <c r="E262" i="16"/>
  <c r="E263" i="16"/>
  <c r="E264" i="16"/>
  <c r="E265" i="16"/>
  <c r="E266" i="16"/>
  <c r="E267" i="16"/>
  <c r="E268" i="16"/>
  <c r="E269" i="16"/>
  <c r="E270" i="16"/>
  <c r="E271" i="16"/>
  <c r="E272" i="16"/>
  <c r="E273" i="16"/>
  <c r="E274" i="16"/>
  <c r="E275" i="16"/>
  <c r="E276" i="16"/>
  <c r="E277" i="16"/>
  <c r="E278" i="16"/>
  <c r="E279" i="16"/>
  <c r="E280" i="16"/>
  <c r="E281" i="16"/>
  <c r="E282" i="16"/>
  <c r="E283" i="16"/>
  <c r="E284" i="16"/>
  <c r="E285" i="16"/>
  <c r="E286" i="16"/>
  <c r="E287" i="16"/>
  <c r="E288" i="16"/>
  <c r="E289" i="16"/>
  <c r="E290" i="16"/>
  <c r="E291" i="16"/>
  <c r="E292" i="16"/>
  <c r="E293" i="16"/>
  <c r="E294" i="16"/>
  <c r="E295" i="16"/>
  <c r="E296" i="16"/>
  <c r="E297" i="16"/>
  <c r="E298" i="16"/>
  <c r="E299" i="16"/>
  <c r="E300" i="16"/>
  <c r="E301" i="16"/>
  <c r="E302" i="16"/>
  <c r="E303" i="16"/>
  <c r="E304" i="16"/>
  <c r="E305" i="16"/>
  <c r="E306" i="16"/>
  <c r="E307" i="16"/>
  <c r="E308" i="16"/>
  <c r="E309" i="16"/>
  <c r="E310" i="16"/>
  <c r="E311" i="16"/>
  <c r="E312" i="16"/>
  <c r="E313" i="16"/>
  <c r="E314" i="16"/>
  <c r="E315" i="16"/>
  <c r="E316" i="16"/>
  <c r="E317" i="16"/>
  <c r="E318" i="16"/>
  <c r="E319" i="16"/>
  <c r="E320" i="16"/>
  <c r="E321" i="16"/>
  <c r="E322" i="16"/>
  <c r="E323" i="16"/>
  <c r="E324" i="16"/>
  <c r="E325" i="16"/>
  <c r="E326" i="16"/>
  <c r="E327" i="16"/>
  <c r="E328" i="16"/>
  <c r="E329" i="16"/>
  <c r="E330" i="16"/>
  <c r="E331" i="16"/>
  <c r="E332" i="16"/>
  <c r="E333" i="16"/>
  <c r="E334" i="16"/>
  <c r="E335" i="16"/>
  <c r="E336" i="16"/>
  <c r="E337" i="16"/>
  <c r="E338" i="16"/>
  <c r="E339" i="16"/>
  <c r="E340" i="16"/>
  <c r="E341" i="16"/>
  <c r="E342" i="16"/>
  <c r="E343" i="16"/>
  <c r="E344" i="16"/>
  <c r="E345" i="16"/>
  <c r="E346" i="16"/>
  <c r="E347" i="16"/>
  <c r="E348" i="16"/>
  <c r="E349" i="16"/>
  <c r="E350" i="16"/>
  <c r="E351" i="16"/>
  <c r="E352" i="16"/>
  <c r="E353" i="16"/>
  <c r="E354" i="16"/>
  <c r="E355" i="16"/>
  <c r="E356" i="16"/>
  <c r="E357" i="16"/>
  <c r="E358" i="16"/>
  <c r="E359" i="16"/>
  <c r="E360" i="16"/>
  <c r="E361" i="16"/>
  <c r="E362" i="16"/>
  <c r="E363" i="16"/>
  <c r="E364" i="16"/>
  <c r="E365" i="16"/>
  <c r="E366" i="16"/>
  <c r="E367" i="16"/>
  <c r="E368" i="16"/>
  <c r="E369" i="16"/>
  <c r="E370" i="16"/>
  <c r="E371" i="16"/>
  <c r="E372" i="16"/>
  <c r="E373" i="16"/>
  <c r="E374" i="16"/>
  <c r="E375" i="16"/>
  <c r="E376" i="16"/>
  <c r="E377" i="16"/>
  <c r="E378" i="16"/>
  <c r="E379" i="16"/>
  <c r="E380" i="16"/>
  <c r="E381" i="16"/>
  <c r="E382" i="16"/>
  <c r="E383" i="16"/>
  <c r="E384" i="16"/>
  <c r="E385" i="16"/>
  <c r="E386" i="16"/>
  <c r="E387" i="16"/>
  <c r="E388" i="16"/>
  <c r="E389" i="16"/>
  <c r="E390" i="16"/>
  <c r="E391" i="16"/>
  <c r="E392" i="16"/>
  <c r="E393" i="16"/>
  <c r="E394" i="16"/>
  <c r="E395" i="16"/>
  <c r="E396" i="16"/>
  <c r="E397" i="16"/>
  <c r="E398" i="16"/>
  <c r="E399" i="16"/>
  <c r="E400" i="16"/>
  <c r="E401" i="16"/>
  <c r="E402" i="16"/>
  <c r="E403" i="16"/>
  <c r="E404" i="16"/>
  <c r="E405" i="16"/>
  <c r="E406" i="16"/>
  <c r="E407" i="16"/>
  <c r="E8" i="16"/>
  <c r="B25" i="18"/>
  <c r="B26" i="18" s="1"/>
  <c r="B24" i="18"/>
  <c r="C24" i="18" s="1"/>
  <c r="F10" i="18"/>
  <c r="F11" i="18" s="1"/>
  <c r="G4" i="18"/>
  <c r="C2" i="18"/>
  <c r="C14" i="16"/>
  <c r="C13" i="16"/>
  <c r="P5" i="16"/>
  <c r="P3" i="16"/>
  <c r="T4" i="16" l="1"/>
  <c r="F12" i="18"/>
  <c r="C26" i="18"/>
  <c r="B27" i="18"/>
  <c r="C25" i="18"/>
  <c r="P4" i="16"/>
  <c r="Q7" i="16"/>
  <c r="G7" i="16"/>
  <c r="F9" i="16"/>
  <c r="F10" i="16" s="1"/>
  <c r="B28" i="18" l="1"/>
  <c r="C27" i="18"/>
  <c r="F13" i="18"/>
  <c r="F11" i="16"/>
  <c r="F12" i="16" s="1"/>
  <c r="F13" i="16" s="1"/>
  <c r="F14" i="16" s="1"/>
  <c r="F15" i="16" s="1"/>
  <c r="F16" i="16" s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F38" i="16" s="1"/>
  <c r="F39" i="16" s="1"/>
  <c r="F40" i="16" s="1"/>
  <c r="F41" i="16" s="1"/>
  <c r="F42" i="16" s="1"/>
  <c r="F43" i="16" s="1"/>
  <c r="F44" i="16" s="1"/>
  <c r="F45" i="16" s="1"/>
  <c r="F46" i="16" s="1"/>
  <c r="F47" i="16" s="1"/>
  <c r="F48" i="16" s="1"/>
  <c r="F49" i="16" s="1"/>
  <c r="F50" i="16" s="1"/>
  <c r="F51" i="16" s="1"/>
  <c r="F52" i="16" s="1"/>
  <c r="F53" i="16" s="1"/>
  <c r="F54" i="16" s="1"/>
  <c r="F55" i="16" s="1"/>
  <c r="F56" i="16" s="1"/>
  <c r="F57" i="16" s="1"/>
  <c r="F58" i="16" s="1"/>
  <c r="F59" i="16" s="1"/>
  <c r="F60" i="16" s="1"/>
  <c r="F61" i="16" s="1"/>
  <c r="F62" i="16" s="1"/>
  <c r="F63" i="16" s="1"/>
  <c r="F64" i="16" s="1"/>
  <c r="F65" i="16" s="1"/>
  <c r="F66" i="16" s="1"/>
  <c r="F67" i="16" s="1"/>
  <c r="F68" i="16" s="1"/>
  <c r="F69" i="16" s="1"/>
  <c r="F70" i="16" s="1"/>
  <c r="F71" i="16" s="1"/>
  <c r="F72" i="16" s="1"/>
  <c r="F73" i="16" s="1"/>
  <c r="F74" i="16" s="1"/>
  <c r="F75" i="16" s="1"/>
  <c r="F76" i="16" s="1"/>
  <c r="F77" i="16" s="1"/>
  <c r="F78" i="16" s="1"/>
  <c r="F79" i="16" s="1"/>
  <c r="F80" i="16" s="1"/>
  <c r="F81" i="16" s="1"/>
  <c r="F82" i="16" s="1"/>
  <c r="F83" i="16" s="1"/>
  <c r="F84" i="16" s="1"/>
  <c r="F85" i="16" s="1"/>
  <c r="F86" i="16" s="1"/>
  <c r="F87" i="16" s="1"/>
  <c r="F88" i="16" s="1"/>
  <c r="F89" i="16" s="1"/>
  <c r="F90" i="16" s="1"/>
  <c r="F91" i="16" s="1"/>
  <c r="F92" i="16" s="1"/>
  <c r="F93" i="16" s="1"/>
  <c r="F94" i="16" s="1"/>
  <c r="F95" i="16" s="1"/>
  <c r="F96" i="16" s="1"/>
  <c r="F97" i="16" s="1"/>
  <c r="F98" i="16" s="1"/>
  <c r="F99" i="16" s="1"/>
  <c r="F100" i="16" s="1"/>
  <c r="F101" i="16" s="1"/>
  <c r="F102" i="16" s="1"/>
  <c r="F103" i="16" s="1"/>
  <c r="F104" i="16" s="1"/>
  <c r="F105" i="16" s="1"/>
  <c r="F106" i="16" s="1"/>
  <c r="F107" i="16" s="1"/>
  <c r="F108" i="16" s="1"/>
  <c r="F109" i="16" s="1"/>
  <c r="F110" i="16" s="1"/>
  <c r="F111" i="16" s="1"/>
  <c r="F112" i="16" s="1"/>
  <c r="F113" i="16" s="1"/>
  <c r="F114" i="16" s="1"/>
  <c r="F115" i="16" s="1"/>
  <c r="F116" i="16" s="1"/>
  <c r="F117" i="16" s="1"/>
  <c r="F118" i="16" s="1"/>
  <c r="F119" i="16" s="1"/>
  <c r="F120" i="16" s="1"/>
  <c r="F121" i="16" s="1"/>
  <c r="F122" i="16" s="1"/>
  <c r="F123" i="16" s="1"/>
  <c r="F124" i="16" s="1"/>
  <c r="F125" i="16" s="1"/>
  <c r="F126" i="16" s="1"/>
  <c r="F127" i="16" s="1"/>
  <c r="F128" i="16" s="1"/>
  <c r="F129" i="16" s="1"/>
  <c r="F130" i="16" s="1"/>
  <c r="F131" i="16" s="1"/>
  <c r="F132" i="16" s="1"/>
  <c r="F133" i="16" s="1"/>
  <c r="F134" i="16" s="1"/>
  <c r="F135" i="16" s="1"/>
  <c r="F136" i="16" s="1"/>
  <c r="F137" i="16" s="1"/>
  <c r="F138" i="16" s="1"/>
  <c r="F139" i="16" s="1"/>
  <c r="F140" i="16" s="1"/>
  <c r="F141" i="16" s="1"/>
  <c r="F142" i="16" s="1"/>
  <c r="F143" i="16" s="1"/>
  <c r="F144" i="16" s="1"/>
  <c r="F145" i="16" s="1"/>
  <c r="F146" i="16" s="1"/>
  <c r="F147" i="16" s="1"/>
  <c r="F148" i="16" s="1"/>
  <c r="F149" i="16" s="1"/>
  <c r="F150" i="16" s="1"/>
  <c r="F151" i="16" s="1"/>
  <c r="F152" i="16" s="1"/>
  <c r="F153" i="16" s="1"/>
  <c r="F154" i="16" s="1"/>
  <c r="F155" i="16" s="1"/>
  <c r="F156" i="16" s="1"/>
  <c r="F157" i="16" s="1"/>
  <c r="F158" i="16" s="1"/>
  <c r="F159" i="16" s="1"/>
  <c r="F160" i="16" s="1"/>
  <c r="F161" i="16" s="1"/>
  <c r="F162" i="16" s="1"/>
  <c r="F163" i="16" s="1"/>
  <c r="F164" i="16" s="1"/>
  <c r="F165" i="16" s="1"/>
  <c r="F166" i="16" s="1"/>
  <c r="F167" i="16" s="1"/>
  <c r="F168" i="16" s="1"/>
  <c r="F169" i="16" s="1"/>
  <c r="F170" i="16" s="1"/>
  <c r="F171" i="16" s="1"/>
  <c r="F172" i="16" s="1"/>
  <c r="F173" i="16" s="1"/>
  <c r="F174" i="16" s="1"/>
  <c r="F175" i="16" s="1"/>
  <c r="F176" i="16" s="1"/>
  <c r="F177" i="16" s="1"/>
  <c r="F178" i="16" s="1"/>
  <c r="F179" i="16" s="1"/>
  <c r="F180" i="16" s="1"/>
  <c r="F181" i="16" s="1"/>
  <c r="F182" i="16" s="1"/>
  <c r="F183" i="16" s="1"/>
  <c r="F184" i="16" s="1"/>
  <c r="F185" i="16" s="1"/>
  <c r="F186" i="16" s="1"/>
  <c r="F187" i="16" s="1"/>
  <c r="F188" i="16" s="1"/>
  <c r="F189" i="16" s="1"/>
  <c r="F190" i="16" s="1"/>
  <c r="F191" i="16" s="1"/>
  <c r="F192" i="16" s="1"/>
  <c r="F193" i="16" s="1"/>
  <c r="F194" i="16" s="1"/>
  <c r="F195" i="16" s="1"/>
  <c r="F196" i="16" s="1"/>
  <c r="F197" i="16" s="1"/>
  <c r="F198" i="16" s="1"/>
  <c r="F199" i="16" s="1"/>
  <c r="F200" i="16" s="1"/>
  <c r="F201" i="16" s="1"/>
  <c r="F202" i="16" s="1"/>
  <c r="F203" i="16" s="1"/>
  <c r="F204" i="16" s="1"/>
  <c r="F205" i="16" s="1"/>
  <c r="F206" i="16" s="1"/>
  <c r="F207" i="16" s="1"/>
  <c r="F208" i="16" s="1"/>
  <c r="F209" i="16" s="1"/>
  <c r="F210" i="16" s="1"/>
  <c r="F211" i="16" s="1"/>
  <c r="F212" i="16" s="1"/>
  <c r="F213" i="16" s="1"/>
  <c r="F214" i="16" s="1"/>
  <c r="F215" i="16" s="1"/>
  <c r="F216" i="16" s="1"/>
  <c r="F217" i="16" s="1"/>
  <c r="F218" i="16" s="1"/>
  <c r="F219" i="16" s="1"/>
  <c r="F220" i="16" s="1"/>
  <c r="F221" i="16" s="1"/>
  <c r="F222" i="16" s="1"/>
  <c r="F223" i="16" s="1"/>
  <c r="F224" i="16" s="1"/>
  <c r="F225" i="16" s="1"/>
  <c r="F226" i="16" s="1"/>
  <c r="F227" i="16" s="1"/>
  <c r="F228" i="16" s="1"/>
  <c r="F229" i="16" s="1"/>
  <c r="F230" i="16" s="1"/>
  <c r="F231" i="16" s="1"/>
  <c r="F232" i="16" s="1"/>
  <c r="F233" i="16" s="1"/>
  <c r="F234" i="16" s="1"/>
  <c r="F235" i="16" s="1"/>
  <c r="F236" i="16" s="1"/>
  <c r="F237" i="16" s="1"/>
  <c r="F238" i="16" s="1"/>
  <c r="F239" i="16" s="1"/>
  <c r="F240" i="16" s="1"/>
  <c r="F241" i="16" s="1"/>
  <c r="F242" i="16" s="1"/>
  <c r="F243" i="16" s="1"/>
  <c r="F244" i="16" s="1"/>
  <c r="F245" i="16" s="1"/>
  <c r="F246" i="16" s="1"/>
  <c r="F247" i="16" s="1"/>
  <c r="F248" i="16" s="1"/>
  <c r="F249" i="16" s="1"/>
  <c r="F250" i="16" s="1"/>
  <c r="F251" i="16" s="1"/>
  <c r="F252" i="16" s="1"/>
  <c r="F253" i="16" s="1"/>
  <c r="F254" i="16" s="1"/>
  <c r="F255" i="16" s="1"/>
  <c r="F256" i="16" s="1"/>
  <c r="F257" i="16" s="1"/>
  <c r="F258" i="16" s="1"/>
  <c r="F259" i="16" s="1"/>
  <c r="F260" i="16" s="1"/>
  <c r="F261" i="16" s="1"/>
  <c r="F262" i="16" s="1"/>
  <c r="F263" i="16" s="1"/>
  <c r="F264" i="16" s="1"/>
  <c r="F265" i="16" s="1"/>
  <c r="F266" i="16" s="1"/>
  <c r="F267" i="16" s="1"/>
  <c r="F268" i="16" s="1"/>
  <c r="F269" i="16" s="1"/>
  <c r="F270" i="16" s="1"/>
  <c r="F271" i="16" s="1"/>
  <c r="F272" i="16" s="1"/>
  <c r="F273" i="16" s="1"/>
  <c r="F274" i="16" s="1"/>
  <c r="F275" i="16" s="1"/>
  <c r="F276" i="16" s="1"/>
  <c r="F277" i="16" s="1"/>
  <c r="F278" i="16" s="1"/>
  <c r="F279" i="16" s="1"/>
  <c r="F280" i="16" s="1"/>
  <c r="F281" i="16" s="1"/>
  <c r="F282" i="16" s="1"/>
  <c r="F283" i="16" s="1"/>
  <c r="F284" i="16" s="1"/>
  <c r="F285" i="16" s="1"/>
  <c r="F286" i="16" s="1"/>
  <c r="F287" i="16" s="1"/>
  <c r="F288" i="16" s="1"/>
  <c r="F289" i="16" s="1"/>
  <c r="F290" i="16" s="1"/>
  <c r="F291" i="16" s="1"/>
  <c r="F292" i="16" s="1"/>
  <c r="F293" i="16" s="1"/>
  <c r="F294" i="16" s="1"/>
  <c r="F295" i="16" s="1"/>
  <c r="F296" i="16" s="1"/>
  <c r="F297" i="16" s="1"/>
  <c r="F298" i="16" s="1"/>
  <c r="F299" i="16" s="1"/>
  <c r="F300" i="16" s="1"/>
  <c r="F301" i="16" s="1"/>
  <c r="F302" i="16" s="1"/>
  <c r="F303" i="16" s="1"/>
  <c r="F304" i="16" s="1"/>
  <c r="F305" i="16" s="1"/>
  <c r="F306" i="16" s="1"/>
  <c r="F307" i="16" s="1"/>
  <c r="F308" i="16" s="1"/>
  <c r="F309" i="16" s="1"/>
  <c r="F310" i="16" s="1"/>
  <c r="F311" i="16" s="1"/>
  <c r="F312" i="16" s="1"/>
  <c r="F313" i="16" s="1"/>
  <c r="F314" i="16" s="1"/>
  <c r="F315" i="16" s="1"/>
  <c r="F316" i="16" s="1"/>
  <c r="F317" i="16" s="1"/>
  <c r="F318" i="16" s="1"/>
  <c r="F319" i="16" s="1"/>
  <c r="F320" i="16" s="1"/>
  <c r="F321" i="16" s="1"/>
  <c r="F322" i="16" s="1"/>
  <c r="F323" i="16" s="1"/>
  <c r="F324" i="16" s="1"/>
  <c r="F325" i="16" s="1"/>
  <c r="F326" i="16" s="1"/>
  <c r="F327" i="16" s="1"/>
  <c r="F328" i="16" s="1"/>
  <c r="F329" i="16" s="1"/>
  <c r="F330" i="16" s="1"/>
  <c r="F331" i="16" s="1"/>
  <c r="F332" i="16" s="1"/>
  <c r="F333" i="16" s="1"/>
  <c r="F334" i="16" s="1"/>
  <c r="F335" i="16" s="1"/>
  <c r="F336" i="16" s="1"/>
  <c r="F337" i="16" s="1"/>
  <c r="F338" i="16" s="1"/>
  <c r="F339" i="16" s="1"/>
  <c r="F340" i="16" s="1"/>
  <c r="F341" i="16" s="1"/>
  <c r="F342" i="16" s="1"/>
  <c r="F343" i="16" s="1"/>
  <c r="F344" i="16" s="1"/>
  <c r="F345" i="16" s="1"/>
  <c r="F346" i="16" s="1"/>
  <c r="F347" i="16" s="1"/>
  <c r="F348" i="16" s="1"/>
  <c r="F349" i="16" s="1"/>
  <c r="F350" i="16" s="1"/>
  <c r="F351" i="16" s="1"/>
  <c r="F352" i="16" s="1"/>
  <c r="F353" i="16" s="1"/>
  <c r="F354" i="16" s="1"/>
  <c r="F355" i="16" s="1"/>
  <c r="F356" i="16" s="1"/>
  <c r="F357" i="16" s="1"/>
  <c r="F358" i="16" s="1"/>
  <c r="F359" i="16" s="1"/>
  <c r="F360" i="16" s="1"/>
  <c r="F361" i="16" s="1"/>
  <c r="F362" i="16" s="1"/>
  <c r="F363" i="16" s="1"/>
  <c r="F364" i="16" s="1"/>
  <c r="F365" i="16" s="1"/>
  <c r="F366" i="16" s="1"/>
  <c r="F367" i="16" s="1"/>
  <c r="F368" i="16" s="1"/>
  <c r="F369" i="16" s="1"/>
  <c r="F370" i="16" s="1"/>
  <c r="F371" i="16" s="1"/>
  <c r="F372" i="16" s="1"/>
  <c r="F373" i="16" s="1"/>
  <c r="F374" i="16" s="1"/>
  <c r="F375" i="16" s="1"/>
  <c r="F376" i="16" s="1"/>
  <c r="F377" i="16" s="1"/>
  <c r="F378" i="16" s="1"/>
  <c r="F379" i="16" s="1"/>
  <c r="F380" i="16" s="1"/>
  <c r="F381" i="16" s="1"/>
  <c r="F382" i="16" s="1"/>
  <c r="F383" i="16" s="1"/>
  <c r="F384" i="16" s="1"/>
  <c r="F385" i="16" s="1"/>
  <c r="F386" i="16" s="1"/>
  <c r="F387" i="16" s="1"/>
  <c r="F388" i="16" s="1"/>
  <c r="F389" i="16" s="1"/>
  <c r="F390" i="16" s="1"/>
  <c r="F391" i="16" s="1"/>
  <c r="F392" i="16" s="1"/>
  <c r="F393" i="16" s="1"/>
  <c r="F394" i="16" s="1"/>
  <c r="F395" i="16" s="1"/>
  <c r="F396" i="16" s="1"/>
  <c r="F397" i="16" s="1"/>
  <c r="F398" i="16" s="1"/>
  <c r="F399" i="16" s="1"/>
  <c r="F400" i="16" s="1"/>
  <c r="F401" i="16" s="1"/>
  <c r="F402" i="16" s="1"/>
  <c r="F403" i="16" s="1"/>
  <c r="F404" i="16" s="1"/>
  <c r="F405" i="16" s="1"/>
  <c r="F406" i="16" s="1"/>
  <c r="F407" i="16" s="1"/>
  <c r="M409" i="16"/>
  <c r="C15" i="16"/>
  <c r="C7" i="16"/>
  <c r="C8" i="16" s="1"/>
  <c r="C10" i="16" s="1"/>
  <c r="C3" i="18" l="1"/>
  <c r="F14" i="18"/>
  <c r="C28" i="18"/>
  <c r="B29" i="18"/>
  <c r="C9" i="16"/>
  <c r="C11" i="16"/>
  <c r="C16" i="16" s="1"/>
  <c r="C6" i="18" l="1"/>
  <c r="C5" i="18"/>
  <c r="C4" i="18"/>
  <c r="D20" i="18"/>
  <c r="B30" i="18"/>
  <c r="C29" i="18"/>
  <c r="F15" i="18"/>
  <c r="M132" i="16"/>
  <c r="M148" i="16"/>
  <c r="M164" i="16"/>
  <c r="M180" i="16"/>
  <c r="M196" i="16"/>
  <c r="M212" i="16"/>
  <c r="M228" i="16"/>
  <c r="M244" i="16"/>
  <c r="M260" i="16"/>
  <c r="M276" i="16"/>
  <c r="M292" i="16"/>
  <c r="M308" i="16"/>
  <c r="M324" i="16"/>
  <c r="M340" i="16"/>
  <c r="M356" i="16"/>
  <c r="M372" i="16"/>
  <c r="M388" i="16"/>
  <c r="M404" i="16"/>
  <c r="M119" i="16"/>
  <c r="M133" i="16"/>
  <c r="M149" i="16"/>
  <c r="M165" i="16"/>
  <c r="M181" i="16"/>
  <c r="M197" i="16"/>
  <c r="M213" i="16"/>
  <c r="M229" i="16"/>
  <c r="M245" i="16"/>
  <c r="M261" i="16"/>
  <c r="M277" i="16"/>
  <c r="M293" i="16"/>
  <c r="M309" i="16"/>
  <c r="M325" i="16"/>
  <c r="M341" i="16"/>
  <c r="M357" i="16"/>
  <c r="M373" i="16"/>
  <c r="M389" i="16"/>
  <c r="M405" i="16"/>
  <c r="M120" i="16"/>
  <c r="M134" i="16"/>
  <c r="M150" i="16"/>
  <c r="M166" i="16"/>
  <c r="M182" i="16"/>
  <c r="M140" i="16"/>
  <c r="M159" i="16"/>
  <c r="M178" i="16"/>
  <c r="M199" i="16"/>
  <c r="M217" i="16"/>
  <c r="M235" i="16"/>
  <c r="M253" i="16"/>
  <c r="M271" i="16"/>
  <c r="M289" i="16"/>
  <c r="M307" i="16"/>
  <c r="M327" i="16"/>
  <c r="M345" i="16"/>
  <c r="M363" i="16"/>
  <c r="M381" i="16"/>
  <c r="M399" i="16"/>
  <c r="M141" i="16"/>
  <c r="M160" i="16"/>
  <c r="M179" i="16"/>
  <c r="M200" i="16"/>
  <c r="M218" i="16"/>
  <c r="M236" i="16"/>
  <c r="M254" i="16"/>
  <c r="M272" i="16"/>
  <c r="M290" i="16"/>
  <c r="M328" i="16"/>
  <c r="M346" i="16"/>
  <c r="M364" i="16"/>
  <c r="M382" i="16"/>
  <c r="M400" i="16"/>
  <c r="M117" i="16"/>
  <c r="M142" i="16"/>
  <c r="M161" i="16"/>
  <c r="M183" i="16"/>
  <c r="M201" i="16"/>
  <c r="M219" i="16"/>
  <c r="M237" i="16"/>
  <c r="M255" i="16"/>
  <c r="M273" i="16"/>
  <c r="M311" i="16"/>
  <c r="M329" i="16"/>
  <c r="M347" i="16"/>
  <c r="M383" i="16"/>
  <c r="M118" i="16"/>
  <c r="M143" i="16"/>
  <c r="M162" i="16"/>
  <c r="M202" i="16"/>
  <c r="M220" i="16"/>
  <c r="M256" i="16"/>
  <c r="M294" i="16"/>
  <c r="M330" i="16"/>
  <c r="M366" i="16"/>
  <c r="M402" i="16"/>
  <c r="M163" i="16"/>
  <c r="M185" i="16"/>
  <c r="M221" i="16"/>
  <c r="M257" i="16"/>
  <c r="M295" i="16"/>
  <c r="M331" i="16"/>
  <c r="M367" i="16"/>
  <c r="M385" i="16"/>
  <c r="M122" i="16"/>
  <c r="M126" i="16"/>
  <c r="M145" i="16"/>
  <c r="M167" i="16"/>
  <c r="M204" i="16"/>
  <c r="M222" i="16"/>
  <c r="M258" i="16"/>
  <c r="M296" i="16"/>
  <c r="M314" i="16"/>
  <c r="M350" i="16"/>
  <c r="M123" i="16"/>
  <c r="M187" i="16"/>
  <c r="M279" i="16"/>
  <c r="M351" i="16"/>
  <c r="M124" i="16"/>
  <c r="M128" i="16"/>
  <c r="M188" i="16"/>
  <c r="M280" i="16"/>
  <c r="M352" i="16"/>
  <c r="M151" i="16"/>
  <c r="M263" i="16"/>
  <c r="M371" i="16"/>
  <c r="M191" i="16"/>
  <c r="M355" i="16"/>
  <c r="M154" i="16"/>
  <c r="M266" i="16"/>
  <c r="M136" i="16"/>
  <c r="M395" i="16"/>
  <c r="M310" i="16"/>
  <c r="M291" i="16"/>
  <c r="M365" i="16"/>
  <c r="M401" i="16"/>
  <c r="M184" i="16"/>
  <c r="M238" i="16"/>
  <c r="M274" i="16"/>
  <c r="M312" i="16"/>
  <c r="M348" i="16"/>
  <c r="M384" i="16"/>
  <c r="M144" i="16"/>
  <c r="M203" i="16"/>
  <c r="M275" i="16"/>
  <c r="M313" i="16"/>
  <c r="M349" i="16"/>
  <c r="M403" i="16"/>
  <c r="M186" i="16"/>
  <c r="M278" i="16"/>
  <c r="M332" i="16"/>
  <c r="M406" i="16"/>
  <c r="M168" i="16"/>
  <c r="M259" i="16"/>
  <c r="M333" i="16"/>
  <c r="M387" i="16"/>
  <c r="M169" i="16"/>
  <c r="M316" i="16"/>
  <c r="M129" i="16"/>
  <c r="M299" i="16"/>
  <c r="M283" i="16"/>
  <c r="M248" i="16"/>
  <c r="M231" i="16"/>
  <c r="M239" i="16"/>
  <c r="M240" i="16"/>
  <c r="M386" i="16"/>
  <c r="M223" i="16"/>
  <c r="M297" i="16"/>
  <c r="M369" i="16"/>
  <c r="M407" i="16"/>
  <c r="M147" i="16"/>
  <c r="M262" i="16"/>
  <c r="M334" i="16"/>
  <c r="M125" i="16"/>
  <c r="M189" i="16"/>
  <c r="M281" i="16"/>
  <c r="M353" i="16"/>
  <c r="M172" i="16"/>
  <c r="M319" i="16"/>
  <c r="M135" i="16"/>
  <c r="M338" i="16"/>
  <c r="M267" i="16"/>
  <c r="M121" i="16"/>
  <c r="M391" i="16"/>
  <c r="M337" i="16"/>
  <c r="M284" i="16"/>
  <c r="M155" i="16"/>
  <c r="M303" i="16"/>
  <c r="M170" i="16"/>
  <c r="M335" i="16"/>
  <c r="M227" i="16"/>
  <c r="M393" i="16"/>
  <c r="M302" i="16"/>
  <c r="M285" i="16"/>
  <c r="M368" i="16"/>
  <c r="M206" i="16"/>
  <c r="M298" i="16"/>
  <c r="M390" i="16"/>
  <c r="M207" i="16"/>
  <c r="M317" i="16"/>
  <c r="M394" i="16"/>
  <c r="M193" i="16"/>
  <c r="M377" i="16"/>
  <c r="M127" i="16"/>
  <c r="M146" i="16"/>
  <c r="M205" i="16"/>
  <c r="M241" i="16"/>
  <c r="M315" i="16"/>
  <c r="M242" i="16"/>
  <c r="M370" i="16"/>
  <c r="M243" i="16"/>
  <c r="M247" i="16"/>
  <c r="M210" i="16"/>
  <c r="M358" i="16"/>
  <c r="M249" i="16"/>
  <c r="M224" i="16"/>
  <c r="M225" i="16"/>
  <c r="M301" i="16"/>
  <c r="M192" i="16"/>
  <c r="M339" i="16"/>
  <c r="M130" i="16"/>
  <c r="M152" i="16"/>
  <c r="M171" i="16"/>
  <c r="M190" i="16"/>
  <c r="M208" i="16"/>
  <c r="M226" i="16"/>
  <c r="M246" i="16"/>
  <c r="M264" i="16"/>
  <c r="M282" i="16"/>
  <c r="M300" i="16"/>
  <c r="M318" i="16"/>
  <c r="M336" i="16"/>
  <c r="M354" i="16"/>
  <c r="M374" i="16"/>
  <c r="M392" i="16"/>
  <c r="M131" i="16"/>
  <c r="M209" i="16"/>
  <c r="M375" i="16"/>
  <c r="M173" i="16"/>
  <c r="M320" i="16"/>
  <c r="M321" i="16"/>
  <c r="M153" i="16"/>
  <c r="M265" i="16"/>
  <c r="M230" i="16"/>
  <c r="M211" i="16"/>
  <c r="M376" i="16"/>
  <c r="M174" i="16"/>
  <c r="M359" i="16"/>
  <c r="M139" i="16"/>
  <c r="M250" i="16"/>
  <c r="M343" i="16"/>
  <c r="M252" i="16"/>
  <c r="M268" i="16"/>
  <c r="M269" i="16"/>
  <c r="M176" i="16"/>
  <c r="M177" i="16"/>
  <c r="M379" i="16"/>
  <c r="M287" i="16"/>
  <c r="M195" i="16"/>
  <c r="M396" i="16"/>
  <c r="M304" i="16"/>
  <c r="M214" i="16"/>
  <c r="M398" i="16"/>
  <c r="M215" i="16"/>
  <c r="M306" i="16"/>
  <c r="M216" i="16"/>
  <c r="M323" i="16"/>
  <c r="M326" i="16"/>
  <c r="M138" i="16"/>
  <c r="M234" i="16"/>
  <c r="M342" i="16"/>
  <c r="M156" i="16"/>
  <c r="M251" i="16"/>
  <c r="M344" i="16"/>
  <c r="M157" i="16"/>
  <c r="M360" i="16"/>
  <c r="M158" i="16"/>
  <c r="M361" i="16"/>
  <c r="M175" i="16"/>
  <c r="M362" i="16"/>
  <c r="M270" i="16"/>
  <c r="M378" i="16"/>
  <c r="M286" i="16"/>
  <c r="M194" i="16"/>
  <c r="M380" i="16"/>
  <c r="M288" i="16"/>
  <c r="M198" i="16"/>
  <c r="M397" i="16"/>
  <c r="M305" i="16"/>
  <c r="M322" i="16"/>
  <c r="M232" i="16"/>
  <c r="M137" i="16"/>
  <c r="M233" i="16"/>
  <c r="M101" i="16"/>
  <c r="M85" i="16"/>
  <c r="M69" i="16"/>
  <c r="M53" i="16"/>
  <c r="M37" i="16"/>
  <c r="M21" i="16"/>
  <c r="M88" i="16"/>
  <c r="M72" i="16"/>
  <c r="M56" i="16"/>
  <c r="M40" i="16"/>
  <c r="M24" i="16"/>
  <c r="M15" i="16"/>
  <c r="M91" i="16"/>
  <c r="M59" i="16"/>
  <c r="M43" i="16"/>
  <c r="M78" i="16"/>
  <c r="M62" i="16"/>
  <c r="M20" i="16"/>
  <c r="M14" i="16"/>
  <c r="M77" i="16"/>
  <c r="M86" i="16"/>
  <c r="M104" i="16"/>
  <c r="M18" i="16"/>
  <c r="M75" i="16"/>
  <c r="M46" i="16"/>
  <c r="M9" i="16"/>
  <c r="M84" i="16"/>
  <c r="M52" i="16"/>
  <c r="M38" i="16"/>
  <c r="M73" i="16"/>
  <c r="M92" i="16"/>
  <c r="M13" i="16"/>
  <c r="M47" i="16"/>
  <c r="M10" i="16"/>
  <c r="M107" i="16"/>
  <c r="M27" i="16"/>
  <c r="M65" i="16"/>
  <c r="M100" i="16"/>
  <c r="M55" i="16"/>
  <c r="M39" i="16"/>
  <c r="M23" i="16"/>
  <c r="M99" i="16"/>
  <c r="M102" i="16"/>
  <c r="M70" i="16"/>
  <c r="M41" i="16"/>
  <c r="M60" i="16"/>
  <c r="M95" i="16"/>
  <c r="M114" i="16"/>
  <c r="M82" i="16"/>
  <c r="M110" i="16"/>
  <c r="M94" i="16"/>
  <c r="M30" i="16"/>
  <c r="M12" i="16"/>
  <c r="M49" i="16"/>
  <c r="M33" i="16"/>
  <c r="M11" i="16"/>
  <c r="M105" i="16"/>
  <c r="M108" i="16"/>
  <c r="M111" i="16"/>
  <c r="M113" i="16"/>
  <c r="M97" i="16"/>
  <c r="M81" i="16"/>
  <c r="M36" i="16"/>
  <c r="M42" i="16"/>
  <c r="M26" i="16"/>
  <c r="M79" i="16"/>
  <c r="M98" i="16"/>
  <c r="M66" i="16"/>
  <c r="M116" i="16"/>
  <c r="M68" i="16"/>
  <c r="M19" i="16"/>
  <c r="M44" i="16"/>
  <c r="M103" i="16"/>
  <c r="M87" i="16"/>
  <c r="M71" i="16"/>
  <c r="M83" i="16"/>
  <c r="M106" i="16"/>
  <c r="M90" i="16"/>
  <c r="M74" i="16"/>
  <c r="M58" i="16"/>
  <c r="M17" i="16"/>
  <c r="M8" i="16"/>
  <c r="M54" i="16"/>
  <c r="M25" i="16"/>
  <c r="M76" i="16"/>
  <c r="M28" i="16"/>
  <c r="M50" i="16"/>
  <c r="M109" i="16"/>
  <c r="M93" i="16"/>
  <c r="M61" i="16"/>
  <c r="M45" i="16"/>
  <c r="M29" i="16"/>
  <c r="M80" i="16"/>
  <c r="M57" i="16"/>
  <c r="M16" i="16"/>
  <c r="M63" i="16"/>
  <c r="M112" i="16"/>
  <c r="M96" i="16"/>
  <c r="M64" i="16"/>
  <c r="M48" i="16"/>
  <c r="M32" i="16"/>
  <c r="M51" i="16"/>
  <c r="M31" i="16"/>
  <c r="M34" i="16"/>
  <c r="M115" i="16"/>
  <c r="M67" i="16"/>
  <c r="M35" i="16"/>
  <c r="M22" i="16"/>
  <c r="M89" i="16"/>
  <c r="J190" i="16" l="1"/>
  <c r="I190" i="16"/>
  <c r="J281" i="16"/>
  <c r="I281" i="16" s="1"/>
  <c r="J299" i="16"/>
  <c r="I299" i="16"/>
  <c r="J203" i="16"/>
  <c r="I203" i="16"/>
  <c r="J355" i="16"/>
  <c r="I355" i="16"/>
  <c r="J296" i="16"/>
  <c r="I296" i="16"/>
  <c r="J402" i="16"/>
  <c r="I402" i="16"/>
  <c r="J237" i="16"/>
  <c r="I237" i="16" s="1"/>
  <c r="J218" i="16"/>
  <c r="I218" i="16"/>
  <c r="J199" i="16"/>
  <c r="I199" i="16" s="1"/>
  <c r="J293" i="16"/>
  <c r="I293" i="16"/>
  <c r="J340" i="16"/>
  <c r="I340" i="16"/>
  <c r="J198" i="16"/>
  <c r="I198" i="16"/>
  <c r="J342" i="16"/>
  <c r="I342" i="16"/>
  <c r="J176" i="16"/>
  <c r="I176" i="16" s="1"/>
  <c r="J173" i="16"/>
  <c r="I173" i="16"/>
  <c r="J171" i="16"/>
  <c r="I171" i="16" s="1"/>
  <c r="J241" i="16"/>
  <c r="I241" i="16"/>
  <c r="J227" i="16"/>
  <c r="I227" i="16"/>
  <c r="J189" i="16"/>
  <c r="I189" i="16"/>
  <c r="J129" i="16"/>
  <c r="I129" i="16"/>
  <c r="J144" i="16"/>
  <c r="I144" i="16"/>
  <c r="J191" i="16"/>
  <c r="I191" i="16" s="1"/>
  <c r="J258" i="16"/>
  <c r="I258" i="16"/>
  <c r="J366" i="16"/>
  <c r="I366" i="16" s="1"/>
  <c r="J219" i="16"/>
  <c r="I219" i="16"/>
  <c r="J200" i="16"/>
  <c r="I200" i="16"/>
  <c r="J178" i="16"/>
  <c r="I178" i="16"/>
  <c r="J277" i="16"/>
  <c r="I277" i="16"/>
  <c r="J324" i="16"/>
  <c r="I324" i="16"/>
  <c r="J288" i="16"/>
  <c r="I288" i="16"/>
  <c r="J234" i="16"/>
  <c r="I234" i="16"/>
  <c r="J269" i="16"/>
  <c r="I269" i="16"/>
  <c r="J375" i="16"/>
  <c r="I375" i="16"/>
  <c r="J152" i="16"/>
  <c r="I152" i="16"/>
  <c r="J205" i="16"/>
  <c r="I205" i="16" s="1"/>
  <c r="J335" i="16"/>
  <c r="I335" i="16"/>
  <c r="J125" i="16"/>
  <c r="I125" i="16" s="1"/>
  <c r="J316" i="16"/>
  <c r="I316" i="16"/>
  <c r="J384" i="16"/>
  <c r="I384" i="16"/>
  <c r="J371" i="16"/>
  <c r="I371" i="16"/>
  <c r="J222" i="16"/>
  <c r="I222" i="16"/>
  <c r="J330" i="16"/>
  <c r="I330" i="16"/>
  <c r="J201" i="16"/>
  <c r="I201" i="16" s="1"/>
  <c r="J179" i="16"/>
  <c r="I179" i="16"/>
  <c r="J159" i="16"/>
  <c r="I159" i="16" s="1"/>
  <c r="J261" i="16"/>
  <c r="I261" i="16"/>
  <c r="J308" i="16"/>
  <c r="I308" i="16"/>
  <c r="J380" i="16"/>
  <c r="I380" i="16" s="1"/>
  <c r="J138" i="16"/>
  <c r="I138" i="16"/>
  <c r="J268" i="16"/>
  <c r="I268" i="16" s="1"/>
  <c r="J209" i="16"/>
  <c r="I209" i="16"/>
  <c r="J130" i="16"/>
  <c r="I130" i="16"/>
  <c r="J146" i="16"/>
  <c r="I146" i="16"/>
  <c r="J170" i="16"/>
  <c r="I170" i="16"/>
  <c r="J334" i="16"/>
  <c r="I334" i="16"/>
  <c r="J169" i="16"/>
  <c r="I169" i="16" s="1"/>
  <c r="J348" i="16"/>
  <c r="I348" i="16"/>
  <c r="J263" i="16"/>
  <c r="I263" i="16" s="1"/>
  <c r="J204" i="16"/>
  <c r="I204" i="16"/>
  <c r="J294" i="16"/>
  <c r="I294" i="16"/>
  <c r="J183" i="16"/>
  <c r="I183" i="16"/>
  <c r="J160" i="16"/>
  <c r="I160" i="16"/>
  <c r="J140" i="16"/>
  <c r="I140" i="16"/>
  <c r="J245" i="16"/>
  <c r="I245" i="16" s="1"/>
  <c r="J292" i="16"/>
  <c r="I292" i="16"/>
  <c r="J177" i="16"/>
  <c r="I177" i="16"/>
  <c r="J194" i="16"/>
  <c r="I194" i="16"/>
  <c r="J326" i="16"/>
  <c r="I326" i="16"/>
  <c r="J252" i="16"/>
  <c r="I252" i="16" s="1"/>
  <c r="J131" i="16"/>
  <c r="I131" i="16"/>
  <c r="J339" i="16"/>
  <c r="I339" i="16" s="1"/>
  <c r="J127" i="16"/>
  <c r="I127" i="16"/>
  <c r="J303" i="16"/>
  <c r="I303" i="16"/>
  <c r="J262" i="16"/>
  <c r="I262" i="16"/>
  <c r="J387" i="16"/>
  <c r="I387" i="16"/>
  <c r="J312" i="16"/>
  <c r="I312" i="16"/>
  <c r="J151" i="16"/>
  <c r="I151" i="16" s="1"/>
  <c r="J167" i="16"/>
  <c r="I167" i="16"/>
  <c r="J256" i="16"/>
  <c r="I256" i="16" s="1"/>
  <c r="J161" i="16"/>
  <c r="I161" i="16"/>
  <c r="J141" i="16"/>
  <c r="I141" i="16"/>
  <c r="J182" i="16"/>
  <c r="I182" i="16"/>
  <c r="J229" i="16"/>
  <c r="I229" i="16"/>
  <c r="J276" i="16"/>
  <c r="I276" i="16"/>
  <c r="J286" i="16"/>
  <c r="I286" i="16"/>
  <c r="J323" i="16"/>
  <c r="I323" i="16" s="1"/>
  <c r="J343" i="16"/>
  <c r="I343" i="16" s="1"/>
  <c r="J392" i="16"/>
  <c r="I392" i="16"/>
  <c r="J192" i="16"/>
  <c r="I192" i="16" s="1"/>
  <c r="J377" i="16"/>
  <c r="I377" i="16" s="1"/>
  <c r="J155" i="16"/>
  <c r="I155" i="16"/>
  <c r="J147" i="16"/>
  <c r="I147" i="16" s="1"/>
  <c r="J333" i="16"/>
  <c r="I333" i="16"/>
  <c r="J274" i="16"/>
  <c r="I274" i="16" s="1"/>
  <c r="J352" i="16"/>
  <c r="I352" i="16" s="1"/>
  <c r="J145" i="16"/>
  <c r="I145" i="16"/>
  <c r="J220" i="16"/>
  <c r="I220" i="16" s="1"/>
  <c r="J142" i="16"/>
  <c r="I142" i="16" s="1"/>
  <c r="J399" i="16"/>
  <c r="I399" i="16"/>
  <c r="J166" i="16"/>
  <c r="I166" i="16" s="1"/>
  <c r="J213" i="16"/>
  <c r="I213" i="16"/>
  <c r="J260" i="16"/>
  <c r="I260" i="16" s="1"/>
  <c r="J393" i="16"/>
  <c r="I393" i="16" s="1"/>
  <c r="J378" i="16"/>
  <c r="I378" i="16" s="1"/>
  <c r="J216" i="16"/>
  <c r="I216" i="16"/>
  <c r="J250" i="16"/>
  <c r="I250" i="16" s="1"/>
  <c r="J374" i="16"/>
  <c r="I374" i="16"/>
  <c r="J301" i="16"/>
  <c r="I301" i="16"/>
  <c r="J193" i="16"/>
  <c r="I193" i="16"/>
  <c r="J284" i="16"/>
  <c r="I284" i="16"/>
  <c r="J407" i="16"/>
  <c r="I407" i="16"/>
  <c r="J259" i="16"/>
  <c r="I259" i="16" s="1"/>
  <c r="J238" i="16"/>
  <c r="I238" i="16"/>
  <c r="J280" i="16"/>
  <c r="I280" i="16" s="1"/>
  <c r="J126" i="16"/>
  <c r="I126" i="16"/>
  <c r="J202" i="16"/>
  <c r="I202" i="16"/>
  <c r="J117" i="16"/>
  <c r="I117" i="16"/>
  <c r="J381" i="16"/>
  <c r="I381" i="16"/>
  <c r="J150" i="16"/>
  <c r="I150" i="16"/>
  <c r="J197" i="16"/>
  <c r="I197" i="16" s="1"/>
  <c r="J244" i="16"/>
  <c r="I244" i="16"/>
  <c r="J270" i="16"/>
  <c r="I270" i="16"/>
  <c r="J306" i="16"/>
  <c r="I306" i="16"/>
  <c r="J139" i="16"/>
  <c r="I139" i="16" s="1"/>
  <c r="J354" i="16"/>
  <c r="I354" i="16"/>
  <c r="J225" i="16"/>
  <c r="I225" i="16" s="1"/>
  <c r="J394" i="16"/>
  <c r="I394" i="16"/>
  <c r="J337" i="16"/>
  <c r="I337" i="16"/>
  <c r="J369" i="16"/>
  <c r="I369" i="16"/>
  <c r="J168" i="16"/>
  <c r="I168" i="16"/>
  <c r="J184" i="16"/>
  <c r="I184" i="16"/>
  <c r="J188" i="16"/>
  <c r="I188" i="16" s="1"/>
  <c r="J122" i="16"/>
  <c r="I122" i="16"/>
  <c r="J162" i="16"/>
  <c r="I162" i="16" s="1"/>
  <c r="J400" i="16"/>
  <c r="I400" i="16"/>
  <c r="J363" i="16"/>
  <c r="I363" i="16"/>
  <c r="J134" i="16"/>
  <c r="I134" i="16"/>
  <c r="J181" i="16"/>
  <c r="I181" i="16"/>
  <c r="J228" i="16"/>
  <c r="I228" i="16"/>
  <c r="J336" i="16"/>
  <c r="I336" i="16"/>
  <c r="J391" i="16"/>
  <c r="I391" i="16" s="1"/>
  <c r="J406" i="16"/>
  <c r="I406" i="16"/>
  <c r="J401" i="16"/>
  <c r="I401" i="16"/>
  <c r="J128" i="16"/>
  <c r="I128" i="16"/>
  <c r="J385" i="16"/>
  <c r="I385" i="16"/>
  <c r="J143" i="16"/>
  <c r="I143" i="16"/>
  <c r="J382" i="16"/>
  <c r="I382" i="16" s="1"/>
  <c r="J345" i="16"/>
  <c r="I345" i="16"/>
  <c r="J120" i="16"/>
  <c r="I120" i="16" s="1"/>
  <c r="J165" i="16"/>
  <c r="I165" i="16"/>
  <c r="J212" i="16"/>
  <c r="I212" i="16"/>
  <c r="J156" i="16"/>
  <c r="I156" i="16"/>
  <c r="J175" i="16"/>
  <c r="I175" i="16" s="1"/>
  <c r="J249" i="16"/>
  <c r="I249" i="16"/>
  <c r="J121" i="16"/>
  <c r="I121" i="16" s="1"/>
  <c r="J367" i="16"/>
  <c r="I367" i="16" s="1"/>
  <c r="J118" i="16"/>
  <c r="I118" i="16" s="1"/>
  <c r="J364" i="16"/>
  <c r="I364" i="16" s="1"/>
  <c r="J327" i="16"/>
  <c r="I327" i="16" s="1"/>
  <c r="J405" i="16"/>
  <c r="I405" i="16" s="1"/>
  <c r="J149" i="16"/>
  <c r="I149" i="16"/>
  <c r="J196" i="16"/>
  <c r="I196" i="16" s="1"/>
  <c r="J320" i="16"/>
  <c r="I320" i="16"/>
  <c r="J207" i="16"/>
  <c r="I207" i="16"/>
  <c r="J361" i="16"/>
  <c r="I361" i="16" s="1"/>
  <c r="J214" i="16"/>
  <c r="I214" i="16"/>
  <c r="J376" i="16"/>
  <c r="I376" i="16" s="1"/>
  <c r="J300" i="16"/>
  <c r="I300" i="16" s="1"/>
  <c r="J358" i="16"/>
  <c r="I358" i="16" s="1"/>
  <c r="J390" i="16"/>
  <c r="I390" i="16" s="1"/>
  <c r="J267" i="16"/>
  <c r="I267" i="16" s="1"/>
  <c r="J386" i="16"/>
  <c r="I386" i="16"/>
  <c r="J278" i="16"/>
  <c r="I278" i="16" s="1"/>
  <c r="J291" i="16"/>
  <c r="I291" i="16"/>
  <c r="J351" i="16"/>
  <c r="I351" i="16" s="1"/>
  <c r="J331" i="16"/>
  <c r="I331" i="16" s="1"/>
  <c r="J383" i="16"/>
  <c r="I383" i="16" s="1"/>
  <c r="J346" i="16"/>
  <c r="I346" i="16" s="1"/>
  <c r="J307" i="16"/>
  <c r="I307" i="16" s="1"/>
  <c r="J389" i="16"/>
  <c r="I389" i="16"/>
  <c r="J133" i="16"/>
  <c r="I133" i="16" s="1"/>
  <c r="J180" i="16"/>
  <c r="I180" i="16"/>
  <c r="J359" i="16"/>
  <c r="I359" i="16"/>
  <c r="J297" i="16"/>
  <c r="I297" i="16"/>
  <c r="J174" i="16"/>
  <c r="I174" i="16" s="1"/>
  <c r="J332" i="16"/>
  <c r="I332" i="16"/>
  <c r="J233" i="16"/>
  <c r="I233" i="16"/>
  <c r="J158" i="16"/>
  <c r="I158" i="16"/>
  <c r="J304" i="16"/>
  <c r="I304" i="16"/>
  <c r="J211" i="16"/>
  <c r="I211" i="16"/>
  <c r="J282" i="16"/>
  <c r="I282" i="16" s="1"/>
  <c r="J210" i="16"/>
  <c r="I210" i="16"/>
  <c r="J298" i="16"/>
  <c r="I298" i="16" s="1"/>
  <c r="J338" i="16"/>
  <c r="I338" i="16" s="1"/>
  <c r="J240" i="16"/>
  <c r="I240" i="16"/>
  <c r="J186" i="16"/>
  <c r="I186" i="16"/>
  <c r="J310" i="16"/>
  <c r="I310" i="16"/>
  <c r="J279" i="16"/>
  <c r="I279" i="16"/>
  <c r="J295" i="16"/>
  <c r="I295" i="16" s="1"/>
  <c r="J347" i="16"/>
  <c r="I347" i="16"/>
  <c r="J328" i="16"/>
  <c r="I328" i="16" s="1"/>
  <c r="J289" i="16"/>
  <c r="I289" i="16" s="1"/>
  <c r="J373" i="16"/>
  <c r="I373" i="16"/>
  <c r="J119" i="16"/>
  <c r="I119" i="16"/>
  <c r="J164" i="16"/>
  <c r="I164" i="16"/>
  <c r="J362" i="16"/>
  <c r="I362" i="16"/>
  <c r="J317" i="16"/>
  <c r="I317" i="16" s="1"/>
  <c r="J398" i="16"/>
  <c r="I398" i="16" s="1"/>
  <c r="J223" i="16"/>
  <c r="I223" i="16"/>
  <c r="J137" i="16"/>
  <c r="I137" i="16" s="1"/>
  <c r="J360" i="16"/>
  <c r="I360" i="16"/>
  <c r="J396" i="16"/>
  <c r="I396" i="16" s="1"/>
  <c r="J230" i="16"/>
  <c r="I230" i="16" s="1"/>
  <c r="J264" i="16"/>
  <c r="I264" i="16"/>
  <c r="J247" i="16"/>
  <c r="I247" i="16"/>
  <c r="J206" i="16"/>
  <c r="I206" i="16"/>
  <c r="J135" i="16"/>
  <c r="I135" i="16"/>
  <c r="J239" i="16"/>
  <c r="I239" i="16" s="1"/>
  <c r="J403" i="16"/>
  <c r="I403" i="16"/>
  <c r="J395" i="16"/>
  <c r="I395" i="16" s="1"/>
  <c r="J187" i="16"/>
  <c r="I187" i="16" s="1"/>
  <c r="J257" i="16"/>
  <c r="I257" i="16"/>
  <c r="J329" i="16"/>
  <c r="I329" i="16"/>
  <c r="J290" i="16"/>
  <c r="I290" i="16"/>
  <c r="J271" i="16"/>
  <c r="I271" i="16"/>
  <c r="J357" i="16"/>
  <c r="I357" i="16" s="1"/>
  <c r="J404" i="16"/>
  <c r="I404" i="16"/>
  <c r="J148" i="16"/>
  <c r="I148" i="16" s="1"/>
  <c r="J215" i="16"/>
  <c r="I215" i="16"/>
  <c r="J318" i="16"/>
  <c r="I318" i="16"/>
  <c r="J365" i="16"/>
  <c r="I365" i="16" s="1"/>
  <c r="J232" i="16"/>
  <c r="I232" i="16" s="1"/>
  <c r="J157" i="16"/>
  <c r="I157" i="16" s="1"/>
  <c r="J195" i="16"/>
  <c r="I195" i="16" s="1"/>
  <c r="J265" i="16"/>
  <c r="I265" i="16"/>
  <c r="J246" i="16"/>
  <c r="I246" i="16" s="1"/>
  <c r="J243" i="16"/>
  <c r="I243" i="16"/>
  <c r="J368" i="16"/>
  <c r="I368" i="16" s="1"/>
  <c r="J319" i="16"/>
  <c r="J231" i="16"/>
  <c r="I231" i="16" s="1"/>
  <c r="J349" i="16"/>
  <c r="I349" i="16" s="1"/>
  <c r="J136" i="16"/>
  <c r="J123" i="16"/>
  <c r="I123" i="16"/>
  <c r="J221" i="16"/>
  <c r="I221" i="16" s="1"/>
  <c r="J311" i="16"/>
  <c r="I311" i="16"/>
  <c r="J272" i="16"/>
  <c r="I272" i="16" s="1"/>
  <c r="J253" i="16"/>
  <c r="I253" i="16" s="1"/>
  <c r="J341" i="16"/>
  <c r="I341" i="16" s="1"/>
  <c r="J388" i="16"/>
  <c r="I388" i="16" s="1"/>
  <c r="J132" i="16"/>
  <c r="I132" i="16" s="1"/>
  <c r="C7" i="18"/>
  <c r="C8" i="18" s="1"/>
  <c r="J397" i="16"/>
  <c r="I397" i="16"/>
  <c r="J322" i="16"/>
  <c r="I322" i="16" s="1"/>
  <c r="J344" i="16"/>
  <c r="I344" i="16" s="1"/>
  <c r="J287" i="16"/>
  <c r="J153" i="16"/>
  <c r="I153" i="16"/>
  <c r="J226" i="16"/>
  <c r="I226" i="16" s="1"/>
  <c r="J370" i="16"/>
  <c r="I370" i="16"/>
  <c r="J285" i="16"/>
  <c r="I285" i="16" s="1"/>
  <c r="J172" i="16"/>
  <c r="J248" i="16"/>
  <c r="J313" i="16"/>
  <c r="J266" i="16"/>
  <c r="J350" i="16"/>
  <c r="I350" i="16"/>
  <c r="J185" i="16"/>
  <c r="I185" i="16" s="1"/>
  <c r="J273" i="16"/>
  <c r="I273" i="16"/>
  <c r="J254" i="16"/>
  <c r="I254" i="16" s="1"/>
  <c r="J235" i="16"/>
  <c r="I235" i="16" s="1"/>
  <c r="J325" i="16"/>
  <c r="I325" i="16" s="1"/>
  <c r="J372" i="16"/>
  <c r="I372" i="16" s="1"/>
  <c r="J315" i="16"/>
  <c r="I315" i="16" s="1"/>
  <c r="J224" i="16"/>
  <c r="I224" i="16" s="1"/>
  <c r="I80" i="16"/>
  <c r="I15" i="16"/>
  <c r="J305" i="16"/>
  <c r="I305" i="16" s="1"/>
  <c r="J251" i="16"/>
  <c r="I251" i="16"/>
  <c r="J379" i="16"/>
  <c r="I379" i="16" s="1"/>
  <c r="J321" i="16"/>
  <c r="I321" i="16" s="1"/>
  <c r="J208" i="16"/>
  <c r="I208" i="16"/>
  <c r="J242" i="16"/>
  <c r="I242" i="16"/>
  <c r="J302" i="16"/>
  <c r="I302" i="16"/>
  <c r="J353" i="16"/>
  <c r="I353" i="16"/>
  <c r="J283" i="16"/>
  <c r="I283" i="16" s="1"/>
  <c r="J275" i="16"/>
  <c r="I275" i="16"/>
  <c r="J154" i="16"/>
  <c r="I154" i="16" s="1"/>
  <c r="J314" i="16"/>
  <c r="I314" i="16" s="1"/>
  <c r="J163" i="16"/>
  <c r="I163" i="16"/>
  <c r="J255" i="16"/>
  <c r="I255" i="16"/>
  <c r="J236" i="16"/>
  <c r="I236" i="16"/>
  <c r="J217" i="16"/>
  <c r="I217" i="16"/>
  <c r="J309" i="16"/>
  <c r="I309" i="16" s="1"/>
  <c r="J356" i="16"/>
  <c r="I356" i="16"/>
  <c r="F16" i="18"/>
  <c r="B31" i="18"/>
  <c r="C31" i="18" s="1"/>
  <c r="C30" i="18"/>
  <c r="J124" i="16"/>
  <c r="I124" i="16" s="1"/>
  <c r="J16" i="16"/>
  <c r="I16" i="16" s="1"/>
  <c r="J95" i="16"/>
  <c r="I95" i="16" s="1"/>
  <c r="J60" i="16"/>
  <c r="I60" i="16" s="1"/>
  <c r="J80" i="16"/>
  <c r="J22" i="16"/>
  <c r="I22" i="16" s="1"/>
  <c r="J15" i="16"/>
  <c r="J111" i="16"/>
  <c r="I111" i="16" s="1"/>
  <c r="J61" i="16"/>
  <c r="I61" i="16" s="1"/>
  <c r="J9" i="16"/>
  <c r="I9" i="16" s="1"/>
  <c r="J23" i="16"/>
  <c r="I23" i="16" s="1"/>
  <c r="J39" i="16"/>
  <c r="I39" i="16" s="1"/>
  <c r="J68" i="16"/>
  <c r="I68" i="16" s="1"/>
  <c r="J43" i="16"/>
  <c r="I43" i="16" s="1"/>
  <c r="J81" i="16"/>
  <c r="I81" i="16" s="1"/>
  <c r="J89" i="16"/>
  <c r="I89" i="16" s="1"/>
  <c r="J41" i="16"/>
  <c r="I41" i="16" s="1"/>
  <c r="J113" i="16"/>
  <c r="I113" i="16" s="1"/>
  <c r="J35" i="16"/>
  <c r="I35" i="16" s="1"/>
  <c r="J84" i="16"/>
  <c r="I84" i="16" s="1"/>
  <c r="J87" i="16"/>
  <c r="I87" i="16" s="1"/>
  <c r="J115" i="16"/>
  <c r="I115" i="16" s="1"/>
  <c r="J105" i="16"/>
  <c r="I105" i="16" s="1"/>
  <c r="J75" i="16"/>
  <c r="I75" i="16" s="1"/>
  <c r="J28" i="16"/>
  <c r="I28" i="16" s="1"/>
  <c r="J36" i="16"/>
  <c r="I36" i="16" s="1"/>
  <c r="J57" i="16"/>
  <c r="I57" i="16" s="1"/>
  <c r="J59" i="16"/>
  <c r="I59" i="16" s="1"/>
  <c r="J106" i="16"/>
  <c r="I106" i="16" s="1"/>
  <c r="J38" i="16"/>
  <c r="I38" i="16" s="1"/>
  <c r="J83" i="16"/>
  <c r="I83" i="16" s="1"/>
  <c r="J52" i="16"/>
  <c r="I52" i="16" s="1"/>
  <c r="J45" i="16"/>
  <c r="I45" i="16" s="1"/>
  <c r="J102" i="16"/>
  <c r="I102" i="16" s="1"/>
  <c r="J67" i="16"/>
  <c r="I67" i="16" s="1"/>
  <c r="J99" i="16"/>
  <c r="I99" i="16" s="1"/>
  <c r="J93" i="16"/>
  <c r="I93" i="16" s="1"/>
  <c r="J46" i="16"/>
  <c r="I46" i="16" s="1"/>
  <c r="J34" i="16"/>
  <c r="I34" i="16" s="1"/>
  <c r="J44" i="16"/>
  <c r="I44" i="16" s="1"/>
  <c r="J49" i="16"/>
  <c r="I49" i="16" s="1"/>
  <c r="J74" i="16"/>
  <c r="I74" i="16" s="1"/>
  <c r="J92" i="16"/>
  <c r="I92" i="16" s="1"/>
  <c r="J90" i="16"/>
  <c r="I90" i="16" s="1"/>
  <c r="J73" i="16"/>
  <c r="I73" i="16" s="1"/>
  <c r="J97" i="16"/>
  <c r="I97" i="16" s="1"/>
  <c r="J91" i="16"/>
  <c r="I91" i="16" s="1"/>
  <c r="J29" i="16"/>
  <c r="I29" i="16" s="1"/>
  <c r="J70" i="16"/>
  <c r="I70" i="16" s="1"/>
  <c r="J71" i="16"/>
  <c r="I71" i="16" s="1"/>
  <c r="J24" i="16"/>
  <c r="I24" i="16" s="1"/>
  <c r="J108" i="16"/>
  <c r="I108" i="16" s="1"/>
  <c r="J40" i="16"/>
  <c r="I40" i="16" s="1"/>
  <c r="J103" i="16"/>
  <c r="I103" i="16" s="1"/>
  <c r="J56" i="16"/>
  <c r="I56" i="16" s="1"/>
  <c r="J109" i="16"/>
  <c r="I109" i="16" s="1"/>
  <c r="J11" i="16"/>
  <c r="I11" i="16" s="1"/>
  <c r="J72" i="16"/>
  <c r="I72" i="16" s="1"/>
  <c r="J31" i="16"/>
  <c r="I31" i="16" s="1"/>
  <c r="J50" i="16"/>
  <c r="I50" i="16" s="1"/>
  <c r="J19" i="16"/>
  <c r="I19" i="16" s="1"/>
  <c r="J33" i="16"/>
  <c r="I33" i="16" s="1"/>
  <c r="J55" i="16"/>
  <c r="I55" i="16" s="1"/>
  <c r="J18" i="16"/>
  <c r="I18" i="16" s="1"/>
  <c r="J88" i="16"/>
  <c r="I88" i="16" s="1"/>
  <c r="J51" i="16"/>
  <c r="I51" i="16" s="1"/>
  <c r="J100" i="16"/>
  <c r="I100" i="16" s="1"/>
  <c r="J104" i="16"/>
  <c r="I104" i="16" s="1"/>
  <c r="J21" i="16"/>
  <c r="I21" i="16" s="1"/>
  <c r="J32" i="16"/>
  <c r="I32" i="16" s="1"/>
  <c r="J76" i="16"/>
  <c r="I76" i="16" s="1"/>
  <c r="J116" i="16"/>
  <c r="I116" i="16" s="1"/>
  <c r="J12" i="16"/>
  <c r="I12" i="16" s="1"/>
  <c r="J65" i="16"/>
  <c r="I65" i="16" s="1"/>
  <c r="J86" i="16"/>
  <c r="I86" i="16" s="1"/>
  <c r="J37" i="16"/>
  <c r="I37" i="16" s="1"/>
  <c r="J48" i="16"/>
  <c r="I48" i="16" s="1"/>
  <c r="J25" i="16"/>
  <c r="I25" i="16" s="1"/>
  <c r="J66" i="16"/>
  <c r="I66" i="16" s="1"/>
  <c r="J30" i="16"/>
  <c r="I30" i="16" s="1"/>
  <c r="J27" i="16"/>
  <c r="I27" i="16" s="1"/>
  <c r="J77" i="16"/>
  <c r="I77" i="16" s="1"/>
  <c r="J53" i="16"/>
  <c r="I53" i="16" s="1"/>
  <c r="J64" i="16"/>
  <c r="I64" i="16" s="1"/>
  <c r="J54" i="16"/>
  <c r="I54" i="16" s="1"/>
  <c r="J98" i="16"/>
  <c r="I98" i="16" s="1"/>
  <c r="J94" i="16"/>
  <c r="I94" i="16" s="1"/>
  <c r="J107" i="16"/>
  <c r="I107" i="16" s="1"/>
  <c r="J14" i="16"/>
  <c r="I14" i="16" s="1"/>
  <c r="J69" i="16"/>
  <c r="I69" i="16" s="1"/>
  <c r="J96" i="16"/>
  <c r="I96" i="16" s="1"/>
  <c r="J8" i="16"/>
  <c r="I8" i="16" s="1"/>
  <c r="J79" i="16"/>
  <c r="I79" i="16" s="1"/>
  <c r="J110" i="16"/>
  <c r="I110" i="16" s="1"/>
  <c r="J10" i="16"/>
  <c r="I10" i="16" s="1"/>
  <c r="J20" i="16"/>
  <c r="I20" i="16" s="1"/>
  <c r="J85" i="16"/>
  <c r="I85" i="16" s="1"/>
  <c r="J112" i="16"/>
  <c r="I112" i="16" s="1"/>
  <c r="J17" i="16"/>
  <c r="I17" i="16" s="1"/>
  <c r="J26" i="16"/>
  <c r="I26" i="16" s="1"/>
  <c r="J82" i="16"/>
  <c r="I82" i="16" s="1"/>
  <c r="J47" i="16"/>
  <c r="I47" i="16" s="1"/>
  <c r="J62" i="16"/>
  <c r="I62" i="16" s="1"/>
  <c r="J101" i="16"/>
  <c r="I101" i="16" s="1"/>
  <c r="J63" i="16"/>
  <c r="I63" i="16" s="1"/>
  <c r="J58" i="16"/>
  <c r="I58" i="16" s="1"/>
  <c r="J42" i="16"/>
  <c r="I42" i="16" s="1"/>
  <c r="J114" i="16"/>
  <c r="I114" i="16" s="1"/>
  <c r="J13" i="16"/>
  <c r="I13" i="16" s="1"/>
  <c r="J78" i="16"/>
  <c r="I78" i="16" s="1"/>
  <c r="I266" i="16" l="1"/>
  <c r="I287" i="16"/>
  <c r="I136" i="16"/>
  <c r="I313" i="16"/>
  <c r="I248" i="16"/>
  <c r="I172" i="16"/>
  <c r="I319" i="16"/>
  <c r="B36" i="16"/>
  <c r="T3" i="16"/>
  <c r="C21" i="18"/>
  <c r="G2" i="18" s="1"/>
  <c r="J3" i="18" s="1"/>
  <c r="F17" i="18"/>
  <c r="I16" i="18"/>
  <c r="J16" i="18"/>
  <c r="H16" i="18"/>
  <c r="H12" i="18" l="1"/>
  <c r="H10" i="18"/>
  <c r="J4" i="18"/>
  <c r="J5" i="18" s="1"/>
  <c r="H9" i="18"/>
  <c r="H11" i="18"/>
  <c r="I12" i="18"/>
  <c r="J13" i="18"/>
  <c r="H13" i="18"/>
  <c r="I13" i="18"/>
  <c r="H14" i="18"/>
  <c r="J14" i="18"/>
  <c r="I10" i="18"/>
  <c r="J10" i="18"/>
  <c r="J11" i="18"/>
  <c r="I11" i="18"/>
  <c r="J9" i="18"/>
  <c r="I9" i="18"/>
  <c r="I14" i="18"/>
  <c r="I15" i="18"/>
  <c r="J15" i="18"/>
  <c r="H15" i="18"/>
  <c r="F18" i="18"/>
  <c r="H17" i="18"/>
  <c r="J17" i="18"/>
  <c r="I17" i="18"/>
  <c r="O8" i="16" a="1"/>
  <c r="O8" i="16" l="1"/>
  <c r="T5" i="16"/>
  <c r="G12" i="18"/>
  <c r="J12" i="18" s="1"/>
  <c r="G11" i="18"/>
  <c r="G13" i="18"/>
  <c r="G10" i="18"/>
  <c r="G9" i="18"/>
  <c r="G14" i="18"/>
  <c r="G15" i="18"/>
  <c r="G16" i="18"/>
  <c r="G17" i="18"/>
  <c r="G18" i="18"/>
  <c r="J18" i="18" s="1"/>
  <c r="F19" i="18"/>
  <c r="I18" i="18"/>
  <c r="H18" i="18"/>
  <c r="F20" i="18" l="1"/>
  <c r="G19" i="18"/>
  <c r="J19" i="18" s="1"/>
  <c r="H19" i="18"/>
  <c r="I19" i="18" l="1"/>
  <c r="F21" i="18"/>
  <c r="G20" i="18"/>
  <c r="I20" i="18" s="1"/>
  <c r="H20" i="18"/>
  <c r="J20" i="18" l="1"/>
  <c r="G21" i="18"/>
  <c r="J21" i="18" s="1"/>
  <c r="F22" i="18"/>
  <c r="H21" i="18"/>
  <c r="I21" i="18" l="1"/>
  <c r="F23" i="18"/>
  <c r="G22" i="18"/>
  <c r="I22" i="18"/>
  <c r="J22" i="18"/>
  <c r="H22" i="18"/>
  <c r="G23" i="18" l="1"/>
  <c r="F24" i="18"/>
  <c r="J23" i="18"/>
  <c r="I23" i="18"/>
  <c r="H23" i="18"/>
  <c r="F25" i="18" l="1"/>
  <c r="G24" i="18"/>
  <c r="J24" i="18"/>
  <c r="I24" i="18"/>
  <c r="H24" i="18"/>
  <c r="F26" i="18" l="1"/>
  <c r="G25" i="18"/>
  <c r="H25" i="18"/>
  <c r="J25" i="18"/>
  <c r="I25" i="18"/>
  <c r="G26" i="18" l="1"/>
  <c r="F27" i="18"/>
  <c r="H26" i="18"/>
  <c r="I26" i="18"/>
  <c r="J26" i="18"/>
  <c r="F28" i="18" l="1"/>
  <c r="G27" i="18"/>
  <c r="H27" i="18"/>
  <c r="J27" i="18"/>
  <c r="I27" i="18"/>
  <c r="G28" i="18" l="1"/>
  <c r="F29" i="18"/>
  <c r="I28" i="18"/>
  <c r="H28" i="18"/>
  <c r="J28" i="18"/>
  <c r="F30" i="18" l="1"/>
  <c r="G29" i="18"/>
  <c r="J29" i="18"/>
  <c r="H29" i="18"/>
  <c r="I29" i="18"/>
  <c r="G30" i="18" l="1"/>
  <c r="F31" i="18"/>
  <c r="H30" i="18"/>
  <c r="J30" i="18"/>
  <c r="I30" i="18"/>
  <c r="F32" i="18" l="1"/>
  <c r="G31" i="18"/>
  <c r="J31" i="18"/>
  <c r="I31" i="18"/>
  <c r="H31" i="18"/>
  <c r="F33" i="18" l="1"/>
  <c r="G32" i="18"/>
  <c r="I32" i="18"/>
  <c r="J32" i="18"/>
  <c r="H32" i="18"/>
  <c r="G33" i="18" l="1"/>
  <c r="F34" i="18"/>
  <c r="I33" i="18"/>
  <c r="J33" i="18"/>
  <c r="H33" i="18"/>
  <c r="F35" i="18" l="1"/>
  <c r="G34" i="18"/>
  <c r="H34" i="18"/>
  <c r="J34" i="18"/>
  <c r="I34" i="18"/>
  <c r="F36" i="18" l="1"/>
  <c r="G35" i="18"/>
  <c r="J35" i="18"/>
  <c r="I35" i="18"/>
  <c r="H35" i="18"/>
  <c r="F37" i="18" l="1"/>
  <c r="G36" i="18"/>
  <c r="J36" i="18"/>
  <c r="I36" i="18"/>
  <c r="H36" i="18"/>
  <c r="G37" i="18" l="1"/>
  <c r="F38" i="18"/>
  <c r="I37" i="18"/>
  <c r="H37" i="18"/>
  <c r="J37" i="18"/>
  <c r="G38" i="18" l="1"/>
  <c r="F39" i="18"/>
  <c r="J38" i="18"/>
  <c r="H38" i="18"/>
  <c r="I38" i="18"/>
  <c r="F40" i="18" l="1"/>
  <c r="G39" i="18"/>
  <c r="J39" i="18"/>
  <c r="H39" i="18"/>
  <c r="I39" i="18"/>
  <c r="G40" i="18" l="1"/>
  <c r="F41" i="18"/>
  <c r="J40" i="18"/>
  <c r="H40" i="18"/>
  <c r="I40" i="18"/>
  <c r="F42" i="18" l="1"/>
  <c r="G41" i="18"/>
  <c r="H41" i="18"/>
  <c r="I41" i="18"/>
  <c r="J41" i="18"/>
  <c r="F43" i="18" l="1"/>
  <c r="G42" i="18"/>
  <c r="I42" i="18" s="1"/>
  <c r="H42" i="18"/>
  <c r="J42" i="18"/>
  <c r="G43" i="18" l="1"/>
  <c r="F44" i="18"/>
  <c r="H43" i="18"/>
  <c r="J43" i="18"/>
  <c r="I43" i="18"/>
  <c r="F45" i="18" l="1"/>
  <c r="G44" i="18"/>
  <c r="I44" i="18"/>
  <c r="J44" i="18"/>
  <c r="H44" i="18"/>
  <c r="F46" i="18" l="1"/>
  <c r="G45" i="18"/>
  <c r="H45" i="18"/>
  <c r="J45" i="18"/>
  <c r="I45" i="18"/>
  <c r="G46" i="18" l="1"/>
  <c r="F47" i="18"/>
  <c r="H46" i="18"/>
  <c r="J46" i="18"/>
  <c r="I46" i="18"/>
  <c r="F48" i="18" l="1"/>
  <c r="G47" i="18"/>
  <c r="H47" i="18"/>
  <c r="J47" i="18"/>
  <c r="I47" i="18"/>
  <c r="F49" i="18" l="1"/>
  <c r="G48" i="18"/>
  <c r="J48" i="18"/>
  <c r="H48" i="18"/>
  <c r="I48" i="18"/>
  <c r="G49" i="18" l="1"/>
  <c r="F50" i="18"/>
  <c r="J49" i="18"/>
  <c r="H49" i="18"/>
  <c r="I49" i="18"/>
  <c r="F51" i="18" l="1"/>
  <c r="G50" i="18"/>
  <c r="J50" i="18"/>
  <c r="I50" i="18"/>
  <c r="H50" i="18"/>
  <c r="F52" i="18" l="1"/>
  <c r="G51" i="18"/>
  <c r="I51" i="18"/>
  <c r="J51" i="18"/>
  <c r="H51" i="18"/>
  <c r="F53" i="18" l="1"/>
  <c r="G52" i="18"/>
  <c r="I52" i="18"/>
  <c r="H52" i="18"/>
  <c r="J52" i="18"/>
  <c r="F54" i="18" l="1"/>
  <c r="G53" i="18"/>
  <c r="I53" i="18"/>
  <c r="J53" i="18"/>
  <c r="H53" i="18"/>
  <c r="G54" i="18" l="1"/>
  <c r="F55" i="18"/>
  <c r="J54" i="18"/>
  <c r="H54" i="18"/>
  <c r="I54" i="18"/>
  <c r="F56" i="18" l="1"/>
  <c r="G55" i="18"/>
  <c r="J55" i="18"/>
  <c r="H55" i="18"/>
  <c r="I55" i="18"/>
  <c r="G56" i="18" l="1"/>
  <c r="F57" i="18"/>
  <c r="J56" i="18"/>
  <c r="H56" i="18"/>
  <c r="I56" i="18"/>
  <c r="F58" i="18" l="1"/>
  <c r="G57" i="18"/>
  <c r="I57" i="18"/>
  <c r="H57" i="18"/>
  <c r="J57" i="18"/>
  <c r="F59" i="18" l="1"/>
  <c r="G58" i="18"/>
  <c r="I58" i="18"/>
  <c r="H58" i="18"/>
  <c r="J58" i="18"/>
  <c r="G59" i="18" l="1"/>
  <c r="F60" i="18"/>
  <c r="J59" i="18"/>
  <c r="I59" i="18"/>
  <c r="H59" i="18"/>
  <c r="F61" i="18" l="1"/>
  <c r="G60" i="18"/>
  <c r="J60" i="18"/>
  <c r="I60" i="18"/>
  <c r="H60" i="18"/>
  <c r="F62" i="18" l="1"/>
  <c r="G61" i="18"/>
  <c r="J61" i="18"/>
  <c r="H61" i="18"/>
  <c r="I61" i="18"/>
  <c r="G62" i="18" l="1"/>
  <c r="F63" i="18"/>
  <c r="J62" i="18"/>
  <c r="H62" i="18"/>
  <c r="I62" i="18"/>
  <c r="F64" i="18" l="1"/>
  <c r="G63" i="18"/>
  <c r="I63" i="18"/>
  <c r="J63" i="18"/>
  <c r="H63" i="18"/>
  <c r="F65" i="18" l="1"/>
  <c r="G64" i="18"/>
  <c r="J64" i="18"/>
  <c r="H64" i="18"/>
  <c r="I64" i="18"/>
  <c r="G65" i="18" l="1"/>
  <c r="F66" i="18"/>
  <c r="H65" i="18"/>
  <c r="I65" i="18"/>
  <c r="J65" i="18"/>
  <c r="F67" i="18" l="1"/>
  <c r="G66" i="18"/>
  <c r="I66" i="18"/>
  <c r="J66" i="18"/>
  <c r="H66" i="18"/>
  <c r="F68" i="18" l="1"/>
  <c r="G67" i="18"/>
  <c r="J67" i="18" s="1"/>
  <c r="H67" i="18"/>
  <c r="I67" i="18" l="1"/>
  <c r="F69" i="18"/>
  <c r="G68" i="18"/>
  <c r="I68" i="18"/>
  <c r="H68" i="18"/>
  <c r="J68" i="18"/>
  <c r="G69" i="18" l="1"/>
  <c r="F70" i="18"/>
  <c r="I69" i="18"/>
  <c r="J69" i="18"/>
  <c r="H69" i="18"/>
  <c r="G70" i="18" l="1"/>
  <c r="F71" i="18"/>
  <c r="J70" i="18"/>
  <c r="H70" i="18"/>
  <c r="I70" i="18"/>
  <c r="F72" i="18" l="1"/>
  <c r="G71" i="18"/>
  <c r="J71" i="18"/>
  <c r="H71" i="18"/>
  <c r="I71" i="18"/>
  <c r="G72" i="18" l="1"/>
  <c r="F73" i="18"/>
  <c r="H72" i="18"/>
  <c r="I72" i="18"/>
  <c r="J72" i="18"/>
  <c r="F74" i="18" l="1"/>
  <c r="G73" i="18"/>
  <c r="I73" i="18"/>
  <c r="H73" i="18"/>
  <c r="J73" i="18"/>
  <c r="F75" i="18" l="1"/>
  <c r="G74" i="18"/>
  <c r="H74" i="18"/>
  <c r="J74" i="18"/>
  <c r="I74" i="18"/>
  <c r="G75" i="18" l="1"/>
  <c r="F76" i="18"/>
  <c r="H75" i="18"/>
  <c r="J75" i="18"/>
  <c r="I75" i="18"/>
  <c r="F77" i="18" l="1"/>
  <c r="G76" i="18"/>
  <c r="I76" i="18"/>
  <c r="H76" i="18"/>
  <c r="J76" i="18"/>
  <c r="F78" i="18" l="1"/>
  <c r="G77" i="18"/>
  <c r="I77" i="18"/>
  <c r="J77" i="18"/>
  <c r="H77" i="18"/>
  <c r="G78" i="18" l="1"/>
  <c r="F79" i="18"/>
  <c r="J78" i="18"/>
  <c r="H78" i="18"/>
  <c r="I78" i="18"/>
  <c r="F80" i="18" l="1"/>
  <c r="G79" i="18"/>
  <c r="I79" i="18" s="1"/>
  <c r="H79" i="18"/>
  <c r="J79" i="18" l="1"/>
  <c r="F81" i="18"/>
  <c r="G80" i="18"/>
  <c r="J80" i="18" s="1"/>
  <c r="H80" i="18"/>
  <c r="I80" i="18" l="1"/>
  <c r="G81" i="18"/>
  <c r="I81" i="18" s="1"/>
  <c r="F82" i="18"/>
  <c r="H81" i="18"/>
  <c r="J81" i="18" l="1"/>
  <c r="F83" i="18"/>
  <c r="G82" i="18"/>
  <c r="J82" i="18" s="1"/>
  <c r="H82" i="18"/>
  <c r="I82" i="18"/>
  <c r="F84" i="18" l="1"/>
  <c r="G83" i="18"/>
  <c r="J83" i="18"/>
  <c r="I83" i="18"/>
  <c r="H83" i="18"/>
  <c r="F85" i="18" l="1"/>
  <c r="G84" i="18"/>
  <c r="H84" i="18"/>
  <c r="J84" i="18"/>
  <c r="I84" i="18"/>
  <c r="F86" i="18" l="1"/>
  <c r="G85" i="18"/>
  <c r="H85" i="18"/>
  <c r="J85" i="18"/>
  <c r="I85" i="18"/>
  <c r="F87" i="18" l="1"/>
  <c r="G86" i="18"/>
  <c r="J86" i="18"/>
  <c r="I86" i="18"/>
  <c r="H86" i="18"/>
  <c r="F88" i="18" l="1"/>
  <c r="G87" i="18"/>
  <c r="I87" i="18"/>
  <c r="J87" i="18"/>
  <c r="H87" i="18"/>
  <c r="G88" i="18" l="1"/>
  <c r="F89" i="18"/>
  <c r="I88" i="18"/>
  <c r="H88" i="18"/>
  <c r="J88" i="18"/>
  <c r="F90" i="18" l="1"/>
  <c r="G89" i="18"/>
  <c r="I89" i="18"/>
  <c r="J89" i="18"/>
  <c r="H89" i="18"/>
  <c r="F91" i="18" l="1"/>
  <c r="G90" i="18"/>
  <c r="J90" i="18"/>
  <c r="I90" i="18"/>
  <c r="H90" i="18"/>
  <c r="G91" i="18" l="1"/>
  <c r="F92" i="18"/>
  <c r="J91" i="18"/>
  <c r="H91" i="18"/>
  <c r="I91" i="18"/>
  <c r="F93" i="18" l="1"/>
  <c r="G92" i="18"/>
  <c r="J92" i="18"/>
  <c r="H92" i="18"/>
  <c r="I92" i="18"/>
  <c r="F94" i="18" l="1"/>
  <c r="G93" i="18"/>
  <c r="I93" i="18"/>
  <c r="H93" i="18"/>
  <c r="J93" i="18"/>
  <c r="G94" i="18" l="1"/>
  <c r="J94" i="18" s="1"/>
  <c r="F95" i="18"/>
  <c r="H94" i="18"/>
  <c r="I94" i="18"/>
  <c r="F96" i="18" l="1"/>
  <c r="G95" i="18"/>
  <c r="H95" i="18"/>
  <c r="I95" i="18"/>
  <c r="J95" i="18"/>
  <c r="F97" i="18" l="1"/>
  <c r="G96" i="18"/>
  <c r="J96" i="18"/>
  <c r="I96" i="18"/>
  <c r="H96" i="18"/>
  <c r="G97" i="18" l="1"/>
  <c r="F98" i="18"/>
  <c r="I97" i="18"/>
  <c r="H97" i="18"/>
  <c r="J97" i="18"/>
  <c r="F99" i="18" l="1"/>
  <c r="G98" i="18"/>
  <c r="H98" i="18"/>
  <c r="J98" i="18"/>
  <c r="I98" i="18"/>
  <c r="F100" i="18" l="1"/>
  <c r="G99" i="18"/>
  <c r="H99" i="18"/>
  <c r="J99" i="18"/>
  <c r="I99" i="18"/>
  <c r="F101" i="18" l="1"/>
  <c r="G100" i="18"/>
  <c r="J100" i="18"/>
  <c r="I100" i="18"/>
  <c r="H100" i="18"/>
  <c r="G101" i="18" l="1"/>
  <c r="F102" i="18"/>
  <c r="I101" i="18"/>
  <c r="H101" i="18"/>
  <c r="J101" i="18"/>
  <c r="G102" i="18" l="1"/>
  <c r="F103" i="18"/>
  <c r="J102" i="18"/>
  <c r="I102" i="18"/>
  <c r="H102" i="18"/>
  <c r="F104" i="18" l="1"/>
  <c r="G103" i="18"/>
  <c r="I103" i="18"/>
  <c r="H103" i="18"/>
  <c r="J103" i="18"/>
  <c r="G104" i="18" l="1"/>
  <c r="F105" i="18"/>
  <c r="H104" i="18"/>
  <c r="J104" i="18"/>
  <c r="I104" i="18"/>
  <c r="F106" i="18" l="1"/>
  <c r="G105" i="18"/>
  <c r="J105" i="18"/>
  <c r="H105" i="18"/>
  <c r="I105" i="18"/>
  <c r="F107" i="18" l="1"/>
  <c r="G106" i="18"/>
  <c r="H106" i="18"/>
  <c r="J106" i="18"/>
  <c r="I106" i="18"/>
  <c r="G107" i="18" l="1"/>
  <c r="F108" i="18"/>
  <c r="I107" i="18"/>
  <c r="H107" i="18"/>
  <c r="J107" i="18"/>
  <c r="F109" i="18" l="1"/>
  <c r="G108" i="18"/>
  <c r="I108" i="18"/>
  <c r="H108" i="18"/>
  <c r="J108" i="18"/>
  <c r="F110" i="18" l="1"/>
  <c r="G109" i="18"/>
  <c r="I109" i="18"/>
  <c r="H109" i="18"/>
  <c r="J109" i="18"/>
  <c r="G110" i="18" l="1"/>
  <c r="F111" i="18"/>
  <c r="I110" i="18"/>
  <c r="J110" i="18"/>
  <c r="H110" i="18"/>
  <c r="F112" i="18" l="1"/>
  <c r="G111" i="18"/>
  <c r="J111" i="18"/>
  <c r="I111" i="18"/>
  <c r="H111" i="18"/>
  <c r="F113" i="18" l="1"/>
  <c r="G112" i="18"/>
  <c r="I112" i="18"/>
  <c r="J112" i="18"/>
  <c r="H112" i="18"/>
  <c r="G113" i="18" l="1"/>
  <c r="F114" i="18"/>
  <c r="J113" i="18"/>
  <c r="H113" i="18"/>
  <c r="I113" i="18"/>
  <c r="F115" i="18" l="1"/>
  <c r="G114" i="18"/>
  <c r="J114" i="18"/>
  <c r="H114" i="18"/>
  <c r="I114" i="18"/>
  <c r="F116" i="18" l="1"/>
  <c r="G115" i="18"/>
  <c r="H115" i="18"/>
  <c r="I115" i="18"/>
  <c r="J115" i="18"/>
  <c r="F117" i="18" l="1"/>
  <c r="G116" i="18"/>
  <c r="J116" i="18"/>
  <c r="H116" i="18"/>
  <c r="I116" i="18"/>
  <c r="F118" i="18" l="1"/>
  <c r="G117" i="18"/>
  <c r="J117" i="18"/>
  <c r="H117" i="18"/>
  <c r="I117" i="18"/>
  <c r="G118" i="18" l="1"/>
  <c r="F119" i="18"/>
  <c r="I118" i="18"/>
  <c r="J118" i="18"/>
  <c r="H118" i="18"/>
  <c r="F120" i="18" l="1"/>
  <c r="G119" i="18"/>
  <c r="I119" i="18"/>
  <c r="J119" i="18"/>
  <c r="H119" i="18"/>
  <c r="G120" i="18" l="1"/>
  <c r="F121" i="18"/>
  <c r="I120" i="18"/>
  <c r="J120" i="18"/>
  <c r="H120" i="18"/>
  <c r="G121" i="18" l="1"/>
  <c r="F122" i="18"/>
  <c r="H121" i="18"/>
  <c r="I121" i="18"/>
  <c r="J121" i="18"/>
  <c r="F123" i="18" l="1"/>
  <c r="G122" i="18"/>
  <c r="I122" i="18"/>
  <c r="J122" i="18"/>
  <c r="H122" i="18"/>
  <c r="G123" i="18" l="1"/>
  <c r="F124" i="18"/>
  <c r="I123" i="18"/>
  <c r="H123" i="18"/>
  <c r="J123" i="18"/>
  <c r="F125" i="18" l="1"/>
  <c r="G124" i="18"/>
  <c r="I124" i="18"/>
  <c r="H124" i="18"/>
  <c r="J124" i="18"/>
  <c r="F126" i="18" l="1"/>
  <c r="G125" i="18"/>
  <c r="J125" i="18"/>
  <c r="I125" i="18"/>
  <c r="H125" i="18"/>
  <c r="G126" i="18" l="1"/>
  <c r="F127" i="18"/>
  <c r="I126" i="18"/>
  <c r="J126" i="18"/>
  <c r="H126" i="18"/>
  <c r="F128" i="18" l="1"/>
  <c r="G127" i="18"/>
  <c r="I127" i="18"/>
  <c r="J127" i="18"/>
  <c r="H127" i="18"/>
  <c r="F129" i="18" l="1"/>
  <c r="G128" i="18"/>
  <c r="J128" i="18"/>
  <c r="H128" i="18"/>
  <c r="I128" i="18"/>
  <c r="G129" i="18" l="1"/>
  <c r="F130" i="18"/>
  <c r="J129" i="18"/>
  <c r="H129" i="18"/>
  <c r="I129" i="18"/>
  <c r="F131" i="18" l="1"/>
  <c r="G130" i="18"/>
  <c r="H130" i="18"/>
  <c r="I130" i="18"/>
  <c r="J130" i="18"/>
  <c r="F132" i="18" l="1"/>
  <c r="G131" i="18"/>
  <c r="H131" i="18"/>
  <c r="I131" i="18"/>
  <c r="J131" i="18"/>
  <c r="F133" i="18" l="1"/>
  <c r="G132" i="18"/>
  <c r="J132" i="18"/>
  <c r="I132" i="18"/>
  <c r="H132" i="18"/>
  <c r="F134" i="18" l="1"/>
  <c r="G133" i="18"/>
  <c r="H133" i="18"/>
  <c r="J133" i="18"/>
  <c r="I133" i="18"/>
  <c r="F135" i="18" l="1"/>
  <c r="G134" i="18"/>
  <c r="J134" i="18"/>
  <c r="H134" i="18"/>
  <c r="I134" i="18"/>
  <c r="F136" i="18" l="1"/>
  <c r="G135" i="18"/>
  <c r="J135" i="18"/>
  <c r="H135" i="18"/>
  <c r="I135" i="18"/>
  <c r="G136" i="18" l="1"/>
  <c r="F137" i="18"/>
  <c r="I136" i="18"/>
  <c r="H136" i="18"/>
  <c r="J136" i="18"/>
  <c r="F138" i="18" l="1"/>
  <c r="G137" i="18"/>
  <c r="I137" i="18"/>
  <c r="J137" i="18"/>
  <c r="H137" i="18"/>
  <c r="F139" i="18" l="1"/>
  <c r="G138" i="18"/>
  <c r="I138" i="18"/>
  <c r="H138" i="18"/>
  <c r="J138" i="18"/>
  <c r="G139" i="18" l="1"/>
  <c r="F140" i="18"/>
  <c r="H139" i="18"/>
  <c r="J139" i="18"/>
  <c r="I139" i="18"/>
  <c r="F141" i="18" l="1"/>
  <c r="G140" i="18"/>
  <c r="H140" i="18"/>
  <c r="J140" i="18"/>
  <c r="I140" i="18"/>
  <c r="F142" i="18" l="1"/>
  <c r="G141" i="18"/>
  <c r="J141" i="18"/>
  <c r="I141" i="18"/>
  <c r="H141" i="18"/>
  <c r="G142" i="18" l="1"/>
  <c r="J142" i="18" s="1"/>
  <c r="F143" i="18"/>
  <c r="I142" i="18"/>
  <c r="H142" i="18"/>
  <c r="F144" i="18" l="1"/>
  <c r="G143" i="18"/>
  <c r="H143" i="18"/>
  <c r="I143" i="18"/>
  <c r="J143" i="18"/>
  <c r="F145" i="18" l="1"/>
  <c r="G144" i="18"/>
  <c r="H144" i="18"/>
  <c r="J144" i="18"/>
  <c r="I144" i="18"/>
  <c r="G145" i="18" l="1"/>
  <c r="F146" i="18"/>
  <c r="J145" i="18"/>
  <c r="H145" i="18"/>
  <c r="I145" i="18"/>
  <c r="F147" i="18" l="1"/>
  <c r="G146" i="18"/>
  <c r="H146" i="18"/>
  <c r="I146" i="18"/>
  <c r="J146" i="18"/>
  <c r="F148" i="18" l="1"/>
  <c r="G147" i="18"/>
  <c r="I147" i="18"/>
  <c r="J147" i="18"/>
  <c r="H147" i="18"/>
  <c r="F149" i="18" l="1"/>
  <c r="G148" i="18"/>
  <c r="I148" i="18"/>
  <c r="H148" i="18"/>
  <c r="J148" i="18"/>
  <c r="F150" i="18" l="1"/>
  <c r="G149" i="18"/>
  <c r="J149" i="18"/>
  <c r="H149" i="18"/>
  <c r="I149" i="18"/>
  <c r="G150" i="18" l="1"/>
  <c r="F151" i="18"/>
  <c r="J150" i="18"/>
  <c r="H150" i="18"/>
  <c r="I150" i="18"/>
  <c r="F152" i="18" l="1"/>
  <c r="G151" i="18"/>
  <c r="H151" i="18"/>
  <c r="J151" i="18"/>
  <c r="I151" i="18"/>
  <c r="G152" i="18" l="1"/>
  <c r="F153" i="18"/>
  <c r="J152" i="18"/>
  <c r="I152" i="18"/>
  <c r="H152" i="18"/>
  <c r="G153" i="18" l="1"/>
  <c r="F154" i="18"/>
  <c r="I153" i="18"/>
  <c r="J153" i="18"/>
  <c r="H153" i="18"/>
  <c r="F155" i="18" l="1"/>
  <c r="G154" i="18"/>
  <c r="I154" i="18"/>
  <c r="H154" i="18"/>
  <c r="J154" i="18"/>
  <c r="G155" i="18" l="1"/>
  <c r="F156" i="18"/>
  <c r="I155" i="18"/>
  <c r="J155" i="18"/>
  <c r="H155" i="18"/>
  <c r="F157" i="18" l="1"/>
  <c r="G156" i="18"/>
  <c r="J156" i="18"/>
  <c r="I156" i="18"/>
  <c r="H156" i="18"/>
  <c r="F158" i="18" l="1"/>
  <c r="G157" i="18"/>
  <c r="I157" i="18"/>
  <c r="H157" i="18"/>
  <c r="J157" i="18"/>
  <c r="G158" i="18" l="1"/>
  <c r="F159" i="18"/>
  <c r="J158" i="18"/>
  <c r="H158" i="18"/>
  <c r="I158" i="18"/>
  <c r="F160" i="18" l="1"/>
  <c r="G159" i="18"/>
  <c r="J159" i="18"/>
  <c r="I159" i="18"/>
  <c r="H159" i="18"/>
  <c r="F161" i="18" l="1"/>
  <c r="G160" i="18"/>
  <c r="J160" i="18"/>
  <c r="H160" i="18"/>
  <c r="I160" i="18"/>
  <c r="G161" i="18" l="1"/>
  <c r="F162" i="18"/>
  <c r="H161" i="18"/>
  <c r="I161" i="18"/>
  <c r="J161" i="18"/>
  <c r="F163" i="18" l="1"/>
  <c r="G162" i="18"/>
  <c r="I162" i="18"/>
  <c r="J162" i="18"/>
  <c r="H162" i="18"/>
  <c r="F164" i="18" l="1"/>
  <c r="G163" i="18"/>
  <c r="J163" i="18"/>
  <c r="I163" i="18"/>
  <c r="H163" i="18"/>
  <c r="F165" i="18" l="1"/>
  <c r="G164" i="18"/>
  <c r="H164" i="18"/>
  <c r="J164" i="18"/>
  <c r="I164" i="18"/>
  <c r="F166" i="18" l="1"/>
  <c r="G165" i="18"/>
  <c r="H165" i="18"/>
  <c r="I165" i="18"/>
  <c r="J165" i="18"/>
  <c r="G166" i="18" l="1"/>
  <c r="F167" i="18"/>
  <c r="J166" i="18"/>
  <c r="H166" i="18"/>
  <c r="I166" i="18"/>
  <c r="F168" i="18" l="1"/>
  <c r="G167" i="18"/>
  <c r="J167" i="18" s="1"/>
  <c r="I167" i="18"/>
  <c r="H167" i="18"/>
  <c r="G168" i="18" l="1"/>
  <c r="F169" i="18"/>
  <c r="H168" i="18"/>
  <c r="I168" i="18"/>
  <c r="J168" i="18"/>
  <c r="G169" i="18" l="1"/>
  <c r="F170" i="18"/>
  <c r="I169" i="18"/>
  <c r="J169" i="18"/>
  <c r="H169" i="18"/>
  <c r="F171" i="18" l="1"/>
  <c r="G170" i="18"/>
  <c r="J170" i="18"/>
  <c r="I170" i="18"/>
  <c r="H170" i="18"/>
  <c r="G171" i="18" l="1"/>
  <c r="F172" i="18"/>
  <c r="I171" i="18"/>
  <c r="J171" i="18"/>
  <c r="H171" i="18"/>
  <c r="F173" i="18" l="1"/>
  <c r="G172" i="18"/>
  <c r="J172" i="18"/>
  <c r="I172" i="18"/>
  <c r="H172" i="18"/>
  <c r="F174" i="18" l="1"/>
  <c r="G173" i="18"/>
  <c r="H173" i="18"/>
  <c r="I173" i="18"/>
  <c r="J173" i="18"/>
  <c r="G174" i="18" l="1"/>
  <c r="F175" i="18"/>
  <c r="H174" i="18"/>
  <c r="J174" i="18"/>
  <c r="I174" i="18"/>
  <c r="F176" i="18" l="1"/>
  <c r="G175" i="18"/>
  <c r="H175" i="18"/>
  <c r="I175" i="18"/>
  <c r="J175" i="18"/>
  <c r="F177" i="18" l="1"/>
  <c r="G176" i="18"/>
  <c r="I176" i="18"/>
  <c r="H176" i="18"/>
  <c r="J176" i="18"/>
  <c r="G177" i="18" l="1"/>
  <c r="F178" i="18"/>
  <c r="H177" i="18"/>
  <c r="I177" i="18"/>
  <c r="J177" i="18"/>
  <c r="F179" i="18" l="1"/>
  <c r="G178" i="18"/>
  <c r="I178" i="18"/>
  <c r="H178" i="18"/>
  <c r="J178" i="18"/>
  <c r="F180" i="18" l="1"/>
  <c r="G179" i="18"/>
  <c r="I179" i="18"/>
  <c r="H179" i="18"/>
  <c r="J179" i="18"/>
  <c r="F181" i="18" l="1"/>
  <c r="G180" i="18"/>
  <c r="H180" i="18"/>
  <c r="J180" i="18"/>
  <c r="I180" i="18"/>
  <c r="F182" i="18" l="1"/>
  <c r="G181" i="18"/>
  <c r="J181" i="18" s="1"/>
  <c r="H181" i="18"/>
  <c r="I181" i="18"/>
  <c r="F183" i="18" l="1"/>
  <c r="G182" i="18"/>
  <c r="H182" i="18" s="1"/>
  <c r="J182" i="18"/>
  <c r="I182" i="18" l="1"/>
  <c r="F184" i="18"/>
  <c r="G183" i="18"/>
  <c r="I183" i="18" s="1"/>
  <c r="H183" i="18"/>
  <c r="J183" i="18" l="1"/>
  <c r="G184" i="18"/>
  <c r="J184" i="18" s="1"/>
  <c r="F185" i="18"/>
  <c r="H184" i="18"/>
  <c r="I184" i="18"/>
  <c r="G185" i="18" l="1"/>
  <c r="F186" i="18"/>
  <c r="J185" i="18"/>
  <c r="I185" i="18"/>
  <c r="H185" i="18"/>
  <c r="F187" i="18" l="1"/>
  <c r="G186" i="18"/>
  <c r="I186" i="18" s="1"/>
  <c r="H186" i="18"/>
  <c r="J186" i="18"/>
  <c r="G187" i="18" l="1"/>
  <c r="F188" i="18"/>
  <c r="J187" i="18"/>
  <c r="H187" i="18"/>
  <c r="I187" i="18"/>
  <c r="F189" i="18" l="1"/>
  <c r="G188" i="18"/>
  <c r="J188" i="18"/>
  <c r="I188" i="18"/>
  <c r="H188" i="18"/>
  <c r="F190" i="18" l="1"/>
  <c r="G189" i="18"/>
  <c r="H189" i="18"/>
  <c r="J189" i="18"/>
  <c r="I189" i="18"/>
  <c r="G190" i="18" l="1"/>
  <c r="F191" i="18"/>
  <c r="H190" i="18"/>
  <c r="I190" i="18"/>
  <c r="J190" i="18"/>
  <c r="F192" i="18" l="1"/>
  <c r="G191" i="18"/>
  <c r="H191" i="18"/>
  <c r="I191" i="18"/>
  <c r="J191" i="18"/>
  <c r="F193" i="18" l="1"/>
  <c r="G192" i="18"/>
  <c r="J192" i="18"/>
  <c r="I192" i="18"/>
  <c r="H192" i="18"/>
  <c r="G193" i="18" l="1"/>
  <c r="F194" i="18"/>
  <c r="I193" i="18"/>
  <c r="J193" i="18"/>
  <c r="H193" i="18"/>
  <c r="F195" i="18" l="1"/>
  <c r="G194" i="18"/>
  <c r="I194" i="18"/>
  <c r="J194" i="18"/>
  <c r="H194" i="18"/>
  <c r="F196" i="18" l="1"/>
  <c r="G195" i="18"/>
  <c r="H195" i="18"/>
  <c r="J195" i="18"/>
  <c r="I195" i="18"/>
  <c r="F197" i="18" l="1"/>
  <c r="G196" i="18"/>
  <c r="H196" i="18"/>
  <c r="J196" i="18"/>
  <c r="I196" i="18"/>
  <c r="F198" i="18" l="1"/>
  <c r="G197" i="18"/>
  <c r="H197" i="18"/>
  <c r="I197" i="18"/>
  <c r="J197" i="18"/>
  <c r="G198" i="18" l="1"/>
  <c r="F199" i="18"/>
  <c r="I198" i="18"/>
  <c r="J198" i="18"/>
  <c r="H198" i="18"/>
  <c r="F200" i="18" l="1"/>
  <c r="G199" i="18"/>
  <c r="I199" i="18"/>
  <c r="J199" i="18"/>
  <c r="H199" i="18"/>
  <c r="G200" i="18" l="1"/>
  <c r="F201" i="18"/>
  <c r="J200" i="18"/>
  <c r="H200" i="18"/>
  <c r="I200" i="18"/>
  <c r="G201" i="18" l="1"/>
  <c r="F202" i="18"/>
  <c r="H201" i="18"/>
  <c r="J201" i="18"/>
  <c r="I201" i="18"/>
  <c r="F203" i="18" l="1"/>
  <c r="G202" i="18"/>
  <c r="J202" i="18"/>
  <c r="I202" i="18"/>
  <c r="H202" i="18"/>
  <c r="G203" i="18" l="1"/>
  <c r="F204" i="18"/>
  <c r="H203" i="18"/>
  <c r="I203" i="18"/>
  <c r="J203" i="18"/>
  <c r="F205" i="18" l="1"/>
  <c r="G204" i="18"/>
  <c r="I204" i="18"/>
  <c r="H204" i="18"/>
  <c r="J204" i="18"/>
  <c r="F206" i="18" l="1"/>
  <c r="G205" i="18"/>
  <c r="H205" i="18"/>
  <c r="J205" i="18"/>
  <c r="I205" i="18"/>
  <c r="G206" i="18" l="1"/>
  <c r="F207" i="18"/>
  <c r="I206" i="18"/>
  <c r="J206" i="18"/>
  <c r="H206" i="18"/>
  <c r="F208" i="18" l="1"/>
  <c r="G207" i="18"/>
  <c r="J207" i="18"/>
  <c r="H207" i="18"/>
  <c r="I207" i="18"/>
  <c r="F209" i="18" l="1"/>
  <c r="G208" i="18"/>
  <c r="J208" i="18"/>
  <c r="H208" i="18"/>
  <c r="I208" i="18"/>
  <c r="G209" i="18" l="1"/>
  <c r="J209" i="18"/>
  <c r="I209" i="18"/>
  <c r="H209" i="1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<sst xmlns="http://schemas.openxmlformats.org/spreadsheetml/2006/main" count="895" uniqueCount="480">
  <si>
    <t>Email</t>
  </si>
  <si>
    <t>All Rights Reserved:  © Astronomy Morsels.</t>
  </si>
  <si>
    <t>I'm solely responsible for the input and express no warranty.  Use at your own risk.</t>
  </si>
  <si>
    <t>Nonetheless, this spreadsheet has been carefully reviewed, and calculation results have been compared with other applications.</t>
  </si>
  <si>
    <r>
      <rPr>
        <b/>
        <sz val="14"/>
        <color theme="0"/>
        <rFont val="Calibri (Body)"/>
      </rPr>
      <t>Compiled by</t>
    </r>
    <r>
      <rPr>
        <sz val="14"/>
        <color theme="0"/>
        <rFont val="Calibri (Body)"/>
      </rPr>
      <t>: Anton Viola (Astronomy Morsels).</t>
    </r>
  </si>
  <si>
    <t>min</t>
  </si>
  <si>
    <t>max</t>
  </si>
  <si>
    <t>Inputs</t>
  </si>
  <si>
    <t>Azimuth</t>
  </si>
  <si>
    <t>Altitude</t>
  </si>
  <si>
    <t>RA</t>
  </si>
  <si>
    <t>Decl</t>
  </si>
  <si>
    <t>HA</t>
  </si>
  <si>
    <t>Date</t>
  </si>
  <si>
    <t>Time</t>
  </si>
  <si>
    <t>Timezone</t>
  </si>
  <si>
    <t>Leap year?</t>
  </si>
  <si>
    <t>Day nr.</t>
  </si>
  <si>
    <t>Weekday</t>
  </si>
  <si>
    <t>JDE</t>
  </si>
  <si>
    <t>Delta days</t>
  </si>
  <si>
    <t>φ    (latitude)</t>
  </si>
  <si>
    <t>L     (longitude)</t>
  </si>
  <si>
    <t>UT  (hours)</t>
  </si>
  <si>
    <t>LST (degrees)</t>
  </si>
  <si>
    <t>NGC/IC</t>
  </si>
  <si>
    <t>NGC 40</t>
  </si>
  <si>
    <t>NGC 6543</t>
  </si>
  <si>
    <t>NGC 2403</t>
  </si>
  <si>
    <t>NGC 559</t>
  </si>
  <si>
    <t>NGC 663</t>
  </si>
  <si>
    <t>NGC 6946</t>
  </si>
  <si>
    <t>NGC 457</t>
  </si>
  <si>
    <t>NGC 6826</t>
  </si>
  <si>
    <t>NGC 7243</t>
  </si>
  <si>
    <t>NGC 185</t>
  </si>
  <si>
    <t>NGC 7000</t>
  </si>
  <si>
    <t>NGC 4449</t>
  </si>
  <si>
    <t>NGC 7662</t>
  </si>
  <si>
    <t>NGC 891</t>
  </si>
  <si>
    <t>NGC 2419</t>
  </si>
  <si>
    <t>NGC 752</t>
  </si>
  <si>
    <t>NGC 5005</t>
  </si>
  <si>
    <t>NGC 7331</t>
  </si>
  <si>
    <t>NGC 4631</t>
  </si>
  <si>
    <t>NGC 4559</t>
  </si>
  <si>
    <t>NGC 6885</t>
  </si>
  <si>
    <t>NGC 4565</t>
  </si>
  <si>
    <t>NGC 2392</t>
  </si>
  <si>
    <t>NGC 3626</t>
  </si>
  <si>
    <t>NGC 7006</t>
  </si>
  <si>
    <t>NGC 7814</t>
  </si>
  <si>
    <t>NGC 7479</t>
  </si>
  <si>
    <t>NGC 5248</t>
  </si>
  <si>
    <t>NGC 6934</t>
  </si>
  <si>
    <t>NGC 2775</t>
  </si>
  <si>
    <t>NGC 2244</t>
  </si>
  <si>
    <t>NGC 4697</t>
  </si>
  <si>
    <t>NGC 3115</t>
  </si>
  <si>
    <t>NGC 2506</t>
  </si>
  <si>
    <t>NGC 7009</t>
  </si>
  <si>
    <t>NGC 246</t>
  </si>
  <si>
    <t>NGC 2360</t>
  </si>
  <si>
    <t>NGC 3242</t>
  </si>
  <si>
    <t>NGC 4038</t>
  </si>
  <si>
    <t>NGC 247</t>
  </si>
  <si>
    <t>NGC 2362</t>
  </si>
  <si>
    <t>NGC 253</t>
  </si>
  <si>
    <t>NGC 5694</t>
  </si>
  <si>
    <t>NGC 129</t>
  </si>
  <si>
    <t>NGC 136</t>
  </si>
  <si>
    <t>NGC 157</t>
  </si>
  <si>
    <t>NGC 205</t>
  </si>
  <si>
    <t>NGC 225</t>
  </si>
  <si>
    <t>NGC 278</t>
  </si>
  <si>
    <t>NGC 288</t>
  </si>
  <si>
    <t>NGC 381</t>
  </si>
  <si>
    <t>NGC 404</t>
  </si>
  <si>
    <t>NGC 436</t>
  </si>
  <si>
    <t>NGC 488</t>
  </si>
  <si>
    <t>NGC 524</t>
  </si>
  <si>
    <t>NGC 584</t>
  </si>
  <si>
    <t>NGC 596</t>
  </si>
  <si>
    <t>NGC 598</t>
  </si>
  <si>
    <t>NGC 613</t>
  </si>
  <si>
    <t>NGC 615</t>
  </si>
  <si>
    <t>NGC 637</t>
  </si>
  <si>
    <t>NGC 651</t>
  </si>
  <si>
    <t>NGC 654</t>
  </si>
  <si>
    <t>NGC 659</t>
  </si>
  <si>
    <t>NGC 720</t>
  </si>
  <si>
    <t>NGC 772</t>
  </si>
  <si>
    <t>NGC 779</t>
  </si>
  <si>
    <t>NGC 869</t>
  </si>
  <si>
    <t>NGC 884</t>
  </si>
  <si>
    <t>NGC 908</t>
  </si>
  <si>
    <t>NGC 936</t>
  </si>
  <si>
    <t>NGC 1022</t>
  </si>
  <si>
    <t>NGC 1023</t>
  </si>
  <si>
    <t>NGC 1027</t>
  </si>
  <si>
    <t>NGC 1052</t>
  </si>
  <si>
    <t>NGC 1055</t>
  </si>
  <si>
    <t>NGC 1084</t>
  </si>
  <si>
    <t>NGC 1245</t>
  </si>
  <si>
    <t>NGC 1342</t>
  </si>
  <si>
    <t>NGC 1407</t>
  </si>
  <si>
    <t>NGC 1444</t>
  </si>
  <si>
    <t>NGC 1501</t>
  </si>
  <si>
    <t>NGC 1502</t>
  </si>
  <si>
    <t>NGC 1513</t>
  </si>
  <si>
    <t>NGC 1528</t>
  </si>
  <si>
    <t>NGC 1535</t>
  </si>
  <si>
    <t>NGC 1545</t>
  </si>
  <si>
    <t>NGC 1647</t>
  </si>
  <si>
    <t>NGC 1664</t>
  </si>
  <si>
    <t>NGC 1788</t>
  </si>
  <si>
    <t>NGC 1817</t>
  </si>
  <si>
    <t>NGC 1857</t>
  </si>
  <si>
    <t>NGC 1907</t>
  </si>
  <si>
    <t>NGC 1931</t>
  </si>
  <si>
    <t>NGC 1961</t>
  </si>
  <si>
    <t>NGC 1964</t>
  </si>
  <si>
    <t>NGC 1980</t>
  </si>
  <si>
    <t>NGC 1999</t>
  </si>
  <si>
    <t>NGC 2022</t>
  </si>
  <si>
    <t>NGC 2024</t>
  </si>
  <si>
    <t>NGC 2126</t>
  </si>
  <si>
    <t>NGC 2129</t>
  </si>
  <si>
    <t>NGC 2158</t>
  </si>
  <si>
    <t>NGC 2169</t>
  </si>
  <si>
    <t>NGC 2185</t>
  </si>
  <si>
    <t>NGC 2186</t>
  </si>
  <si>
    <t>NGC 2194</t>
  </si>
  <si>
    <t>NGC 2204</t>
  </si>
  <si>
    <t>NGC 2215</t>
  </si>
  <si>
    <t>NGC 2232</t>
  </si>
  <si>
    <t>NGC 2251</t>
  </si>
  <si>
    <t>NGC 2264</t>
  </si>
  <si>
    <t>NGC 2266</t>
  </si>
  <si>
    <t>NGC 2281</t>
  </si>
  <si>
    <t>NGC 2286</t>
  </si>
  <si>
    <t>NGC 2301</t>
  </si>
  <si>
    <t>NGC 2304</t>
  </si>
  <si>
    <t>NGC 2311</t>
  </si>
  <si>
    <t>NGC 2324</t>
  </si>
  <si>
    <t>NGC 2335</t>
  </si>
  <si>
    <t>NGC 2343</t>
  </si>
  <si>
    <t>NGC 2353</t>
  </si>
  <si>
    <t>NGC 2354</t>
  </si>
  <si>
    <t>NGC 2355</t>
  </si>
  <si>
    <t>NGC 2371</t>
  </si>
  <si>
    <t>NGC 2372</t>
  </si>
  <si>
    <t>NGC 2395</t>
  </si>
  <si>
    <t>NGC 2420</t>
  </si>
  <si>
    <t>NGC 2421</t>
  </si>
  <si>
    <t>NGC 2422</t>
  </si>
  <si>
    <t>NGC 2423</t>
  </si>
  <si>
    <t>NGC 2438</t>
  </si>
  <si>
    <t>NGC 2440</t>
  </si>
  <si>
    <t>NGC 2479</t>
  </si>
  <si>
    <t>NGC 2482</t>
  </si>
  <si>
    <t>NGC 2489</t>
  </si>
  <si>
    <t>NGC 2509</t>
  </si>
  <si>
    <t>NGC 2527</t>
  </si>
  <si>
    <t>NGC 2539</t>
  </si>
  <si>
    <t>NGC 2548</t>
  </si>
  <si>
    <t>NGC 2567</t>
  </si>
  <si>
    <t>NGC 2571</t>
  </si>
  <si>
    <t>NGC 2613</t>
  </si>
  <si>
    <t>NGC 2627</t>
  </si>
  <si>
    <t>NGC 2655</t>
  </si>
  <si>
    <t>NGC 2681</t>
  </si>
  <si>
    <t>NGC 2683</t>
  </si>
  <si>
    <t>NGC 2742</t>
  </si>
  <si>
    <t>NGC 2768</t>
  </si>
  <si>
    <t>NGC 2782</t>
  </si>
  <si>
    <t>NGC 2787</t>
  </si>
  <si>
    <t>NGC 2811</t>
  </si>
  <si>
    <t>NGC 2841</t>
  </si>
  <si>
    <t>NGC 2859</t>
  </si>
  <si>
    <t>NGC 2903</t>
  </si>
  <si>
    <t>NGC 2950</t>
  </si>
  <si>
    <t>NGC 2964</t>
  </si>
  <si>
    <t>NGC 2974</t>
  </si>
  <si>
    <t>NGC 2976</t>
  </si>
  <si>
    <t>NGC 2985</t>
  </si>
  <si>
    <t>NGC 3034</t>
  </si>
  <si>
    <t>NGC 3077</t>
  </si>
  <si>
    <t>NGC 3079</t>
  </si>
  <si>
    <t>NGC 3147</t>
  </si>
  <si>
    <t>NGC 3166</t>
  </si>
  <si>
    <t>NGC 3169</t>
  </si>
  <si>
    <t>NGC 3184</t>
  </si>
  <si>
    <t>NGC 3190</t>
  </si>
  <si>
    <t>NGC 3193</t>
  </si>
  <si>
    <t>NGC 3198</t>
  </si>
  <si>
    <t>NGC 3226</t>
  </si>
  <si>
    <t>NGC 3227</t>
  </si>
  <si>
    <t>NGC 3245</t>
  </si>
  <si>
    <t>NGC 3277</t>
  </si>
  <si>
    <t>NGC 3294</t>
  </si>
  <si>
    <t>NGC 3310</t>
  </si>
  <si>
    <t>NGC 3344</t>
  </si>
  <si>
    <t>NGC 3377</t>
  </si>
  <si>
    <t>NGC 3379</t>
  </si>
  <si>
    <t>NGC 3384</t>
  </si>
  <si>
    <t>NGC 3395</t>
  </si>
  <si>
    <t>NGC 3412</t>
  </si>
  <si>
    <t>NGC 3414</t>
  </si>
  <si>
    <t>NGC 3432</t>
  </si>
  <si>
    <t>NGC 3486</t>
  </si>
  <si>
    <t>NGC 3489</t>
  </si>
  <si>
    <t>NGC 3504</t>
  </si>
  <si>
    <t>NGC 3521</t>
  </si>
  <si>
    <t>NGC 3556</t>
  </si>
  <si>
    <t>NGC 3593</t>
  </si>
  <si>
    <t>NGC 3607</t>
  </si>
  <si>
    <t>NGC 3608</t>
  </si>
  <si>
    <t>NGC 3610</t>
  </si>
  <si>
    <t>NGC 3613</t>
  </si>
  <si>
    <t>NGC 3619</t>
  </si>
  <si>
    <t>NGC 3621</t>
  </si>
  <si>
    <t>NGC 3628</t>
  </si>
  <si>
    <t>NGC 3631</t>
  </si>
  <si>
    <t>NGC 3640</t>
  </si>
  <si>
    <t>NGC 3655</t>
  </si>
  <si>
    <t>NGC 3665</t>
  </si>
  <si>
    <t>NGC 3675</t>
  </si>
  <si>
    <t>NGC 3686</t>
  </si>
  <si>
    <t>NGC 3726</t>
  </si>
  <si>
    <t>NGC 3729</t>
  </si>
  <si>
    <t>NGC 3810</t>
  </si>
  <si>
    <t>NGC 3813</t>
  </si>
  <si>
    <t>NGC 3877</t>
  </si>
  <si>
    <t>NGC 3893</t>
  </si>
  <si>
    <t>NGC 3898</t>
  </si>
  <si>
    <t>NGC 3900</t>
  </si>
  <si>
    <t>NGC 3912</t>
  </si>
  <si>
    <t>NGC 3938</t>
  </si>
  <si>
    <t>NGC 3941</t>
  </si>
  <si>
    <t>NGC 3945</t>
  </si>
  <si>
    <t>NGC 3949</t>
  </si>
  <si>
    <t>NGC 3953</t>
  </si>
  <si>
    <t>NGC 3962</t>
  </si>
  <si>
    <t>NGC 3982</t>
  </si>
  <si>
    <t>NGC 3992</t>
  </si>
  <si>
    <t>NGC 3998</t>
  </si>
  <si>
    <t>NGC 4026</t>
  </si>
  <si>
    <t>NGC 4027</t>
  </si>
  <si>
    <t>NGC 4030</t>
  </si>
  <si>
    <t>NGC 4036</t>
  </si>
  <si>
    <t>NGC 4041</t>
  </si>
  <si>
    <t>NGC 4051</t>
  </si>
  <si>
    <t>NGC 4085</t>
  </si>
  <si>
    <t>NGC 4088</t>
  </si>
  <si>
    <t>NGC 4102</t>
  </si>
  <si>
    <t>NGC 4111</t>
  </si>
  <si>
    <t>NGC 4143</t>
  </si>
  <si>
    <t>NGC 4147</t>
  </si>
  <si>
    <t>NGC 4150</t>
  </si>
  <si>
    <t>NGC 4151</t>
  </si>
  <si>
    <t>NGC 4179</t>
  </si>
  <si>
    <t>NGC 4203</t>
  </si>
  <si>
    <t>NGC 4214</t>
  </si>
  <si>
    <t>NGC 4216</t>
  </si>
  <si>
    <t>NGC 4245</t>
  </si>
  <si>
    <t>NGC 4251</t>
  </si>
  <si>
    <t>NGC 4258</t>
  </si>
  <si>
    <t>NGC 4261</t>
  </si>
  <si>
    <t>NGC 4273</t>
  </si>
  <si>
    <t>NGC 4274</t>
  </si>
  <si>
    <t>NGC 4278</t>
  </si>
  <si>
    <t>NGC 4281</t>
  </si>
  <si>
    <t>NGC 4293</t>
  </si>
  <si>
    <t>NGC 4303</t>
  </si>
  <si>
    <t>NGC 4314</t>
  </si>
  <si>
    <t>NGC 4346</t>
  </si>
  <si>
    <t>NGC 4350</t>
  </si>
  <si>
    <t>NGC 4361</t>
  </si>
  <si>
    <t>NGC 4365</t>
  </si>
  <si>
    <t>NGC 4371</t>
  </si>
  <si>
    <t>NGC 4394</t>
  </si>
  <si>
    <t>NGC 4414</t>
  </si>
  <si>
    <t>NGC 4419</t>
  </si>
  <si>
    <t>NGC 4429</t>
  </si>
  <si>
    <t>NGC 4435</t>
  </si>
  <si>
    <t>NGC 4438</t>
  </si>
  <si>
    <t>NGC 4442</t>
  </si>
  <si>
    <t>NGC 4448</t>
  </si>
  <si>
    <t>NGC 4450</t>
  </si>
  <si>
    <t>NGC 4459</t>
  </si>
  <si>
    <t>NGC 4473</t>
  </si>
  <si>
    <t>NGC 4477</t>
  </si>
  <si>
    <t>NGC 4478</t>
  </si>
  <si>
    <t>NGC 4485</t>
  </si>
  <si>
    <t>NGC 4490</t>
  </si>
  <si>
    <t>NGC 4494</t>
  </si>
  <si>
    <t>NGC 4526</t>
  </si>
  <si>
    <t>NGC 4527</t>
  </si>
  <si>
    <t>NGC 4535</t>
  </si>
  <si>
    <t>NGC 4536</t>
  </si>
  <si>
    <t>NGC 4546</t>
  </si>
  <si>
    <t>NGC 4548</t>
  </si>
  <si>
    <t>NGC 4550</t>
  </si>
  <si>
    <t>NGC 4570</t>
  </si>
  <si>
    <t>NGC 4594</t>
  </si>
  <si>
    <t>NGC 4596</t>
  </si>
  <si>
    <t>NGC 4618</t>
  </si>
  <si>
    <t>NGC 4636</t>
  </si>
  <si>
    <t>NGC 4643</t>
  </si>
  <si>
    <t>NGC 4654</t>
  </si>
  <si>
    <t>NGC 4656</t>
  </si>
  <si>
    <t>NGC 4660</t>
  </si>
  <si>
    <t>NGC 4665</t>
  </si>
  <si>
    <t>NGC 4666</t>
  </si>
  <si>
    <t>NGC 4689</t>
  </si>
  <si>
    <t>NGC 4698</t>
  </si>
  <si>
    <t>NGC 4699</t>
  </si>
  <si>
    <t>NGC 4725</t>
  </si>
  <si>
    <t>NGC 4753</t>
  </si>
  <si>
    <t>NGC 4754</t>
  </si>
  <si>
    <t>NGC 4762</t>
  </si>
  <si>
    <t>NGC 4781</t>
  </si>
  <si>
    <t>NGC 4800</t>
  </si>
  <si>
    <t>NGC 4845</t>
  </si>
  <si>
    <t>NGC 4856</t>
  </si>
  <si>
    <t>NGC 4866</t>
  </si>
  <si>
    <t>NGC 4900</t>
  </si>
  <si>
    <t>NGC 4958</t>
  </si>
  <si>
    <t>NGC 4995</t>
  </si>
  <si>
    <t>NGC 5033</t>
  </si>
  <si>
    <t>NGC 5054</t>
  </si>
  <si>
    <t>NGC 5195</t>
  </si>
  <si>
    <t>NGC 5273</t>
  </si>
  <si>
    <t>NGC 5322</t>
  </si>
  <si>
    <t>NGC 5363</t>
  </si>
  <si>
    <t>NGC 5364</t>
  </si>
  <si>
    <t>NGC 5466</t>
  </si>
  <si>
    <t>NGC 5473</t>
  </si>
  <si>
    <t>NGC 5474</t>
  </si>
  <si>
    <t>NGC 5557</t>
  </si>
  <si>
    <t>NGC 5566</t>
  </si>
  <si>
    <t>NGC 5576</t>
  </si>
  <si>
    <t>NGC 5631</t>
  </si>
  <si>
    <t>NGC 5634</t>
  </si>
  <si>
    <t>NGC 5676</t>
  </si>
  <si>
    <t>NGC 5689</t>
  </si>
  <si>
    <t>NGC 5746</t>
  </si>
  <si>
    <t>NGC 5846</t>
  </si>
  <si>
    <t>NGC 5866</t>
  </si>
  <si>
    <t>NGC 5897</t>
  </si>
  <si>
    <t>NGC 5907</t>
  </si>
  <si>
    <t>NGC 5982</t>
  </si>
  <si>
    <t>NGC 6118</t>
  </si>
  <si>
    <t>NGC 6144</t>
  </si>
  <si>
    <t>NGC 6171</t>
  </si>
  <si>
    <t>NGC 6207</t>
  </si>
  <si>
    <t>NGC 6217</t>
  </si>
  <si>
    <t>NGC 6229</t>
  </si>
  <si>
    <t>NGC 6235</t>
  </si>
  <si>
    <t>NGC 6284</t>
  </si>
  <si>
    <t>NGC 6287</t>
  </si>
  <si>
    <t>NGC 6293</t>
  </si>
  <si>
    <t>NGC 6304</t>
  </si>
  <si>
    <t>NGC 6316</t>
  </si>
  <si>
    <t>NGC 6342</t>
  </si>
  <si>
    <t>NGC 6355</t>
  </si>
  <si>
    <t>NGC 6356</t>
  </si>
  <si>
    <t>NGC 6369</t>
  </si>
  <si>
    <t>NGC 6401</t>
  </si>
  <si>
    <t>NGC 6426</t>
  </si>
  <si>
    <t>NGC 6440</t>
  </si>
  <si>
    <t>NGC 6445</t>
  </si>
  <si>
    <t>NGC 6451</t>
  </si>
  <si>
    <t>NGC 6514</t>
  </si>
  <si>
    <t>NGC 6517</t>
  </si>
  <si>
    <t>NGC 6520</t>
  </si>
  <si>
    <t>NGC 6522</t>
  </si>
  <si>
    <t>NGC 6528</t>
  </si>
  <si>
    <t>NGC 6540</t>
  </si>
  <si>
    <t>NGC 6544</t>
  </si>
  <si>
    <t>NGC 6553</t>
  </si>
  <si>
    <t>NGC 6568</t>
  </si>
  <si>
    <t>NGC 6569</t>
  </si>
  <si>
    <t>NGC 6583</t>
  </si>
  <si>
    <t>NGC 6624</t>
  </si>
  <si>
    <t>NGC 6629</t>
  </si>
  <si>
    <t>NGC 6633</t>
  </si>
  <si>
    <t>NGC 6638</t>
  </si>
  <si>
    <t>NGC 6642</t>
  </si>
  <si>
    <t>NGC 6645</t>
  </si>
  <si>
    <t>NGC 6664</t>
  </si>
  <si>
    <t>NGC 6712</t>
  </si>
  <si>
    <t>NGC 6755</t>
  </si>
  <si>
    <t>NGC 6756</t>
  </si>
  <si>
    <t>NGC 6781</t>
  </si>
  <si>
    <t>NGC 6802</t>
  </si>
  <si>
    <t>NGC 6818</t>
  </si>
  <si>
    <t>NGC 6823</t>
  </si>
  <si>
    <t>NGC 6830</t>
  </si>
  <si>
    <t>NGC 6834</t>
  </si>
  <si>
    <t>NGC 6866</t>
  </si>
  <si>
    <t>NGC 6882</t>
  </si>
  <si>
    <t>NGC 6905</t>
  </si>
  <si>
    <t>NGC 6910</t>
  </si>
  <si>
    <t>NGC 6939</t>
  </si>
  <si>
    <t>NGC 6940</t>
  </si>
  <si>
    <t>NGC 7008</t>
  </si>
  <si>
    <t>NGC 7044</t>
  </si>
  <si>
    <t>NGC 7062</t>
  </si>
  <si>
    <t>NGC 7086</t>
  </si>
  <si>
    <t>NGC 7128</t>
  </si>
  <si>
    <t>NGC 7142</t>
  </si>
  <si>
    <t>NGC 7160</t>
  </si>
  <si>
    <t>NGC 7209</t>
  </si>
  <si>
    <t>NGC 7217</t>
  </si>
  <si>
    <t>NGC 7296</t>
  </si>
  <si>
    <t>NGC 7380</t>
  </si>
  <si>
    <t>NGC 7448</t>
  </si>
  <si>
    <t>NGC 7510</t>
  </si>
  <si>
    <t>NGC 7606</t>
  </si>
  <si>
    <t>NGC 7686</t>
  </si>
  <si>
    <t>NGC 7723</t>
  </si>
  <si>
    <t>NGC 7727</t>
  </si>
  <si>
    <t>NGC 7789</t>
  </si>
  <si>
    <t>NGC 7790</t>
  </si>
  <si>
    <t>H#</t>
  </si>
  <si>
    <t>The Herschel 400 catalogue is a subset of William Herschel's original Catalogue of Nebulae and Clusters of Stars. A group of people ecided to generate the list after reading a letter published in Sky &amp; Telescope by James Mullaney of Pittsburgh, suggesting that William Herschel's original catalogue of 2'500 objects would be an excellent basis for deep sky object selection for amateur astronomers looking for a challenge after completing the Messier Catalogue. This spreadsheet enables one to specify date/time/timezone and limits regarding the field of view (azimuth, altitude). The Herschel objects that are visible will be highlighted.</t>
  </si>
  <si>
    <t>Just some examples.</t>
  </si>
  <si>
    <t>See also this "Best of" Youtube movie.</t>
  </si>
  <si>
    <t>Date, time, location</t>
  </si>
  <si>
    <t>Field of view limits (azimuth, altitude)</t>
  </si>
  <si>
    <t>Visible objects (based on criteria)</t>
  </si>
  <si>
    <t>Marker name</t>
  </si>
  <si>
    <t>Observed?</t>
  </si>
  <si>
    <t>values</t>
  </si>
  <si>
    <t>x</t>
  </si>
  <si>
    <t>Location</t>
  </si>
  <si>
    <t>Home</t>
  </si>
  <si>
    <t>Can for instance be used to indicate whether an object is of special interest</t>
  </si>
  <si>
    <t>-</t>
  </si>
  <si>
    <t>Locations</t>
  </si>
  <si>
    <t>Name</t>
  </si>
  <si>
    <t>φ (latitude)</t>
  </si>
  <si>
    <t>L (longitude)</t>
  </si>
  <si>
    <t>DtoR</t>
  </si>
  <si>
    <r>
      <rPr>
        <b/>
        <sz val="14"/>
        <color theme="0"/>
        <rFont val="Calibri (Body)"/>
      </rPr>
      <t>Latest update</t>
    </r>
    <r>
      <rPr>
        <sz val="14"/>
        <color theme="0"/>
        <rFont val="Calibri (Body)"/>
      </rPr>
      <t>: 22nd May, 2024</t>
    </r>
  </si>
  <si>
    <t>Angle</t>
  </si>
  <si>
    <t>T</t>
  </si>
  <si>
    <t># points</t>
  </si>
  <si>
    <t>dgr</t>
  </si>
  <si>
    <t>D</t>
  </si>
  <si>
    <t>stepsize</t>
  </si>
  <si>
    <t>cos</t>
  </si>
  <si>
    <t>M</t>
  </si>
  <si>
    <t>minor semi axis</t>
  </si>
  <si>
    <t>M'</t>
  </si>
  <si>
    <t>major semi axis</t>
  </si>
  <si>
    <t>i</t>
  </si>
  <si>
    <t>k</t>
  </si>
  <si>
    <t>ellipse</t>
  </si>
  <si>
    <t>black bottom</t>
  </si>
  <si>
    <t>transparent</t>
  </si>
  <si>
    <t>black top</t>
  </si>
  <si>
    <r>
      <t>JDE</t>
    </r>
    <r>
      <rPr>
        <vertAlign val="subscript"/>
        <sz val="12"/>
        <rFont val="Calibri"/>
        <family val="2"/>
      </rPr>
      <t>new moon</t>
    </r>
  </si>
  <si>
    <t>reference date (08.05.2024)</t>
  </si>
  <si>
    <t>delta</t>
  </si>
  <si>
    <t>angle</t>
  </si>
  <si>
    <t>New moon</t>
  </si>
  <si>
    <t>Waxing crescent</t>
  </si>
  <si>
    <t>First quarter</t>
  </si>
  <si>
    <t>Waxing gibbous</t>
  </si>
  <si>
    <t>Full moon</t>
  </si>
  <si>
    <t>Waning gibbous</t>
  </si>
  <si>
    <t>Last quarter</t>
  </si>
  <si>
    <t>Waning crescent</t>
  </si>
  <si>
    <t>V1.2</t>
  </si>
  <si>
    <t>include?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</si>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</sst>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F400]h:mm:ss\ AM/PM"/>
    <numFmt numFmtId="165" formatCode="0.00000"/>
    <numFmt numFmtId="166" formatCode="[$]hh:mm;@" x16r2:formatCode16="[$-en-CH,1]hh:mm;@"/>
    <numFmt numFmtId="167" formatCode="#,##0.000"/>
    <numFmt numFmtId="168" formatCode="0.0000"/>
  </numFmts>
  <fonts count="4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i/>
      <sz val="14"/>
      <color theme="0"/>
      <name val="Calibri"/>
      <family val="2"/>
    </font>
    <font>
      <sz val="14"/>
      <color theme="0"/>
      <name val="Calibri (Body)"/>
    </font>
    <font>
      <b/>
      <sz val="14"/>
      <color theme="0"/>
      <name val="Calibri (Body)"/>
    </font>
    <font>
      <u/>
      <sz val="14"/>
      <color theme="0"/>
      <name val="Calibri"/>
      <family val="2"/>
      <scheme val="minor"/>
    </font>
    <font>
      <u/>
      <sz val="14"/>
      <color theme="0"/>
      <name val="Calibri (Body)"/>
    </font>
    <font>
      <u/>
      <sz val="12"/>
      <color theme="0"/>
      <name val="Calibri"/>
      <family val="2"/>
    </font>
    <font>
      <sz val="9"/>
      <color theme="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4"/>
      <color theme="0"/>
      <name val="Calibri"/>
      <family val="2"/>
    </font>
    <font>
      <sz val="12"/>
      <color rgb="FF000000"/>
      <name val="Calibri"/>
      <family val="2"/>
    </font>
    <font>
      <sz val="11"/>
      <name val="ＭＳ Ｐゴシック"/>
      <family val="2"/>
      <charset val="128"/>
    </font>
    <font>
      <sz val="12"/>
      <name val="Calibri"/>
      <family val="2"/>
    </font>
    <font>
      <b/>
      <sz val="12"/>
      <name val="Calibri"/>
      <family val="2"/>
    </font>
    <font>
      <sz val="12"/>
      <color rgb="FF202122"/>
      <name val="Calibri"/>
      <family val="2"/>
    </font>
    <font>
      <sz val="10"/>
      <color indexed="8"/>
      <name val="Arial"/>
      <family val="2"/>
    </font>
    <font>
      <sz val="12"/>
      <color indexed="8"/>
      <name val="Calibri"/>
      <family val="2"/>
    </font>
    <font>
      <u/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0"/>
      <name val="Calibri (Body)"/>
    </font>
    <font>
      <sz val="12"/>
      <color theme="1"/>
      <name val="Calibri (Body)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vertAlign val="subscript"/>
      <sz val="12"/>
      <name val="Calibri"/>
      <family val="2"/>
    </font>
    <font>
      <sz val="12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0" fontId="4" fillId="0" borderId="0"/>
    <xf numFmtId="0" fontId="20" fillId="0" borderId="0"/>
    <xf numFmtId="0" fontId="24" fillId="0" borderId="0"/>
    <xf numFmtId="0" fontId="6" fillId="0" borderId="0" applyNumberFormat="0" applyFill="0" applyBorder="0" applyAlignment="0" applyProtection="0"/>
    <xf numFmtId="0" fontId="35" fillId="0" borderId="0"/>
    <xf numFmtId="0" fontId="36" fillId="0" borderId="0"/>
    <xf numFmtId="0" fontId="1" fillId="0" borderId="0"/>
    <xf numFmtId="0" fontId="37" fillId="0" borderId="0"/>
  </cellStyleXfs>
  <cellXfs count="169">
    <xf numFmtId="0" fontId="0" fillId="0" borderId="0" xfId="0"/>
    <xf numFmtId="0" fontId="10" fillId="2" borderId="1" xfId="41" applyFont="1" applyFill="1" applyBorder="1" applyAlignment="1">
      <alignment horizontal="left"/>
    </xf>
    <xf numFmtId="0" fontId="10" fillId="2" borderId="2" xfId="41" applyFont="1" applyFill="1" applyBorder="1" applyAlignment="1">
      <alignment horizontal="center"/>
    </xf>
    <xf numFmtId="0" fontId="10" fillId="2" borderId="2" xfId="41" applyFont="1" applyFill="1" applyBorder="1"/>
    <xf numFmtId="0" fontId="12" fillId="2" borderId="3" xfId="42" applyFont="1" applyFill="1" applyBorder="1" applyAlignment="1">
      <alignment horizontal="center"/>
    </xf>
    <xf numFmtId="0" fontId="13" fillId="2" borderId="4" xfId="42" applyFont="1" applyFill="1" applyBorder="1" applyAlignment="1">
      <alignment horizontal="left"/>
    </xf>
    <xf numFmtId="0" fontId="10" fillId="2" borderId="0" xfId="41" applyFont="1" applyFill="1" applyAlignment="1">
      <alignment horizontal="center"/>
    </xf>
    <xf numFmtId="0" fontId="10" fillId="2" borderId="0" xfId="41" applyFont="1" applyFill="1"/>
    <xf numFmtId="0" fontId="10" fillId="2" borderId="5" xfId="41" applyFont="1" applyFill="1" applyBorder="1" applyAlignment="1">
      <alignment horizontal="center"/>
    </xf>
    <xf numFmtId="0" fontId="10" fillId="2" borderId="6" xfId="42" applyFont="1" applyFill="1" applyBorder="1" applyAlignment="1">
      <alignment horizontal="left"/>
    </xf>
    <xf numFmtId="0" fontId="10" fillId="2" borderId="8" xfId="42" applyFont="1" applyFill="1" applyBorder="1" applyAlignment="1">
      <alignment horizontal="left"/>
    </xf>
    <xf numFmtId="0" fontId="10" fillId="2" borderId="8" xfId="41" applyFont="1" applyFill="1" applyBorder="1"/>
    <xf numFmtId="0" fontId="11" fillId="2" borderId="7" xfId="41" applyFont="1" applyFill="1" applyBorder="1" applyAlignment="1">
      <alignment horizontal="center"/>
    </xf>
    <xf numFmtId="0" fontId="4" fillId="0" borderId="0" xfId="43"/>
    <xf numFmtId="0" fontId="4" fillId="0" borderId="0" xfId="43" applyAlignment="1">
      <alignment horizontal="center"/>
    </xf>
    <xf numFmtId="0" fontId="16" fillId="0" borderId="0" xfId="43" applyFont="1"/>
    <xf numFmtId="0" fontId="16" fillId="0" borderId="12" xfId="43" applyFont="1" applyBorder="1" applyAlignment="1">
      <alignment horizontal="right"/>
    </xf>
    <xf numFmtId="2" fontId="17" fillId="3" borderId="12" xfId="43" applyNumberFormat="1" applyFont="1" applyFill="1" applyBorder="1" applyAlignment="1" applyProtection="1">
      <alignment horizontal="right"/>
      <protection locked="0"/>
    </xf>
    <xf numFmtId="0" fontId="18" fillId="4" borderId="12" xfId="43" applyFont="1" applyFill="1" applyBorder="1" applyAlignment="1">
      <alignment horizontal="right" vertical="center"/>
    </xf>
    <xf numFmtId="0" fontId="16" fillId="0" borderId="12" xfId="43" applyFont="1" applyBorder="1"/>
    <xf numFmtId="0" fontId="16" fillId="0" borderId="0" xfId="43" applyFont="1" applyAlignment="1">
      <alignment horizontal="right"/>
    </xf>
    <xf numFmtId="2" fontId="4" fillId="0" borderId="12" xfId="43" applyNumberFormat="1" applyBorder="1"/>
    <xf numFmtId="0" fontId="21" fillId="0" borderId="12" xfId="44" applyFont="1" applyBorder="1" applyAlignment="1">
      <alignment vertical="center"/>
    </xf>
    <xf numFmtId="0" fontId="23" fillId="0" borderId="12" xfId="43" applyFont="1" applyBorder="1" applyAlignment="1">
      <alignment vertical="center"/>
    </xf>
    <xf numFmtId="2" fontId="4" fillId="0" borderId="12" xfId="43" applyNumberFormat="1" applyBorder="1" applyAlignment="1">
      <alignment horizontal="right"/>
    </xf>
    <xf numFmtId="14" fontId="17" fillId="3" borderId="12" xfId="43" applyNumberFormat="1" applyFont="1" applyFill="1" applyBorder="1" applyAlignment="1" applyProtection="1">
      <alignment horizontal="right"/>
      <protection locked="0"/>
    </xf>
    <xf numFmtId="1" fontId="22" fillId="3" borderId="12" xfId="44" applyNumberFormat="1" applyFont="1" applyFill="1" applyBorder="1" applyAlignment="1" applyProtection="1">
      <alignment horizontal="right" vertical="center"/>
      <protection locked="0"/>
    </xf>
    <xf numFmtId="1" fontId="16" fillId="0" borderId="12" xfId="43" applyNumberFormat="1" applyFont="1" applyBorder="1" applyAlignment="1">
      <alignment horizontal="right"/>
    </xf>
    <xf numFmtId="0" fontId="16" fillId="0" borderId="12" xfId="0" applyFont="1" applyBorder="1" applyAlignment="1">
      <alignment horizontal="center"/>
    </xf>
    <xf numFmtId="0" fontId="25" fillId="0" borderId="12" xfId="45" applyFont="1" applyBorder="1" applyAlignment="1">
      <alignment horizontal="center" wrapText="1"/>
    </xf>
    <xf numFmtId="2" fontId="25" fillId="0" borderId="12" xfId="45" applyNumberFormat="1" applyFont="1" applyBorder="1" applyAlignment="1">
      <alignment horizontal="right" wrapText="1"/>
    </xf>
    <xf numFmtId="2" fontId="25" fillId="2" borderId="12" xfId="45" applyNumberFormat="1" applyFont="1" applyFill="1" applyBorder="1" applyAlignment="1">
      <alignment horizontal="right" wrapText="1"/>
    </xf>
    <xf numFmtId="0" fontId="16" fillId="0" borderId="12" xfId="0" applyFont="1" applyBorder="1" applyAlignment="1">
      <alignment horizontal="center" vertical="center"/>
    </xf>
    <xf numFmtId="2" fontId="19" fillId="0" borderId="12" xfId="0" applyNumberFormat="1" applyFont="1" applyBorder="1" applyAlignment="1">
      <alignment horizontal="right"/>
    </xf>
    <xf numFmtId="2" fontId="19" fillId="0" borderId="12" xfId="0" quotePrefix="1" applyNumberFormat="1" applyFont="1" applyBorder="1" applyAlignment="1">
      <alignment horizontal="right"/>
    </xf>
    <xf numFmtId="0" fontId="26" fillId="0" borderId="0" xfId="46" applyFont="1"/>
    <xf numFmtId="0" fontId="6" fillId="0" borderId="0" xfId="46"/>
    <xf numFmtId="0" fontId="5" fillId="2" borderId="0" xfId="41" applyFill="1"/>
    <xf numFmtId="0" fontId="0" fillId="2" borderId="0" xfId="0" applyFill="1"/>
    <xf numFmtId="0" fontId="29" fillId="4" borderId="12" xfId="43" applyFont="1" applyFill="1" applyBorder="1" applyAlignment="1">
      <alignment horizontal="right" vertical="center"/>
    </xf>
    <xf numFmtId="0" fontId="29" fillId="4" borderId="12" xfId="43" applyFont="1" applyFill="1" applyBorder="1" applyAlignment="1">
      <alignment horizontal="center" vertical="center"/>
    </xf>
    <xf numFmtId="0" fontId="30" fillId="0" borderId="0" xfId="43" applyFont="1"/>
    <xf numFmtId="0" fontId="4" fillId="0" borderId="1" xfId="43" applyBorder="1" applyAlignment="1">
      <alignment horizontal="center"/>
    </xf>
    <xf numFmtId="0" fontId="4" fillId="0" borderId="2" xfId="43" applyBorder="1" applyAlignment="1">
      <alignment horizontal="center"/>
    </xf>
    <xf numFmtId="0" fontId="4" fillId="0" borderId="4" xfId="43" applyBorder="1" applyAlignment="1">
      <alignment horizontal="center"/>
    </xf>
    <xf numFmtId="0" fontId="4" fillId="0" borderId="6" xfId="43" applyBorder="1" applyAlignment="1">
      <alignment horizontal="center"/>
    </xf>
    <xf numFmtId="0" fontId="4" fillId="0" borderId="8" xfId="43" applyBorder="1" applyAlignment="1">
      <alignment horizontal="center"/>
    </xf>
    <xf numFmtId="0" fontId="4" fillId="0" borderId="4" xfId="43" applyBorder="1"/>
    <xf numFmtId="2" fontId="4" fillId="0" borderId="2" xfId="43" applyNumberFormat="1" applyBorder="1"/>
    <xf numFmtId="2" fontId="4" fillId="0" borderId="3" xfId="43" applyNumberFormat="1" applyBorder="1"/>
    <xf numFmtId="2" fontId="4" fillId="0" borderId="0" xfId="43" applyNumberFormat="1"/>
    <xf numFmtId="2" fontId="4" fillId="0" borderId="5" xfId="43" applyNumberFormat="1" applyBorder="1"/>
    <xf numFmtId="2" fontId="4" fillId="0" borderId="8" xfId="43" applyNumberFormat="1" applyBorder="1"/>
    <xf numFmtId="2" fontId="4" fillId="0" borderId="7" xfId="43" applyNumberFormat="1" applyBorder="1"/>
    <xf numFmtId="0" fontId="17" fillId="3" borderId="7" xfId="43" applyFont="1" applyFill="1" applyBorder="1" applyAlignment="1">
      <alignment horizontal="right"/>
    </xf>
    <xf numFmtId="4" fontId="16" fillId="0" borderId="12" xfId="43" applyNumberFormat="1" applyFont="1" applyBorder="1" applyAlignment="1">
      <alignment horizontal="right"/>
    </xf>
    <xf numFmtId="165" fontId="4" fillId="0" borderId="12" xfId="43" applyNumberFormat="1" applyBorder="1" applyAlignment="1">
      <alignment horizontal="right"/>
    </xf>
    <xf numFmtId="0" fontId="17" fillId="3" borderId="12" xfId="0" applyFont="1" applyFill="1" applyBorder="1" applyAlignment="1" applyProtection="1">
      <alignment horizontal="center"/>
      <protection locked="0"/>
    </xf>
    <xf numFmtId="0" fontId="31" fillId="0" borderId="12" xfId="0" applyFont="1" applyBorder="1"/>
    <xf numFmtId="0" fontId="3" fillId="7" borderId="0" xfId="43" applyFont="1" applyFill="1"/>
    <xf numFmtId="14" fontId="4" fillId="7" borderId="0" xfId="43" applyNumberFormat="1" applyFill="1"/>
    <xf numFmtId="164" fontId="4" fillId="7" borderId="0" xfId="43" applyNumberFormat="1" applyFill="1"/>
    <xf numFmtId="1" fontId="4" fillId="7" borderId="0" xfId="43" applyNumberFormat="1" applyFill="1"/>
    <xf numFmtId="0" fontId="4" fillId="7" borderId="0" xfId="43" applyFill="1" applyAlignment="1">
      <alignment horizontal="center"/>
    </xf>
    <xf numFmtId="0" fontId="4" fillId="7" borderId="5" xfId="43" applyFill="1" applyBorder="1"/>
    <xf numFmtId="0" fontId="4" fillId="7" borderId="6" xfId="43" applyFill="1" applyBorder="1" applyAlignment="1">
      <alignment horizontal="center"/>
    </xf>
    <xf numFmtId="0" fontId="4" fillId="7" borderId="8" xfId="43" applyFill="1" applyBorder="1" applyAlignment="1">
      <alignment horizontal="center"/>
    </xf>
    <xf numFmtId="0" fontId="4" fillId="7" borderId="8" xfId="43" applyFill="1" applyBorder="1"/>
    <xf numFmtId="0" fontId="4" fillId="7" borderId="7" xfId="43" applyFill="1" applyBorder="1"/>
    <xf numFmtId="0" fontId="16" fillId="7" borderId="4" xfId="43" applyFont="1" applyFill="1" applyBorder="1"/>
    <xf numFmtId="0" fontId="16" fillId="7" borderId="0" xfId="43" applyFont="1" applyFill="1"/>
    <xf numFmtId="0" fontId="4" fillId="7" borderId="0" xfId="43" applyFill="1"/>
    <xf numFmtId="0" fontId="16" fillId="7" borderId="6" xfId="43" applyFont="1" applyFill="1" applyBorder="1"/>
    <xf numFmtId="0" fontId="16" fillId="7" borderId="8" xfId="43" applyFont="1" applyFill="1" applyBorder="1"/>
    <xf numFmtId="166" fontId="22" fillId="3" borderId="12" xfId="44" applyNumberFormat="1" applyFont="1" applyFill="1" applyBorder="1" applyAlignment="1" applyProtection="1">
      <alignment horizontal="right" vertical="center"/>
      <protection locked="0"/>
    </xf>
    <xf numFmtId="0" fontId="34" fillId="7" borderId="5" xfId="43" applyFont="1" applyFill="1" applyBorder="1" applyAlignment="1">
      <alignment horizontal="right"/>
    </xf>
    <xf numFmtId="0" fontId="16" fillId="0" borderId="12" xfId="0" applyFont="1" applyBorder="1" applyAlignment="1" applyProtection="1">
      <alignment horizontal="center" vertical="center"/>
      <protection locked="0"/>
    </xf>
    <xf numFmtId="0" fontId="27" fillId="0" borderId="0" xfId="0" applyFont="1" applyAlignment="1">
      <alignment horizontal="center"/>
    </xf>
    <xf numFmtId="0" fontId="17" fillId="0" borderId="0" xfId="43" applyFont="1" applyAlignment="1">
      <alignment horizontal="right"/>
    </xf>
    <xf numFmtId="14" fontId="17" fillId="0" borderId="0" xfId="43" applyNumberFormat="1" applyFont="1" applyAlignment="1" applyProtection="1">
      <alignment horizontal="right"/>
      <protection locked="0"/>
    </xf>
    <xf numFmtId="166" fontId="22" fillId="0" borderId="0" xfId="44" applyNumberFormat="1" applyFont="1" applyAlignment="1" applyProtection="1">
      <alignment horizontal="right" vertical="center"/>
      <protection locked="0"/>
    </xf>
    <xf numFmtId="1" fontId="22" fillId="0" borderId="0" xfId="44" applyNumberFormat="1" applyFont="1" applyAlignment="1" applyProtection="1">
      <alignment horizontal="right" vertical="center"/>
      <protection locked="0"/>
    </xf>
    <xf numFmtId="1" fontId="16" fillId="0" borderId="0" xfId="43" applyNumberFormat="1" applyFont="1" applyAlignment="1">
      <alignment horizontal="right"/>
    </xf>
    <xf numFmtId="4" fontId="16" fillId="0" borderId="0" xfId="43" applyNumberFormat="1" applyFont="1" applyAlignment="1">
      <alignment horizontal="right"/>
    </xf>
    <xf numFmtId="0" fontId="32" fillId="0" borderId="0" xfId="0" applyFont="1" applyAlignment="1" applyProtection="1">
      <alignment horizontal="right"/>
      <protection locked="0"/>
    </xf>
    <xf numFmtId="2" fontId="17" fillId="0" borderId="0" xfId="43" applyNumberFormat="1" applyFont="1" applyAlignment="1" applyProtection="1">
      <alignment horizontal="right"/>
      <protection locked="0"/>
    </xf>
    <xf numFmtId="2" fontId="4" fillId="0" borderId="0" xfId="43" applyNumberFormat="1" applyAlignment="1">
      <alignment horizontal="right"/>
    </xf>
    <xf numFmtId="0" fontId="17" fillId="0" borderId="0" xfId="0" applyFont="1" applyAlignment="1" applyProtection="1">
      <alignment horizontal="center"/>
      <protection locked="0"/>
    </xf>
    <xf numFmtId="0" fontId="2" fillId="0" borderId="12" xfId="43" applyFont="1" applyBorder="1" applyAlignment="1">
      <alignment vertical="center"/>
    </xf>
    <xf numFmtId="0" fontId="23" fillId="0" borderId="12" xfId="43" applyFont="1" applyBorder="1" applyAlignment="1">
      <alignment horizontal="right" vertical="center"/>
    </xf>
    <xf numFmtId="0" fontId="16" fillId="0" borderId="12" xfId="43" applyFont="1" applyBorder="1" applyAlignment="1">
      <alignment horizontal="right" vertical="center"/>
    </xf>
    <xf numFmtId="0" fontId="34" fillId="3" borderId="12" xfId="43" applyFont="1" applyFill="1" applyBorder="1" applyAlignment="1" applyProtection="1">
      <alignment vertical="center"/>
      <protection locked="0"/>
    </xf>
    <xf numFmtId="0" fontId="17" fillId="3" borderId="15" xfId="0" applyFont="1" applyFill="1" applyBorder="1" applyAlignment="1" applyProtection="1">
      <alignment horizontal="right"/>
      <protection locked="0"/>
    </xf>
    <xf numFmtId="0" fontId="16" fillId="0" borderId="12" xfId="43" applyFont="1" applyBorder="1" applyAlignment="1">
      <alignment horizontal="center"/>
    </xf>
    <xf numFmtId="0" fontId="21" fillId="0" borderId="0" xfId="47" applyFont="1"/>
    <xf numFmtId="0" fontId="1" fillId="8" borderId="1" xfId="48" applyFont="1" applyFill="1" applyBorder="1"/>
    <xf numFmtId="0" fontId="1" fillId="8" borderId="3" xfId="48" applyFont="1" applyFill="1" applyBorder="1"/>
    <xf numFmtId="0" fontId="17" fillId="8" borderId="1" xfId="49" applyFont="1" applyFill="1" applyBorder="1" applyAlignment="1">
      <alignment horizontal="left"/>
    </xf>
    <xf numFmtId="167" fontId="16" fillId="8" borderId="2" xfId="49" applyNumberFormat="1" applyFont="1" applyFill="1" applyBorder="1"/>
    <xf numFmtId="0" fontId="16" fillId="8" borderId="2" xfId="50" applyFont="1" applyFill="1" applyBorder="1"/>
    <xf numFmtId="0" fontId="16" fillId="8" borderId="2" xfId="49" applyFont="1" applyFill="1" applyBorder="1"/>
    <xf numFmtId="0" fontId="16" fillId="8" borderId="3" xfId="50" applyFont="1" applyFill="1" applyBorder="1"/>
    <xf numFmtId="0" fontId="1" fillId="8" borderId="4" xfId="48" applyFont="1" applyFill="1" applyBorder="1"/>
    <xf numFmtId="0" fontId="1" fillId="8" borderId="5" xfId="48" applyFont="1" applyFill="1" applyBorder="1"/>
    <xf numFmtId="0" fontId="16" fillId="8" borderId="4" xfId="50" applyFont="1" applyFill="1" applyBorder="1"/>
    <xf numFmtId="0" fontId="16" fillId="8" borderId="0" xfId="50" applyFont="1" applyFill="1"/>
    <xf numFmtId="167" fontId="16" fillId="8" borderId="5" xfId="50" applyNumberFormat="1" applyFont="1" applyFill="1" applyBorder="1"/>
    <xf numFmtId="2" fontId="16" fillId="8" borderId="5" xfId="50" applyNumberFormat="1" applyFont="1" applyFill="1" applyBorder="1"/>
    <xf numFmtId="0" fontId="16" fillId="8" borderId="5" xfId="50" applyFont="1" applyFill="1" applyBorder="1"/>
    <xf numFmtId="0" fontId="16" fillId="8" borderId="6" xfId="50" applyFont="1" applyFill="1" applyBorder="1"/>
    <xf numFmtId="0" fontId="16" fillId="8" borderId="8" xfId="50" applyFont="1" applyFill="1" applyBorder="1"/>
    <xf numFmtId="0" fontId="16" fillId="8" borderId="7" xfId="50" applyFont="1" applyFill="1" applyBorder="1"/>
    <xf numFmtId="0" fontId="1" fillId="8" borderId="6" xfId="48" applyFont="1" applyFill="1" applyBorder="1"/>
    <xf numFmtId="0" fontId="1" fillId="8" borderId="7" xfId="48" applyFont="1" applyFill="1" applyBorder="1"/>
    <xf numFmtId="0" fontId="17" fillId="8" borderId="4" xfId="50" applyFont="1" applyFill="1" applyBorder="1" applyAlignment="1">
      <alignment horizontal="right"/>
    </xf>
    <xf numFmtId="0" fontId="17" fillId="8" borderId="0" xfId="50" applyFont="1" applyFill="1" applyAlignment="1">
      <alignment horizontal="right"/>
    </xf>
    <xf numFmtId="0" fontId="17" fillId="8" borderId="5" xfId="50" applyFont="1" applyFill="1" applyBorder="1" applyAlignment="1">
      <alignment horizontal="right"/>
    </xf>
    <xf numFmtId="2" fontId="16" fillId="8" borderId="4" xfId="50" applyNumberFormat="1" applyFont="1" applyFill="1" applyBorder="1"/>
    <xf numFmtId="2" fontId="16" fillId="8" borderId="0" xfId="50" applyNumberFormat="1" applyFont="1" applyFill="1"/>
    <xf numFmtId="0" fontId="38" fillId="0" borderId="0" xfId="0" applyFont="1"/>
    <xf numFmtId="0" fontId="21" fillId="8" borderId="1" xfId="47" applyFont="1" applyFill="1" applyBorder="1"/>
    <xf numFmtId="4" fontId="21" fillId="8" borderId="3" xfId="47" applyNumberFormat="1" applyFont="1" applyFill="1" applyBorder="1"/>
    <xf numFmtId="0" fontId="21" fillId="8" borderId="4" xfId="47" applyFont="1" applyFill="1" applyBorder="1"/>
    <xf numFmtId="0" fontId="21" fillId="8" borderId="5" xfId="47" applyFont="1" applyFill="1" applyBorder="1"/>
    <xf numFmtId="0" fontId="1" fillId="8" borderId="7" xfId="48" applyFont="1" applyFill="1" applyBorder="1" applyAlignment="1">
      <alignment horizontal="right"/>
    </xf>
    <xf numFmtId="0" fontId="1" fillId="8" borderId="1" xfId="0" applyFont="1" applyFill="1" applyBorder="1"/>
    <xf numFmtId="0" fontId="1" fillId="8" borderId="2" xfId="0" applyFont="1" applyFill="1" applyBorder="1"/>
    <xf numFmtId="0" fontId="1" fillId="8" borderId="3" xfId="0" applyFont="1" applyFill="1" applyBorder="1"/>
    <xf numFmtId="0" fontId="1" fillId="8" borderId="4" xfId="0" applyFont="1" applyFill="1" applyBorder="1"/>
    <xf numFmtId="0" fontId="1" fillId="8" borderId="0" xfId="0" applyFont="1" applyFill="1"/>
    <xf numFmtId="0" fontId="1" fillId="8" borderId="5" xfId="0" applyFont="1" applyFill="1" applyBorder="1"/>
    <xf numFmtId="0" fontId="1" fillId="8" borderId="6" xfId="0" applyFont="1" applyFill="1" applyBorder="1"/>
    <xf numFmtId="0" fontId="1" fillId="8" borderId="8" xfId="0" applyFont="1" applyFill="1" applyBorder="1"/>
    <xf numFmtId="0" fontId="1" fillId="8" borderId="7" xfId="0" applyFont="1" applyFill="1" applyBorder="1"/>
    <xf numFmtId="0" fontId="35" fillId="0" borderId="0" xfId="47"/>
    <xf numFmtId="2" fontId="16" fillId="8" borderId="6" xfId="50" applyNumberFormat="1" applyFont="1" applyFill="1" applyBorder="1"/>
    <xf numFmtId="2" fontId="16" fillId="8" borderId="8" xfId="50" applyNumberFormat="1" applyFont="1" applyFill="1" applyBorder="1"/>
    <xf numFmtId="2" fontId="16" fillId="8" borderId="7" xfId="50" applyNumberFormat="1" applyFont="1" applyFill="1" applyBorder="1"/>
    <xf numFmtId="0" fontId="4" fillId="7" borderId="4" xfId="43" applyFill="1" applyBorder="1" applyAlignment="1">
      <alignment horizontal="left"/>
    </xf>
    <xf numFmtId="0" fontId="3" fillId="7" borderId="4" xfId="43" applyFont="1" applyFill="1" applyBorder="1"/>
    <xf numFmtId="0" fontId="16" fillId="0" borderId="6" xfId="43" applyFont="1" applyBorder="1"/>
    <xf numFmtId="168" fontId="34" fillId="3" borderId="12" xfId="43" applyNumberFormat="1" applyFont="1" applyFill="1" applyBorder="1" applyAlignment="1" applyProtection="1">
      <alignment vertical="center"/>
      <protection locked="0"/>
    </xf>
    <xf numFmtId="168" fontId="16" fillId="0" borderId="12" xfId="43" applyNumberFormat="1" applyFont="1" applyBorder="1" applyAlignment="1">
      <alignment horizontal="right" vertical="center"/>
    </xf>
    <xf numFmtId="0" fontId="31" fillId="0" borderId="12" xfId="0" applyFont="1" applyBorder="1" applyAlignment="1" applyProtection="1">
      <alignment horizontal="center"/>
      <protection locked="0"/>
    </xf>
    <xf numFmtId="0" fontId="32" fillId="9" borderId="18" xfId="0" applyFont="1" applyFill="1" applyBorder="1" applyAlignment="1" applyProtection="1">
      <alignment horizontal="center"/>
      <protection locked="0"/>
    </xf>
    <xf numFmtId="0" fontId="40" fillId="0" borderId="0" xfId="43" applyFont="1"/>
    <xf numFmtId="0" fontId="14" fillId="2" borderId="1" xfId="42" applyFont="1" applyFill="1" applyBorder="1" applyAlignment="1">
      <alignment horizontal="center"/>
    </xf>
    <xf numFmtId="0" fontId="14" fillId="2" borderId="2" xfId="42" applyFont="1" applyFill="1" applyBorder="1" applyAlignment="1">
      <alignment horizontal="center"/>
    </xf>
    <xf numFmtId="0" fontId="14" fillId="2" borderId="9" xfId="42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10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15" fillId="2" borderId="11" xfId="0" applyFont="1" applyFill="1" applyBorder="1" applyAlignment="1">
      <alignment horizontal="center"/>
    </xf>
    <xf numFmtId="0" fontId="9" fillId="2" borderId="0" xfId="41" applyFont="1" applyFill="1" applyAlignment="1">
      <alignment horizontal="center" vertical="center" wrapText="1"/>
    </xf>
    <xf numFmtId="0" fontId="16" fillId="0" borderId="13" xfId="43" applyFont="1" applyBorder="1" applyAlignment="1">
      <alignment horizontal="center"/>
    </xf>
    <xf numFmtId="0" fontId="16" fillId="0" borderId="14" xfId="43" applyFont="1" applyBorder="1" applyAlignment="1">
      <alignment horizontal="center"/>
    </xf>
    <xf numFmtId="0" fontId="16" fillId="0" borderId="15" xfId="43" applyFont="1" applyBorder="1" applyAlignment="1">
      <alignment horizontal="center"/>
    </xf>
    <xf numFmtId="0" fontId="27" fillId="5" borderId="13" xfId="0" applyFont="1" applyFill="1" applyBorder="1" applyAlignment="1">
      <alignment horizontal="center"/>
    </xf>
    <xf numFmtId="0" fontId="27" fillId="5" borderId="16" xfId="0" applyFont="1" applyFill="1" applyBorder="1" applyAlignment="1">
      <alignment horizontal="center"/>
    </xf>
    <xf numFmtId="0" fontId="27" fillId="5" borderId="14" xfId="0" applyFont="1" applyFill="1" applyBorder="1" applyAlignment="1">
      <alignment horizontal="center"/>
    </xf>
    <xf numFmtId="0" fontId="27" fillId="5" borderId="15" xfId="0" applyFont="1" applyFill="1" applyBorder="1" applyAlignment="1">
      <alignment horizontal="center"/>
    </xf>
    <xf numFmtId="0" fontId="28" fillId="6" borderId="13" xfId="43" applyFont="1" applyFill="1" applyBorder="1" applyAlignment="1">
      <alignment horizontal="center"/>
    </xf>
    <xf numFmtId="0" fontId="28" fillId="6" borderId="14" xfId="43" applyFont="1" applyFill="1" applyBorder="1" applyAlignment="1">
      <alignment horizontal="center"/>
    </xf>
    <xf numFmtId="0" fontId="28" fillId="6" borderId="15" xfId="43" applyFont="1" applyFill="1" applyBorder="1" applyAlignment="1">
      <alignment horizontal="center"/>
    </xf>
    <xf numFmtId="0" fontId="33" fillId="0" borderId="17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2" fillId="0" borderId="0" xfId="43" applyFont="1" applyAlignment="1">
      <alignment horizontal="center" vertical="center"/>
    </xf>
  </cellXfs>
  <cellStyles count="5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6" builtinId="8"/>
    <cellStyle name="Hyperlink 2" xfId="42" xr:uid="{C380AA0A-E10B-1C43-9286-02819B081BC7}"/>
    <cellStyle name="Normal" xfId="0" builtinId="0"/>
    <cellStyle name="Normal 2" xfId="41" xr:uid="{0D0AB34C-A1A9-7D42-A14C-E95ACB658DC4}"/>
    <cellStyle name="Normal 3" xfId="43" xr:uid="{D0C399E2-A941-AA4F-B42F-87A7CE497740}"/>
    <cellStyle name="Normal 3 2" xfId="44" xr:uid="{053FA022-145E-5B4C-8FD3-7620CDCF3F7A}"/>
    <cellStyle name="Normal 3 3" xfId="50" xr:uid="{6AD1D6F5-C9C8-C347-A593-201309E38E3D}"/>
    <cellStyle name="Normal 5 2" xfId="48" xr:uid="{3162F59E-0AF8-8247-B812-CF532FA3D68D}"/>
    <cellStyle name="Normal 6 2" xfId="47" xr:uid="{1EA76BA5-8507-8C41-8665-9015FE67FFCA}"/>
    <cellStyle name="Normal 7" xfId="49" xr:uid="{A8D2664F-919E-3349-8665-4E2AD514665D}"/>
    <cellStyle name="Normal_Sheet1" xfId="45" xr:uid="{6DE0653C-893A-E546-A1FE-E23F2578AC52}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011282171818074E-2"/>
          <c:y val="5.8632036667058407E-3"/>
          <c:w val="0.97273465049997587"/>
          <c:h val="0.98626932728264161"/>
        </c:manualLayout>
      </c:layout>
      <c:areaChart>
        <c:grouping val="stacked"/>
        <c:varyColors val="0"/>
        <c:ser>
          <c:idx val="2"/>
          <c:order val="0"/>
          <c:tx>
            <c:strRef>
              <c:f>Illumination!$H$8</c:f>
              <c:strCache>
                <c:ptCount val="1"/>
                <c:pt idx="0">
                  <c:v>black bottom</c:v>
                </c:pt>
              </c:strCache>
            </c:strRef>
          </c:tx>
          <c:spPr>
            <a:solidFill>
              <a:schemeClr val="tx1"/>
            </a:solidFill>
            <a:ln w="9525">
              <a:solidFill>
                <a:schemeClr val="tx1"/>
              </a:solidFill>
            </a:ln>
            <a:effectLst/>
          </c:spPr>
          <c:val>
            <c:numRef>
              <c:f>Illumination!$H$9:$H$209</c:f>
              <c:numCache>
                <c:formatCode>0.00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F5-A444-906A-F204D43E8BE8}"/>
            </c:ext>
          </c:extLst>
        </c:ser>
        <c:ser>
          <c:idx val="0"/>
          <c:order val="1"/>
          <c:tx>
            <c:strRef>
              <c:f>Illumination!$I$8</c:f>
              <c:strCache>
                <c:ptCount val="1"/>
                <c:pt idx="0">
                  <c:v>transparent</c:v>
                </c:pt>
              </c:strCache>
            </c:strRef>
          </c:tx>
          <c:spPr>
            <a:noFill/>
            <a:ln w="25400">
              <a:noFill/>
            </a:ln>
            <a:effectLst/>
          </c:spPr>
          <c:val>
            <c:numRef>
              <c:f>Illumination!$I$9:$I$209</c:f>
              <c:numCache>
                <c:formatCode>0.00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1.0448017733788451E-4</c:v>
                </c:pt>
                <c:pt idx="102">
                  <c:v>4.1798623338251684E-4</c:v>
                </c:pt>
                <c:pt idx="103">
                  <c:v>9.407149458625641E-4</c:v>
                </c:pt>
                <c:pt idx="104">
                  <c:v>1.6729949646232534E-3</c:v>
                </c:pt>
                <c:pt idx="105">
                  <c:v>2.6152878473675312E-3</c:v>
                </c:pt>
                <c:pt idx="106">
                  <c:v>3.7681895203621751E-3</c:v>
                </c:pt>
                <c:pt idx="107">
                  <c:v>5.1324321749414148E-3</c:v>
                </c:pt>
                <c:pt idx="108">
                  <c:v>6.7088866139890513E-3</c:v>
                </c:pt>
                <c:pt idx="109">
                  <c:v>8.4985650661123513E-3</c:v>
                </c:pt>
                <c:pt idx="110">
                  <c:v>1.0502624488999301E-2</c:v>
                </c:pt>
                <c:pt idx="111">
                  <c:v>1.2722370387527882E-2</c:v>
                </c:pt>
                <c:pt idx="112">
                  <c:v>1.5159261176636685E-2</c:v>
                </c:pt>
                <c:pt idx="113">
                  <c:v>1.7814913123836096E-2</c:v>
                </c:pt>
                <c:pt idx="114">
                  <c:v>2.0691105911627816E-2</c:v>
                </c:pt>
                <c:pt idx="115">
                  <c:v>2.3789788866093509E-2</c:v>
                </c:pt>
                <c:pt idx="116">
                  <c:v>2.7113087904619082E-2</c:v>
                </c:pt>
                <c:pt idx="117">
                  <c:v>3.0663313263276981E-2</c:v>
                </c:pt>
                <c:pt idx="118">
                  <c:v>3.4442968072919355E-2</c:v>
                </c:pt>
                <c:pt idx="119">
                  <c:v>3.8454757862739997E-2</c:v>
                </c:pt>
                <c:pt idx="120">
                  <c:v>4.270160108112897E-2</c:v>
                </c:pt>
                <c:pt idx="121">
                  <c:v>4.7186640736325058E-2</c:v>
                </c:pt>
                <c:pt idx="122">
                  <c:v>5.191325727395224E-2</c:v>
                </c:pt>
                <c:pt idx="123">
                  <c:v>5.6885082825370525E-2</c:v>
                </c:pt>
                <c:pt idx="124">
                  <c:v>6.2106016980281065E-2</c:v>
                </c:pt>
                <c:pt idx="125">
                  <c:v>6.7580244259732303E-2</c:v>
                </c:pt>
                <c:pt idx="126">
                  <c:v>7.3312253492174739E-2</c:v>
                </c:pt>
                <c:pt idx="127">
                  <c:v>7.9306859326287116E-2</c:v>
                </c:pt>
                <c:pt idx="128">
                  <c:v>8.5569226150846056E-2</c:v>
                </c:pt>
                <c:pt idx="129">
                  <c:v>9.2104894735100529E-2</c:v>
                </c:pt>
                <c:pt idx="130">
                  <c:v>9.8919811954326531E-2</c:v>
                </c:pt>
                <c:pt idx="131">
                  <c:v>0.10602036402625303</c:v>
                </c:pt>
                <c:pt idx="132">
                  <c:v>0.11341341375704139</c:v>
                </c:pt>
                <c:pt idx="133">
                  <c:v>0.12110634238322315</c:v>
                </c:pt>
                <c:pt idx="134">
                  <c:v>0.12910709670194676</c:v>
                </c:pt>
                <c:pt idx="135">
                  <c:v>0.13742424231045558</c:v>
                </c:pt>
                <c:pt idx="136">
                  <c:v>0.14606702393259563</c:v>
                </c:pt>
                <c:pt idx="137">
                  <c:v>0.15504543400260862</c:v>
                </c:pt>
                <c:pt idx="138">
                  <c:v>0.16437029091396649</c:v>
                </c:pt>
                <c:pt idx="139">
                  <c:v>0.17405332863589729</c:v>
                </c:pt>
                <c:pt idx="140">
                  <c:v>0.18410729976881379</c:v>
                </c:pt>
                <c:pt idx="141">
                  <c:v>0.19454609457369032</c:v>
                </c:pt>
                <c:pt idx="142">
                  <c:v>0.20538487909849323</c:v>
                </c:pt>
                <c:pt idx="143">
                  <c:v>0.21664025627621064</c:v>
                </c:pt>
                <c:pt idx="144">
                  <c:v>0.22833045483733849</c:v>
                </c:pt>
                <c:pt idx="145">
                  <c:v>0.24047555213873462</c:v>
                </c:pt>
                <c:pt idx="146">
                  <c:v>0.25309773866372964</c:v>
                </c:pt>
                <c:pt idx="147">
                  <c:v>0.26622163414122668</c:v>
                </c:pt>
                <c:pt idx="148">
                  <c:v>0.27987466817339879</c:v>
                </c:pt>
                <c:pt idx="149">
                  <c:v>0.29408754225666467</c:v>
                </c:pt>
                <c:pt idx="150">
                  <c:v>0.3088947955781528</c:v>
                </c:pt>
                <c:pt idx="151">
                  <c:v>0.32433550464483241</c:v>
                </c:pt>
                <c:pt idx="152">
                  <c:v>0.34045415768802956</c:v>
                </c:pt>
                <c:pt idx="153">
                  <c:v>0.35730176049616935</c:v>
                </c:pt>
                <c:pt idx="154">
                  <c:v>0.37493725344210227</c:v>
                </c:pt>
                <c:pt idx="155">
                  <c:v>0.39342935421292791</c:v>
                </c:pt>
                <c:pt idx="156">
                  <c:v>0.41285899423609351</c:v>
                </c:pt>
                <c:pt idx="157">
                  <c:v>0.43332260139368461</c:v>
                </c:pt>
                <c:pt idx="158">
                  <c:v>0.45493661959745169</c:v>
                </c:pt>
                <c:pt idx="159">
                  <c:v>0.47784388891505969</c:v>
                </c:pt>
                <c:pt idx="160">
                  <c:v>0.50222292022059989</c:v>
                </c:pt>
                <c:pt idx="161">
                  <c:v>0.52830185596408241</c:v>
                </c:pt>
                <c:pt idx="162">
                  <c:v>0.5563803902632185</c:v>
                </c:pt>
                <c:pt idx="163">
                  <c:v>0.58686602860335679</c:v>
                </c:pt>
                <c:pt idx="164">
                  <c:v>0.62033817728961249</c:v>
                </c:pt>
                <c:pt idx="165">
                  <c:v>0.65767176270653882</c:v>
                </c:pt>
                <c:pt idx="166">
                  <c:v>0.70030641382240744</c:v>
                </c:pt>
                <c:pt idx="167">
                  <c:v>0.7509498639502743</c:v>
                </c:pt>
                <c:pt idx="168">
                  <c:v>0.81610384435869532</c:v>
                </c:pt>
                <c:pt idx="169">
                  <c:v>0.92794638818367126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F5-A444-906A-F204D43E8BE8}"/>
            </c:ext>
          </c:extLst>
        </c:ser>
        <c:ser>
          <c:idx val="3"/>
          <c:order val="2"/>
          <c:tx>
            <c:strRef>
              <c:f>Illumination!$J$8</c:f>
              <c:strCache>
                <c:ptCount val="1"/>
                <c:pt idx="0">
                  <c:v>black top</c:v>
                </c:pt>
              </c:strCache>
            </c:strRef>
          </c:tx>
          <c:spPr>
            <a:solidFill>
              <a:schemeClr val="tx1"/>
            </a:solidFill>
            <a:ln w="9525">
              <a:noFill/>
            </a:ln>
            <a:effectLst/>
          </c:spPr>
          <c:val>
            <c:numRef>
              <c:f>Illumination!$J$9:$J$209</c:f>
              <c:numCache>
                <c:formatCode>0.00</c:formatCode>
                <c:ptCount val="201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2</c:v>
                </c:pt>
                <c:pt idx="85">
                  <c:v>2</c:v>
                </c:pt>
                <c:pt idx="86">
                  <c:v>2</c:v>
                </c:pt>
                <c:pt idx="87">
                  <c:v>2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  <c:pt idx="96">
                  <c:v>2</c:v>
                </c:pt>
                <c:pt idx="97">
                  <c:v>2</c:v>
                </c:pt>
                <c:pt idx="98">
                  <c:v>2</c:v>
                </c:pt>
                <c:pt idx="99">
                  <c:v>2</c:v>
                </c:pt>
                <c:pt idx="100">
                  <c:v>2</c:v>
                </c:pt>
                <c:pt idx="101">
                  <c:v>1.9997910396453242</c:v>
                </c:pt>
                <c:pt idx="102">
                  <c:v>1.999164027533235</c:v>
                </c:pt>
                <c:pt idx="103">
                  <c:v>1.9981185701082749</c:v>
                </c:pt>
                <c:pt idx="104">
                  <c:v>1.9966540100707535</c:v>
                </c:pt>
                <c:pt idx="105">
                  <c:v>1.9947694243052649</c:v>
                </c:pt>
                <c:pt idx="106">
                  <c:v>1.9924636209592756</c:v>
                </c:pt>
                <c:pt idx="107">
                  <c:v>1.9897351356501172</c:v>
                </c:pt>
                <c:pt idx="108">
                  <c:v>1.9865822267720219</c:v>
                </c:pt>
                <c:pt idx="109">
                  <c:v>1.9830028698677753</c:v>
                </c:pt>
                <c:pt idx="110">
                  <c:v>1.9789947510220014</c:v>
                </c:pt>
                <c:pt idx="111">
                  <c:v>1.9745552592249442</c:v>
                </c:pt>
                <c:pt idx="112">
                  <c:v>1.9696814776467266</c:v>
                </c:pt>
                <c:pt idx="113">
                  <c:v>1.9643701737523278</c:v>
                </c:pt>
                <c:pt idx="114">
                  <c:v>1.9586177881767444</c:v>
                </c:pt>
                <c:pt idx="115">
                  <c:v>1.952420422267813</c:v>
                </c:pt>
                <c:pt idx="116">
                  <c:v>1.9457738241907618</c:v>
                </c:pt>
                <c:pt idx="117">
                  <c:v>1.938673373473446</c:v>
                </c:pt>
                <c:pt idx="118">
                  <c:v>1.9311140638541613</c:v>
                </c:pt>
                <c:pt idx="119">
                  <c:v>1.92309048427452</c:v>
                </c:pt>
                <c:pt idx="120">
                  <c:v>1.9145967978377421</c:v>
                </c:pt>
                <c:pt idx="121">
                  <c:v>1.9056267185273499</c:v>
                </c:pt>
                <c:pt idx="122">
                  <c:v>1.8961734854520955</c:v>
                </c:pt>
                <c:pt idx="123">
                  <c:v>1.8862298343492589</c:v>
                </c:pt>
                <c:pt idx="124">
                  <c:v>1.8757879660394379</c:v>
                </c:pt>
                <c:pt idx="125">
                  <c:v>1.8648395114805354</c:v>
                </c:pt>
                <c:pt idx="126">
                  <c:v>1.8533754930156505</c:v>
                </c:pt>
                <c:pt idx="127">
                  <c:v>1.8413862813474258</c:v>
                </c:pt>
                <c:pt idx="128">
                  <c:v>1.8288615476983079</c:v>
                </c:pt>
                <c:pt idx="129">
                  <c:v>1.8157902105297989</c:v>
                </c:pt>
                <c:pt idx="130">
                  <c:v>1.8021603760913469</c:v>
                </c:pt>
                <c:pt idx="131">
                  <c:v>1.7879592719474939</c:v>
                </c:pt>
                <c:pt idx="132">
                  <c:v>1.7731731724859172</c:v>
                </c:pt>
                <c:pt idx="133">
                  <c:v>1.7577873152335537</c:v>
                </c:pt>
                <c:pt idx="134">
                  <c:v>1.7417858065961065</c:v>
                </c:pt>
                <c:pt idx="135">
                  <c:v>1.7251515153790888</c:v>
                </c:pt>
                <c:pt idx="136">
                  <c:v>1.7078659521348087</c:v>
                </c:pt>
                <c:pt idx="137">
                  <c:v>1.6899091319947828</c:v>
                </c:pt>
                <c:pt idx="138">
                  <c:v>1.671259418172067</c:v>
                </c:pt>
                <c:pt idx="139">
                  <c:v>1.6518933427282054</c:v>
                </c:pt>
                <c:pt idx="140">
                  <c:v>1.6317854004623724</c:v>
                </c:pt>
                <c:pt idx="141">
                  <c:v>1.6109078108526194</c:v>
                </c:pt>
                <c:pt idx="142">
                  <c:v>1.5892302418030135</c:v>
                </c:pt>
                <c:pt idx="143">
                  <c:v>1.5667194874475787</c:v>
                </c:pt>
                <c:pt idx="144">
                  <c:v>1.543339090325323</c:v>
                </c:pt>
                <c:pt idx="145">
                  <c:v>1.5190488957225308</c:v>
                </c:pt>
                <c:pt idx="146">
                  <c:v>1.4938045226725407</c:v>
                </c:pt>
                <c:pt idx="147">
                  <c:v>1.4675567317175466</c:v>
                </c:pt>
                <c:pt idx="148">
                  <c:v>1.4402506636532024</c:v>
                </c:pt>
                <c:pt idx="149">
                  <c:v>1.4118249154866707</c:v>
                </c:pt>
                <c:pt idx="150">
                  <c:v>1.3822104088436944</c:v>
                </c:pt>
                <c:pt idx="151">
                  <c:v>1.3513289907103352</c:v>
                </c:pt>
                <c:pt idx="152">
                  <c:v>1.3190916846239409</c:v>
                </c:pt>
                <c:pt idx="153">
                  <c:v>1.2853964790076613</c:v>
                </c:pt>
                <c:pt idx="154">
                  <c:v>1.2501254931157955</c:v>
                </c:pt>
                <c:pt idx="155">
                  <c:v>1.2131412915741442</c:v>
                </c:pt>
                <c:pt idx="156">
                  <c:v>1.174282011527813</c:v>
                </c:pt>
                <c:pt idx="157">
                  <c:v>1.1333547972126308</c:v>
                </c:pt>
                <c:pt idx="158">
                  <c:v>1.0901267608050966</c:v>
                </c:pt>
                <c:pt idx="159">
                  <c:v>1.0443122221698806</c:v>
                </c:pt>
                <c:pt idx="160">
                  <c:v>0.99555415955880022</c:v>
                </c:pt>
                <c:pt idx="161">
                  <c:v>0.94339628807183507</c:v>
                </c:pt>
                <c:pt idx="162">
                  <c:v>0.88723921947356288</c:v>
                </c:pt>
                <c:pt idx="163">
                  <c:v>0.82626794279328641</c:v>
                </c:pt>
                <c:pt idx="164">
                  <c:v>0.75932364542077502</c:v>
                </c:pt>
                <c:pt idx="165">
                  <c:v>0.68465647458692236</c:v>
                </c:pt>
                <c:pt idx="166">
                  <c:v>0.59938717235518513</c:v>
                </c:pt>
                <c:pt idx="167">
                  <c:v>0.49810027209945146</c:v>
                </c:pt>
                <c:pt idx="168">
                  <c:v>0.36779231128260942</c:v>
                </c:pt>
                <c:pt idx="169">
                  <c:v>0.14410722363265749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F5-A444-906A-F204D43E8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354064"/>
        <c:axId val="239352496"/>
      </c:areaChart>
      <c:catAx>
        <c:axId val="239354064"/>
        <c:scaling>
          <c:orientation val="minMax"/>
        </c:scaling>
        <c:delete val="1"/>
        <c:axPos val="b"/>
        <c:majorTickMark val="none"/>
        <c:minorTickMark val="none"/>
        <c:tickLblPos val="nextTo"/>
        <c:crossAx val="239352496"/>
        <c:crosses val="autoZero"/>
        <c:auto val="1"/>
        <c:lblAlgn val="ctr"/>
        <c:lblOffset val="100"/>
        <c:noMultiLvlLbl val="0"/>
      </c:catAx>
      <c:valAx>
        <c:axId val="239352496"/>
        <c:scaling>
          <c:orientation val="minMax"/>
          <c:max val="2"/>
          <c:min val="0"/>
        </c:scaling>
        <c:delete val="1"/>
        <c:axPos val="l"/>
        <c:numFmt formatCode="0.00" sourceLinked="1"/>
        <c:majorTickMark val="out"/>
        <c:minorTickMark val="none"/>
        <c:tickLblPos val="nextTo"/>
        <c:crossAx val="239354064"/>
        <c:crosses val="autoZero"/>
        <c:crossBetween val="midCat"/>
      </c:valAx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</c:spPr>
    </c:plotArea>
    <c:plotVisOnly val="0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g"/><Relationship Id="rId1" Type="http://schemas.openxmlformats.org/officeDocument/2006/relationships/hyperlink" Target="https://www.astronomy-morsels.ch/morsels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5" Type="http://schemas.openxmlformats.org/officeDocument/2006/relationships/image" Target="../media/image8.jpg"/><Relationship Id="rId4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596900</xdr:colOff>
      <xdr:row>39</xdr:row>
      <xdr:rowOff>114300</xdr:rowOff>
    </xdr:from>
    <xdr:to>
      <xdr:col>9</xdr:col>
      <xdr:colOff>215900</xdr:colOff>
      <xdr:row>49</xdr:row>
      <xdr:rowOff>25400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6149BC-8520-4C4B-E9DC-263481011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47900" y="9969500"/>
          <a:ext cx="5397500" cy="1943100"/>
        </a:xfrm>
        <a:prstGeom prst="rect">
          <a:avLst/>
        </a:prstGeom>
      </xdr:spPr>
    </xdr:pic>
    <xdr:clientData/>
  </xdr:twoCellAnchor>
  <xdr:twoCellAnchor editAs="oneCell">
    <xdr:from>
      <xdr:col>2</xdr:col>
      <xdr:colOff>653738</xdr:colOff>
      <xdr:row>17</xdr:row>
      <xdr:rowOff>126999</xdr:rowOff>
    </xdr:from>
    <xdr:to>
      <xdr:col>9</xdr:col>
      <xdr:colOff>152400</xdr:colOff>
      <xdr:row>33</xdr:row>
      <xdr:rowOff>94868</xdr:rowOff>
    </xdr:to>
    <xdr:pic>
      <xdr:nvPicPr>
        <xdr:cNvPr id="4" name="Picture 3" descr="Herschel 400 Catalogue - Wikipedia">
          <a:extLst>
            <a:ext uri="{FF2B5EF4-FFF2-40B4-BE49-F238E27FC236}">
              <a16:creationId xmlns:a16="http://schemas.microsoft.com/office/drawing/2014/main" id="{7915861D-2CAD-B440-6A09-B537A5E5F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4738" y="3682999"/>
          <a:ext cx="5277162" cy="3219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36</xdr:row>
      <xdr:rowOff>0</xdr:rowOff>
    </xdr:from>
    <xdr:to>
      <xdr:col>4</xdr:col>
      <xdr:colOff>0</xdr:colOff>
      <xdr:row>48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0C5C4FC-F899-E141-B809-8236CE692C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101600</xdr:rowOff>
    </xdr:from>
    <xdr:to>
      <xdr:col>0</xdr:col>
      <xdr:colOff>635000</xdr:colOff>
      <xdr:row>10</xdr:row>
      <xdr:rowOff>184896</xdr:rowOff>
    </xdr:to>
    <xdr:pic>
      <xdr:nvPicPr>
        <xdr:cNvPr id="2" name="Picture 1" hidden="1">
          <a:extLst>
            <a:ext uri="{FF2B5EF4-FFF2-40B4-BE49-F238E27FC236}">
              <a16:creationId xmlns:a16="http://schemas.microsoft.com/office/drawing/2014/main" id="{D728E00C-8A14-2A49-8670-3D71A88F7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24000"/>
          <a:ext cx="635000" cy="43889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38100</xdr:rowOff>
    </xdr:from>
    <xdr:to>
      <xdr:col>0</xdr:col>
      <xdr:colOff>622426</xdr:colOff>
      <xdr:row>9</xdr:row>
      <xdr:rowOff>69850</xdr:rowOff>
    </xdr:to>
    <xdr:pic>
      <xdr:nvPicPr>
        <xdr:cNvPr id="3" name="Picture 2" hidden="1">
          <a:extLst>
            <a:ext uri="{FF2B5EF4-FFF2-40B4-BE49-F238E27FC236}">
              <a16:creationId xmlns:a16="http://schemas.microsoft.com/office/drawing/2014/main" id="{41E1419C-7E45-924B-94FD-1BE11DBE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104900"/>
          <a:ext cx="622426" cy="565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38100</xdr:rowOff>
    </xdr:from>
    <xdr:to>
      <xdr:col>0</xdr:col>
      <xdr:colOff>624417</xdr:colOff>
      <xdr:row>9</xdr:row>
      <xdr:rowOff>3175</xdr:rowOff>
    </xdr:to>
    <xdr:pic>
      <xdr:nvPicPr>
        <xdr:cNvPr id="4" name="Picture 3" hidden="1">
          <a:extLst>
            <a:ext uri="{FF2B5EF4-FFF2-40B4-BE49-F238E27FC236}">
              <a16:creationId xmlns:a16="http://schemas.microsoft.com/office/drawing/2014/main" id="{3D1E09DD-EADF-C34E-93DC-4646ECC5C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104900"/>
          <a:ext cx="624417" cy="498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932329</xdr:colOff>
      <xdr:row>11</xdr:row>
      <xdr:rowOff>23906</xdr:rowOff>
    </xdr:to>
    <xdr:pic>
      <xdr:nvPicPr>
        <xdr:cNvPr id="5" name="Picture 4" hidden="1">
          <a:extLst>
            <a:ext uri="{FF2B5EF4-FFF2-40B4-BE49-F238E27FC236}">
              <a16:creationId xmlns:a16="http://schemas.microsoft.com/office/drawing/2014/main" id="{8C1AB6D6-5332-E84A-B178-D32AACF64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889000"/>
          <a:ext cx="1757829" cy="11161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50800</xdr:rowOff>
    </xdr:from>
    <xdr:to>
      <xdr:col>4</xdr:col>
      <xdr:colOff>317500</xdr:colOff>
      <xdr:row>17</xdr:row>
      <xdr:rowOff>8829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57CE6B6-DBAD-D940-8F75-005F1B7D5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25500" y="1651000"/>
          <a:ext cx="3746500" cy="155822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15</xdr:col>
      <xdr:colOff>127000</xdr:colOff>
      <xdr:row>52</xdr:row>
      <xdr:rowOff>0</xdr:rowOff>
    </xdr:to>
    <xdr:pic>
      <xdr:nvPicPr>
        <xdr:cNvPr id="2" name="Picture 1" descr="Collage of objects discovered by Caroling Herschel">
          <a:extLst>
            <a:ext uri="{FF2B5EF4-FFF2-40B4-BE49-F238E27FC236}">
              <a16:creationId xmlns:a16="http://schemas.microsoft.com/office/drawing/2014/main" id="{E87E72D7-2451-BC00-23FF-D3FA08579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90500"/>
          <a:ext cx="11684000" cy="9334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astronomy-morsels.ch/" TargetMode="External"/><Relationship Id="rId1" Type="http://schemas.openxmlformats.org/officeDocument/2006/relationships/hyperlink" Target="mailto:anton@astronomy-morsels.ch?subject=Eclipse%20Dat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https://www.youtube.com/watch?v=meYXHgZgyWg" TargetMode="External"/><Relationship Id="rId1" Type="http://schemas.openxmlformats.org/officeDocument/2006/relationships/hyperlink" Target="https://skyandtelescope.org/astronomy-news/explore-caroline-herschels-celestial-showpiec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940F-4CFD-5843-94DF-BBFEAA1B2116}">
  <sheetPr codeName="Sheet4"/>
  <dimension ref="A2:Q40"/>
  <sheetViews>
    <sheetView showGridLines="0" tabSelected="1" workbookViewId="0">
      <selection activeCell="I17" sqref="I17"/>
    </sheetView>
  </sheetViews>
  <sheetFormatPr baseColWidth="10" defaultRowHeight="16"/>
  <cols>
    <col min="1" max="16384" width="10.83203125" style="37"/>
  </cols>
  <sheetData>
    <row r="2" spans="2:11" ht="15" customHeight="1"/>
    <row r="3" spans="2:11" ht="16" customHeight="1">
      <c r="B3" s="155" t="s">
        <v>427</v>
      </c>
      <c r="C3" s="155"/>
      <c r="D3" s="155"/>
      <c r="E3" s="155"/>
      <c r="F3" s="155"/>
      <c r="G3" s="155"/>
      <c r="H3" s="155"/>
      <c r="I3" s="155"/>
      <c r="J3" s="155"/>
      <c r="K3" s="155"/>
    </row>
    <row r="4" spans="2:11" ht="16" customHeight="1">
      <c r="B4" s="155"/>
      <c r="C4" s="155"/>
      <c r="D4" s="155"/>
      <c r="E4" s="155"/>
      <c r="F4" s="155"/>
      <c r="G4" s="155"/>
      <c r="H4" s="155"/>
      <c r="I4" s="155"/>
      <c r="J4" s="155"/>
      <c r="K4" s="155"/>
    </row>
    <row r="5" spans="2:11" ht="16" customHeight="1">
      <c r="B5" s="155"/>
      <c r="C5" s="155"/>
      <c r="D5" s="155"/>
      <c r="E5" s="155"/>
      <c r="F5" s="155"/>
      <c r="G5" s="155"/>
      <c r="H5" s="155"/>
      <c r="I5" s="155"/>
      <c r="J5" s="155"/>
      <c r="K5" s="155"/>
    </row>
    <row r="6" spans="2:11" ht="16" customHeight="1">
      <c r="B6" s="155"/>
      <c r="C6" s="155"/>
      <c r="D6" s="155"/>
      <c r="E6" s="155"/>
      <c r="F6" s="155"/>
      <c r="G6" s="155"/>
      <c r="H6" s="155"/>
      <c r="I6" s="155"/>
      <c r="J6" s="155"/>
      <c r="K6" s="155"/>
    </row>
    <row r="7" spans="2:11" ht="16" customHeight="1">
      <c r="B7" s="155"/>
      <c r="C7" s="155"/>
      <c r="D7" s="155"/>
      <c r="E7" s="155"/>
      <c r="F7" s="155"/>
      <c r="G7" s="155"/>
      <c r="H7" s="155"/>
      <c r="I7" s="155"/>
      <c r="J7" s="155"/>
      <c r="K7" s="155"/>
    </row>
    <row r="8" spans="2:11" ht="16" customHeight="1">
      <c r="B8" s="155"/>
      <c r="C8" s="155"/>
      <c r="D8" s="155"/>
      <c r="E8" s="155"/>
      <c r="F8" s="155"/>
      <c r="G8" s="155"/>
      <c r="H8" s="155"/>
      <c r="I8" s="155"/>
      <c r="J8" s="155"/>
      <c r="K8" s="155"/>
    </row>
    <row r="9" spans="2:11" ht="16" customHeight="1">
      <c r="B9" s="155"/>
      <c r="C9" s="155"/>
      <c r="D9" s="155"/>
      <c r="E9" s="155"/>
      <c r="F9" s="155"/>
      <c r="G9" s="155"/>
      <c r="H9" s="155"/>
      <c r="I9" s="155"/>
      <c r="J9" s="155"/>
      <c r="K9" s="155"/>
    </row>
    <row r="10" spans="2:11" ht="16" customHeight="1">
      <c r="B10" s="155"/>
      <c r="C10" s="155"/>
      <c r="D10" s="155"/>
      <c r="E10" s="155"/>
      <c r="F10" s="155"/>
      <c r="G10" s="155"/>
      <c r="H10" s="155"/>
      <c r="I10" s="155"/>
      <c r="J10" s="155"/>
      <c r="K10" s="155"/>
    </row>
    <row r="14" spans="2:11" ht="19">
      <c r="D14" s="1" t="s">
        <v>4</v>
      </c>
      <c r="E14" s="2"/>
      <c r="F14" s="3"/>
      <c r="G14" s="3"/>
      <c r="H14" s="3"/>
      <c r="I14" s="4" t="s">
        <v>0</v>
      </c>
    </row>
    <row r="15" spans="2:11" ht="19">
      <c r="D15" s="5"/>
      <c r="E15" s="6"/>
      <c r="F15" s="7"/>
      <c r="G15" s="7"/>
      <c r="H15" s="7"/>
      <c r="I15" s="8"/>
    </row>
    <row r="16" spans="2:11" ht="19">
      <c r="D16" s="9" t="s">
        <v>446</v>
      </c>
      <c r="E16" s="10"/>
      <c r="F16" s="11"/>
      <c r="G16" s="11"/>
      <c r="H16" s="11"/>
      <c r="I16" s="12" t="s">
        <v>476</v>
      </c>
    </row>
    <row r="23" spans="3:15">
      <c r="O23" s="38"/>
    </row>
    <row r="26" spans="3:15">
      <c r="C26" s="38"/>
    </row>
    <row r="29" spans="3:15">
      <c r="D29" s="38"/>
    </row>
    <row r="34" spans="1:17">
      <c r="Q34" s="38"/>
    </row>
    <row r="35" spans="1:17">
      <c r="A35" s="38"/>
    </row>
    <row r="36" spans="1:17">
      <c r="B36" s="146" t="s">
        <v>1</v>
      </c>
      <c r="C36" s="147"/>
      <c r="D36" s="147"/>
      <c r="E36" s="147"/>
      <c r="F36" s="147"/>
      <c r="G36" s="147"/>
      <c r="H36" s="147"/>
      <c r="I36" s="147"/>
      <c r="J36" s="147"/>
      <c r="K36" s="148"/>
    </row>
    <row r="37" spans="1:17">
      <c r="B37" s="149" t="s">
        <v>2</v>
      </c>
      <c r="C37" s="150"/>
      <c r="D37" s="150"/>
      <c r="E37" s="150"/>
      <c r="F37" s="150"/>
      <c r="G37" s="150"/>
      <c r="H37" s="150"/>
      <c r="I37" s="150"/>
      <c r="J37" s="150"/>
      <c r="K37" s="151"/>
    </row>
    <row r="38" spans="1:17">
      <c r="B38" s="152" t="s">
        <v>3</v>
      </c>
      <c r="C38" s="153"/>
      <c r="D38" s="153"/>
      <c r="E38" s="153"/>
      <c r="F38" s="153"/>
      <c r="G38" s="153"/>
      <c r="H38" s="153"/>
      <c r="I38" s="153"/>
      <c r="J38" s="153"/>
      <c r="K38" s="154"/>
    </row>
    <row r="40" spans="1:17">
      <c r="Q40" s="38"/>
    </row>
  </sheetData>
  <sheetProtection sheet="1" objects="1" scenarios="1"/>
  <mergeCells count="4">
    <mergeCell ref="B36:K36"/>
    <mergeCell ref="B37:K37"/>
    <mergeCell ref="B38:K38"/>
    <mergeCell ref="B3:K10"/>
  </mergeCells>
  <hyperlinks>
    <hyperlink ref="I14" r:id="rId1" xr:uid="{60E68FAD-CE54-204D-BE8F-AA8992F34899}"/>
    <hyperlink ref="B36" r:id="rId2" display="http://www.astronomy-morsels.ch/" xr:uid="{658673F1-EC19-9849-A093-CD89D563BEA6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65CC5-610B-8844-8C0F-9B63B3EF5C5D}">
  <sheetPr codeName="Sheet1"/>
  <dimension ref="B2:X409"/>
  <sheetViews>
    <sheetView showGridLines="0" workbookViewId="0">
      <selection activeCell="D19" sqref="D19"/>
    </sheetView>
  </sheetViews>
  <sheetFormatPr baseColWidth="10" defaultRowHeight="16"/>
  <cols>
    <col min="1" max="1" width="10.83203125" style="13"/>
    <col min="2" max="2" width="13.33203125" style="13" customWidth="1"/>
    <col min="3" max="4" width="11.33203125" style="13" customWidth="1"/>
    <col min="5" max="5" width="5.83203125" style="13" customWidth="1"/>
    <col min="6" max="6" width="4.83203125" style="13" customWidth="1"/>
    <col min="7" max="7" width="11.33203125" style="13" customWidth="1"/>
    <col min="8" max="8" width="13.33203125" style="13" customWidth="1"/>
    <col min="9" max="9" width="10.83203125" style="14" customWidth="1"/>
    <col min="10" max="10" width="10.83203125" style="13"/>
    <col min="11" max="11" width="10.83203125" style="14" customWidth="1"/>
    <col min="12" max="13" width="10.83203125" style="13"/>
    <col min="14" max="14" width="5.83203125" style="13" customWidth="1"/>
    <col min="15" max="15" width="10.83203125" style="13" hidden="1" customWidth="1"/>
    <col min="16" max="16" width="4.83203125" style="14" customWidth="1"/>
    <col min="17" max="17" width="11.33203125" style="14" customWidth="1"/>
    <col min="18" max="18" width="20.83203125" style="14" customWidth="1"/>
    <col min="19" max="19" width="10.83203125" style="13"/>
    <col min="20" max="20" width="10.5" style="13" customWidth="1"/>
    <col min="21" max="21" width="10.83203125" style="13" hidden="1" customWidth="1"/>
    <col min="22" max="23" width="0.1640625" style="13" hidden="1" customWidth="1"/>
    <col min="24" max="16384" width="10.83203125" style="13"/>
  </cols>
  <sheetData>
    <row r="2" spans="2:24" ht="19">
      <c r="B2" s="159" t="s">
        <v>430</v>
      </c>
      <c r="C2" s="160"/>
      <c r="D2" s="77"/>
      <c r="F2" s="159" t="s">
        <v>431</v>
      </c>
      <c r="G2" s="161"/>
      <c r="H2" s="161"/>
      <c r="I2" s="161"/>
      <c r="J2" s="161"/>
      <c r="K2" s="161"/>
      <c r="L2" s="161"/>
      <c r="M2" s="162"/>
      <c r="P2" s="163" t="s">
        <v>432</v>
      </c>
      <c r="Q2" s="164"/>
      <c r="R2" s="164"/>
      <c r="S2" s="164"/>
      <c r="T2" s="164"/>
      <c r="U2" s="164"/>
      <c r="V2" s="164"/>
      <c r="W2" s="165"/>
      <c r="X2" s="47"/>
    </row>
    <row r="3" spans="2:24">
      <c r="B3" s="140"/>
      <c r="C3" s="54" t="s">
        <v>7</v>
      </c>
      <c r="D3" s="78"/>
      <c r="E3" s="15"/>
      <c r="F3" s="69"/>
      <c r="G3" s="70"/>
      <c r="H3" s="70"/>
      <c r="I3" s="16" t="s">
        <v>5</v>
      </c>
      <c r="J3" s="16" t="s">
        <v>5</v>
      </c>
      <c r="K3" s="63"/>
      <c r="L3" s="63"/>
      <c r="M3" s="64"/>
      <c r="P3" s="138" t="str">
        <f>CONCATENATE("Date: ",TEXT(C4,"DD.MM.YYYY"),",   Time: ",TEXT(C5,"HH:MM"))</f>
        <v>Date: 12.05.2024,   Time: 22:00</v>
      </c>
      <c r="Q3" s="59"/>
      <c r="R3" s="59"/>
      <c r="S3" s="60"/>
      <c r="T3" s="75" t="str">
        <f>CONCATENATE("Moon: ",TEXT(Illumination!C8*100,"0.00"),"%")</f>
        <v>Moon: 25.68%</v>
      </c>
    </row>
    <row r="4" spans="2:24">
      <c r="B4" s="19" t="s">
        <v>13</v>
      </c>
      <c r="C4" s="25">
        <v>45424</v>
      </c>
      <c r="D4" s="79"/>
      <c r="E4" s="15"/>
      <c r="F4" s="69"/>
      <c r="G4" s="70"/>
      <c r="H4" s="71"/>
      <c r="I4" s="17">
        <v>50</v>
      </c>
      <c r="J4" s="17">
        <v>15</v>
      </c>
      <c r="K4" s="63"/>
      <c r="L4" s="63"/>
      <c r="M4" s="64"/>
      <c r="P4" s="138" t="str">
        <f>CONCATENATE("Latitude: ",TEXT(C13,"0.00"),",      Longitude: ",TEXT(C14,"0.00"),"   (",C12,")")</f>
        <v>Latitude: 46.45,      Longitude: 7.42   (Home)</v>
      </c>
      <c r="Q4" s="59"/>
      <c r="R4" s="59"/>
      <c r="S4" s="61"/>
      <c r="T4" s="75" t="str">
        <f>CONCATENATE("# total:       ",TEXT(400-COUNTBLANK(($E$8:$E$407)),"0"))</f>
        <v># total:       148</v>
      </c>
    </row>
    <row r="5" spans="2:24">
      <c r="B5" s="22" t="s">
        <v>14</v>
      </c>
      <c r="C5" s="74">
        <v>0.91666666666666663</v>
      </c>
      <c r="D5" s="80"/>
      <c r="E5" s="15"/>
      <c r="F5" s="69"/>
      <c r="G5" s="70"/>
      <c r="H5" s="71"/>
      <c r="I5" s="16" t="s">
        <v>6</v>
      </c>
      <c r="J5" s="16" t="s">
        <v>6</v>
      </c>
      <c r="K5" s="63"/>
      <c r="L5" s="63"/>
      <c r="M5" s="64"/>
      <c r="P5" s="139" t="str">
        <f>CONCATENATE("Limits: ",TEXT(I4,"0")," &lt;= azimuth &lt;= ",TEXT(I6,"0"),",   ",TEXT(J4,"0")," &lt;= altitude &lt;= ",TEXT(J6,"0"))</f>
        <v>Limits: 50 &lt;= azimuth &lt;= 270,   15 &lt;= altitude &lt;= 90</v>
      </c>
      <c r="Q5" s="59"/>
      <c r="R5" s="59"/>
      <c r="S5" s="62"/>
      <c r="T5" s="75" t="str">
        <f>CONCATENATE("# selected: ",TEXT(400-COUNTBLANK(($P$8:$P$407)),"0"))</f>
        <v># selected: 148</v>
      </c>
    </row>
    <row r="6" spans="2:24">
      <c r="B6" s="22" t="s">
        <v>15</v>
      </c>
      <c r="C6" s="26">
        <v>1</v>
      </c>
      <c r="D6" s="81"/>
      <c r="E6" s="15"/>
      <c r="F6" s="72"/>
      <c r="G6" s="73"/>
      <c r="H6" s="67"/>
      <c r="I6" s="17">
        <v>270</v>
      </c>
      <c r="J6" s="17">
        <v>90</v>
      </c>
      <c r="K6" s="66"/>
      <c r="L6" s="66"/>
      <c r="M6" s="68"/>
      <c r="P6" s="65"/>
      <c r="Q6" s="66"/>
      <c r="R6" s="66"/>
      <c r="S6" s="67"/>
      <c r="T6" s="68"/>
    </row>
    <row r="7" spans="2:24" ht="19">
      <c r="B7" s="19" t="s">
        <v>16</v>
      </c>
      <c r="C7" s="16" t="str">
        <f>IF(OR(MOD(YEAR(C4),400)=0,AND(MOD(YEAR(C4),4)=0,MOD(YEAR(C4),100)&lt;&gt;0)),"Y", "N")</f>
        <v>Y</v>
      </c>
      <c r="D7" s="20"/>
      <c r="E7" s="15"/>
      <c r="F7" s="39" t="s">
        <v>426</v>
      </c>
      <c r="G7" s="40" t="str">
        <f>C17</f>
        <v>Observed?</v>
      </c>
      <c r="H7" s="40" t="s">
        <v>25</v>
      </c>
      <c r="I7" s="39" t="s">
        <v>8</v>
      </c>
      <c r="J7" s="39" t="s">
        <v>9</v>
      </c>
      <c r="K7" s="39" t="s">
        <v>10</v>
      </c>
      <c r="L7" s="39" t="s">
        <v>11</v>
      </c>
      <c r="M7" s="39" t="s">
        <v>12</v>
      </c>
      <c r="N7" s="41"/>
      <c r="O7" s="41"/>
      <c r="P7" s="40" t="s">
        <v>426</v>
      </c>
      <c r="Q7" s="40" t="str">
        <f>C17</f>
        <v>Observed?</v>
      </c>
      <c r="R7" s="40" t="s">
        <v>25</v>
      </c>
      <c r="S7" s="39" t="s">
        <v>8</v>
      </c>
      <c r="T7" s="39" t="s">
        <v>9</v>
      </c>
      <c r="U7" s="18" t="s">
        <v>10</v>
      </c>
      <c r="V7" s="18" t="s">
        <v>11</v>
      </c>
      <c r="W7" s="18" t="s">
        <v>12</v>
      </c>
    </row>
    <row r="8" spans="2:24">
      <c r="B8" s="19" t="s">
        <v>17</v>
      </c>
      <c r="C8" s="27">
        <f>INT(275*MONTH(C4)/9)-IF(C7="Y",1,2)*INT((MONTH(C4)+9)/12)+DAY(C4)-30</f>
        <v>133</v>
      </c>
      <c r="D8" s="82"/>
      <c r="E8" s="20" t="str">
        <f>IF(AND(J8&gt;=$J$4,J8&lt;=$J$6,I8&gt;=$I$4,I8&lt;=$I$6),IF(VLOOKUP(G8,$C$19:$D$24,2,FALSE)="yes","*","-"),"")</f>
        <v/>
      </c>
      <c r="F8" s="32">
        <v>1</v>
      </c>
      <c r="G8" s="76" t="s">
        <v>440</v>
      </c>
      <c r="H8" s="28" t="s">
        <v>26</v>
      </c>
      <c r="I8" s="21">
        <f>IF(SIN($M$409*M8)&lt;0,ACOS((SIN($M$409*L8)-SIN($M$409*J8)*SIN($M$409*$C$13))/(COS($M$409*J8)*COS($M$409*$C$13)))/$M$409,360-ACOS((SIN($M$409*L8)-SIN($M$409*J8)*SIN($M$409*$C$13))/(COS($M$409*J8)*COS($M$409*$C$13)))/$M$409)</f>
        <v>3.5342834820531737</v>
      </c>
      <c r="J8" s="21">
        <f t="shared" ref="J8:J71" si="0">ASIN(SIN($M$409*L8)*SIN($M$409*$C$13)+COS($M$409*L8)*COS($M$409*$C$13)*COS($M$409*M8))/$M$409</f>
        <v>29.20301907518926</v>
      </c>
      <c r="K8" s="30">
        <v>0.21666666666666667</v>
      </c>
      <c r="L8" s="33">
        <v>72.533333333333331</v>
      </c>
      <c r="M8" s="21">
        <f t="shared" ref="M8:M71" si="1">$C$16-((K8/24)*360)</f>
        <v>190.32769224984622</v>
      </c>
      <c r="O8" s="13" t="str" cm="1">
        <f t="array" ref="O8:W155">_xlfn._xlws.FILTER(E8:M407,E8:E407="*","")</f>
        <v>*</v>
      </c>
      <c r="P8" s="42">
        <v>124</v>
      </c>
      <c r="Q8" s="43" t="str">
        <v>-</v>
      </c>
      <c r="R8" s="43" t="str">
        <v>NGC 2775</v>
      </c>
      <c r="S8" s="48">
        <v>248.87913750214312</v>
      </c>
      <c r="T8" s="49">
        <v>28.105539310086982</v>
      </c>
      <c r="U8" s="13">
        <v>9.1716666666666669</v>
      </c>
      <c r="V8" s="13">
        <v>7.0333333333333332</v>
      </c>
      <c r="W8" s="13">
        <v>56.002692249846234</v>
      </c>
    </row>
    <row r="9" spans="2:24" ht="17">
      <c r="B9" s="19" t="s">
        <v>18</v>
      </c>
      <c r="C9" s="27" t="str">
        <f>IF(INT(MOD(C10+1.5,7))=1,"Monday",IF(INT(MOD(C10+1.5,7))=2,"Tuesday",IF(INT(MOD(C10+1.5,7))=3,"Wednesday",IF(INT(MOD(C10+1.5,7))=4,"Thursday",IF(INT(MOD(C10+1.5,7))=5,"Friday",IF(INT(MOD(C10+1.5,7))=6,"Saturday","Sunday"))))))</f>
        <v>Sunday</v>
      </c>
      <c r="D9" s="82"/>
      <c r="E9" s="20" t="str">
        <f t="shared" ref="E9:E72" si="2">IF(AND(J9&gt;=$J$4,J9&lt;=$J$6,I9&gt;=$I$4,I9&lt;=$I$6),IF(VLOOKUP(G9,$C$19:$D$24,2,FALSE)="yes","*","-"),"")</f>
        <v/>
      </c>
      <c r="F9" s="32">
        <f>F8+1</f>
        <v>2</v>
      </c>
      <c r="G9" s="76" t="s">
        <v>440</v>
      </c>
      <c r="H9" s="29" t="s">
        <v>69</v>
      </c>
      <c r="I9" s="21">
        <f t="shared" ref="I9:I72" si="3">IF(SIN($M$409*M9)&lt;0,ACOS((SIN($M$409*L9)-SIN($M$409*J9)*SIN($M$409*$C$13))/(COS($M$409*J9)*COS($M$409*$C$13)))/$M$409,360-ACOS((SIN($M$409*L9)-SIN($M$409*J9)*SIN($M$409*$C$13))/(COS($M$409*J9)*COS($M$409*$C$13)))/$M$409)</f>
        <v>3.1604865673328226</v>
      </c>
      <c r="J9" s="21">
        <f t="shared" si="0"/>
        <v>16.799315768635761</v>
      </c>
      <c r="K9" s="30">
        <v>0.49833333333333329</v>
      </c>
      <c r="L9" s="33">
        <v>60.233333333333334</v>
      </c>
      <c r="M9" s="21">
        <f t="shared" si="1"/>
        <v>186.10269224984623</v>
      </c>
      <c r="O9" s="13" t="str">
        <v>*</v>
      </c>
      <c r="P9" s="44">
        <v>130</v>
      </c>
      <c r="Q9" s="14" t="str">
        <v>-</v>
      </c>
      <c r="R9" s="14" t="str">
        <v>NGC 2903</v>
      </c>
      <c r="S9" s="50">
        <v>256.21832570189264</v>
      </c>
      <c r="T9" s="51">
        <v>42.310384598159857</v>
      </c>
      <c r="U9" s="13">
        <v>9.5366666666666671</v>
      </c>
      <c r="V9" s="13">
        <v>21.5</v>
      </c>
      <c r="W9" s="13">
        <v>50.527692249846211</v>
      </c>
    </row>
    <row r="10" spans="2:24" ht="17">
      <c r="B10" s="19" t="s">
        <v>19</v>
      </c>
      <c r="C10" s="55">
        <f>367*YEAR(C4)-INT(7/4*YEAR(C4))-INT(3*(INT((YEAR(C4)-8/7)/100)+1)/4)+1721059.5-1+C8+(3600*HOUR(C5)+60*MINUTE(C5)+SECOND(C5))/(24*3600)</f>
        <v>2460443.4166666665</v>
      </c>
      <c r="D10" s="83"/>
      <c r="E10" s="20" t="str">
        <f t="shared" si="2"/>
        <v/>
      </c>
      <c r="F10" s="32">
        <f t="shared" ref="F10:F73" si="4">F9+1</f>
        <v>3</v>
      </c>
      <c r="G10" s="76" t="s">
        <v>440</v>
      </c>
      <c r="H10" s="29" t="s">
        <v>70</v>
      </c>
      <c r="I10" s="21">
        <f t="shared" si="3"/>
        <v>2.8558410441836601</v>
      </c>
      <c r="J10" s="21">
        <f t="shared" si="0"/>
        <v>18.08126665970153</v>
      </c>
      <c r="K10" s="30">
        <v>0.52500000000000002</v>
      </c>
      <c r="L10" s="33">
        <v>61.533333333333331</v>
      </c>
      <c r="M10" s="21">
        <f t="shared" si="1"/>
        <v>185.70269224984622</v>
      </c>
      <c r="O10" s="13" t="str">
        <v>*</v>
      </c>
      <c r="P10" s="44">
        <v>132</v>
      </c>
      <c r="Q10" s="14" t="str">
        <v>-</v>
      </c>
      <c r="R10" s="14" t="str">
        <v>NGC 2964</v>
      </c>
      <c r="S10" s="50">
        <v>265.50176934638625</v>
      </c>
      <c r="T10" s="51">
        <v>50.821839105797707</v>
      </c>
      <c r="U10" s="13">
        <v>9.7149999999999999</v>
      </c>
      <c r="V10" s="13">
        <v>31.85</v>
      </c>
      <c r="W10" s="13">
        <v>47.852692249846228</v>
      </c>
    </row>
    <row r="11" spans="2:24" ht="17">
      <c r="B11" s="19" t="s">
        <v>20</v>
      </c>
      <c r="C11" s="55">
        <f>C10-2451545</f>
        <v>8898.4166666665114</v>
      </c>
      <c r="D11" s="83"/>
      <c r="E11" s="20" t="str">
        <f t="shared" si="2"/>
        <v/>
      </c>
      <c r="F11" s="32">
        <f t="shared" si="4"/>
        <v>4</v>
      </c>
      <c r="G11" s="76" t="s">
        <v>440</v>
      </c>
      <c r="H11" s="29" t="s">
        <v>71</v>
      </c>
      <c r="I11" s="21">
        <f t="shared" si="3"/>
        <v>7.803961123046105</v>
      </c>
      <c r="J11" s="21">
        <f t="shared" si="0"/>
        <v>-51.7211196010607</v>
      </c>
      <c r="K11" s="30">
        <v>0.57999999999999996</v>
      </c>
      <c r="L11" s="33">
        <v>-8.4</v>
      </c>
      <c r="M11" s="21">
        <f t="shared" si="1"/>
        <v>184.87769224984623</v>
      </c>
      <c r="O11" s="13" t="str">
        <v>*</v>
      </c>
      <c r="P11" s="44">
        <v>133</v>
      </c>
      <c r="Q11" s="14" t="str">
        <v>-</v>
      </c>
      <c r="R11" s="14" t="str">
        <v>NGC 2974</v>
      </c>
      <c r="S11" s="50">
        <v>234.46293122659372</v>
      </c>
      <c r="T11" s="51">
        <v>24.452248281513189</v>
      </c>
      <c r="U11" s="13">
        <v>9.7100000000000009</v>
      </c>
      <c r="V11" s="13">
        <v>-3.7</v>
      </c>
      <c r="W11" s="13">
        <v>47.927692249846217</v>
      </c>
    </row>
    <row r="12" spans="2:24" ht="17">
      <c r="B12" s="58" t="s">
        <v>437</v>
      </c>
      <c r="C12" s="92" t="s">
        <v>438</v>
      </c>
      <c r="D12" s="84"/>
      <c r="E12" s="20" t="str">
        <f t="shared" si="2"/>
        <v/>
      </c>
      <c r="F12" s="32">
        <f t="shared" si="4"/>
        <v>5</v>
      </c>
      <c r="G12" s="76" t="s">
        <v>440</v>
      </c>
      <c r="H12" s="29" t="s">
        <v>35</v>
      </c>
      <c r="I12" s="21">
        <f t="shared" si="3"/>
        <v>2.5526932388635304</v>
      </c>
      <c r="J12" s="21">
        <f t="shared" si="0"/>
        <v>4.8420813672657257</v>
      </c>
      <c r="K12" s="30">
        <v>0.65</v>
      </c>
      <c r="L12" s="33">
        <v>48.333333333333336</v>
      </c>
      <c r="M12" s="21">
        <f t="shared" si="1"/>
        <v>183.82769224984622</v>
      </c>
      <c r="O12" s="13" t="str">
        <v>*</v>
      </c>
      <c r="P12" s="44">
        <v>139</v>
      </c>
      <c r="Q12" s="14" t="str">
        <v>-</v>
      </c>
      <c r="R12" s="14" t="str">
        <v>NGC 3115</v>
      </c>
      <c r="S12" s="50">
        <v>226.89595007494353</v>
      </c>
      <c r="T12" s="51">
        <v>24.069341661237885</v>
      </c>
      <c r="U12" s="13">
        <v>10.086666666666666</v>
      </c>
      <c r="V12" s="13">
        <v>-7.7166666666666668</v>
      </c>
      <c r="W12" s="13">
        <v>42.27769224984624</v>
      </c>
    </row>
    <row r="13" spans="2:24" ht="17">
      <c r="B13" s="23" t="s">
        <v>21</v>
      </c>
      <c r="C13" s="142">
        <f>VLOOKUP(C12,$B$29:$D$33,2,FALSE)</f>
        <v>46.45</v>
      </c>
      <c r="D13" s="85"/>
      <c r="E13" s="20" t="str">
        <f t="shared" si="2"/>
        <v/>
      </c>
      <c r="F13" s="32">
        <f t="shared" si="4"/>
        <v>6</v>
      </c>
      <c r="G13" s="76" t="s">
        <v>440</v>
      </c>
      <c r="H13" s="29" t="s">
        <v>72</v>
      </c>
      <c r="I13" s="21">
        <f t="shared" si="3"/>
        <v>2.597845285876518</v>
      </c>
      <c r="J13" s="21">
        <f t="shared" si="0"/>
        <v>-1.8123473671673118</v>
      </c>
      <c r="K13" s="30">
        <v>0.67333333333333334</v>
      </c>
      <c r="L13" s="33">
        <v>41.68333333333333</v>
      </c>
      <c r="M13" s="21">
        <f t="shared" si="1"/>
        <v>183.47769224984623</v>
      </c>
      <c r="O13" s="13" t="str">
        <v>*</v>
      </c>
      <c r="P13" s="44">
        <v>141</v>
      </c>
      <c r="Q13" s="14" t="str">
        <v>-</v>
      </c>
      <c r="R13" s="14" t="str">
        <v>NGC 3166</v>
      </c>
      <c r="S13" s="50">
        <v>231.49018742952489</v>
      </c>
      <c r="T13" s="51">
        <v>34.699032742858535</v>
      </c>
      <c r="U13" s="13">
        <v>10.23</v>
      </c>
      <c r="V13" s="13">
        <v>3.4333333333333336</v>
      </c>
      <c r="W13" s="13">
        <v>40.127692249846206</v>
      </c>
    </row>
    <row r="14" spans="2:24" ht="17">
      <c r="B14" s="19" t="s">
        <v>22</v>
      </c>
      <c r="C14" s="142">
        <f>VLOOKUP(C12,$B$29:$D$33,3,FALSE)</f>
        <v>7.42</v>
      </c>
      <c r="D14" s="85"/>
      <c r="E14" s="20" t="str">
        <f t="shared" si="2"/>
        <v/>
      </c>
      <c r="F14" s="32">
        <f t="shared" si="4"/>
        <v>7</v>
      </c>
      <c r="G14" s="76" t="s">
        <v>440</v>
      </c>
      <c r="H14" s="29" t="s">
        <v>73</v>
      </c>
      <c r="I14" s="21">
        <f t="shared" si="3"/>
        <v>1.3576377415471375</v>
      </c>
      <c r="J14" s="21">
        <f t="shared" si="0"/>
        <v>18.255599807120291</v>
      </c>
      <c r="K14" s="30">
        <v>0.72333333333333327</v>
      </c>
      <c r="L14" s="33">
        <v>61.783333333333331</v>
      </c>
      <c r="M14" s="21">
        <f t="shared" si="1"/>
        <v>182.72769224984623</v>
      </c>
      <c r="O14" s="13" t="str">
        <v>*</v>
      </c>
      <c r="P14" s="44">
        <v>142</v>
      </c>
      <c r="Q14" s="14" t="str">
        <v>-</v>
      </c>
      <c r="R14" s="14" t="str">
        <v>NGC 3169</v>
      </c>
      <c r="S14" s="50">
        <v>231.40983127346917</v>
      </c>
      <c r="T14" s="51">
        <v>34.780975554956171</v>
      </c>
      <c r="U14" s="13">
        <v>10.236666666666666</v>
      </c>
      <c r="V14" s="13">
        <v>3.4666666666666668</v>
      </c>
      <c r="W14" s="13">
        <v>40.027692249846211</v>
      </c>
    </row>
    <row r="15" spans="2:24">
      <c r="B15" s="19" t="s">
        <v>23</v>
      </c>
      <c r="C15" s="24">
        <f>MOD(HOUR(C5)+(MINUTE(C5)/60)+(SECOND(C5)/60)-C6,24)</f>
        <v>21</v>
      </c>
      <c r="D15" s="86"/>
      <c r="E15" s="20" t="str">
        <f t="shared" si="2"/>
        <v/>
      </c>
      <c r="F15" s="32">
        <f t="shared" si="4"/>
        <v>8</v>
      </c>
      <c r="G15" s="76" t="s">
        <v>440</v>
      </c>
      <c r="H15" s="28" t="s">
        <v>61</v>
      </c>
      <c r="I15" s="21">
        <f t="shared" si="3"/>
        <v>3.1506249402929845</v>
      </c>
      <c r="J15" s="21">
        <f t="shared" si="0"/>
        <v>-55.398710182224576</v>
      </c>
      <c r="K15" s="30">
        <v>0.78333333333333333</v>
      </c>
      <c r="L15" s="33">
        <v>-11.883333333333333</v>
      </c>
      <c r="M15" s="21">
        <f t="shared" si="1"/>
        <v>181.82769224984622</v>
      </c>
      <c r="O15" s="13" t="str">
        <v>*</v>
      </c>
      <c r="P15" s="44">
        <v>144</v>
      </c>
      <c r="Q15" s="14" t="str">
        <v>-</v>
      </c>
      <c r="R15" s="14" t="str">
        <v>NGC 3190</v>
      </c>
      <c r="S15" s="50">
        <v>245.52475965437333</v>
      </c>
      <c r="T15" s="51">
        <v>50.015183016121227</v>
      </c>
      <c r="U15" s="13">
        <v>10.301666666666666</v>
      </c>
      <c r="V15" s="13">
        <v>21.833333333333332</v>
      </c>
      <c r="W15" s="13">
        <v>39.052692249846217</v>
      </c>
    </row>
    <row r="16" spans="2:24" ht="17">
      <c r="B16" s="19" t="s">
        <v>24</v>
      </c>
      <c r="C16" s="24">
        <f>MOD(100.46+0.985647*C11+C14+15*C15, 360)</f>
        <v>193.57769224984622</v>
      </c>
      <c r="D16" s="86"/>
      <c r="E16" s="20" t="str">
        <f t="shared" si="2"/>
        <v/>
      </c>
      <c r="F16" s="32">
        <f t="shared" si="4"/>
        <v>9</v>
      </c>
      <c r="G16" s="76" t="s">
        <v>440</v>
      </c>
      <c r="H16" s="29" t="s">
        <v>65</v>
      </c>
      <c r="I16" s="21">
        <f t="shared" si="3"/>
        <v>3.8856199842689851</v>
      </c>
      <c r="J16" s="21">
        <f t="shared" si="0"/>
        <v>-64.274547975313126</v>
      </c>
      <c r="K16" s="30">
        <v>0.78500000000000003</v>
      </c>
      <c r="L16" s="33">
        <v>-20.766666666666666</v>
      </c>
      <c r="M16" s="21">
        <f t="shared" si="1"/>
        <v>181.80269224984622</v>
      </c>
      <c r="O16" s="13" t="str">
        <v>*</v>
      </c>
      <c r="P16" s="44">
        <v>145</v>
      </c>
      <c r="Q16" s="14" t="str">
        <v>-</v>
      </c>
      <c r="R16" s="14" t="str">
        <v>NGC 3193</v>
      </c>
      <c r="S16" s="50">
        <v>245.51499455222407</v>
      </c>
      <c r="T16" s="51">
        <v>50.111359220362978</v>
      </c>
      <c r="U16" s="13">
        <v>10.306666666666667</v>
      </c>
      <c r="V16" s="13">
        <v>21.9</v>
      </c>
      <c r="W16" s="13">
        <v>38.977692249846228</v>
      </c>
    </row>
    <row r="17" spans="2:23" ht="17">
      <c r="B17" s="28" t="s">
        <v>433</v>
      </c>
      <c r="C17" s="57" t="s">
        <v>434</v>
      </c>
      <c r="D17" s="87"/>
      <c r="E17" s="20" t="str">
        <f t="shared" si="2"/>
        <v/>
      </c>
      <c r="F17" s="32">
        <f t="shared" si="4"/>
        <v>10</v>
      </c>
      <c r="G17" s="76" t="s">
        <v>440</v>
      </c>
      <c r="H17" s="29" t="s">
        <v>67</v>
      </c>
      <c r="I17" s="21">
        <f t="shared" si="3"/>
        <v>4.1963582219554736</v>
      </c>
      <c r="J17" s="21">
        <f t="shared" si="0"/>
        <v>-68.790998305539233</v>
      </c>
      <c r="K17" s="30">
        <v>0.79333333333333333</v>
      </c>
      <c r="L17" s="33">
        <v>-25.283333333333335</v>
      </c>
      <c r="M17" s="21">
        <f t="shared" si="1"/>
        <v>181.67769224984622</v>
      </c>
      <c r="O17" s="13" t="str">
        <v>*</v>
      </c>
      <c r="P17" s="44">
        <v>147</v>
      </c>
      <c r="Q17" s="14" t="str">
        <v>-</v>
      </c>
      <c r="R17" s="14" t="str">
        <v>NGC 3226</v>
      </c>
      <c r="S17" s="50">
        <v>242.11139447364232</v>
      </c>
      <c r="T17" s="51">
        <v>49.384741842030827</v>
      </c>
      <c r="U17" s="13">
        <v>10.39</v>
      </c>
      <c r="V17" s="13">
        <v>19.899999999999999</v>
      </c>
      <c r="W17" s="13">
        <v>37.727692249846228</v>
      </c>
    </row>
    <row r="18" spans="2:23" ht="17">
      <c r="B18" s="47"/>
      <c r="C18" s="28" t="s">
        <v>435</v>
      </c>
      <c r="D18" s="143" t="s">
        <v>477</v>
      </c>
      <c r="E18" s="20" t="str">
        <f t="shared" si="2"/>
        <v/>
      </c>
      <c r="F18" s="32">
        <f t="shared" si="4"/>
        <v>11</v>
      </c>
      <c r="G18" s="76" t="s">
        <v>440</v>
      </c>
      <c r="H18" s="29" t="s">
        <v>74</v>
      </c>
      <c r="I18" s="21">
        <f t="shared" si="3"/>
        <v>0.37394607254054657</v>
      </c>
      <c r="J18" s="21">
        <f t="shared" si="0"/>
        <v>4.0012426559641279</v>
      </c>
      <c r="K18" s="30">
        <v>0.8683333333333334</v>
      </c>
      <c r="L18" s="33">
        <v>47.55</v>
      </c>
      <c r="M18" s="21">
        <f t="shared" si="1"/>
        <v>180.55269224984622</v>
      </c>
      <c r="O18" s="13" t="str">
        <v>*</v>
      </c>
      <c r="P18" s="44">
        <v>148</v>
      </c>
      <c r="Q18" s="14" t="str">
        <v>-</v>
      </c>
      <c r="R18" s="14" t="str">
        <v>NGC 3227</v>
      </c>
      <c r="S18" s="50">
        <v>242.05072610280706</v>
      </c>
      <c r="T18" s="51">
        <v>49.374556447510109</v>
      </c>
      <c r="U18" s="13">
        <v>10.391666666666667</v>
      </c>
      <c r="V18" s="13">
        <v>19.866666666666667</v>
      </c>
      <c r="W18" s="13">
        <v>37.702692249846223</v>
      </c>
    </row>
    <row r="19" spans="2:23" ht="17">
      <c r="B19" s="166" t="s">
        <v>439</v>
      </c>
      <c r="C19" s="57" t="s">
        <v>440</v>
      </c>
      <c r="D19" s="144" t="s">
        <v>478</v>
      </c>
      <c r="E19" s="20" t="str">
        <f t="shared" si="2"/>
        <v/>
      </c>
      <c r="F19" s="32">
        <f t="shared" si="4"/>
        <v>12</v>
      </c>
      <c r="G19" s="76" t="s">
        <v>440</v>
      </c>
      <c r="H19" s="29" t="s">
        <v>75</v>
      </c>
      <c r="I19" s="21">
        <f t="shared" si="3"/>
        <v>0.99384850707175032</v>
      </c>
      <c r="J19" s="21">
        <f t="shared" si="0"/>
        <v>-70.131076391691835</v>
      </c>
      <c r="K19" s="30">
        <v>0.88</v>
      </c>
      <c r="L19" s="33">
        <v>-26.583333333333332</v>
      </c>
      <c r="M19" s="21">
        <f t="shared" si="1"/>
        <v>180.37769224984623</v>
      </c>
      <c r="O19" s="13" t="str">
        <v>*</v>
      </c>
      <c r="P19" s="44">
        <v>149</v>
      </c>
      <c r="Q19" s="14" t="str">
        <v>-</v>
      </c>
      <c r="R19" s="14" t="str">
        <v>NGC 3242</v>
      </c>
      <c r="S19" s="50">
        <v>216.90947988967713</v>
      </c>
      <c r="T19" s="51">
        <v>16.692369834221676</v>
      </c>
      <c r="U19" s="13">
        <v>10.413333333333334</v>
      </c>
      <c r="V19" s="13">
        <v>-18.633333333333333</v>
      </c>
      <c r="W19" s="13">
        <v>37.377692249846206</v>
      </c>
    </row>
    <row r="20" spans="2:23" ht="17">
      <c r="B20" s="166"/>
      <c r="C20" s="57" t="s">
        <v>436</v>
      </c>
      <c r="D20" s="144" t="s">
        <v>478</v>
      </c>
      <c r="E20" s="20" t="str">
        <f t="shared" si="2"/>
        <v/>
      </c>
      <c r="F20" s="32">
        <f t="shared" si="4"/>
        <v>13</v>
      </c>
      <c r="G20" s="76" t="s">
        <v>440</v>
      </c>
      <c r="H20" s="29" t="s">
        <v>76</v>
      </c>
      <c r="I20" s="21">
        <f t="shared" si="3"/>
        <v>358.2501697666662</v>
      </c>
      <c r="J20" s="21">
        <f t="shared" si="0"/>
        <v>18.070130150698112</v>
      </c>
      <c r="K20" s="30">
        <v>1.1383333333333334</v>
      </c>
      <c r="L20" s="33">
        <v>61.583333333333336</v>
      </c>
      <c r="M20" s="21">
        <f t="shared" si="1"/>
        <v>176.50269224984623</v>
      </c>
      <c r="O20" s="13" t="str">
        <v>*</v>
      </c>
      <c r="P20" s="44">
        <v>150</v>
      </c>
      <c r="Q20" s="14" t="str">
        <v>-</v>
      </c>
      <c r="R20" s="14" t="str">
        <v>NGC 3245</v>
      </c>
      <c r="S20" s="50">
        <v>250.94995095381176</v>
      </c>
      <c r="T20" s="51">
        <v>56.198427857244155</v>
      </c>
      <c r="U20" s="13">
        <v>10.455</v>
      </c>
      <c r="V20" s="13">
        <v>28.5</v>
      </c>
      <c r="W20" s="13">
        <v>36.752692249846234</v>
      </c>
    </row>
    <row r="21" spans="2:23" ht="17" customHeight="1">
      <c r="B21" s="166"/>
      <c r="C21" s="57"/>
      <c r="D21" s="144"/>
      <c r="E21" s="20" t="str">
        <f t="shared" si="2"/>
        <v/>
      </c>
      <c r="F21" s="32">
        <f t="shared" si="4"/>
        <v>14</v>
      </c>
      <c r="G21" s="76" t="s">
        <v>440</v>
      </c>
      <c r="H21" s="29" t="s">
        <v>77</v>
      </c>
      <c r="I21" s="21">
        <f t="shared" si="3"/>
        <v>356.90961496883887</v>
      </c>
      <c r="J21" s="21">
        <f t="shared" si="0"/>
        <v>-7.7632425429853065</v>
      </c>
      <c r="K21" s="30">
        <v>1.1566666666666667</v>
      </c>
      <c r="L21" s="33">
        <v>35.716666666666669</v>
      </c>
      <c r="M21" s="21">
        <f t="shared" si="1"/>
        <v>176.22769224984623</v>
      </c>
      <c r="O21" s="13" t="str">
        <v>*</v>
      </c>
      <c r="P21" s="44">
        <v>151</v>
      </c>
      <c r="Q21" s="14" t="str">
        <v>-</v>
      </c>
      <c r="R21" s="14" t="str">
        <v>NGC 3277</v>
      </c>
      <c r="S21" s="50">
        <v>249.4611218668216</v>
      </c>
      <c r="T21" s="51">
        <v>57.117267412633339</v>
      </c>
      <c r="U21" s="13">
        <v>10.548333333333334</v>
      </c>
      <c r="V21" s="13">
        <v>28.516666666666666</v>
      </c>
      <c r="W21" s="13">
        <v>35.3526922498462</v>
      </c>
    </row>
    <row r="22" spans="2:23" ht="17">
      <c r="B22" s="166"/>
      <c r="C22" s="57"/>
      <c r="D22" s="144"/>
      <c r="E22" s="20" t="str">
        <f t="shared" si="2"/>
        <v/>
      </c>
      <c r="F22" s="32">
        <f t="shared" si="4"/>
        <v>15</v>
      </c>
      <c r="G22" s="76" t="s">
        <v>440</v>
      </c>
      <c r="H22" s="29" t="s">
        <v>78</v>
      </c>
      <c r="I22" s="21">
        <f t="shared" si="3"/>
        <v>357.14509817331589</v>
      </c>
      <c r="J22" s="21">
        <f t="shared" si="0"/>
        <v>15.358033289978012</v>
      </c>
      <c r="K22" s="30">
        <v>1.26</v>
      </c>
      <c r="L22" s="33">
        <v>58.81666666666667</v>
      </c>
      <c r="M22" s="21">
        <f t="shared" si="1"/>
        <v>174.67769224984622</v>
      </c>
      <c r="O22" s="13" t="str">
        <v>*</v>
      </c>
      <c r="P22" s="44">
        <v>152</v>
      </c>
      <c r="Q22" s="14" t="str">
        <v>-</v>
      </c>
      <c r="R22" s="14" t="str">
        <v>NGC 3294</v>
      </c>
      <c r="S22" s="50">
        <v>262.7775619667882</v>
      </c>
      <c r="T22" s="51">
        <v>62.999751288984847</v>
      </c>
      <c r="U22" s="13">
        <v>10.605</v>
      </c>
      <c r="V22" s="13">
        <v>37.333333333333336</v>
      </c>
      <c r="W22" s="13">
        <v>34.502692249846206</v>
      </c>
    </row>
    <row r="23" spans="2:23" ht="17">
      <c r="B23" s="166"/>
      <c r="C23" s="57"/>
      <c r="D23" s="144"/>
      <c r="E23" s="20" t="str">
        <f t="shared" si="2"/>
        <v/>
      </c>
      <c r="F23" s="32">
        <f t="shared" si="4"/>
        <v>16</v>
      </c>
      <c r="G23" s="76" t="s">
        <v>440</v>
      </c>
      <c r="H23" s="29" t="s">
        <v>32</v>
      </c>
      <c r="I23" s="21">
        <f t="shared" si="3"/>
        <v>356.63785578021196</v>
      </c>
      <c r="J23" s="21">
        <f t="shared" si="0"/>
        <v>14.908626208614901</v>
      </c>
      <c r="K23" s="30">
        <v>1.3183333333333334</v>
      </c>
      <c r="L23" s="33">
        <v>58.333333333333336</v>
      </c>
      <c r="M23" s="21">
        <f t="shared" si="1"/>
        <v>173.80269224984622</v>
      </c>
      <c r="O23" s="13" t="str">
        <v>*</v>
      </c>
      <c r="P23" s="44">
        <v>154</v>
      </c>
      <c r="Q23" s="14" t="str">
        <v>-</v>
      </c>
      <c r="R23" s="14" t="str">
        <v>NGC 3344</v>
      </c>
      <c r="S23" s="50">
        <v>241.78930951726232</v>
      </c>
      <c r="T23" s="51">
        <v>56.217584637362421</v>
      </c>
      <c r="U23" s="13">
        <v>10.725</v>
      </c>
      <c r="V23" s="13">
        <v>24.916666666666668</v>
      </c>
      <c r="W23" s="13">
        <v>32.702692249846223</v>
      </c>
    </row>
    <row r="24" spans="2:23" ht="17">
      <c r="B24" s="167"/>
      <c r="C24" s="57"/>
      <c r="D24" s="144"/>
      <c r="E24" s="20" t="str">
        <f t="shared" si="2"/>
        <v/>
      </c>
      <c r="F24" s="32">
        <f t="shared" si="4"/>
        <v>17</v>
      </c>
      <c r="G24" s="76" t="s">
        <v>440</v>
      </c>
      <c r="H24" s="29" t="s">
        <v>79</v>
      </c>
      <c r="I24" s="21">
        <f t="shared" si="3"/>
        <v>351.30999242369484</v>
      </c>
      <c r="J24" s="21">
        <f t="shared" si="0"/>
        <v>-37.940994547872265</v>
      </c>
      <c r="K24" s="30">
        <v>1.3633333333333333</v>
      </c>
      <c r="L24" s="33">
        <v>5.25</v>
      </c>
      <c r="M24" s="21">
        <f t="shared" si="1"/>
        <v>173.12769224984623</v>
      </c>
      <c r="O24" s="13" t="str">
        <v>*</v>
      </c>
      <c r="P24" s="44">
        <v>155</v>
      </c>
      <c r="Q24" s="14" t="str">
        <v>-</v>
      </c>
      <c r="R24" s="14" t="str">
        <v>NGC 3377</v>
      </c>
      <c r="S24" s="50">
        <v>229.67764812350214</v>
      </c>
      <c r="T24" s="51">
        <v>48.09476855193104</v>
      </c>
      <c r="U24" s="13">
        <v>10.795</v>
      </c>
      <c r="V24" s="13">
        <v>13.983333333333333</v>
      </c>
      <c r="W24" s="13">
        <v>31.65269224984624</v>
      </c>
    </row>
    <row r="25" spans="2:23" ht="17">
      <c r="E25" s="20" t="str">
        <f t="shared" si="2"/>
        <v/>
      </c>
      <c r="F25" s="32">
        <f t="shared" si="4"/>
        <v>18</v>
      </c>
      <c r="G25" s="76" t="s">
        <v>440</v>
      </c>
      <c r="H25" s="29" t="s">
        <v>80</v>
      </c>
      <c r="I25" s="21">
        <f t="shared" si="3"/>
        <v>350.96399931766121</v>
      </c>
      <c r="J25" s="21">
        <f t="shared" si="0"/>
        <v>-33.602659018013611</v>
      </c>
      <c r="K25" s="30">
        <v>1.4133333333333333</v>
      </c>
      <c r="L25" s="33">
        <v>9.5333333333333332</v>
      </c>
      <c r="M25" s="21">
        <f t="shared" si="1"/>
        <v>172.37769224984623</v>
      </c>
      <c r="O25" s="13" t="str">
        <v>*</v>
      </c>
      <c r="P25" s="44">
        <v>156</v>
      </c>
      <c r="Q25" s="14" t="str">
        <v>-</v>
      </c>
      <c r="R25" s="14" t="str">
        <v>NGC 3379</v>
      </c>
      <c r="S25" s="50">
        <v>228.53794820574242</v>
      </c>
      <c r="T25" s="51">
        <v>46.925124405124052</v>
      </c>
      <c r="U25" s="13">
        <v>10.796666666666667</v>
      </c>
      <c r="V25" s="13">
        <v>12.583333333333334</v>
      </c>
      <c r="W25" s="13">
        <v>31.627692249846234</v>
      </c>
    </row>
    <row r="26" spans="2:23" ht="17">
      <c r="E26" s="20" t="str">
        <f t="shared" si="2"/>
        <v/>
      </c>
      <c r="F26" s="32">
        <f t="shared" si="4"/>
        <v>19</v>
      </c>
      <c r="G26" s="76" t="s">
        <v>440</v>
      </c>
      <c r="H26" s="29" t="s">
        <v>29</v>
      </c>
      <c r="I26" s="21">
        <f t="shared" si="3"/>
        <v>355.8070359768177</v>
      </c>
      <c r="J26" s="21">
        <f t="shared" si="0"/>
        <v>19.971866541246779</v>
      </c>
      <c r="K26" s="30">
        <v>1.4916666666666667</v>
      </c>
      <c r="L26" s="33">
        <v>63.3</v>
      </c>
      <c r="M26" s="21">
        <f t="shared" si="1"/>
        <v>171.20269224984622</v>
      </c>
      <c r="O26" s="13" t="str">
        <v>*</v>
      </c>
      <c r="P26" s="44">
        <v>157</v>
      </c>
      <c r="Q26" s="14" t="str">
        <v>-</v>
      </c>
      <c r="R26" s="14" t="str">
        <v>NGC 3384</v>
      </c>
      <c r="S26" s="50">
        <v>228.42491772367444</v>
      </c>
      <c r="T26" s="51">
        <v>47.032051452039873</v>
      </c>
      <c r="U26" s="13">
        <v>10.805</v>
      </c>
      <c r="V26" s="13">
        <v>12.633333333333333</v>
      </c>
      <c r="W26" s="13">
        <v>31.502692249846234</v>
      </c>
    </row>
    <row r="27" spans="2:23" ht="17">
      <c r="B27" s="168" t="s">
        <v>441</v>
      </c>
      <c r="C27" s="168"/>
      <c r="D27" s="168"/>
      <c r="E27" s="20" t="str">
        <f t="shared" si="2"/>
        <v/>
      </c>
      <c r="F27" s="32">
        <f t="shared" si="4"/>
        <v>20</v>
      </c>
      <c r="G27" s="76" t="s">
        <v>440</v>
      </c>
      <c r="H27" s="29" t="s">
        <v>81</v>
      </c>
      <c r="I27" s="21">
        <f t="shared" si="3"/>
        <v>345.74225042026075</v>
      </c>
      <c r="J27" s="21">
        <f t="shared" si="0"/>
        <v>-49.623911270762385</v>
      </c>
      <c r="K27" s="30">
        <v>1.5216666666666667</v>
      </c>
      <c r="L27" s="33">
        <v>-6.8666666666666671</v>
      </c>
      <c r="M27" s="21">
        <f t="shared" si="1"/>
        <v>170.75269224984623</v>
      </c>
      <c r="O27" s="13" t="str">
        <v>*</v>
      </c>
      <c r="P27" s="44">
        <v>158</v>
      </c>
      <c r="Q27" s="14" t="str">
        <v>-</v>
      </c>
      <c r="R27" s="14" t="str">
        <v>NGC 3395</v>
      </c>
      <c r="S27" s="50">
        <v>251.46992434365214</v>
      </c>
      <c r="T27" s="51">
        <v>62.784397236009148</v>
      </c>
      <c r="U27" s="13">
        <v>10.83</v>
      </c>
      <c r="V27" s="13">
        <v>32.983333333333334</v>
      </c>
      <c r="W27" s="13">
        <v>31.127692249846234</v>
      </c>
    </row>
    <row r="28" spans="2:23" ht="17">
      <c r="B28" s="88" t="s">
        <v>442</v>
      </c>
      <c r="C28" s="89" t="s">
        <v>443</v>
      </c>
      <c r="D28" s="90" t="s">
        <v>444</v>
      </c>
      <c r="E28" s="20" t="str">
        <f t="shared" si="2"/>
        <v/>
      </c>
      <c r="F28" s="32">
        <f t="shared" si="4"/>
        <v>21</v>
      </c>
      <c r="G28" s="76" t="s">
        <v>440</v>
      </c>
      <c r="H28" s="29" t="s">
        <v>82</v>
      </c>
      <c r="I28" s="21">
        <f t="shared" si="3"/>
        <v>345.00978139212691</v>
      </c>
      <c r="J28" s="21">
        <f t="shared" si="0"/>
        <v>-50.013775216997146</v>
      </c>
      <c r="K28" s="30">
        <v>1.5483333333333333</v>
      </c>
      <c r="L28" s="33">
        <v>-7.333333333333333</v>
      </c>
      <c r="M28" s="21">
        <f t="shared" si="1"/>
        <v>170.35269224984623</v>
      </c>
      <c r="O28" s="13" t="str">
        <v>*</v>
      </c>
      <c r="P28" s="44">
        <v>159</v>
      </c>
      <c r="Q28" s="14" t="str">
        <v>-</v>
      </c>
      <c r="R28" s="14" t="str">
        <v>NGC 3412</v>
      </c>
      <c r="S28" s="50">
        <v>228.24145758756606</v>
      </c>
      <c r="T28" s="51">
        <v>48.03170207067776</v>
      </c>
      <c r="U28" s="13">
        <v>10.848333333333333</v>
      </c>
      <c r="V28" s="13">
        <v>13.416666666666666</v>
      </c>
      <c r="W28" s="13">
        <v>30.852692249846228</v>
      </c>
    </row>
    <row r="29" spans="2:23" ht="17">
      <c r="B29" s="91" t="s">
        <v>438</v>
      </c>
      <c r="C29" s="141">
        <v>46.45</v>
      </c>
      <c r="D29" s="141">
        <v>7.42</v>
      </c>
      <c r="E29" s="20" t="str">
        <f t="shared" si="2"/>
        <v/>
      </c>
      <c r="F29" s="32">
        <f t="shared" si="4"/>
        <v>22</v>
      </c>
      <c r="G29" s="76" t="s">
        <v>440</v>
      </c>
      <c r="H29" s="29" t="s">
        <v>83</v>
      </c>
      <c r="I29" s="21">
        <f t="shared" si="3"/>
        <v>351.29240942430948</v>
      </c>
      <c r="J29" s="21">
        <f t="shared" si="0"/>
        <v>-12.382012229342163</v>
      </c>
      <c r="K29" s="30">
        <v>1.5649999999999999</v>
      </c>
      <c r="L29" s="33">
        <v>30.65</v>
      </c>
      <c r="M29" s="21">
        <f t="shared" si="1"/>
        <v>170.10269224984623</v>
      </c>
      <c r="O29" s="13" t="str">
        <v>*</v>
      </c>
      <c r="P29" s="44">
        <v>160</v>
      </c>
      <c r="Q29" s="14" t="str">
        <v>-</v>
      </c>
      <c r="R29" s="14" t="str">
        <v>NGC 3414</v>
      </c>
      <c r="S29" s="50">
        <v>243.33582549668057</v>
      </c>
      <c r="T29" s="51">
        <v>59.649620402013682</v>
      </c>
      <c r="U29" s="13">
        <v>10.855</v>
      </c>
      <c r="V29" s="13">
        <v>27.983333333333334</v>
      </c>
      <c r="W29" s="13">
        <v>30.752692249846206</v>
      </c>
    </row>
    <row r="30" spans="2:23" ht="17">
      <c r="B30" s="91"/>
      <c r="C30" s="141"/>
      <c r="D30" s="141"/>
      <c r="E30" s="20" t="str">
        <f t="shared" si="2"/>
        <v/>
      </c>
      <c r="F30" s="32">
        <f t="shared" si="4"/>
        <v>23</v>
      </c>
      <c r="G30" s="76" t="s">
        <v>440</v>
      </c>
      <c r="H30" s="29" t="s">
        <v>84</v>
      </c>
      <c r="I30" s="21">
        <f t="shared" si="3"/>
        <v>331.91115457936144</v>
      </c>
      <c r="J30" s="21">
        <f t="shared" si="0"/>
        <v>-71.266322691616338</v>
      </c>
      <c r="K30" s="30">
        <v>1.5716666666666668</v>
      </c>
      <c r="L30" s="33">
        <v>-29.416666666666668</v>
      </c>
      <c r="M30" s="21">
        <f t="shared" si="1"/>
        <v>170.00269224984623</v>
      </c>
      <c r="O30" s="13" t="str">
        <v>*</v>
      </c>
      <c r="P30" s="44">
        <v>161</v>
      </c>
      <c r="Q30" s="14" t="str">
        <v>-</v>
      </c>
      <c r="R30" s="14" t="str">
        <v>NGC 3432</v>
      </c>
      <c r="S30" s="50">
        <v>257.45362703978151</v>
      </c>
      <c r="T30" s="51">
        <v>65.370219921152881</v>
      </c>
      <c r="U30" s="13">
        <v>10.875</v>
      </c>
      <c r="V30" s="13">
        <v>36.616666666666667</v>
      </c>
      <c r="W30" s="13">
        <v>30.452692249846223</v>
      </c>
    </row>
    <row r="31" spans="2:23" ht="17">
      <c r="B31" s="91"/>
      <c r="C31" s="141"/>
      <c r="D31" s="141"/>
      <c r="E31" s="20" t="str">
        <f t="shared" si="2"/>
        <v/>
      </c>
      <c r="F31" s="32">
        <f t="shared" si="4"/>
        <v>24</v>
      </c>
      <c r="G31" s="76" t="s">
        <v>440</v>
      </c>
      <c r="H31" s="29" t="s">
        <v>85</v>
      </c>
      <c r="I31" s="21">
        <f t="shared" si="3"/>
        <v>344.17633919899271</v>
      </c>
      <c r="J31" s="21">
        <f t="shared" si="0"/>
        <v>-49.913099466005193</v>
      </c>
      <c r="K31" s="30">
        <v>1.585</v>
      </c>
      <c r="L31" s="33">
        <v>-7.333333333333333</v>
      </c>
      <c r="M31" s="21">
        <f t="shared" si="1"/>
        <v>169.80269224984622</v>
      </c>
      <c r="O31" s="13" t="str">
        <v>*</v>
      </c>
      <c r="P31" s="44">
        <v>162</v>
      </c>
      <c r="Q31" s="14" t="str">
        <v>-</v>
      </c>
      <c r="R31" s="14" t="str">
        <v>NGC 3486</v>
      </c>
      <c r="S31" s="50">
        <v>241.79785523653516</v>
      </c>
      <c r="T31" s="51">
        <v>61.747217958064503</v>
      </c>
      <c r="U31" s="13">
        <v>11.006666666666666</v>
      </c>
      <c r="V31" s="13">
        <v>28.966666666666665</v>
      </c>
      <c r="W31" s="13">
        <v>28.477692249846228</v>
      </c>
    </row>
    <row r="32" spans="2:23" ht="17">
      <c r="B32" s="91"/>
      <c r="C32" s="141"/>
      <c r="D32" s="141"/>
      <c r="E32" s="20" t="str">
        <f t="shared" si="2"/>
        <v/>
      </c>
      <c r="F32" s="32">
        <f t="shared" si="4"/>
        <v>25</v>
      </c>
      <c r="G32" s="76" t="s">
        <v>440</v>
      </c>
      <c r="H32" s="29" t="s">
        <v>86</v>
      </c>
      <c r="I32" s="21">
        <f t="shared" si="3"/>
        <v>354.3346629182675</v>
      </c>
      <c r="J32" s="21">
        <f t="shared" si="0"/>
        <v>20.864088841459942</v>
      </c>
      <c r="K32" s="30">
        <v>1.7149999999999999</v>
      </c>
      <c r="L32" s="33">
        <v>64</v>
      </c>
      <c r="M32" s="21">
        <f t="shared" si="1"/>
        <v>167.85269224984623</v>
      </c>
      <c r="O32" s="13" t="str">
        <v>*</v>
      </c>
      <c r="P32" s="44">
        <v>163</v>
      </c>
      <c r="Q32" s="14" t="str">
        <v>-</v>
      </c>
      <c r="R32" s="14" t="str">
        <v>NGC 3489</v>
      </c>
      <c r="S32" s="50">
        <v>225.65453400310312</v>
      </c>
      <c r="T32" s="51">
        <v>49.628336849915712</v>
      </c>
      <c r="U32" s="13">
        <v>11.005000000000001</v>
      </c>
      <c r="V32" s="13">
        <v>13.9</v>
      </c>
      <c r="W32" s="13">
        <v>28.502692249846206</v>
      </c>
    </row>
    <row r="33" spans="2:23" ht="17">
      <c r="B33" s="91"/>
      <c r="C33" s="141"/>
      <c r="D33" s="141"/>
      <c r="E33" s="20" t="str">
        <f t="shared" si="2"/>
        <v/>
      </c>
      <c r="F33" s="32">
        <f t="shared" si="4"/>
        <v>26</v>
      </c>
      <c r="G33" s="76" t="s">
        <v>440</v>
      </c>
      <c r="H33" s="29" t="s">
        <v>87</v>
      </c>
      <c r="I33" s="21">
        <f t="shared" si="3"/>
        <v>352.49441629200589</v>
      </c>
      <c r="J33" s="21">
        <f t="shared" si="0"/>
        <v>8.5748004494012733</v>
      </c>
      <c r="K33" s="30">
        <v>1.7050000000000001</v>
      </c>
      <c r="L33" s="33">
        <v>51.583333333333336</v>
      </c>
      <c r="M33" s="21">
        <f t="shared" si="1"/>
        <v>168.00269224984623</v>
      </c>
      <c r="O33" s="13" t="str">
        <v>*</v>
      </c>
      <c r="P33" s="44">
        <v>164</v>
      </c>
      <c r="Q33" s="14" t="str">
        <v>-</v>
      </c>
      <c r="R33" s="14" t="str">
        <v>NGC 3504</v>
      </c>
      <c r="S33" s="50">
        <v>239.41743049325606</v>
      </c>
      <c r="T33" s="51">
        <v>61.436852998320866</v>
      </c>
      <c r="U33" s="13">
        <v>11.053333333333333</v>
      </c>
      <c r="V33" s="13">
        <v>27.966666666666665</v>
      </c>
      <c r="W33" s="13">
        <v>27.777692249846211</v>
      </c>
    </row>
    <row r="34" spans="2:23" ht="17">
      <c r="E34" s="20" t="str">
        <f t="shared" si="2"/>
        <v/>
      </c>
      <c r="F34" s="32">
        <f t="shared" si="4"/>
        <v>27</v>
      </c>
      <c r="G34" s="76" t="s">
        <v>440</v>
      </c>
      <c r="H34" s="29" t="s">
        <v>88</v>
      </c>
      <c r="I34" s="21">
        <f t="shared" si="3"/>
        <v>353.84034805459112</v>
      </c>
      <c r="J34" s="21">
        <f t="shared" si="0"/>
        <v>18.794625663886663</v>
      </c>
      <c r="K34" s="30">
        <v>1.7349999999999999</v>
      </c>
      <c r="L34" s="33">
        <v>61.883333333333333</v>
      </c>
      <c r="M34" s="21">
        <f t="shared" si="1"/>
        <v>167.55269224984622</v>
      </c>
      <c r="O34" s="13" t="str">
        <v>*</v>
      </c>
      <c r="P34" s="44">
        <v>165</v>
      </c>
      <c r="Q34" s="14" t="str">
        <v>-</v>
      </c>
      <c r="R34" s="14" t="str">
        <v>NGC 3521</v>
      </c>
      <c r="S34" s="50">
        <v>215.27294119354454</v>
      </c>
      <c r="T34" s="51">
        <v>37.85136119376709</v>
      </c>
      <c r="U34" s="13">
        <v>11.096666666666666</v>
      </c>
      <c r="V34" s="13">
        <v>3.3333333333333333E-2</v>
      </c>
      <c r="W34" s="13">
        <v>27.127692249846234</v>
      </c>
    </row>
    <row r="35" spans="2:23" ht="17">
      <c r="E35" s="20" t="str">
        <f t="shared" si="2"/>
        <v/>
      </c>
      <c r="F35" s="32">
        <f t="shared" si="4"/>
        <v>28</v>
      </c>
      <c r="G35" s="76" t="s">
        <v>440</v>
      </c>
      <c r="H35" s="29" t="s">
        <v>89</v>
      </c>
      <c r="I35" s="21">
        <f t="shared" si="3"/>
        <v>353.63290824440662</v>
      </c>
      <c r="J35" s="21">
        <f t="shared" si="0"/>
        <v>17.627751522672007</v>
      </c>
      <c r="K35" s="30">
        <v>1.7366666666666668</v>
      </c>
      <c r="L35" s="33">
        <v>60.7</v>
      </c>
      <c r="M35" s="21">
        <f t="shared" si="1"/>
        <v>167.52769224984621</v>
      </c>
      <c r="O35" s="13" t="str">
        <v>*</v>
      </c>
      <c r="P35" s="44">
        <v>167</v>
      </c>
      <c r="Q35" s="14" t="str">
        <v>-</v>
      </c>
      <c r="R35" s="14" t="str">
        <v>NGC 3593</v>
      </c>
      <c r="S35" s="50">
        <v>220.10043466937378</v>
      </c>
      <c r="T35" s="51">
        <v>50.355017847405989</v>
      </c>
      <c r="U35" s="13">
        <v>11.243333333333334</v>
      </c>
      <c r="V35" s="13">
        <v>12.816666666666666</v>
      </c>
      <c r="W35" s="13">
        <v>24.927692249846217</v>
      </c>
    </row>
    <row r="36" spans="2:23" ht="17">
      <c r="B36" s="156" t="str">
        <f>CONCATENATE("Moon's illuminated fraction: ",TEXT(Illumination!C8*100,"0.00"),"%")</f>
        <v>Moon's illuminated fraction: 25.68%</v>
      </c>
      <c r="C36" s="157"/>
      <c r="D36" s="158"/>
      <c r="E36" s="20" t="str">
        <f t="shared" si="2"/>
        <v/>
      </c>
      <c r="F36" s="32">
        <f t="shared" si="4"/>
        <v>29</v>
      </c>
      <c r="G36" s="76" t="s">
        <v>440</v>
      </c>
      <c r="H36" s="29" t="s">
        <v>30</v>
      </c>
      <c r="I36" s="21">
        <f t="shared" si="3"/>
        <v>353.49837117182523</v>
      </c>
      <c r="J36" s="21">
        <f t="shared" si="0"/>
        <v>18.205487994780768</v>
      </c>
      <c r="K36" s="30">
        <v>1.7666666666666666</v>
      </c>
      <c r="L36" s="33">
        <v>61.25</v>
      </c>
      <c r="M36" s="21">
        <f t="shared" si="1"/>
        <v>167.07769224984622</v>
      </c>
      <c r="O36" s="13" t="str">
        <v>*</v>
      </c>
      <c r="P36" s="44">
        <v>168</v>
      </c>
      <c r="Q36" s="14" t="str">
        <v>-</v>
      </c>
      <c r="R36" s="14" t="str">
        <v>NGC 3607</v>
      </c>
      <c r="S36" s="50">
        <v>223.41933092224511</v>
      </c>
      <c r="T36" s="51">
        <v>55.22141653162015</v>
      </c>
      <c r="U36" s="13">
        <v>11.281666666666666</v>
      </c>
      <c r="V36" s="13">
        <v>18.05</v>
      </c>
      <c r="W36" s="13">
        <v>24.352692249846228</v>
      </c>
    </row>
    <row r="37" spans="2:23" ht="17">
      <c r="E37" s="20" t="str">
        <f t="shared" si="2"/>
        <v/>
      </c>
      <c r="F37" s="32">
        <f t="shared" si="4"/>
        <v>30</v>
      </c>
      <c r="G37" s="76" t="s">
        <v>440</v>
      </c>
      <c r="H37" s="29" t="s">
        <v>90</v>
      </c>
      <c r="I37" s="21">
        <f t="shared" si="3"/>
        <v>334.57203042732897</v>
      </c>
      <c r="J37" s="21">
        <f t="shared" si="0"/>
        <v>-55.037596834746289</v>
      </c>
      <c r="K37" s="30">
        <v>1.8833333333333333</v>
      </c>
      <c r="L37" s="33">
        <v>-13.733333333333333</v>
      </c>
      <c r="M37" s="21">
        <f t="shared" si="1"/>
        <v>165.32769224984622</v>
      </c>
      <c r="O37" s="13" t="str">
        <v>*</v>
      </c>
      <c r="P37" s="44">
        <v>169</v>
      </c>
      <c r="Q37" s="14" t="str">
        <v>-</v>
      </c>
      <c r="R37" s="14" t="str">
        <v>NGC 3608</v>
      </c>
      <c r="S37" s="50">
        <v>223.47066477009716</v>
      </c>
      <c r="T37" s="51">
        <v>55.319952882305031</v>
      </c>
      <c r="U37" s="13">
        <v>11.283333333333333</v>
      </c>
      <c r="V37" s="13">
        <v>18.149999999999999</v>
      </c>
      <c r="W37" s="13">
        <v>24.327692249846223</v>
      </c>
    </row>
    <row r="38" spans="2:23" ht="17">
      <c r="E38" s="20" t="str">
        <f t="shared" si="2"/>
        <v/>
      </c>
      <c r="F38" s="32">
        <f t="shared" si="4"/>
        <v>31</v>
      </c>
      <c r="G38" s="76" t="s">
        <v>440</v>
      </c>
      <c r="H38" s="29" t="s">
        <v>41</v>
      </c>
      <c r="I38" s="21">
        <f t="shared" si="3"/>
        <v>347.4574309976328</v>
      </c>
      <c r="J38" s="21">
        <f t="shared" si="0"/>
        <v>-4.6704689854104036</v>
      </c>
      <c r="K38" s="30">
        <v>1.9633333333333334</v>
      </c>
      <c r="L38" s="33">
        <v>37.68333333333333</v>
      </c>
      <c r="M38" s="21">
        <f t="shared" si="1"/>
        <v>164.12769224984623</v>
      </c>
      <c r="O38" s="13" t="str">
        <v>*</v>
      </c>
      <c r="P38" s="44">
        <v>174</v>
      </c>
      <c r="Q38" s="14" t="str">
        <v>-</v>
      </c>
      <c r="R38" s="14" t="str">
        <v>NGC 3626</v>
      </c>
      <c r="S38" s="50">
        <v>222.51386165868101</v>
      </c>
      <c r="T38" s="51">
        <v>55.857881445915268</v>
      </c>
      <c r="U38" s="13">
        <v>11.335000000000001</v>
      </c>
      <c r="V38" s="13">
        <v>18.350000000000001</v>
      </c>
      <c r="W38" s="13">
        <v>23.552692249846217</v>
      </c>
    </row>
    <row r="39" spans="2:23" ht="17">
      <c r="E39" s="20" t="str">
        <f t="shared" si="2"/>
        <v/>
      </c>
      <c r="F39" s="32">
        <f t="shared" si="4"/>
        <v>32</v>
      </c>
      <c r="G39" s="76" t="s">
        <v>440</v>
      </c>
      <c r="H39" s="29" t="s">
        <v>91</v>
      </c>
      <c r="I39" s="21">
        <f t="shared" si="3"/>
        <v>343.34623049511919</v>
      </c>
      <c r="J39" s="21">
        <f t="shared" si="0"/>
        <v>-22.758558138220994</v>
      </c>
      <c r="K39" s="30">
        <v>1.9883333333333333</v>
      </c>
      <c r="L39" s="33">
        <v>19.166666666666668</v>
      </c>
      <c r="M39" s="21">
        <f t="shared" si="1"/>
        <v>163.75269224984623</v>
      </c>
      <c r="O39" s="13" t="str">
        <v>*</v>
      </c>
      <c r="P39" s="44">
        <v>175</v>
      </c>
      <c r="Q39" s="14" t="str">
        <v>-</v>
      </c>
      <c r="R39" s="14" t="str">
        <v>NGC 3628</v>
      </c>
      <c r="S39" s="50">
        <v>218.68935333150759</v>
      </c>
      <c r="T39" s="51">
        <v>51.67803605476832</v>
      </c>
      <c r="U39" s="13">
        <v>11.338333333333333</v>
      </c>
      <c r="V39" s="13">
        <v>13.6</v>
      </c>
      <c r="W39" s="13">
        <v>23.502692249846234</v>
      </c>
    </row>
    <row r="40" spans="2:23" ht="17" customHeight="1">
      <c r="E40" s="20" t="str">
        <f t="shared" si="2"/>
        <v/>
      </c>
      <c r="F40" s="32">
        <f t="shared" si="4"/>
        <v>33</v>
      </c>
      <c r="G40" s="76" t="s">
        <v>440</v>
      </c>
      <c r="H40" s="29" t="s">
        <v>92</v>
      </c>
      <c r="I40" s="21">
        <f t="shared" si="3"/>
        <v>335.70344975499432</v>
      </c>
      <c r="J40" s="21">
        <f t="shared" si="0"/>
        <v>-47.12940941402973</v>
      </c>
      <c r="K40" s="30">
        <v>1.9950000000000001</v>
      </c>
      <c r="L40" s="33">
        <v>-5.9666666666666668</v>
      </c>
      <c r="M40" s="21">
        <f t="shared" si="1"/>
        <v>163.65269224984621</v>
      </c>
      <c r="O40" s="13" t="str">
        <v>*</v>
      </c>
      <c r="P40" s="44">
        <v>177</v>
      </c>
      <c r="Q40" s="14" t="str">
        <v>-</v>
      </c>
      <c r="R40" s="14" t="str">
        <v>NGC 3640</v>
      </c>
      <c r="S40" s="50">
        <v>212.259922290932</v>
      </c>
      <c r="T40" s="51">
        <v>42.272444474664724</v>
      </c>
      <c r="U40" s="13">
        <v>11.351666666666667</v>
      </c>
      <c r="V40" s="13">
        <v>3.2333333333333334</v>
      </c>
      <c r="W40" s="13">
        <v>23.302692249846217</v>
      </c>
    </row>
    <row r="41" spans="2:23" ht="17">
      <c r="E41" s="20" t="str">
        <f t="shared" si="2"/>
        <v/>
      </c>
      <c r="F41" s="32">
        <f t="shared" si="4"/>
        <v>34</v>
      </c>
      <c r="G41" s="76" t="s">
        <v>440</v>
      </c>
      <c r="H41" s="29" t="s">
        <v>93</v>
      </c>
      <c r="I41" s="21">
        <f t="shared" si="3"/>
        <v>348.65521792977103</v>
      </c>
      <c r="J41" s="21">
        <f t="shared" si="0"/>
        <v>16.396103832123458</v>
      </c>
      <c r="K41" s="30">
        <v>2.3166666666666664</v>
      </c>
      <c r="L41" s="33">
        <v>58.5</v>
      </c>
      <c r="M41" s="21">
        <f t="shared" si="1"/>
        <v>158.82769224984622</v>
      </c>
      <c r="O41" s="13" t="str">
        <v>*</v>
      </c>
      <c r="P41" s="44">
        <v>178</v>
      </c>
      <c r="Q41" s="14" t="str">
        <v>-</v>
      </c>
      <c r="R41" s="14" t="str">
        <v>NGC 3655</v>
      </c>
      <c r="S41" s="50">
        <v>220.00779047591061</v>
      </c>
      <c r="T41" s="51">
        <v>54.62247585301872</v>
      </c>
      <c r="U41" s="13">
        <v>11.381666666666666</v>
      </c>
      <c r="V41" s="13">
        <v>16.583333333333332</v>
      </c>
      <c r="W41" s="13">
        <v>22.852692249846228</v>
      </c>
    </row>
    <row r="42" spans="2:23" ht="17">
      <c r="E42" s="20" t="str">
        <f t="shared" si="2"/>
        <v/>
      </c>
      <c r="F42" s="32">
        <f t="shared" si="4"/>
        <v>35</v>
      </c>
      <c r="G42" s="76" t="s">
        <v>440</v>
      </c>
      <c r="H42" s="29" t="s">
        <v>94</v>
      </c>
      <c r="I42" s="21">
        <f t="shared" si="3"/>
        <v>348.11508369111664</v>
      </c>
      <c r="J42" s="21">
        <f t="shared" si="0"/>
        <v>16.192519580640532</v>
      </c>
      <c r="K42" s="30">
        <v>2.3733333333333331</v>
      </c>
      <c r="L42" s="33">
        <v>58.166666666666664</v>
      </c>
      <c r="M42" s="21">
        <f t="shared" si="1"/>
        <v>157.97769224984623</v>
      </c>
      <c r="O42" s="13" t="str">
        <v>*</v>
      </c>
      <c r="P42" s="44">
        <v>179</v>
      </c>
      <c r="Q42" s="14" t="str">
        <v>-</v>
      </c>
      <c r="R42" s="14" t="str">
        <v>NGC 3665</v>
      </c>
      <c r="S42" s="50">
        <v>252.96497247055527</v>
      </c>
      <c r="T42" s="51">
        <v>71.893090860085636</v>
      </c>
      <c r="U42" s="13">
        <v>11.411666666666667</v>
      </c>
      <c r="V42" s="13">
        <v>38.766666666666666</v>
      </c>
      <c r="W42" s="13">
        <v>22.402692249846211</v>
      </c>
    </row>
    <row r="43" spans="2:23" ht="17">
      <c r="E43" s="20" t="str">
        <f t="shared" si="2"/>
        <v/>
      </c>
      <c r="F43" s="32">
        <f t="shared" si="4"/>
        <v>36</v>
      </c>
      <c r="G43" s="76" t="s">
        <v>440</v>
      </c>
      <c r="H43" s="29" t="s">
        <v>39</v>
      </c>
      <c r="I43" s="21">
        <f t="shared" si="3"/>
        <v>343.87389592322086</v>
      </c>
      <c r="J43" s="21">
        <f t="shared" si="0"/>
        <v>0.93832045920466056</v>
      </c>
      <c r="K43" s="30">
        <v>2.3766666666666669</v>
      </c>
      <c r="L43" s="33">
        <v>42.35</v>
      </c>
      <c r="M43" s="21">
        <f t="shared" si="1"/>
        <v>157.92769224984622</v>
      </c>
      <c r="O43" s="13" t="str">
        <v>*</v>
      </c>
      <c r="P43" s="44">
        <v>180</v>
      </c>
      <c r="Q43" s="14" t="str">
        <v>-</v>
      </c>
      <c r="R43" s="14" t="str">
        <v>NGC 3675</v>
      </c>
      <c r="S43" s="50">
        <v>267.55733013624439</v>
      </c>
      <c r="T43" s="51">
        <v>74.20361207502043</v>
      </c>
      <c r="U43" s="13">
        <v>11.435</v>
      </c>
      <c r="V43" s="13">
        <v>43.583333333333336</v>
      </c>
      <c r="W43" s="13">
        <v>22.052692249846217</v>
      </c>
    </row>
    <row r="44" spans="2:23" ht="17">
      <c r="E44" s="20" t="str">
        <f t="shared" si="2"/>
        <v/>
      </c>
      <c r="F44" s="32">
        <f t="shared" si="4"/>
        <v>37</v>
      </c>
      <c r="G44" s="76" t="s">
        <v>440</v>
      </c>
      <c r="H44" s="29" t="s">
        <v>95</v>
      </c>
      <c r="I44" s="21">
        <f t="shared" si="3"/>
        <v>316.87410452323695</v>
      </c>
      <c r="J44" s="21">
        <f t="shared" si="0"/>
        <v>-58.993358854571461</v>
      </c>
      <c r="K44" s="30">
        <v>2.3849999999999998</v>
      </c>
      <c r="L44" s="33">
        <v>-21.233333333333334</v>
      </c>
      <c r="M44" s="21">
        <f t="shared" si="1"/>
        <v>157.80269224984622</v>
      </c>
      <c r="O44" s="13" t="str">
        <v>*</v>
      </c>
      <c r="P44" s="44">
        <v>181</v>
      </c>
      <c r="Q44" s="14" t="str">
        <v>-</v>
      </c>
      <c r="R44" s="14" t="str">
        <v>NGC 3686</v>
      </c>
      <c r="S44" s="50">
        <v>218.72592952291799</v>
      </c>
      <c r="T44" s="51">
        <v>55.710328662054316</v>
      </c>
      <c r="U44" s="13">
        <v>11.461666666666666</v>
      </c>
      <c r="V44" s="13">
        <v>17.216666666666665</v>
      </c>
      <c r="W44" s="13">
        <v>21.65269224984624</v>
      </c>
    </row>
    <row r="45" spans="2:23" ht="17">
      <c r="E45" s="20" t="str">
        <f t="shared" si="2"/>
        <v/>
      </c>
      <c r="F45" s="32">
        <f t="shared" si="4"/>
        <v>38</v>
      </c>
      <c r="G45" s="76" t="s">
        <v>440</v>
      </c>
      <c r="H45" s="29" t="s">
        <v>96</v>
      </c>
      <c r="I45" s="21">
        <f t="shared" si="3"/>
        <v>328.07683328288226</v>
      </c>
      <c r="J45" s="21">
        <f t="shared" si="0"/>
        <v>-41.582957125813614</v>
      </c>
      <c r="K45" s="30">
        <v>2.46</v>
      </c>
      <c r="L45" s="33">
        <v>-2.5</v>
      </c>
      <c r="M45" s="21">
        <f t="shared" si="1"/>
        <v>156.67769224984622</v>
      </c>
      <c r="O45" s="13" t="str">
        <v>*</v>
      </c>
      <c r="P45" s="44">
        <v>184</v>
      </c>
      <c r="Q45" s="14" t="str">
        <v>-</v>
      </c>
      <c r="R45" s="14" t="str">
        <v>NGC 3810</v>
      </c>
      <c r="S45" s="50">
        <v>209.8366431246404</v>
      </c>
      <c r="T45" s="51">
        <v>51.726837945979142</v>
      </c>
      <c r="U45" s="13">
        <v>11.683333333333334</v>
      </c>
      <c r="V45" s="13">
        <v>11.466666666666667</v>
      </c>
      <c r="W45" s="13">
        <v>18.327692249846223</v>
      </c>
    </row>
    <row r="46" spans="2:23" ht="17">
      <c r="E46" s="20" t="str">
        <f t="shared" si="2"/>
        <v/>
      </c>
      <c r="F46" s="32">
        <f t="shared" si="4"/>
        <v>39</v>
      </c>
      <c r="G46" s="76" t="s">
        <v>440</v>
      </c>
      <c r="H46" s="29" t="s">
        <v>97</v>
      </c>
      <c r="I46" s="21">
        <f t="shared" si="3"/>
        <v>322.4207992793975</v>
      </c>
      <c r="J46" s="21">
        <f t="shared" si="0"/>
        <v>-44.34391692376699</v>
      </c>
      <c r="K46" s="30">
        <v>2.6416666666666666</v>
      </c>
      <c r="L46" s="33">
        <v>-6.666666666666667</v>
      </c>
      <c r="M46" s="21">
        <f t="shared" si="1"/>
        <v>153.95269224984622</v>
      </c>
      <c r="O46" s="13" t="str">
        <v>*</v>
      </c>
      <c r="P46" s="44">
        <v>185</v>
      </c>
      <c r="Q46" s="14" t="str">
        <v>-</v>
      </c>
      <c r="R46" s="14" t="str">
        <v>NGC 3813</v>
      </c>
      <c r="S46" s="50">
        <v>240.45203186202647</v>
      </c>
      <c r="T46" s="51">
        <v>73.188246010897103</v>
      </c>
      <c r="U46" s="13">
        <v>11.688333333333333</v>
      </c>
      <c r="V46" s="13">
        <v>36.549999999999997</v>
      </c>
      <c r="W46" s="13">
        <v>18.252692249846234</v>
      </c>
    </row>
    <row r="47" spans="2:23" ht="17">
      <c r="E47" s="20" t="str">
        <f t="shared" si="2"/>
        <v/>
      </c>
      <c r="F47" s="32">
        <f t="shared" si="4"/>
        <v>40</v>
      </c>
      <c r="G47" s="76" t="s">
        <v>440</v>
      </c>
      <c r="H47" s="29" t="s">
        <v>98</v>
      </c>
      <c r="I47" s="21">
        <f t="shared" si="3"/>
        <v>339.7090605080142</v>
      </c>
      <c r="J47" s="21">
        <f t="shared" si="0"/>
        <v>-1.2532985402849188</v>
      </c>
      <c r="K47" s="30">
        <v>2.6733333333333333</v>
      </c>
      <c r="L47" s="33">
        <v>39.06666666666667</v>
      </c>
      <c r="M47" s="21">
        <f t="shared" si="1"/>
        <v>153.47769224984623</v>
      </c>
      <c r="O47" s="13" t="str">
        <v>*</v>
      </c>
      <c r="P47" s="44">
        <v>189</v>
      </c>
      <c r="Q47" s="14" t="str">
        <v>-</v>
      </c>
      <c r="R47" s="14" t="str">
        <v>NGC 3900</v>
      </c>
      <c r="S47" s="50">
        <v>219.13979497498113</v>
      </c>
      <c r="T47" s="51">
        <v>66.696863131508778</v>
      </c>
      <c r="U47" s="13">
        <v>11.82</v>
      </c>
      <c r="V47" s="13">
        <v>27.016666666666666</v>
      </c>
      <c r="W47" s="13">
        <v>16.277692249846211</v>
      </c>
    </row>
    <row r="48" spans="2:23" ht="17">
      <c r="E48" s="20" t="str">
        <f t="shared" si="2"/>
        <v/>
      </c>
      <c r="F48" s="32">
        <f t="shared" si="4"/>
        <v>41</v>
      </c>
      <c r="G48" s="76" t="s">
        <v>440</v>
      </c>
      <c r="H48" s="29" t="s">
        <v>99</v>
      </c>
      <c r="I48" s="21">
        <f t="shared" si="3"/>
        <v>346.63247169205056</v>
      </c>
      <c r="J48" s="21">
        <f t="shared" si="0"/>
        <v>20.184553773358743</v>
      </c>
      <c r="K48" s="30">
        <v>2.7116666666666669</v>
      </c>
      <c r="L48" s="33">
        <v>61.55</v>
      </c>
      <c r="M48" s="21">
        <f t="shared" si="1"/>
        <v>152.90269224984621</v>
      </c>
      <c r="O48" s="13" t="str">
        <v>*</v>
      </c>
      <c r="P48" s="44">
        <v>190</v>
      </c>
      <c r="Q48" s="14" t="str">
        <v>-</v>
      </c>
      <c r="R48" s="14" t="str">
        <v>NGC 3912</v>
      </c>
      <c r="S48" s="50">
        <v>218.05381605340739</v>
      </c>
      <c r="T48" s="51">
        <v>66.326075319241298</v>
      </c>
      <c r="U48" s="13">
        <v>11.835000000000001</v>
      </c>
      <c r="V48" s="13">
        <v>26.483333333333334</v>
      </c>
      <c r="W48" s="13">
        <v>16.052692249846217</v>
      </c>
    </row>
    <row r="49" spans="2:23" ht="17">
      <c r="E49" s="20" t="str">
        <f t="shared" si="2"/>
        <v/>
      </c>
      <c r="F49" s="32">
        <f t="shared" si="4"/>
        <v>42</v>
      </c>
      <c r="G49" s="76" t="s">
        <v>440</v>
      </c>
      <c r="H49" s="29" t="s">
        <v>100</v>
      </c>
      <c r="I49" s="21">
        <f t="shared" si="3"/>
        <v>320.63336816652702</v>
      </c>
      <c r="J49" s="21">
        <f t="shared" si="0"/>
        <v>-45.493080427220008</v>
      </c>
      <c r="K49" s="30">
        <v>2.6850000000000001</v>
      </c>
      <c r="L49" s="33">
        <v>-8.25</v>
      </c>
      <c r="M49" s="21">
        <f t="shared" si="1"/>
        <v>153.30269224984622</v>
      </c>
      <c r="O49" s="13" t="str">
        <v>*</v>
      </c>
      <c r="P49" s="44">
        <v>191</v>
      </c>
      <c r="Q49" s="14" t="str">
        <v>-</v>
      </c>
      <c r="R49" s="14" t="str">
        <v>NGC 3938</v>
      </c>
      <c r="S49" s="50">
        <v>263.38311050802207</v>
      </c>
      <c r="T49" s="51">
        <v>78.950544834219585</v>
      </c>
      <c r="U49" s="13">
        <v>11.88</v>
      </c>
      <c r="V49" s="13">
        <v>44.116666666666667</v>
      </c>
      <c r="W49" s="13">
        <v>15.377692249846206</v>
      </c>
    </row>
    <row r="50" spans="2:23" ht="17">
      <c r="E50" s="20" t="str">
        <f t="shared" si="2"/>
        <v/>
      </c>
      <c r="F50" s="32">
        <f t="shared" si="4"/>
        <v>43</v>
      </c>
      <c r="G50" s="76" t="s">
        <v>440</v>
      </c>
      <c r="H50" s="29" t="s">
        <v>101</v>
      </c>
      <c r="I50" s="21">
        <f t="shared" si="3"/>
        <v>325.25658681667124</v>
      </c>
      <c r="J50" s="21">
        <f t="shared" si="0"/>
        <v>-37.523641177771175</v>
      </c>
      <c r="K50" s="30">
        <v>2.6966666666666668</v>
      </c>
      <c r="L50" s="33">
        <v>0.43333333333333335</v>
      </c>
      <c r="M50" s="21">
        <f t="shared" si="1"/>
        <v>153.12769224984623</v>
      </c>
      <c r="O50" s="13" t="str">
        <v>*</v>
      </c>
      <c r="P50" s="44">
        <v>192</v>
      </c>
      <c r="Q50" s="14" t="str">
        <v>-</v>
      </c>
      <c r="R50" s="14" t="str">
        <v>NGC 3941</v>
      </c>
      <c r="S50" s="50">
        <v>235.78466108231646</v>
      </c>
      <c r="T50" s="51">
        <v>75.181560009902597</v>
      </c>
      <c r="U50" s="13">
        <v>11.881666666666666</v>
      </c>
      <c r="V50" s="13">
        <v>36.983333333333334</v>
      </c>
      <c r="W50" s="13">
        <v>15.352692249846228</v>
      </c>
    </row>
    <row r="51" spans="2:23" ht="17">
      <c r="E51" s="20" t="str">
        <f t="shared" si="2"/>
        <v/>
      </c>
      <c r="F51" s="32">
        <f t="shared" si="4"/>
        <v>44</v>
      </c>
      <c r="G51" s="76" t="s">
        <v>440</v>
      </c>
      <c r="H51" s="29" t="s">
        <v>102</v>
      </c>
      <c r="I51" s="21">
        <f t="shared" si="3"/>
        <v>319.52026862617504</v>
      </c>
      <c r="J51" s="21">
        <f t="shared" si="0"/>
        <v>-44.354864585078403</v>
      </c>
      <c r="K51" s="30">
        <v>2.7666666666666666</v>
      </c>
      <c r="L51" s="33">
        <v>-7.583333333333333</v>
      </c>
      <c r="M51" s="21">
        <f t="shared" si="1"/>
        <v>152.07769224984622</v>
      </c>
      <c r="O51" s="13" t="str">
        <v>*</v>
      </c>
      <c r="P51" s="44">
        <v>196</v>
      </c>
      <c r="Q51" s="14" t="str">
        <v>-</v>
      </c>
      <c r="R51" s="14" t="str">
        <v>NGC 3962</v>
      </c>
      <c r="S51" s="50">
        <v>196.43672741590663</v>
      </c>
      <c r="T51" s="51">
        <v>28.11217204445224</v>
      </c>
      <c r="U51" s="13">
        <v>11.911666666666667</v>
      </c>
      <c r="V51" s="13">
        <v>-13.966666666666667</v>
      </c>
      <c r="W51" s="13">
        <v>14.902692249846211</v>
      </c>
    </row>
    <row r="52" spans="2:23" ht="17">
      <c r="E52" s="20" t="str">
        <f t="shared" si="2"/>
        <v/>
      </c>
      <c r="F52" s="32">
        <f t="shared" si="4"/>
        <v>45</v>
      </c>
      <c r="G52" s="76" t="s">
        <v>440</v>
      </c>
      <c r="H52" s="29" t="s">
        <v>103</v>
      </c>
      <c r="I52" s="21">
        <f t="shared" si="3"/>
        <v>336.75098633782432</v>
      </c>
      <c r="J52" s="21">
        <f t="shared" si="0"/>
        <v>8.6019121509252319</v>
      </c>
      <c r="K52" s="30">
        <v>3.2450000000000001</v>
      </c>
      <c r="L52" s="33">
        <v>47.25</v>
      </c>
      <c r="M52" s="21">
        <f t="shared" si="1"/>
        <v>144.90269224984621</v>
      </c>
      <c r="O52" s="13" t="str">
        <v>*</v>
      </c>
      <c r="P52" s="44">
        <v>201</v>
      </c>
      <c r="Q52" s="14" t="str">
        <v>-</v>
      </c>
      <c r="R52" s="14" t="str">
        <v>NGC 4027</v>
      </c>
      <c r="S52" s="50">
        <v>194.07276352318803</v>
      </c>
      <c r="T52" s="51">
        <v>23.124945640802185</v>
      </c>
      <c r="U52" s="13">
        <v>11.991666666666667</v>
      </c>
      <c r="V52" s="13">
        <v>-19.266666666666666</v>
      </c>
      <c r="W52" s="13">
        <v>13.702692249846223</v>
      </c>
    </row>
    <row r="53" spans="2:23" ht="17">
      <c r="E53" s="20" t="str">
        <f t="shared" si="2"/>
        <v/>
      </c>
      <c r="F53" s="32">
        <f t="shared" si="4"/>
        <v>46</v>
      </c>
      <c r="G53" s="76" t="s">
        <v>440</v>
      </c>
      <c r="H53" s="29" t="s">
        <v>104</v>
      </c>
      <c r="I53" s="21">
        <f t="shared" si="3"/>
        <v>329.74056102329797</v>
      </c>
      <c r="J53" s="21">
        <f t="shared" si="0"/>
        <v>0.9020612983449664</v>
      </c>
      <c r="K53" s="30">
        <v>3.5266666666666668</v>
      </c>
      <c r="L53" s="33">
        <v>37.333333333333336</v>
      </c>
      <c r="M53" s="21">
        <f t="shared" si="1"/>
        <v>140.67769224984622</v>
      </c>
      <c r="O53" s="13" t="str">
        <v>*</v>
      </c>
      <c r="P53" s="44">
        <v>202</v>
      </c>
      <c r="Q53" s="14" t="str">
        <v>-</v>
      </c>
      <c r="R53" s="14" t="str">
        <v>NGC 4030</v>
      </c>
      <c r="S53" s="50">
        <v>195.72922200477964</v>
      </c>
      <c r="T53" s="51">
        <v>32.176482827956562</v>
      </c>
      <c r="U53" s="13">
        <v>12.006666666666666</v>
      </c>
      <c r="V53" s="13">
        <v>-10.1</v>
      </c>
      <c r="W53" s="13">
        <v>13.477692249846257</v>
      </c>
    </row>
    <row r="54" spans="2:23" ht="17">
      <c r="E54" s="20" t="str">
        <f t="shared" si="2"/>
        <v/>
      </c>
      <c r="F54" s="32">
        <f t="shared" si="4"/>
        <v>47</v>
      </c>
      <c r="G54" s="76" t="s">
        <v>440</v>
      </c>
      <c r="H54" s="29" t="s">
        <v>105</v>
      </c>
      <c r="I54" s="21">
        <f t="shared" si="3"/>
        <v>295.18395602182022</v>
      </c>
      <c r="J54" s="21">
        <f t="shared" si="0"/>
        <v>-46.079150679622771</v>
      </c>
      <c r="K54" s="30">
        <v>3.67</v>
      </c>
      <c r="L54" s="33">
        <v>-18.583333333333332</v>
      </c>
      <c r="M54" s="21">
        <f t="shared" si="1"/>
        <v>138.52769224984621</v>
      </c>
      <c r="O54" s="13" t="str">
        <v>*</v>
      </c>
      <c r="P54" s="44">
        <v>204</v>
      </c>
      <c r="Q54" s="14" t="str">
        <v>-</v>
      </c>
      <c r="R54" s="14" t="str">
        <v>NGC 4038</v>
      </c>
      <c r="S54" s="50">
        <v>193.54022277866994</v>
      </c>
      <c r="T54" s="51">
        <v>23.617502116487437</v>
      </c>
      <c r="U54" s="13">
        <v>12.031666666666666</v>
      </c>
      <c r="V54" s="13">
        <v>-18.866666666666667</v>
      </c>
      <c r="W54" s="13">
        <v>13.102692249846228</v>
      </c>
    </row>
    <row r="55" spans="2:23" ht="17">
      <c r="B55" s="145" t="s">
        <v>478</v>
      </c>
      <c r="E55" s="20" t="str">
        <f t="shared" si="2"/>
        <v/>
      </c>
      <c r="F55" s="32">
        <f t="shared" si="4"/>
        <v>48</v>
      </c>
      <c r="G55" s="76" t="s">
        <v>440</v>
      </c>
      <c r="H55" s="29" t="s">
        <v>106</v>
      </c>
      <c r="I55" s="21">
        <f t="shared" si="3"/>
        <v>334.13149592947002</v>
      </c>
      <c r="J55" s="21">
        <f t="shared" si="0"/>
        <v>15.936059730317021</v>
      </c>
      <c r="K55" s="30">
        <v>3.8233333333333333</v>
      </c>
      <c r="L55" s="33">
        <v>52.666666666666664</v>
      </c>
      <c r="M55" s="21">
        <f t="shared" si="1"/>
        <v>136.22769224984623</v>
      </c>
      <c r="O55" s="13" t="str">
        <v>*</v>
      </c>
      <c r="P55" s="44">
        <v>206</v>
      </c>
      <c r="Q55" s="14" t="str">
        <v>-</v>
      </c>
      <c r="R55" s="14" t="str">
        <v>NGC 4051</v>
      </c>
      <c r="S55" s="50">
        <v>262.53743236888414</v>
      </c>
      <c r="T55" s="51">
        <v>80.850833328691778</v>
      </c>
      <c r="U55" s="13">
        <v>12.053333333333333</v>
      </c>
      <c r="V55" s="13">
        <v>44.533333333333331</v>
      </c>
      <c r="W55" s="13">
        <v>12.777692249846211</v>
      </c>
    </row>
    <row r="56" spans="2:23" ht="17" customHeight="1">
      <c r="B56" s="145" t="s">
        <v>479</v>
      </c>
      <c r="E56" s="20" t="str">
        <f t="shared" si="2"/>
        <v/>
      </c>
      <c r="F56" s="32">
        <f t="shared" si="4"/>
        <v>49</v>
      </c>
      <c r="G56" s="76" t="s">
        <v>440</v>
      </c>
      <c r="H56" s="29" t="s">
        <v>107</v>
      </c>
      <c r="I56" s="21">
        <f t="shared" si="3"/>
        <v>336.60134651162031</v>
      </c>
      <c r="J56" s="21">
        <f t="shared" si="0"/>
        <v>24.207629079100855</v>
      </c>
      <c r="K56" s="30">
        <v>4.1166666666666663</v>
      </c>
      <c r="L56" s="33">
        <v>60.916666666666664</v>
      </c>
      <c r="M56" s="21">
        <f t="shared" si="1"/>
        <v>131.82769224984622</v>
      </c>
      <c r="O56" s="13" t="str">
        <v>*</v>
      </c>
      <c r="P56" s="44">
        <v>210</v>
      </c>
      <c r="Q56" s="14" t="str">
        <v>-</v>
      </c>
      <c r="R56" s="14" t="str">
        <v>NGC 4111</v>
      </c>
      <c r="S56" s="50">
        <v>252.25402706003649</v>
      </c>
      <c r="T56" s="51">
        <v>80.973242629553837</v>
      </c>
      <c r="U56" s="13">
        <v>12.118333333333334</v>
      </c>
      <c r="V56" s="13">
        <v>43.06666666666667</v>
      </c>
      <c r="W56" s="13">
        <v>11.802692249846217</v>
      </c>
    </row>
    <row r="57" spans="2:23" ht="17">
      <c r="E57" s="20" t="str">
        <f t="shared" si="2"/>
        <v/>
      </c>
      <c r="F57" s="32">
        <f t="shared" si="4"/>
        <v>50</v>
      </c>
      <c r="G57" s="76" t="s">
        <v>440</v>
      </c>
      <c r="H57" s="29" t="s">
        <v>108</v>
      </c>
      <c r="I57" s="21">
        <f t="shared" si="3"/>
        <v>337.40992667425547</v>
      </c>
      <c r="J57" s="21">
        <f t="shared" si="0"/>
        <v>25.422227662775718</v>
      </c>
      <c r="K57" s="30">
        <v>4.128333333333333</v>
      </c>
      <c r="L57" s="33">
        <v>62.333333333333336</v>
      </c>
      <c r="M57" s="21">
        <f t="shared" si="1"/>
        <v>131.65269224984621</v>
      </c>
      <c r="O57" s="13" t="str">
        <v>*</v>
      </c>
      <c r="P57" s="44">
        <v>211</v>
      </c>
      <c r="Q57" s="14" t="str">
        <v>-</v>
      </c>
      <c r="R57" s="14" t="str">
        <v>NGC 4143</v>
      </c>
      <c r="S57" s="50">
        <v>247.84133895295929</v>
      </c>
      <c r="T57" s="51">
        <v>81.127373695857685</v>
      </c>
      <c r="U57" s="13">
        <v>12.16</v>
      </c>
      <c r="V57" s="13">
        <v>42.533333333333331</v>
      </c>
      <c r="W57" s="13">
        <v>11.177692249846217</v>
      </c>
    </row>
    <row r="58" spans="2:23" ht="17">
      <c r="E58" s="20" t="str">
        <f t="shared" si="2"/>
        <v/>
      </c>
      <c r="F58" s="32">
        <f t="shared" si="4"/>
        <v>51</v>
      </c>
      <c r="G58" s="76" t="s">
        <v>440</v>
      </c>
      <c r="H58" s="29" t="s">
        <v>109</v>
      </c>
      <c r="I58" s="21">
        <f t="shared" si="3"/>
        <v>329.57189867567365</v>
      </c>
      <c r="J58" s="21">
        <f t="shared" si="0"/>
        <v>14.912301589860283</v>
      </c>
      <c r="K58" s="30">
        <v>4.166666666666667</v>
      </c>
      <c r="L58" s="33">
        <v>49.516666666666666</v>
      </c>
      <c r="M58" s="21">
        <f t="shared" si="1"/>
        <v>131.07769224984622</v>
      </c>
      <c r="O58" s="13" t="str">
        <v>*</v>
      </c>
      <c r="P58" s="44">
        <v>212</v>
      </c>
      <c r="Q58" s="14" t="str">
        <v>-</v>
      </c>
      <c r="R58" s="14" t="str">
        <v>NGC 4147</v>
      </c>
      <c r="S58" s="50">
        <v>201.76642755344872</v>
      </c>
      <c r="T58" s="51">
        <v>60.65092215868809</v>
      </c>
      <c r="U58" s="13">
        <v>12.168333333333333</v>
      </c>
      <c r="V58" s="13">
        <v>18.55</v>
      </c>
      <c r="W58" s="13">
        <v>11.052692249846217</v>
      </c>
    </row>
    <row r="59" spans="2:23" ht="17">
      <c r="E59" s="20" t="str">
        <f t="shared" si="2"/>
        <v/>
      </c>
      <c r="F59" s="32">
        <f t="shared" si="4"/>
        <v>52</v>
      </c>
      <c r="G59" s="76" t="s">
        <v>440</v>
      </c>
      <c r="H59" s="29" t="s">
        <v>110</v>
      </c>
      <c r="I59" s="21">
        <f t="shared" si="3"/>
        <v>329.79529118882721</v>
      </c>
      <c r="J59" s="21">
        <f t="shared" si="0"/>
        <v>16.820635198621531</v>
      </c>
      <c r="K59" s="30">
        <v>4.2566666666666668</v>
      </c>
      <c r="L59" s="33">
        <v>51.233333333333334</v>
      </c>
      <c r="M59" s="21">
        <f t="shared" si="1"/>
        <v>129.72769224984623</v>
      </c>
      <c r="O59" s="13" t="str">
        <v>*</v>
      </c>
      <c r="P59" s="44">
        <v>213</v>
      </c>
      <c r="Q59" s="14" t="str">
        <v>-</v>
      </c>
      <c r="R59" s="14" t="str">
        <v>NGC 4150</v>
      </c>
      <c r="S59" s="50">
        <v>211.66125765730027</v>
      </c>
      <c r="T59" s="51">
        <v>71.850170050657141</v>
      </c>
      <c r="U59" s="13">
        <v>12.176666666666666</v>
      </c>
      <c r="V59" s="13">
        <v>30.4</v>
      </c>
      <c r="W59" s="13">
        <v>10.927692249846245</v>
      </c>
    </row>
    <row r="60" spans="2:23" ht="17">
      <c r="E60" s="20" t="str">
        <f t="shared" si="2"/>
        <v/>
      </c>
      <c r="F60" s="32">
        <f t="shared" si="4"/>
        <v>53</v>
      </c>
      <c r="G60" s="76" t="s">
        <v>440</v>
      </c>
      <c r="H60" s="29" t="s">
        <v>111</v>
      </c>
      <c r="I60" s="21">
        <f t="shared" si="3"/>
        <v>292.06917352520873</v>
      </c>
      <c r="J60" s="21">
        <f t="shared" si="0"/>
        <v>-36.297604382968714</v>
      </c>
      <c r="K60" s="30">
        <v>4.2366666666666664</v>
      </c>
      <c r="L60" s="33">
        <v>-12.733333333333333</v>
      </c>
      <c r="M60" s="21">
        <f t="shared" si="1"/>
        <v>130.02769224984624</v>
      </c>
      <c r="O60" s="13" t="str">
        <v>*</v>
      </c>
      <c r="P60" s="44">
        <v>214</v>
      </c>
      <c r="Q60" s="14" t="str">
        <v>-</v>
      </c>
      <c r="R60" s="14" t="str">
        <v>NGC 4151</v>
      </c>
      <c r="S60" s="50">
        <v>232.53043401913379</v>
      </c>
      <c r="T60" s="51">
        <v>79.339749618354432</v>
      </c>
      <c r="U60" s="13">
        <v>12.175000000000001</v>
      </c>
      <c r="V60" s="13">
        <v>39.4</v>
      </c>
      <c r="W60" s="13">
        <v>10.952692249846223</v>
      </c>
    </row>
    <row r="61" spans="2:23" ht="17">
      <c r="E61" s="20" t="str">
        <f t="shared" si="2"/>
        <v/>
      </c>
      <c r="F61" s="32">
        <f t="shared" si="4"/>
        <v>54</v>
      </c>
      <c r="G61" s="76" t="s">
        <v>440</v>
      </c>
      <c r="H61" s="29" t="s">
        <v>112</v>
      </c>
      <c r="I61" s="21">
        <f t="shared" si="3"/>
        <v>328.46868592253298</v>
      </c>
      <c r="J61" s="21">
        <f t="shared" si="0"/>
        <v>16.491020707706639</v>
      </c>
      <c r="K61" s="30">
        <v>4.3483333333333336</v>
      </c>
      <c r="L61" s="33">
        <v>50.25</v>
      </c>
      <c r="M61" s="21">
        <f t="shared" si="1"/>
        <v>128.3526922498462</v>
      </c>
      <c r="O61" s="13" t="str">
        <v>*</v>
      </c>
      <c r="P61" s="44">
        <v>215</v>
      </c>
      <c r="Q61" s="14" t="str">
        <v>-</v>
      </c>
      <c r="R61" s="14" t="str">
        <v>NGC 4179</v>
      </c>
      <c r="S61" s="50">
        <v>194.45092201072805</v>
      </c>
      <c r="T61" s="51">
        <v>43.95072395281219</v>
      </c>
      <c r="U61" s="13">
        <v>12.215</v>
      </c>
      <c r="V61" s="13">
        <v>1.3</v>
      </c>
      <c r="W61" s="13">
        <v>10.352692249846228</v>
      </c>
    </row>
    <row r="62" spans="2:23" ht="17">
      <c r="E62" s="20" t="str">
        <f t="shared" si="2"/>
        <v/>
      </c>
      <c r="F62" s="32">
        <f t="shared" si="4"/>
        <v>55</v>
      </c>
      <c r="G62" s="76" t="s">
        <v>440</v>
      </c>
      <c r="H62" s="29" t="s">
        <v>113</v>
      </c>
      <c r="I62" s="21">
        <f t="shared" si="3"/>
        <v>306.32696061981488</v>
      </c>
      <c r="J62" s="21">
        <f t="shared" si="0"/>
        <v>-6.2614598342550973</v>
      </c>
      <c r="K62" s="30">
        <v>4.7666666666666666</v>
      </c>
      <c r="L62" s="33">
        <v>19.066666666666666</v>
      </c>
      <c r="M62" s="21">
        <f t="shared" si="1"/>
        <v>122.07769224984622</v>
      </c>
      <c r="O62" s="13" t="str">
        <v>*</v>
      </c>
      <c r="P62" s="44">
        <v>216</v>
      </c>
      <c r="Q62" s="14" t="str">
        <v>-</v>
      </c>
      <c r="R62" s="14" t="str">
        <v>NGC 4203</v>
      </c>
      <c r="S62" s="50">
        <v>212.88456135839803</v>
      </c>
      <c r="T62" s="51">
        <v>74.788097809448132</v>
      </c>
      <c r="U62" s="13">
        <v>12.251666666666667</v>
      </c>
      <c r="V62" s="13">
        <v>33.200000000000003</v>
      </c>
      <c r="W62" s="13">
        <v>9.8026922498462454</v>
      </c>
    </row>
    <row r="63" spans="2:23" ht="17">
      <c r="E63" s="20" t="str">
        <f t="shared" si="2"/>
        <v/>
      </c>
      <c r="F63" s="32">
        <f t="shared" si="4"/>
        <v>56</v>
      </c>
      <c r="G63" s="76" t="s">
        <v>440</v>
      </c>
      <c r="H63" s="29" t="s">
        <v>114</v>
      </c>
      <c r="I63" s="21">
        <f t="shared" si="3"/>
        <v>320.16247307180197</v>
      </c>
      <c r="J63" s="21">
        <f t="shared" si="0"/>
        <v>14.220649009334233</v>
      </c>
      <c r="K63" s="30">
        <v>4.8516666666666666</v>
      </c>
      <c r="L63" s="33">
        <v>43.7</v>
      </c>
      <c r="M63" s="21">
        <f t="shared" si="1"/>
        <v>120.80269224984623</v>
      </c>
      <c r="O63" s="13" t="str">
        <v>*</v>
      </c>
      <c r="P63" s="44">
        <v>217</v>
      </c>
      <c r="Q63" s="14" t="str">
        <v>-</v>
      </c>
      <c r="R63" s="14" t="str">
        <v>NGC 4214</v>
      </c>
      <c r="S63" s="50">
        <v>218.98149703357996</v>
      </c>
      <c r="T63" s="51">
        <v>77.568318545747573</v>
      </c>
      <c r="U63" s="13">
        <v>12.26</v>
      </c>
      <c r="V63" s="13">
        <v>36.333333333333336</v>
      </c>
      <c r="W63" s="13">
        <v>9.677692249846217</v>
      </c>
    </row>
    <row r="64" spans="2:23" ht="17">
      <c r="E64" s="20" t="str">
        <f t="shared" si="2"/>
        <v/>
      </c>
      <c r="F64" s="32">
        <f t="shared" si="4"/>
        <v>57</v>
      </c>
      <c r="G64" s="76" t="s">
        <v>440</v>
      </c>
      <c r="H64" s="29" t="s">
        <v>115</v>
      </c>
      <c r="I64" s="21">
        <f t="shared" si="3"/>
        <v>287.83516352610059</v>
      </c>
      <c r="J64" s="21">
        <f t="shared" si="0"/>
        <v>-20.673052158204001</v>
      </c>
      <c r="K64" s="30">
        <v>5.1150000000000002</v>
      </c>
      <c r="L64" s="33">
        <v>-3.35</v>
      </c>
      <c r="M64" s="21">
        <f t="shared" si="1"/>
        <v>116.85269224984621</v>
      </c>
      <c r="O64" s="13" t="str">
        <v>*</v>
      </c>
      <c r="P64" s="44">
        <v>218</v>
      </c>
      <c r="Q64" s="14" t="str">
        <v>-</v>
      </c>
      <c r="R64" s="14" t="str">
        <v>NGC 4216</v>
      </c>
      <c r="S64" s="50">
        <v>196.76753718803741</v>
      </c>
      <c r="T64" s="51">
        <v>55.731354713255108</v>
      </c>
      <c r="U64" s="13">
        <v>12.265000000000001</v>
      </c>
      <c r="V64" s="13">
        <v>13.15</v>
      </c>
      <c r="W64" s="13">
        <v>9.6026922498462</v>
      </c>
    </row>
    <row r="65" spans="5:23" ht="17">
      <c r="E65" s="20" t="str">
        <f t="shared" si="2"/>
        <v/>
      </c>
      <c r="F65" s="32">
        <f t="shared" si="4"/>
        <v>58</v>
      </c>
      <c r="G65" s="76" t="s">
        <v>440</v>
      </c>
      <c r="H65" s="29" t="s">
        <v>116</v>
      </c>
      <c r="I65" s="21">
        <f t="shared" si="3"/>
        <v>299.92618993685136</v>
      </c>
      <c r="J65" s="21">
        <f t="shared" si="0"/>
        <v>-4.3806639091667083</v>
      </c>
      <c r="K65" s="30">
        <v>5.2016666666666662</v>
      </c>
      <c r="L65" s="33">
        <v>16.7</v>
      </c>
      <c r="M65" s="21">
        <f t="shared" si="1"/>
        <v>115.55269224984623</v>
      </c>
      <c r="O65" s="13" t="str">
        <v>*</v>
      </c>
      <c r="P65" s="44">
        <v>219</v>
      </c>
      <c r="Q65" s="14" t="str">
        <v>-</v>
      </c>
      <c r="R65" s="14" t="str">
        <v>NGC 4245</v>
      </c>
      <c r="S65" s="50">
        <v>206.20311585144358</v>
      </c>
      <c r="T65" s="51">
        <v>71.694961409568364</v>
      </c>
      <c r="U65" s="13">
        <v>12.293333333333333</v>
      </c>
      <c r="V65" s="13">
        <v>29.6</v>
      </c>
      <c r="W65" s="13">
        <v>9.177692249846217</v>
      </c>
    </row>
    <row r="66" spans="5:23" ht="17">
      <c r="E66" s="20" t="str">
        <f t="shared" si="2"/>
        <v/>
      </c>
      <c r="F66" s="32">
        <f t="shared" si="4"/>
        <v>59</v>
      </c>
      <c r="G66" s="76" t="s">
        <v>440</v>
      </c>
      <c r="H66" s="29" t="s">
        <v>117</v>
      </c>
      <c r="I66" s="21">
        <f t="shared" si="3"/>
        <v>312.9754478308522</v>
      </c>
      <c r="J66" s="21">
        <f t="shared" si="0"/>
        <v>14.291969654689261</v>
      </c>
      <c r="K66" s="30">
        <v>5.3366666666666669</v>
      </c>
      <c r="L66" s="33">
        <v>39.35</v>
      </c>
      <c r="M66" s="21">
        <f t="shared" si="1"/>
        <v>113.52769224984623</v>
      </c>
      <c r="O66" s="13" t="str">
        <v>*</v>
      </c>
      <c r="P66" s="44">
        <v>220</v>
      </c>
      <c r="Q66" s="14" t="str">
        <v>-</v>
      </c>
      <c r="R66" s="14" t="str">
        <v>NGC 4251</v>
      </c>
      <c r="S66" s="50">
        <v>204.40188357628568</v>
      </c>
      <c r="T66" s="51">
        <v>70.381839709589073</v>
      </c>
      <c r="U66" s="13">
        <v>12.301666666666666</v>
      </c>
      <c r="V66" s="13">
        <v>28.166666666666668</v>
      </c>
      <c r="W66" s="13">
        <v>9.0526922498462454</v>
      </c>
    </row>
    <row r="67" spans="5:23" ht="17">
      <c r="E67" s="20" t="str">
        <f t="shared" si="2"/>
        <v/>
      </c>
      <c r="F67" s="32">
        <f t="shared" si="4"/>
        <v>60</v>
      </c>
      <c r="G67" s="76" t="s">
        <v>440</v>
      </c>
      <c r="H67" s="29" t="s">
        <v>118</v>
      </c>
      <c r="I67" s="21">
        <f t="shared" si="3"/>
        <v>309.06103074979575</v>
      </c>
      <c r="J67" s="21">
        <f t="shared" si="0"/>
        <v>12.25333207443129</v>
      </c>
      <c r="K67" s="30">
        <v>5.4666666666666668</v>
      </c>
      <c r="L67" s="33">
        <v>35.31666666666667</v>
      </c>
      <c r="M67" s="21">
        <f t="shared" si="1"/>
        <v>111.57769224984622</v>
      </c>
      <c r="O67" s="13" t="str">
        <v>*</v>
      </c>
      <c r="P67" s="44">
        <v>222</v>
      </c>
      <c r="Q67" s="14" t="str">
        <v>-</v>
      </c>
      <c r="R67" s="14" t="str">
        <v>NGC 4261</v>
      </c>
      <c r="S67" s="50">
        <v>193.21472283036124</v>
      </c>
      <c r="T67" s="51">
        <v>48.673225846233237</v>
      </c>
      <c r="U67" s="13">
        <v>12.323333333333334</v>
      </c>
      <c r="V67" s="13">
        <v>5.8166666666666664</v>
      </c>
      <c r="W67" s="13">
        <v>8.7276922498462284</v>
      </c>
    </row>
    <row r="68" spans="5:23" ht="17">
      <c r="E68" s="20" t="str">
        <f t="shared" si="2"/>
        <v/>
      </c>
      <c r="F68" s="32">
        <f t="shared" si="4"/>
        <v>61</v>
      </c>
      <c r="G68" s="76" t="s">
        <v>440</v>
      </c>
      <c r="H68" s="29" t="s">
        <v>119</v>
      </c>
      <c r="I68" s="21">
        <f t="shared" si="3"/>
        <v>307.80609701881974</v>
      </c>
      <c r="J68" s="21">
        <f t="shared" si="0"/>
        <v>11.908020875308365</v>
      </c>
      <c r="K68" s="30">
        <v>5.5233333333333334</v>
      </c>
      <c r="L68" s="33">
        <v>34.25</v>
      </c>
      <c r="M68" s="21">
        <f t="shared" si="1"/>
        <v>110.72769224984623</v>
      </c>
      <c r="O68" s="13" t="str">
        <v>*</v>
      </c>
      <c r="P68" s="44">
        <v>223</v>
      </c>
      <c r="Q68" s="14" t="str">
        <v>-</v>
      </c>
      <c r="R68" s="14" t="str">
        <v>NGC 4273</v>
      </c>
      <c r="S68" s="50">
        <v>192.91933181706776</v>
      </c>
      <c r="T68" s="51">
        <v>48.231781707963592</v>
      </c>
      <c r="U68" s="13">
        <v>12.331666666666667</v>
      </c>
      <c r="V68" s="13">
        <v>5.35</v>
      </c>
      <c r="W68" s="13">
        <v>8.6026922498462</v>
      </c>
    </row>
    <row r="69" spans="5:23" ht="17">
      <c r="E69" s="20" t="str">
        <f t="shared" si="2"/>
        <v/>
      </c>
      <c r="F69" s="32">
        <f t="shared" si="4"/>
        <v>62</v>
      </c>
      <c r="G69" s="76" t="s">
        <v>440</v>
      </c>
      <c r="H69" s="29" t="s">
        <v>120</v>
      </c>
      <c r="I69" s="21">
        <f t="shared" si="3"/>
        <v>335.18244616455399</v>
      </c>
      <c r="J69" s="21">
        <f t="shared" si="0"/>
        <v>37.097740240353453</v>
      </c>
      <c r="K69" s="30">
        <v>5.7016666666666662</v>
      </c>
      <c r="L69" s="33">
        <v>69.38333333333334</v>
      </c>
      <c r="M69" s="21">
        <f t="shared" si="1"/>
        <v>108.05269224984623</v>
      </c>
      <c r="O69" s="13" t="str">
        <v>*</v>
      </c>
      <c r="P69" s="44">
        <v>224</v>
      </c>
      <c r="Q69" s="14" t="str">
        <v>-</v>
      </c>
      <c r="R69" s="14" t="str">
        <v>NGC 4274</v>
      </c>
      <c r="S69" s="50">
        <v>204.78327154866702</v>
      </c>
      <c r="T69" s="51">
        <v>71.873734590173044</v>
      </c>
      <c r="U69" s="13">
        <v>12.33</v>
      </c>
      <c r="V69" s="13">
        <v>29.616666666666667</v>
      </c>
      <c r="W69" s="13">
        <v>8.6276922498462056</v>
      </c>
    </row>
    <row r="70" spans="5:23" ht="17">
      <c r="E70" s="20" t="str">
        <f t="shared" si="2"/>
        <v/>
      </c>
      <c r="F70" s="32">
        <f t="shared" si="4"/>
        <v>63</v>
      </c>
      <c r="G70" s="76" t="s">
        <v>440</v>
      </c>
      <c r="H70" s="29" t="s">
        <v>121</v>
      </c>
      <c r="I70" s="21">
        <f t="shared" si="3"/>
        <v>268.34702269371292</v>
      </c>
      <c r="J70" s="21">
        <f t="shared" si="0"/>
        <v>-29.463471118112565</v>
      </c>
      <c r="K70" s="30">
        <v>5.5566666666666666</v>
      </c>
      <c r="L70" s="33">
        <v>-21.95</v>
      </c>
      <c r="M70" s="21">
        <f t="shared" si="1"/>
        <v>110.22769224984623</v>
      </c>
      <c r="O70" s="13" t="str">
        <v>*</v>
      </c>
      <c r="P70" s="44">
        <v>225</v>
      </c>
      <c r="Q70" s="14" t="str">
        <v>-</v>
      </c>
      <c r="R70" s="14" t="str">
        <v>NGC 4278</v>
      </c>
      <c r="S70" s="50">
        <v>204.23754879083694</v>
      </c>
      <c r="T70" s="51">
        <v>71.580306141332244</v>
      </c>
      <c r="U70" s="13">
        <v>12.335000000000001</v>
      </c>
      <c r="V70" s="13">
        <v>29.283333333333335</v>
      </c>
      <c r="W70" s="13">
        <v>8.5526922498461886</v>
      </c>
    </row>
    <row r="71" spans="5:23" ht="17">
      <c r="E71" s="20" t="str">
        <f t="shared" si="2"/>
        <v/>
      </c>
      <c r="F71" s="32">
        <f t="shared" si="4"/>
        <v>64</v>
      </c>
      <c r="G71" s="76" t="s">
        <v>440</v>
      </c>
      <c r="H71" s="29" t="s">
        <v>122</v>
      </c>
      <c r="I71" s="21">
        <f t="shared" si="3"/>
        <v>280.44034676160283</v>
      </c>
      <c r="J71" s="21">
        <f t="shared" si="0"/>
        <v>-17.80853804266259</v>
      </c>
      <c r="K71" s="30">
        <v>5.59</v>
      </c>
      <c r="L71" s="33">
        <v>-5.9</v>
      </c>
      <c r="M71" s="21">
        <f t="shared" si="1"/>
        <v>109.72769224984623</v>
      </c>
      <c r="O71" s="13" t="str">
        <v>*</v>
      </c>
      <c r="P71" s="44">
        <v>226</v>
      </c>
      <c r="Q71" s="14" t="str">
        <v>-</v>
      </c>
      <c r="R71" s="14" t="str">
        <v>NGC 4281</v>
      </c>
      <c r="S71" s="50">
        <v>192.74231976781675</v>
      </c>
      <c r="T71" s="51">
        <v>48.283844787875125</v>
      </c>
      <c r="U71" s="13">
        <v>12.34</v>
      </c>
      <c r="V71" s="13">
        <v>5.3833333333333337</v>
      </c>
      <c r="W71" s="13">
        <v>8.4776922498462284</v>
      </c>
    </row>
    <row r="72" spans="5:23" ht="17">
      <c r="E72" s="20" t="str">
        <f t="shared" si="2"/>
        <v/>
      </c>
      <c r="F72" s="32">
        <f t="shared" si="4"/>
        <v>65</v>
      </c>
      <c r="G72" s="76" t="s">
        <v>440</v>
      </c>
      <c r="H72" s="29" t="s">
        <v>123</v>
      </c>
      <c r="I72" s="21">
        <f t="shared" si="3"/>
        <v>279.65612904826605</v>
      </c>
      <c r="J72" s="21">
        <f t="shared" ref="J72:J135" si="5">ASIN(SIN($M$409*L72)*SIN($M$409*$C$13)+COS($M$409*L72)*COS($M$409*$C$13)*COS($M$409*M72))/$M$409</f>
        <v>-18.206651596034714</v>
      </c>
      <c r="K72" s="30">
        <v>5.6083333333333334</v>
      </c>
      <c r="L72" s="33">
        <v>-6.7</v>
      </c>
      <c r="M72" s="21">
        <f t="shared" ref="M72:M135" si="6">$C$16-((K72/24)*360)</f>
        <v>109.45269224984622</v>
      </c>
      <c r="O72" s="13" t="str">
        <v>*</v>
      </c>
      <c r="P72" s="44">
        <v>227</v>
      </c>
      <c r="Q72" s="14" t="str">
        <v>-</v>
      </c>
      <c r="R72" s="14" t="str">
        <v>NGC 4293</v>
      </c>
      <c r="S72" s="50">
        <v>196.42928807954422</v>
      </c>
      <c r="T72" s="51">
        <v>61.114774577103312</v>
      </c>
      <c r="U72" s="13">
        <v>12.353333333333333</v>
      </c>
      <c r="V72" s="13">
        <v>18.383333333333333</v>
      </c>
      <c r="W72" s="13">
        <v>8.2776922498462397</v>
      </c>
    </row>
    <row r="73" spans="5:23">
      <c r="E73" s="20" t="str">
        <f t="shared" ref="E73:E136" si="7">IF(AND(J73&gt;=$J$4,J73&lt;=$J$6,I73&gt;=$I$4,I73&lt;=$I$6),IF(VLOOKUP(G73,$C$19:$D$24,2,FALSE)="yes","*","-"),"")</f>
        <v/>
      </c>
      <c r="F73" s="32">
        <f t="shared" si="4"/>
        <v>66</v>
      </c>
      <c r="G73" s="76" t="s">
        <v>440</v>
      </c>
      <c r="H73" s="28" t="s">
        <v>124</v>
      </c>
      <c r="I73" s="21">
        <f t="shared" ref="I73:I136" si="8">IF(SIN($M$409*M73)&lt;0,ACOS((SIN($M$409*L73)-SIN($M$409*J73)*SIN($M$409*$C$13))/(COS($M$409*J73)*COS($M$409*$C$13)))/$M$409,360-ACOS((SIN($M$409*L73)-SIN($M$409*J73)*SIN($M$409*$C$13))/(COS($M$409*J73)*COS($M$409*$C$13)))/$M$409)</f>
        <v>289.39645110603055</v>
      </c>
      <c r="J73" s="21">
        <f t="shared" si="5"/>
        <v>-5.5326669775925934</v>
      </c>
      <c r="K73" s="30">
        <v>5.7016666666666662</v>
      </c>
      <c r="L73" s="33">
        <v>9.0833333333333339</v>
      </c>
      <c r="M73" s="21">
        <f t="shared" si="6"/>
        <v>108.05269224984623</v>
      </c>
      <c r="O73" s="13" t="str">
        <v>*</v>
      </c>
      <c r="P73" s="44">
        <v>228</v>
      </c>
      <c r="Q73" s="14" t="str">
        <v>-</v>
      </c>
      <c r="R73" s="14" t="str">
        <v>NGC 4303</v>
      </c>
      <c r="S73" s="50">
        <v>191.98929412864953</v>
      </c>
      <c r="T73" s="51">
        <v>47.432608104044007</v>
      </c>
      <c r="U73" s="13">
        <v>12.365</v>
      </c>
      <c r="V73" s="13">
        <v>4.4666666666666668</v>
      </c>
      <c r="W73" s="13">
        <v>8.1026922498462</v>
      </c>
    </row>
    <row r="74" spans="5:23" ht="17">
      <c r="E74" s="20" t="str">
        <f t="shared" si="7"/>
        <v/>
      </c>
      <c r="F74" s="32">
        <f t="shared" ref="F74:F137" si="9">F73+1</f>
        <v>67</v>
      </c>
      <c r="G74" s="76" t="s">
        <v>440</v>
      </c>
      <c r="H74" s="29" t="s">
        <v>125</v>
      </c>
      <c r="I74" s="21">
        <f t="shared" si="8"/>
        <v>282.05264380992264</v>
      </c>
      <c r="J74" s="21">
        <f t="shared" si="5"/>
        <v>-13.731317468377235</v>
      </c>
      <c r="K74" s="30">
        <v>5.6983333333333333</v>
      </c>
      <c r="L74" s="33">
        <v>-1.85</v>
      </c>
      <c r="M74" s="21">
        <f t="shared" si="6"/>
        <v>108.10269224984621</v>
      </c>
      <c r="O74" s="13" t="str">
        <v>*</v>
      </c>
      <c r="P74" s="44">
        <v>229</v>
      </c>
      <c r="Q74" s="14" t="str">
        <v>-</v>
      </c>
      <c r="R74" s="14" t="str">
        <v>NGC 4314</v>
      </c>
      <c r="S74" s="50">
        <v>203.19168960516453</v>
      </c>
      <c r="T74" s="51">
        <v>72.32223598528968</v>
      </c>
      <c r="U74" s="13">
        <v>12.376666666666667</v>
      </c>
      <c r="V74" s="13">
        <v>29.883333333333333</v>
      </c>
      <c r="W74" s="13">
        <v>7.927692249846217</v>
      </c>
    </row>
    <row r="75" spans="5:23" ht="17">
      <c r="E75" s="20" t="str">
        <f t="shared" si="7"/>
        <v/>
      </c>
      <c r="F75" s="32">
        <f t="shared" si="9"/>
        <v>68</v>
      </c>
      <c r="G75" s="76" t="s">
        <v>440</v>
      </c>
      <c r="H75" s="29" t="s">
        <v>126</v>
      </c>
      <c r="I75" s="21">
        <f t="shared" si="8"/>
        <v>315.11935023633811</v>
      </c>
      <c r="J75" s="21">
        <f t="shared" si="5"/>
        <v>27.120529654989173</v>
      </c>
      <c r="K75" s="30">
        <v>6.05</v>
      </c>
      <c r="L75" s="33">
        <v>49.9</v>
      </c>
      <c r="M75" s="21">
        <f t="shared" si="6"/>
        <v>102.82769224984622</v>
      </c>
      <c r="O75" s="13" t="str">
        <v>*</v>
      </c>
      <c r="P75" s="44">
        <v>231</v>
      </c>
      <c r="Q75" s="14" t="str">
        <v>-</v>
      </c>
      <c r="R75" s="14" t="str">
        <v>NGC 4350</v>
      </c>
      <c r="S75" s="50">
        <v>194.4502515690439</v>
      </c>
      <c r="T75" s="51">
        <v>59.5911662458454</v>
      </c>
      <c r="U75" s="13">
        <v>12.4</v>
      </c>
      <c r="V75" s="13">
        <v>16.7</v>
      </c>
      <c r="W75" s="13">
        <v>7.5776922498461943</v>
      </c>
    </row>
    <row r="76" spans="5:23" ht="17">
      <c r="E76" s="20" t="str">
        <f t="shared" si="7"/>
        <v/>
      </c>
      <c r="F76" s="32">
        <f t="shared" si="9"/>
        <v>69</v>
      </c>
      <c r="G76" s="76" t="s">
        <v>440</v>
      </c>
      <c r="H76" s="29" t="s">
        <v>127</v>
      </c>
      <c r="I76" s="21">
        <f t="shared" si="8"/>
        <v>295.48417828204811</v>
      </c>
      <c r="J76" s="21">
        <f t="shared" si="5"/>
        <v>8.0946181713628267</v>
      </c>
      <c r="K76" s="30">
        <v>6.0166666666666666</v>
      </c>
      <c r="L76" s="33">
        <v>23.3</v>
      </c>
      <c r="M76" s="21">
        <f t="shared" si="6"/>
        <v>103.32769224984622</v>
      </c>
      <c r="O76" s="13" t="str">
        <v>*</v>
      </c>
      <c r="P76" s="44">
        <v>232</v>
      </c>
      <c r="Q76" s="14" t="str">
        <v>-</v>
      </c>
      <c r="R76" s="14" t="str">
        <v>NGC 4361</v>
      </c>
      <c r="S76" s="50">
        <v>187.74897041852824</v>
      </c>
      <c r="T76" s="51">
        <v>24.402860604478121</v>
      </c>
      <c r="U76" s="13">
        <v>12.408333333333333</v>
      </c>
      <c r="V76" s="13">
        <v>-18.8</v>
      </c>
      <c r="W76" s="13">
        <v>7.4526922498462227</v>
      </c>
    </row>
    <row r="77" spans="5:23" ht="17">
      <c r="E77" s="20" t="str">
        <f t="shared" si="7"/>
        <v/>
      </c>
      <c r="F77" s="32">
        <f t="shared" si="9"/>
        <v>70</v>
      </c>
      <c r="G77" s="76" t="s">
        <v>440</v>
      </c>
      <c r="H77" s="29" t="s">
        <v>128</v>
      </c>
      <c r="I77" s="21">
        <f t="shared" si="8"/>
        <v>294.93231415824005</v>
      </c>
      <c r="J77" s="21">
        <f t="shared" si="5"/>
        <v>9.693576057047947</v>
      </c>
      <c r="K77" s="30">
        <v>6.125</v>
      </c>
      <c r="L77" s="33">
        <v>24.1</v>
      </c>
      <c r="M77" s="21">
        <f t="shared" si="6"/>
        <v>101.70269224984622</v>
      </c>
      <c r="O77" s="13" t="str">
        <v>*</v>
      </c>
      <c r="P77" s="44">
        <v>233</v>
      </c>
      <c r="Q77" s="14" t="str">
        <v>-</v>
      </c>
      <c r="R77" s="14" t="str">
        <v>NGC 4365</v>
      </c>
      <c r="S77" s="50">
        <v>191.63044356479537</v>
      </c>
      <c r="T77" s="51">
        <v>50.345483946874744</v>
      </c>
      <c r="U77" s="13">
        <v>12.408333333333333</v>
      </c>
      <c r="V77" s="13">
        <v>7.3166666666666664</v>
      </c>
      <c r="W77" s="13">
        <v>7.4526922498462227</v>
      </c>
    </row>
    <row r="78" spans="5:23" ht="17">
      <c r="E78" s="20" t="str">
        <f t="shared" si="7"/>
        <v/>
      </c>
      <c r="F78" s="32">
        <f t="shared" si="9"/>
        <v>71</v>
      </c>
      <c r="G78" s="76" t="s">
        <v>440</v>
      </c>
      <c r="H78" s="29" t="s">
        <v>129</v>
      </c>
      <c r="I78" s="21">
        <f t="shared" si="8"/>
        <v>287.83821013000249</v>
      </c>
      <c r="J78" s="21">
        <f t="shared" si="5"/>
        <v>2.3881621362203171</v>
      </c>
      <c r="K78" s="30">
        <v>6.14</v>
      </c>
      <c r="L78" s="33">
        <v>13.95</v>
      </c>
      <c r="M78" s="21">
        <f t="shared" si="6"/>
        <v>101.47769224984623</v>
      </c>
      <c r="O78" s="13" t="str">
        <v>*</v>
      </c>
      <c r="P78" s="44">
        <v>234</v>
      </c>
      <c r="Q78" s="14" t="str">
        <v>-</v>
      </c>
      <c r="R78" s="14" t="str">
        <v>NGC 4371</v>
      </c>
      <c r="S78" s="50">
        <v>192.52383969637017</v>
      </c>
      <c r="T78" s="51">
        <v>54.696195947333862</v>
      </c>
      <c r="U78" s="13">
        <v>12.414999999999999</v>
      </c>
      <c r="V78" s="13">
        <v>11.7</v>
      </c>
      <c r="W78" s="13">
        <v>7.3526922498462568</v>
      </c>
    </row>
    <row r="79" spans="5:23" ht="17">
      <c r="E79" s="20" t="str">
        <f t="shared" si="7"/>
        <v/>
      </c>
      <c r="F79" s="32">
        <f t="shared" si="9"/>
        <v>72</v>
      </c>
      <c r="G79" s="76" t="s">
        <v>440</v>
      </c>
      <c r="H79" s="29" t="s">
        <v>130</v>
      </c>
      <c r="I79" s="21">
        <f t="shared" si="8"/>
        <v>273.54142945836344</v>
      </c>
      <c r="J79" s="21">
        <f t="shared" si="5"/>
        <v>-11.938428202436199</v>
      </c>
      <c r="K79" s="30">
        <v>6.1849999999999996</v>
      </c>
      <c r="L79" s="33">
        <v>-6.2166666666666668</v>
      </c>
      <c r="M79" s="21">
        <f t="shared" si="6"/>
        <v>100.80269224984623</v>
      </c>
      <c r="O79" s="13" t="str">
        <v>*</v>
      </c>
      <c r="P79" s="44">
        <v>235</v>
      </c>
      <c r="Q79" s="14" t="str">
        <v>-</v>
      </c>
      <c r="R79" s="14" t="str">
        <v>NGC 4394</v>
      </c>
      <c r="S79" s="50">
        <v>194.09455073792446</v>
      </c>
      <c r="T79" s="51">
        <v>61.164280380926549</v>
      </c>
      <c r="U79" s="13">
        <v>12.431666666666667</v>
      </c>
      <c r="V79" s="13">
        <v>18.216666666666665</v>
      </c>
      <c r="W79" s="13">
        <v>7.1026922498462</v>
      </c>
    </row>
    <row r="80" spans="5:23" ht="17">
      <c r="E80" s="20" t="str">
        <f t="shared" si="7"/>
        <v/>
      </c>
      <c r="F80" s="32">
        <f t="shared" si="9"/>
        <v>73</v>
      </c>
      <c r="G80" s="76" t="s">
        <v>440</v>
      </c>
      <c r="H80" s="29" t="s">
        <v>131</v>
      </c>
      <c r="I80" s="21">
        <f t="shared" si="8"/>
        <v>281.39539942291145</v>
      </c>
      <c r="J80" s="21">
        <f t="shared" si="5"/>
        <v>-3.2377573572614962</v>
      </c>
      <c r="K80" s="30">
        <v>6.2033333333333331</v>
      </c>
      <c r="L80" s="33">
        <v>5.45</v>
      </c>
      <c r="M80" s="21">
        <f t="shared" si="6"/>
        <v>100.52769224984623</v>
      </c>
      <c r="O80" s="13" t="str">
        <v>*</v>
      </c>
      <c r="P80" s="44">
        <v>236</v>
      </c>
      <c r="Q80" s="14" t="str">
        <v>-</v>
      </c>
      <c r="R80" s="14" t="str">
        <v>NGC 4414</v>
      </c>
      <c r="S80" s="50">
        <v>201.92182688595102</v>
      </c>
      <c r="T80" s="51">
        <v>73.84235626614219</v>
      </c>
      <c r="U80" s="13">
        <v>12.44</v>
      </c>
      <c r="V80" s="13">
        <v>31.216666666666665</v>
      </c>
      <c r="W80" s="13">
        <v>6.9776922498462284</v>
      </c>
    </row>
    <row r="81" spans="5:23" ht="17">
      <c r="E81" s="20" t="str">
        <f t="shared" si="7"/>
        <v/>
      </c>
      <c r="F81" s="32">
        <f t="shared" si="9"/>
        <v>74</v>
      </c>
      <c r="G81" s="76" t="s">
        <v>440</v>
      </c>
      <c r="H81" s="29" t="s">
        <v>132</v>
      </c>
      <c r="I81" s="21">
        <f t="shared" si="8"/>
        <v>286.09152837411909</v>
      </c>
      <c r="J81" s="21">
        <f t="shared" si="5"/>
        <v>2.4317850811398012</v>
      </c>
      <c r="K81" s="30">
        <v>6.23</v>
      </c>
      <c r="L81" s="33">
        <v>12.8</v>
      </c>
      <c r="M81" s="21">
        <f t="shared" si="6"/>
        <v>100.12769224984622</v>
      </c>
      <c r="O81" s="13" t="str">
        <v>*</v>
      </c>
      <c r="P81" s="44">
        <v>237</v>
      </c>
      <c r="Q81" s="14" t="str">
        <v>-</v>
      </c>
      <c r="R81" s="14" t="str">
        <v>NGC 4419</v>
      </c>
      <c r="S81" s="50">
        <v>192.58759132960662</v>
      </c>
      <c r="T81" s="51">
        <v>58.081133298046815</v>
      </c>
      <c r="U81" s="13">
        <v>12.448333333333334</v>
      </c>
      <c r="V81" s="13">
        <v>15.05</v>
      </c>
      <c r="W81" s="13">
        <v>6.8526922498462</v>
      </c>
    </row>
    <row r="82" spans="5:23" ht="17">
      <c r="E82" s="20" t="str">
        <f t="shared" si="7"/>
        <v/>
      </c>
      <c r="F82" s="32">
        <f t="shared" si="9"/>
        <v>75</v>
      </c>
      <c r="G82" s="76" t="s">
        <v>440</v>
      </c>
      <c r="H82" s="29" t="s">
        <v>133</v>
      </c>
      <c r="I82" s="21">
        <f t="shared" si="8"/>
        <v>263.57516183220343</v>
      </c>
      <c r="J82" s="21">
        <f t="shared" si="5"/>
        <v>-19.951983798089547</v>
      </c>
      <c r="K82" s="30">
        <v>6.2616666666666667</v>
      </c>
      <c r="L82" s="33">
        <v>-18.649999999999999</v>
      </c>
      <c r="M82" s="21">
        <f t="shared" si="6"/>
        <v>99.652692249846226</v>
      </c>
      <c r="O82" s="13" t="str">
        <v>*</v>
      </c>
      <c r="P82" s="44">
        <v>238</v>
      </c>
      <c r="Q82" s="14" t="str">
        <v>-</v>
      </c>
      <c r="R82" s="14" t="str">
        <v>NGC 4429</v>
      </c>
      <c r="S82" s="50">
        <v>191.3354417358444</v>
      </c>
      <c r="T82" s="51">
        <v>54.208052173296011</v>
      </c>
      <c r="U82" s="13">
        <v>12.456666666666667</v>
      </c>
      <c r="V82" s="13">
        <v>11.116666666666667</v>
      </c>
      <c r="W82" s="13">
        <v>6.7276922498462284</v>
      </c>
    </row>
    <row r="83" spans="5:23" ht="17">
      <c r="E83" s="20" t="str">
        <f t="shared" si="7"/>
        <v/>
      </c>
      <c r="F83" s="32">
        <f t="shared" si="9"/>
        <v>76</v>
      </c>
      <c r="G83" s="76" t="s">
        <v>440</v>
      </c>
      <c r="H83" s="29" t="s">
        <v>134</v>
      </c>
      <c r="I83" s="21">
        <f t="shared" si="8"/>
        <v>270.97936378294048</v>
      </c>
      <c r="J83" s="21">
        <f t="shared" si="5"/>
        <v>-11.003435669876286</v>
      </c>
      <c r="K83" s="30">
        <v>6.35</v>
      </c>
      <c r="L83" s="33">
        <v>-7.2833333333333332</v>
      </c>
      <c r="M83" s="21">
        <f t="shared" si="6"/>
        <v>98.327692249846223</v>
      </c>
      <c r="O83" s="13" t="str">
        <v>*</v>
      </c>
      <c r="P83" s="44">
        <v>239</v>
      </c>
      <c r="Q83" s="14" t="str">
        <v>-</v>
      </c>
      <c r="R83" s="14" t="str">
        <v>NGC 4435</v>
      </c>
      <c r="S83" s="50">
        <v>191.6928770569283</v>
      </c>
      <c r="T83" s="51">
        <v>56.165485035679772</v>
      </c>
      <c r="U83" s="13">
        <v>12.461666666666666</v>
      </c>
      <c r="V83" s="13">
        <v>13.083333333333334</v>
      </c>
      <c r="W83" s="13">
        <v>6.6526922498462113</v>
      </c>
    </row>
    <row r="84" spans="5:23" ht="17">
      <c r="E84" s="20" t="str">
        <f t="shared" si="7"/>
        <v/>
      </c>
      <c r="F84" s="32">
        <f t="shared" si="9"/>
        <v>77</v>
      </c>
      <c r="G84" s="76" t="s">
        <v>440</v>
      </c>
      <c r="H84" s="29" t="s">
        <v>135</v>
      </c>
      <c r="I84" s="21">
        <f t="shared" si="8"/>
        <v>271.74075081221952</v>
      </c>
      <c r="J84" s="21">
        <f t="shared" si="5"/>
        <v>-8.2119350360831405</v>
      </c>
      <c r="K84" s="30">
        <v>6.4433333333333334</v>
      </c>
      <c r="L84" s="33">
        <v>-4.75</v>
      </c>
      <c r="M84" s="21">
        <f t="shared" si="6"/>
        <v>96.927692249846217</v>
      </c>
      <c r="O84" s="13" t="str">
        <v>*</v>
      </c>
      <c r="P84" s="44">
        <v>240</v>
      </c>
      <c r="Q84" s="14" t="str">
        <v>-</v>
      </c>
      <c r="R84" s="14" t="str">
        <v>NGC 4438</v>
      </c>
      <c r="S84" s="50">
        <v>191.63251706722735</v>
      </c>
      <c r="T84" s="51">
        <v>56.102985204950798</v>
      </c>
      <c r="U84" s="13">
        <v>12.463333333333333</v>
      </c>
      <c r="V84" s="13">
        <v>13.016666666666667</v>
      </c>
      <c r="W84" s="13">
        <v>6.6276922498462056</v>
      </c>
    </row>
    <row r="85" spans="5:23" ht="17">
      <c r="E85" s="20" t="str">
        <f t="shared" si="7"/>
        <v/>
      </c>
      <c r="F85" s="32">
        <f t="shared" si="9"/>
        <v>78</v>
      </c>
      <c r="G85" s="76" t="s">
        <v>440</v>
      </c>
      <c r="H85" s="29" t="s">
        <v>56</v>
      </c>
      <c r="I85" s="21">
        <f t="shared" si="8"/>
        <v>277.31873681887623</v>
      </c>
      <c r="J85" s="21">
        <f t="shared" si="5"/>
        <v>-0.23173840129216478</v>
      </c>
      <c r="K85" s="30">
        <v>6.54</v>
      </c>
      <c r="L85" s="33">
        <v>4.8666666666666671</v>
      </c>
      <c r="M85" s="21">
        <f t="shared" si="6"/>
        <v>95.477692249846214</v>
      </c>
      <c r="O85" s="13" t="str">
        <v>*</v>
      </c>
      <c r="P85" s="44">
        <v>241</v>
      </c>
      <c r="Q85" s="14" t="str">
        <v>-</v>
      </c>
      <c r="R85" s="14" t="str">
        <v>NGC 4442</v>
      </c>
      <c r="S85" s="50">
        <v>190.75071894437821</v>
      </c>
      <c r="T85" s="51">
        <v>52.926384077155411</v>
      </c>
      <c r="U85" s="13">
        <v>12.468333333333334</v>
      </c>
      <c r="V85" s="13">
        <v>9.8000000000000007</v>
      </c>
      <c r="W85" s="13">
        <v>6.552692249846217</v>
      </c>
    </row>
    <row r="86" spans="5:23" ht="17">
      <c r="E86" s="20" t="str">
        <f t="shared" si="7"/>
        <v/>
      </c>
      <c r="F86" s="32">
        <f t="shared" si="9"/>
        <v>79</v>
      </c>
      <c r="G86" s="76" t="s">
        <v>440</v>
      </c>
      <c r="H86" s="29" t="s">
        <v>136</v>
      </c>
      <c r="I86" s="21">
        <f t="shared" si="8"/>
        <v>279.30649396950696</v>
      </c>
      <c r="J86" s="21">
        <f t="shared" si="5"/>
        <v>2.7055492483401102</v>
      </c>
      <c r="K86" s="30">
        <v>6.5783333333333331</v>
      </c>
      <c r="L86" s="33">
        <v>8.3666666666666671</v>
      </c>
      <c r="M86" s="21">
        <f t="shared" si="6"/>
        <v>94.902692249846226</v>
      </c>
      <c r="O86" s="13" t="str">
        <v>*</v>
      </c>
      <c r="P86" s="44">
        <v>242</v>
      </c>
      <c r="Q86" s="14" t="str">
        <v>-</v>
      </c>
      <c r="R86" s="14" t="str">
        <v>NGC 4448</v>
      </c>
      <c r="S86" s="50">
        <v>198.27916846041126</v>
      </c>
      <c r="T86" s="51">
        <v>71.447107599741869</v>
      </c>
      <c r="U86" s="13">
        <v>12.47</v>
      </c>
      <c r="V86" s="13">
        <v>28.616666666666667</v>
      </c>
      <c r="W86" s="13">
        <v>6.5276922498462113</v>
      </c>
    </row>
    <row r="87" spans="5:23" ht="17">
      <c r="E87" s="20" t="str">
        <f t="shared" si="7"/>
        <v/>
      </c>
      <c r="F87" s="32">
        <f t="shared" si="9"/>
        <v>80</v>
      </c>
      <c r="G87" s="76" t="s">
        <v>440</v>
      </c>
      <c r="H87" s="29" t="s">
        <v>137</v>
      </c>
      <c r="I87" s="21">
        <f t="shared" si="8"/>
        <v>279.20560611008386</v>
      </c>
      <c r="J87" s="21">
        <f t="shared" si="5"/>
        <v>4.8931504803540635</v>
      </c>
      <c r="K87" s="30">
        <v>6.6850000000000005</v>
      </c>
      <c r="L87" s="33">
        <v>9.8833333333333329</v>
      </c>
      <c r="M87" s="21">
        <f t="shared" si="6"/>
        <v>93.302692249846217</v>
      </c>
      <c r="O87" s="13" t="str">
        <v>*</v>
      </c>
      <c r="P87" s="44">
        <v>243</v>
      </c>
      <c r="Q87" s="14" t="str">
        <v>-</v>
      </c>
      <c r="R87" s="14" t="str">
        <v>NGC 4449</v>
      </c>
      <c r="S87" s="50">
        <v>245.25383720726398</v>
      </c>
      <c r="T87" s="51">
        <v>84.842496878925104</v>
      </c>
      <c r="U87" s="13">
        <v>12.47</v>
      </c>
      <c r="V87" s="13">
        <v>44.1</v>
      </c>
      <c r="W87" s="13">
        <v>6.5276922498462113</v>
      </c>
    </row>
    <row r="88" spans="5:23" ht="17">
      <c r="E88" s="20" t="str">
        <f t="shared" si="7"/>
        <v/>
      </c>
      <c r="F88" s="32">
        <f t="shared" si="9"/>
        <v>81</v>
      </c>
      <c r="G88" s="76" t="s">
        <v>440</v>
      </c>
      <c r="H88" s="29" t="s">
        <v>138</v>
      </c>
      <c r="I88" s="21">
        <f t="shared" si="8"/>
        <v>291.11300355617118</v>
      </c>
      <c r="J88" s="21">
        <f t="shared" si="5"/>
        <v>17.391901171724008</v>
      </c>
      <c r="K88" s="30">
        <v>6.72</v>
      </c>
      <c r="L88" s="33">
        <v>26.966666666666665</v>
      </c>
      <c r="M88" s="21">
        <f t="shared" si="6"/>
        <v>92.77769224984624</v>
      </c>
      <c r="O88" s="13" t="str">
        <v>*</v>
      </c>
      <c r="P88" s="44">
        <v>244</v>
      </c>
      <c r="Q88" s="14" t="str">
        <v>-</v>
      </c>
      <c r="R88" s="14" t="str">
        <v>NGC 4450</v>
      </c>
      <c r="S88" s="50">
        <v>192.46391822791384</v>
      </c>
      <c r="T88" s="51">
        <v>60.149500789013565</v>
      </c>
      <c r="U88" s="13">
        <v>12.475</v>
      </c>
      <c r="V88" s="13">
        <v>17.083333333333332</v>
      </c>
      <c r="W88" s="13">
        <v>6.4526922498462227</v>
      </c>
    </row>
    <row r="89" spans="5:23" ht="17">
      <c r="E89" s="20" t="str">
        <f t="shared" si="7"/>
        <v/>
      </c>
      <c r="F89" s="32">
        <f t="shared" si="9"/>
        <v>82</v>
      </c>
      <c r="G89" s="76" t="s">
        <v>440</v>
      </c>
      <c r="H89" s="29" t="s">
        <v>139</v>
      </c>
      <c r="I89" s="21">
        <f t="shared" si="8"/>
        <v>302.17571855974961</v>
      </c>
      <c r="J89" s="21">
        <f t="shared" si="5"/>
        <v>28.071579132228571</v>
      </c>
      <c r="K89" s="30">
        <v>6.8216666666666663</v>
      </c>
      <c r="L89" s="33">
        <v>41.666666666666664</v>
      </c>
      <c r="M89" s="21">
        <f t="shared" si="6"/>
        <v>91.252692249846234</v>
      </c>
      <c r="O89" s="13" t="str">
        <v>*</v>
      </c>
      <c r="P89" s="44">
        <v>245</v>
      </c>
      <c r="Q89" s="14" t="str">
        <v>-</v>
      </c>
      <c r="R89" s="14" t="str">
        <v>NGC 4459</v>
      </c>
      <c r="S89" s="50">
        <v>191.35583381018563</v>
      </c>
      <c r="T89" s="51">
        <v>57.101156832563476</v>
      </c>
      <c r="U89" s="13">
        <v>12.483333333333333</v>
      </c>
      <c r="V89" s="13">
        <v>13.983333333333333</v>
      </c>
      <c r="W89" s="13">
        <v>6.3276922498462511</v>
      </c>
    </row>
    <row r="90" spans="5:23" ht="17">
      <c r="E90" s="20" t="str">
        <f t="shared" si="7"/>
        <v/>
      </c>
      <c r="F90" s="32">
        <f t="shared" si="9"/>
        <v>83</v>
      </c>
      <c r="G90" s="76" t="s">
        <v>440</v>
      </c>
      <c r="H90" s="29" t="s">
        <v>140</v>
      </c>
      <c r="I90" s="21">
        <f t="shared" si="8"/>
        <v>269.03143256299325</v>
      </c>
      <c r="J90" s="21">
        <f t="shared" si="5"/>
        <v>-3.450010668599929</v>
      </c>
      <c r="K90" s="30">
        <v>6.793333333333333</v>
      </c>
      <c r="L90" s="33">
        <v>-3.1666666666666665</v>
      </c>
      <c r="M90" s="21">
        <f t="shared" si="6"/>
        <v>91.677692249846217</v>
      </c>
      <c r="O90" s="13" t="str">
        <v>*</v>
      </c>
      <c r="P90" s="44">
        <v>246</v>
      </c>
      <c r="Q90" s="14" t="str">
        <v>-</v>
      </c>
      <c r="R90" s="14" t="str">
        <v>NGC 4473</v>
      </c>
      <c r="S90" s="50">
        <v>190.86648159463917</v>
      </c>
      <c r="T90" s="51">
        <v>56.582870730838614</v>
      </c>
      <c r="U90" s="13">
        <v>12.496666666666666</v>
      </c>
      <c r="V90" s="13">
        <v>13.433333333333334</v>
      </c>
      <c r="W90" s="13">
        <v>6.1276922498462056</v>
      </c>
    </row>
    <row r="91" spans="5:23" ht="17">
      <c r="E91" s="20" t="str">
        <f t="shared" si="7"/>
        <v/>
      </c>
      <c r="F91" s="32">
        <f t="shared" si="9"/>
        <v>84</v>
      </c>
      <c r="G91" s="76" t="s">
        <v>440</v>
      </c>
      <c r="H91" s="29" t="s">
        <v>141</v>
      </c>
      <c r="I91" s="21">
        <f t="shared" si="8"/>
        <v>270.77645912949424</v>
      </c>
      <c r="J91" s="21">
        <f t="shared" si="5"/>
        <v>-9.4225206125989086E-2</v>
      </c>
      <c r="K91" s="30">
        <v>6.8633333333333333</v>
      </c>
      <c r="L91" s="33">
        <v>0.46666666666666667</v>
      </c>
      <c r="M91" s="21">
        <f t="shared" si="6"/>
        <v>90.62769224984622</v>
      </c>
      <c r="O91" s="13" t="str">
        <v>*</v>
      </c>
      <c r="P91" s="44">
        <v>247</v>
      </c>
      <c r="Q91" s="14" t="str">
        <v>-</v>
      </c>
      <c r="R91" s="14" t="str">
        <v>NGC 4477</v>
      </c>
      <c r="S91" s="50">
        <v>190.82732660735294</v>
      </c>
      <c r="T91" s="51">
        <v>56.787567127879839</v>
      </c>
      <c r="U91" s="13">
        <v>12.5</v>
      </c>
      <c r="V91" s="13">
        <v>13.633333333333333</v>
      </c>
      <c r="W91" s="13">
        <v>6.0776922498462227</v>
      </c>
    </row>
    <row r="92" spans="5:23" ht="17">
      <c r="E92" s="20" t="str">
        <f t="shared" si="7"/>
        <v/>
      </c>
      <c r="F92" s="32">
        <f t="shared" si="9"/>
        <v>85</v>
      </c>
      <c r="G92" s="76" t="s">
        <v>440</v>
      </c>
      <c r="H92" s="29" t="s">
        <v>142</v>
      </c>
      <c r="I92" s="21">
        <f t="shared" si="8"/>
        <v>282.5116784684202</v>
      </c>
      <c r="J92" s="21">
        <f t="shared" si="5"/>
        <v>13.069818117601253</v>
      </c>
      <c r="K92" s="30">
        <v>6.916666666666667</v>
      </c>
      <c r="L92" s="33">
        <v>18.016666666666666</v>
      </c>
      <c r="M92" s="21">
        <f t="shared" si="6"/>
        <v>89.827692249846208</v>
      </c>
      <c r="O92" s="13" t="str">
        <v>*</v>
      </c>
      <c r="P92" s="44">
        <v>248</v>
      </c>
      <c r="Q92" s="14" t="str">
        <v>-</v>
      </c>
      <c r="R92" s="14" t="str">
        <v>NGC 4478</v>
      </c>
      <c r="S92" s="50">
        <v>190.39338833119419</v>
      </c>
      <c r="T92" s="51">
        <v>55.508142201942043</v>
      </c>
      <c r="U92" s="13">
        <v>12.505000000000001</v>
      </c>
      <c r="V92" s="13">
        <v>12.333333333333334</v>
      </c>
      <c r="W92" s="13">
        <v>6.0026922498462056</v>
      </c>
    </row>
    <row r="93" spans="5:23" ht="17">
      <c r="E93" s="20" t="str">
        <f t="shared" si="7"/>
        <v/>
      </c>
      <c r="F93" s="32">
        <f t="shared" si="9"/>
        <v>86</v>
      </c>
      <c r="G93" s="76" t="s">
        <v>440</v>
      </c>
      <c r="H93" s="29" t="s">
        <v>143</v>
      </c>
      <c r="I93" s="21">
        <f t="shared" si="8"/>
        <v>266.20829223396998</v>
      </c>
      <c r="J93" s="21">
        <f t="shared" si="5"/>
        <v>-2.7202943285879253</v>
      </c>
      <c r="K93" s="30">
        <v>6.9633333333333329</v>
      </c>
      <c r="L93" s="33">
        <v>-4.583333333333333</v>
      </c>
      <c r="M93" s="21">
        <f t="shared" si="6"/>
        <v>89.12769224984622</v>
      </c>
      <c r="O93" s="13" t="str">
        <v>*</v>
      </c>
      <c r="P93" s="44">
        <v>249</v>
      </c>
      <c r="Q93" s="14" t="str">
        <v>-</v>
      </c>
      <c r="R93" s="14" t="str">
        <v>NGC 4485</v>
      </c>
      <c r="S93" s="50">
        <v>224.10471025134217</v>
      </c>
      <c r="T93" s="51">
        <v>83.612212760779556</v>
      </c>
      <c r="U93" s="13">
        <v>12.508333333333333</v>
      </c>
      <c r="V93" s="13">
        <v>41.7</v>
      </c>
      <c r="W93" s="13">
        <v>5.9526922498462227</v>
      </c>
    </row>
    <row r="94" spans="5:23" ht="17">
      <c r="E94" s="20" t="str">
        <f t="shared" si="7"/>
        <v/>
      </c>
      <c r="F94" s="32">
        <f t="shared" si="9"/>
        <v>87</v>
      </c>
      <c r="G94" s="76" t="s">
        <v>440</v>
      </c>
      <c r="H94" s="29" t="s">
        <v>144</v>
      </c>
      <c r="I94" s="21">
        <f t="shared" si="8"/>
        <v>268.93133991079742</v>
      </c>
      <c r="J94" s="21">
        <f t="shared" si="5"/>
        <v>2.4643033868727007</v>
      </c>
      <c r="K94" s="30">
        <v>7.07</v>
      </c>
      <c r="L94" s="33">
        <v>1.05</v>
      </c>
      <c r="M94" s="21">
        <f t="shared" si="6"/>
        <v>87.527692249846211</v>
      </c>
      <c r="O94" s="13" t="str">
        <v>*</v>
      </c>
      <c r="P94" s="44">
        <v>250</v>
      </c>
      <c r="Q94" s="14" t="str">
        <v>-</v>
      </c>
      <c r="R94" s="14" t="str">
        <v>NGC 4490</v>
      </c>
      <c r="S94" s="50">
        <v>223.59428332460797</v>
      </c>
      <c r="T94" s="51">
        <v>83.57286161179664</v>
      </c>
      <c r="U94" s="13">
        <v>12.51</v>
      </c>
      <c r="V94" s="13">
        <v>41.633333333333333</v>
      </c>
      <c r="W94" s="13">
        <v>5.927692249846217</v>
      </c>
    </row>
    <row r="95" spans="5:23" ht="17">
      <c r="E95" s="20" t="str">
        <f t="shared" si="7"/>
        <v/>
      </c>
      <c r="F95" s="32">
        <f t="shared" si="9"/>
        <v>88</v>
      </c>
      <c r="G95" s="76" t="s">
        <v>440</v>
      </c>
      <c r="H95" s="29" t="s">
        <v>145</v>
      </c>
      <c r="I95" s="21">
        <f t="shared" si="8"/>
        <v>260.82047613654163</v>
      </c>
      <c r="J95" s="21">
        <f t="shared" si="5"/>
        <v>-5.1944920526897809</v>
      </c>
      <c r="K95" s="30">
        <v>7.11</v>
      </c>
      <c r="L95" s="34">
        <v>-10.083333333333334</v>
      </c>
      <c r="M95" s="21">
        <f t="shared" si="6"/>
        <v>86.927692249846217</v>
      </c>
      <c r="O95" s="13" t="str">
        <v>*</v>
      </c>
      <c r="P95" s="44">
        <v>251</v>
      </c>
      <c r="Q95" s="14" t="str">
        <v>-</v>
      </c>
      <c r="R95" s="14" t="str">
        <v>NGC 4494</v>
      </c>
      <c r="S95" s="50">
        <v>194.41298131750173</v>
      </c>
      <c r="T95" s="51">
        <v>68.836210807439727</v>
      </c>
      <c r="U95" s="13">
        <v>12.523333333333333</v>
      </c>
      <c r="V95" s="13">
        <v>25.783333333333335</v>
      </c>
      <c r="W95" s="13">
        <v>5.7276922498462284</v>
      </c>
    </row>
    <row r="96" spans="5:23" ht="17">
      <c r="E96" s="20" t="str">
        <f t="shared" si="7"/>
        <v/>
      </c>
      <c r="F96" s="32">
        <f t="shared" si="9"/>
        <v>89</v>
      </c>
      <c r="G96" s="76" t="s">
        <v>440</v>
      </c>
      <c r="H96" s="29" t="s">
        <v>146</v>
      </c>
      <c r="I96" s="21">
        <f t="shared" si="8"/>
        <v>260.12382479121362</v>
      </c>
      <c r="J96" s="21">
        <f t="shared" si="5"/>
        <v>-5.315462847163456</v>
      </c>
      <c r="K96" s="30">
        <v>7.1383333333333336</v>
      </c>
      <c r="L96" s="33">
        <v>-10.65</v>
      </c>
      <c r="M96" s="21">
        <f t="shared" si="6"/>
        <v>86.502692249846206</v>
      </c>
      <c r="O96" s="13" t="str">
        <v>*</v>
      </c>
      <c r="P96" s="44">
        <v>252</v>
      </c>
      <c r="Q96" s="14" t="str">
        <v>-</v>
      </c>
      <c r="R96" s="14" t="str">
        <v>NGC 4526</v>
      </c>
      <c r="S96" s="50">
        <v>188.01233243250431</v>
      </c>
      <c r="T96" s="51">
        <v>51.005375562074349</v>
      </c>
      <c r="U96" s="13">
        <v>12.566666666666666</v>
      </c>
      <c r="V96" s="13">
        <v>7.7</v>
      </c>
      <c r="W96" s="13">
        <v>5.0776922498462227</v>
      </c>
    </row>
    <row r="97" spans="5:23" ht="17">
      <c r="E97" s="20" t="str">
        <f t="shared" si="7"/>
        <v/>
      </c>
      <c r="F97" s="32">
        <f t="shared" si="9"/>
        <v>90</v>
      </c>
      <c r="G97" s="76" t="s">
        <v>440</v>
      </c>
      <c r="H97" s="29" t="s">
        <v>147</v>
      </c>
      <c r="I97" s="21">
        <f t="shared" si="8"/>
        <v>259.24016889249077</v>
      </c>
      <c r="J97" s="21">
        <f t="shared" si="5"/>
        <v>-3.9943087228726708</v>
      </c>
      <c r="K97" s="30">
        <v>7.2433333333333332</v>
      </c>
      <c r="L97" s="33">
        <v>-10.3</v>
      </c>
      <c r="M97" s="21">
        <f t="shared" si="6"/>
        <v>84.927692249846231</v>
      </c>
      <c r="O97" s="13" t="str">
        <v>*</v>
      </c>
      <c r="P97" s="44">
        <v>253</v>
      </c>
      <c r="Q97" s="14" t="str">
        <v>-</v>
      </c>
      <c r="R97" s="14" t="str">
        <v>NGC 4527</v>
      </c>
      <c r="S97" s="50">
        <v>187.27321597598169</v>
      </c>
      <c r="T97" s="51">
        <v>45.979051557274218</v>
      </c>
      <c r="U97" s="13">
        <v>12.568333333333333</v>
      </c>
      <c r="V97" s="13">
        <v>2.65</v>
      </c>
      <c r="W97" s="13">
        <v>5.052692249846217</v>
      </c>
    </row>
    <row r="98" spans="5:23" ht="17">
      <c r="E98" s="20" t="str">
        <f t="shared" si="7"/>
        <v/>
      </c>
      <c r="F98" s="32">
        <f t="shared" si="9"/>
        <v>91</v>
      </c>
      <c r="G98" s="76" t="s">
        <v>440</v>
      </c>
      <c r="H98" s="29" t="s">
        <v>148</v>
      </c>
      <c r="I98" s="21">
        <f t="shared" si="8"/>
        <v>248.36061962000286</v>
      </c>
      <c r="J98" s="21">
        <f t="shared" si="5"/>
        <v>-15.106836907426544</v>
      </c>
      <c r="K98" s="30">
        <v>7.2383333333333333</v>
      </c>
      <c r="L98" s="33">
        <v>-25.733333333333334</v>
      </c>
      <c r="M98" s="21">
        <f t="shared" si="6"/>
        <v>85.00269224984622</v>
      </c>
      <c r="O98" s="13" t="str">
        <v>*</v>
      </c>
      <c r="P98" s="44">
        <v>254</v>
      </c>
      <c r="Q98" s="14" t="str">
        <v>-</v>
      </c>
      <c r="R98" s="14" t="str">
        <v>NGC 4535</v>
      </c>
      <c r="S98" s="50">
        <v>187.97147411206009</v>
      </c>
      <c r="T98" s="51">
        <v>51.510215702401752</v>
      </c>
      <c r="U98" s="13">
        <v>12.571666666666667</v>
      </c>
      <c r="V98" s="13">
        <v>8.1999999999999993</v>
      </c>
      <c r="W98" s="13">
        <v>5.0026922498462056</v>
      </c>
    </row>
    <row r="99" spans="5:23" ht="17">
      <c r="E99" s="20" t="str">
        <f t="shared" si="7"/>
        <v/>
      </c>
      <c r="F99" s="32">
        <f t="shared" si="9"/>
        <v>92</v>
      </c>
      <c r="G99" s="76" t="s">
        <v>440</v>
      </c>
      <c r="H99" s="29" t="s">
        <v>149</v>
      </c>
      <c r="I99" s="21">
        <f t="shared" si="8"/>
        <v>275.60701536447016</v>
      </c>
      <c r="J99" s="21">
        <f t="shared" si="5"/>
        <v>13.799506686470847</v>
      </c>
      <c r="K99" s="30">
        <v>7.2816666666666663</v>
      </c>
      <c r="L99" s="33">
        <v>13.783333333333333</v>
      </c>
      <c r="M99" s="21">
        <f t="shared" si="6"/>
        <v>84.352692249846228</v>
      </c>
      <c r="O99" s="13" t="str">
        <v>*</v>
      </c>
      <c r="P99" s="44">
        <v>255</v>
      </c>
      <c r="Q99" s="14" t="str">
        <v>-</v>
      </c>
      <c r="R99" s="14" t="str">
        <v>NGC 4536</v>
      </c>
      <c r="S99" s="50">
        <v>187.07297459739999</v>
      </c>
      <c r="T99" s="51">
        <v>45.522721084218531</v>
      </c>
      <c r="U99" s="13">
        <v>12.574999999999999</v>
      </c>
      <c r="V99" s="13">
        <v>2.1833333333333331</v>
      </c>
      <c r="W99" s="13">
        <v>4.9526922498462227</v>
      </c>
    </row>
    <row r="100" spans="5:23" ht="17">
      <c r="E100" s="20" t="str">
        <f t="shared" si="7"/>
        <v/>
      </c>
      <c r="F100" s="32">
        <f t="shared" si="9"/>
        <v>93</v>
      </c>
      <c r="G100" s="76" t="s">
        <v>440</v>
      </c>
      <c r="H100" s="29" t="s">
        <v>62</v>
      </c>
      <c r="I100" s="21">
        <f t="shared" si="8"/>
        <v>254.98954690114255</v>
      </c>
      <c r="J100" s="21">
        <f t="shared" si="5"/>
        <v>-7.3089598861403191</v>
      </c>
      <c r="K100" s="30">
        <v>7.2966666666666669</v>
      </c>
      <c r="L100" s="33">
        <v>-15.616666666666667</v>
      </c>
      <c r="M100" s="21">
        <f t="shared" si="6"/>
        <v>84.12769224984622</v>
      </c>
      <c r="O100" s="13" t="str">
        <v>*</v>
      </c>
      <c r="P100" s="44">
        <v>256</v>
      </c>
      <c r="Q100" s="14" t="str">
        <v>-</v>
      </c>
      <c r="R100" s="14" t="str">
        <v>NGC 4546</v>
      </c>
      <c r="S100" s="50">
        <v>186.09259233121233</v>
      </c>
      <c r="T100" s="51">
        <v>39.577744512946587</v>
      </c>
      <c r="U100" s="13">
        <v>12.591666666666667</v>
      </c>
      <c r="V100" s="13">
        <v>-3.8</v>
      </c>
      <c r="W100" s="13">
        <v>4.7026922498462227</v>
      </c>
    </row>
    <row r="101" spans="5:23" ht="17">
      <c r="E101" s="20" t="str">
        <f t="shared" si="7"/>
        <v/>
      </c>
      <c r="F101" s="32">
        <f t="shared" si="9"/>
        <v>94</v>
      </c>
      <c r="G101" s="76" t="s">
        <v>440</v>
      </c>
      <c r="H101" s="29" t="s">
        <v>66</v>
      </c>
      <c r="I101" s="21">
        <f t="shared" si="8"/>
        <v>248.19224592754324</v>
      </c>
      <c r="J101" s="21">
        <f t="shared" si="5"/>
        <v>-13.833743787473642</v>
      </c>
      <c r="K101" s="30">
        <v>7.3133333333333335</v>
      </c>
      <c r="L101" s="33">
        <v>-24.95</v>
      </c>
      <c r="M101" s="21">
        <f t="shared" si="6"/>
        <v>83.87769224984622</v>
      </c>
      <c r="O101" s="13" t="str">
        <v>*</v>
      </c>
      <c r="P101" s="44">
        <v>257</v>
      </c>
      <c r="Q101" s="14" t="str">
        <v>-</v>
      </c>
      <c r="R101" s="14" t="str">
        <v>NGC 4548</v>
      </c>
      <c r="S101" s="50">
        <v>188.61330948958809</v>
      </c>
      <c r="T101" s="51">
        <v>57.805113263641218</v>
      </c>
      <c r="U101" s="13">
        <v>12.59</v>
      </c>
      <c r="V101" s="13">
        <v>14.5</v>
      </c>
      <c r="W101" s="13">
        <v>4.7276922498462284</v>
      </c>
    </row>
    <row r="102" spans="5:23">
      <c r="E102" s="20" t="str">
        <f t="shared" si="7"/>
        <v/>
      </c>
      <c r="F102" s="32">
        <f t="shared" si="9"/>
        <v>95</v>
      </c>
      <c r="G102" s="76" t="s">
        <v>440</v>
      </c>
      <c r="H102" s="28" t="s">
        <v>150</v>
      </c>
      <c r="I102" s="21">
        <f t="shared" si="8"/>
        <v>286.36410825641462</v>
      </c>
      <c r="J102" s="21">
        <f t="shared" si="5"/>
        <v>25.998044426722426</v>
      </c>
      <c r="K102" s="30">
        <v>7.4266666666666667</v>
      </c>
      <c r="L102" s="33">
        <v>29.483333333333334</v>
      </c>
      <c r="M102" s="21">
        <f t="shared" si="6"/>
        <v>82.177692249846217</v>
      </c>
      <c r="O102" s="13" t="str">
        <v>*</v>
      </c>
      <c r="P102" s="44">
        <v>258</v>
      </c>
      <c r="Q102" s="14" t="str">
        <v>-</v>
      </c>
      <c r="R102" s="14" t="str">
        <v>NGC 4550</v>
      </c>
      <c r="S102" s="50">
        <v>188.14043098380196</v>
      </c>
      <c r="T102" s="51">
        <v>55.536464948676347</v>
      </c>
      <c r="U102" s="13">
        <v>12.591666666666667</v>
      </c>
      <c r="V102" s="13">
        <v>12.216666666666667</v>
      </c>
      <c r="W102" s="13">
        <v>4.7026922498462227</v>
      </c>
    </row>
    <row r="103" spans="5:23" ht="17">
      <c r="E103" s="20" t="str">
        <f t="shared" si="7"/>
        <v/>
      </c>
      <c r="F103" s="32">
        <f t="shared" si="9"/>
        <v>96</v>
      </c>
      <c r="G103" s="76" t="s">
        <v>440</v>
      </c>
      <c r="H103" s="29" t="s">
        <v>151</v>
      </c>
      <c r="I103" s="21">
        <f t="shared" si="8"/>
        <v>286.37819158055305</v>
      </c>
      <c r="J103" s="21">
        <f t="shared" si="5"/>
        <v>26.008887031090797</v>
      </c>
      <c r="K103" s="30">
        <v>7.4266666666666667</v>
      </c>
      <c r="L103" s="33">
        <v>29.5</v>
      </c>
      <c r="M103" s="21">
        <f t="shared" si="6"/>
        <v>82.177692249846217</v>
      </c>
      <c r="O103" s="13" t="str">
        <v>*</v>
      </c>
      <c r="P103" s="44">
        <v>259</v>
      </c>
      <c r="Q103" s="14" t="str">
        <v>-</v>
      </c>
      <c r="R103" s="14" t="str">
        <v>NGC 4559</v>
      </c>
      <c r="S103" s="50">
        <v>192.61432289631219</v>
      </c>
      <c r="T103" s="51">
        <v>71.168994597588977</v>
      </c>
      <c r="U103" s="13">
        <v>12.6</v>
      </c>
      <c r="V103" s="13">
        <v>27.966666666666665</v>
      </c>
      <c r="W103" s="13">
        <v>4.5776922498462227</v>
      </c>
    </row>
    <row r="104" spans="5:23">
      <c r="E104" s="20" t="str">
        <f t="shared" si="7"/>
        <v/>
      </c>
      <c r="F104" s="32">
        <f t="shared" si="9"/>
        <v>97</v>
      </c>
      <c r="G104" s="76" t="s">
        <v>440</v>
      </c>
      <c r="H104" s="28" t="s">
        <v>48</v>
      </c>
      <c r="I104" s="21">
        <f t="shared" si="8"/>
        <v>278.82274341153214</v>
      </c>
      <c r="J104" s="21">
        <f t="shared" si="5"/>
        <v>20.876071199242514</v>
      </c>
      <c r="K104" s="30">
        <v>7.4866666666666664</v>
      </c>
      <c r="L104" s="33">
        <v>20.916666666666668</v>
      </c>
      <c r="M104" s="21">
        <f t="shared" si="6"/>
        <v>81.27769224984624</v>
      </c>
      <c r="O104" s="13" t="str">
        <v>*</v>
      </c>
      <c r="P104" s="44">
        <v>260</v>
      </c>
      <c r="Q104" s="14" t="str">
        <v>-</v>
      </c>
      <c r="R104" s="14" t="str">
        <v>NGC 4565</v>
      </c>
      <c r="S104" s="50">
        <v>191.47470260823999</v>
      </c>
      <c r="T104" s="51">
        <v>69.222370631463576</v>
      </c>
      <c r="U104" s="13">
        <v>12.605</v>
      </c>
      <c r="V104" s="13">
        <v>25.983333333333334</v>
      </c>
      <c r="W104" s="13">
        <v>4.5026922498462056</v>
      </c>
    </row>
    <row r="105" spans="5:23" ht="17">
      <c r="E105" s="20" t="str">
        <f t="shared" si="7"/>
        <v/>
      </c>
      <c r="F105" s="32">
        <f t="shared" si="9"/>
        <v>98</v>
      </c>
      <c r="G105" s="76" t="s">
        <v>440</v>
      </c>
      <c r="H105" s="29" t="s">
        <v>152</v>
      </c>
      <c r="I105" s="21">
        <f t="shared" si="8"/>
        <v>273.64956269646905</v>
      </c>
      <c r="J105" s="21">
        <f t="shared" si="5"/>
        <v>15.409118105624959</v>
      </c>
      <c r="K105" s="30">
        <v>7.4516666666666671</v>
      </c>
      <c r="L105" s="33">
        <v>13.583333333333334</v>
      </c>
      <c r="M105" s="21">
        <f t="shared" si="6"/>
        <v>81.802692249846217</v>
      </c>
      <c r="O105" s="13" t="str">
        <v>*</v>
      </c>
      <c r="P105" s="44">
        <v>261</v>
      </c>
      <c r="Q105" s="14" t="str">
        <v>-</v>
      </c>
      <c r="R105" s="14" t="str">
        <v>NGC 4570</v>
      </c>
      <c r="S105" s="50">
        <v>186.81536229405557</v>
      </c>
      <c r="T105" s="51">
        <v>50.621632836402057</v>
      </c>
      <c r="U105" s="13">
        <v>12.615</v>
      </c>
      <c r="V105" s="13">
        <v>7.25</v>
      </c>
      <c r="W105" s="13">
        <v>4.3526922498462284</v>
      </c>
    </row>
    <row r="106" spans="5:23" ht="17">
      <c r="E106" s="20" t="str">
        <f t="shared" si="7"/>
        <v/>
      </c>
      <c r="F106" s="32">
        <f t="shared" si="9"/>
        <v>99</v>
      </c>
      <c r="G106" s="76" t="s">
        <v>440</v>
      </c>
      <c r="H106" s="29" t="s">
        <v>28</v>
      </c>
      <c r="I106" s="21">
        <f t="shared" si="8"/>
        <v>324.6399228864426</v>
      </c>
      <c r="J106" s="21">
        <f t="shared" si="5"/>
        <v>45.449074061328425</v>
      </c>
      <c r="K106" s="30">
        <v>7.6150000000000002</v>
      </c>
      <c r="L106" s="33">
        <v>65.599999999999994</v>
      </c>
      <c r="M106" s="21">
        <f t="shared" si="6"/>
        <v>79.352692249846214</v>
      </c>
      <c r="O106" s="13" t="str">
        <v>*</v>
      </c>
      <c r="P106" s="44">
        <v>262</v>
      </c>
      <c r="Q106" s="14" t="str">
        <v>-</v>
      </c>
      <c r="R106" s="14" t="str">
        <v>NGC 4594</v>
      </c>
      <c r="S106" s="50">
        <v>184.12623190154662</v>
      </c>
      <c r="T106" s="51">
        <v>31.844578903074829</v>
      </c>
      <c r="U106" s="13">
        <v>12.666666666666666</v>
      </c>
      <c r="V106" s="13">
        <v>-11.616666666666667</v>
      </c>
      <c r="W106" s="13">
        <v>3.5776922498462227</v>
      </c>
    </row>
    <row r="107" spans="5:23" ht="17">
      <c r="E107" s="20" t="str">
        <f t="shared" si="7"/>
        <v/>
      </c>
      <c r="F107" s="32">
        <f t="shared" si="9"/>
        <v>100</v>
      </c>
      <c r="G107" s="76" t="s">
        <v>440</v>
      </c>
      <c r="H107" s="29" t="s">
        <v>40</v>
      </c>
      <c r="I107" s="21">
        <f t="shared" si="8"/>
        <v>293.06042813987682</v>
      </c>
      <c r="J107" s="21">
        <f t="shared" si="5"/>
        <v>33.836048734066935</v>
      </c>
      <c r="K107" s="30">
        <v>7.6349999999999998</v>
      </c>
      <c r="L107" s="33">
        <v>38.883333333333333</v>
      </c>
      <c r="M107" s="21">
        <f t="shared" si="6"/>
        <v>79.052692249846231</v>
      </c>
      <c r="O107" s="13" t="str">
        <v>*</v>
      </c>
      <c r="P107" s="44">
        <v>263</v>
      </c>
      <c r="Q107" s="14" t="str">
        <v>-</v>
      </c>
      <c r="R107" s="14" t="str">
        <v>NGC 4596</v>
      </c>
      <c r="S107" s="50">
        <v>185.98289789222301</v>
      </c>
      <c r="T107" s="51">
        <v>53.603729406655056</v>
      </c>
      <c r="U107" s="13">
        <v>12.664999999999999</v>
      </c>
      <c r="V107" s="13">
        <v>10.183333333333334</v>
      </c>
      <c r="W107" s="13">
        <v>3.6026922498462284</v>
      </c>
    </row>
    <row r="108" spans="5:23" ht="17">
      <c r="E108" s="20" t="str">
        <f t="shared" si="7"/>
        <v/>
      </c>
      <c r="F108" s="32">
        <f t="shared" si="9"/>
        <v>101</v>
      </c>
      <c r="G108" s="76" t="s">
        <v>440</v>
      </c>
      <c r="H108" s="29" t="s">
        <v>153</v>
      </c>
      <c r="I108" s="21">
        <f t="shared" si="8"/>
        <v>277.74272276734376</v>
      </c>
      <c r="J108" s="21">
        <f t="shared" si="5"/>
        <v>22.904435502557419</v>
      </c>
      <c r="K108" s="30">
        <v>7.6416666666666666</v>
      </c>
      <c r="L108" s="33">
        <v>21.566666666666666</v>
      </c>
      <c r="M108" s="21">
        <f t="shared" si="6"/>
        <v>78.952692249846237</v>
      </c>
      <c r="O108" s="13" t="str">
        <v>*</v>
      </c>
      <c r="P108" s="44">
        <v>264</v>
      </c>
      <c r="Q108" s="14" t="str">
        <v>-</v>
      </c>
      <c r="R108" s="14" t="str">
        <v>NGC 4618</v>
      </c>
      <c r="S108" s="50">
        <v>204.68690335986881</v>
      </c>
      <c r="T108" s="51">
        <v>84.219136140040277</v>
      </c>
      <c r="U108" s="13">
        <v>12.691666666666666</v>
      </c>
      <c r="V108" s="13">
        <v>41.15</v>
      </c>
      <c r="W108" s="13">
        <v>3.2026922498462511</v>
      </c>
    </row>
    <row r="109" spans="5:23" ht="17">
      <c r="E109" s="20" t="str">
        <f t="shared" si="7"/>
        <v/>
      </c>
      <c r="F109" s="32">
        <f t="shared" si="9"/>
        <v>102</v>
      </c>
      <c r="G109" s="76" t="s">
        <v>440</v>
      </c>
      <c r="H109" s="29" t="s">
        <v>154</v>
      </c>
      <c r="I109" s="21">
        <f t="shared" si="8"/>
        <v>248.30201303173391</v>
      </c>
      <c r="J109" s="21">
        <f t="shared" si="5"/>
        <v>-7.9156862416916525</v>
      </c>
      <c r="K109" s="30">
        <v>7.6050000000000004</v>
      </c>
      <c r="L109" s="33">
        <v>-20.616666666666667</v>
      </c>
      <c r="M109" s="21">
        <f t="shared" si="6"/>
        <v>79.50269224984622</v>
      </c>
      <c r="O109" s="13" t="str">
        <v>*</v>
      </c>
      <c r="P109" s="44">
        <v>265</v>
      </c>
      <c r="Q109" s="14" t="str">
        <v>-</v>
      </c>
      <c r="R109" s="14" t="str">
        <v>NGC 4631</v>
      </c>
      <c r="S109" s="50">
        <v>190.61144790568656</v>
      </c>
      <c r="T109" s="51">
        <v>75.888311033227126</v>
      </c>
      <c r="U109" s="13">
        <v>12.701666666666666</v>
      </c>
      <c r="V109" s="13">
        <v>32.533333333333331</v>
      </c>
      <c r="W109" s="13">
        <v>3.052692249846217</v>
      </c>
    </row>
    <row r="110" spans="5:23" ht="17">
      <c r="E110" s="20" t="str">
        <f t="shared" si="7"/>
        <v/>
      </c>
      <c r="F110" s="32">
        <f t="shared" si="9"/>
        <v>103</v>
      </c>
      <c r="G110" s="76" t="s">
        <v>440</v>
      </c>
      <c r="H110" s="29" t="s">
        <v>155</v>
      </c>
      <c r="I110" s="21">
        <f t="shared" si="8"/>
        <v>252.43552379166522</v>
      </c>
      <c r="J110" s="21">
        <f t="shared" si="5"/>
        <v>-3.3871502889521263</v>
      </c>
      <c r="K110" s="30">
        <v>7.61</v>
      </c>
      <c r="L110" s="33">
        <v>-14.5</v>
      </c>
      <c r="M110" s="21">
        <f t="shared" si="6"/>
        <v>79.427692249846231</v>
      </c>
      <c r="O110" s="13" t="str">
        <v>*</v>
      </c>
      <c r="P110" s="44">
        <v>266</v>
      </c>
      <c r="Q110" s="14" t="str">
        <v>-</v>
      </c>
      <c r="R110" s="14" t="str">
        <v>NGC 4636</v>
      </c>
      <c r="S110" s="50">
        <v>184.15207682519565</v>
      </c>
      <c r="T110" s="51">
        <v>46.16149385070063</v>
      </c>
      <c r="U110" s="13">
        <v>12.713333333333333</v>
      </c>
      <c r="V110" s="13">
        <v>2.6833333333333336</v>
      </c>
      <c r="W110" s="13">
        <v>2.8776922498462341</v>
      </c>
    </row>
    <row r="111" spans="5:23" ht="17">
      <c r="E111" s="20" t="str">
        <f t="shared" si="7"/>
        <v/>
      </c>
      <c r="F111" s="32">
        <f t="shared" si="9"/>
        <v>104</v>
      </c>
      <c r="G111" s="76" t="s">
        <v>440</v>
      </c>
      <c r="H111" s="29" t="s">
        <v>156</v>
      </c>
      <c r="I111" s="21">
        <f t="shared" si="8"/>
        <v>252.77646340238334</v>
      </c>
      <c r="J111" s="21">
        <f t="shared" si="5"/>
        <v>-2.8395173883079448</v>
      </c>
      <c r="K111" s="30">
        <v>7.6183333333333332</v>
      </c>
      <c r="L111" s="33">
        <v>-13.866666666666667</v>
      </c>
      <c r="M111" s="21">
        <f t="shared" si="6"/>
        <v>79.302692249846231</v>
      </c>
      <c r="O111" s="13" t="str">
        <v>*</v>
      </c>
      <c r="P111" s="44">
        <v>267</v>
      </c>
      <c r="Q111" s="14" t="str">
        <v>-</v>
      </c>
      <c r="R111" s="14" t="str">
        <v>NGC 4643</v>
      </c>
      <c r="S111" s="50">
        <v>183.92431996615906</v>
      </c>
      <c r="T111" s="51">
        <v>45.468383957265331</v>
      </c>
      <c r="U111" s="13">
        <v>12.721666666666666</v>
      </c>
      <c r="V111" s="13">
        <v>1.9833333333333334</v>
      </c>
      <c r="W111" s="13">
        <v>2.7526922498462625</v>
      </c>
    </row>
    <row r="112" spans="5:23">
      <c r="E112" s="20" t="str">
        <f t="shared" si="7"/>
        <v/>
      </c>
      <c r="F112" s="32">
        <f t="shared" si="9"/>
        <v>105</v>
      </c>
      <c r="G112" s="76" t="s">
        <v>440</v>
      </c>
      <c r="H112" s="28" t="s">
        <v>157</v>
      </c>
      <c r="I112" s="21">
        <f t="shared" si="8"/>
        <v>251.34998455229373</v>
      </c>
      <c r="J112" s="21">
        <f t="shared" si="5"/>
        <v>-2.7076169261349472</v>
      </c>
      <c r="K112" s="30">
        <v>7.6966666666666663</v>
      </c>
      <c r="L112" s="33">
        <v>-14.733333333333333</v>
      </c>
      <c r="M112" s="21">
        <f t="shared" si="6"/>
        <v>78.12769224984622</v>
      </c>
      <c r="O112" s="13" t="str">
        <v>*</v>
      </c>
      <c r="P112" s="44">
        <v>268</v>
      </c>
      <c r="Q112" s="14" t="str">
        <v>-</v>
      </c>
      <c r="R112" s="14" t="str">
        <v>NGC 4654</v>
      </c>
      <c r="S112" s="50">
        <v>184.56494982514471</v>
      </c>
      <c r="T112" s="51">
        <v>56.612580060454867</v>
      </c>
      <c r="U112" s="13">
        <v>12.733333333333333</v>
      </c>
      <c r="V112" s="13">
        <v>13.133333333333333</v>
      </c>
      <c r="W112" s="13">
        <v>2.5776922498462227</v>
      </c>
    </row>
    <row r="113" spans="5:23">
      <c r="E113" s="20" t="str">
        <f t="shared" si="7"/>
        <v/>
      </c>
      <c r="F113" s="32">
        <f t="shared" si="9"/>
        <v>106</v>
      </c>
      <c r="G113" s="76" t="s">
        <v>440</v>
      </c>
      <c r="H113" s="28" t="s">
        <v>158</v>
      </c>
      <c r="I113" s="21">
        <f t="shared" si="8"/>
        <v>248.97196398088352</v>
      </c>
      <c r="J113" s="21">
        <f t="shared" si="5"/>
        <v>-5.2585846262257192</v>
      </c>
      <c r="K113" s="30">
        <v>7.6983333333333333</v>
      </c>
      <c r="L113" s="33">
        <v>-18.216666666666665</v>
      </c>
      <c r="M113" s="21">
        <f t="shared" si="6"/>
        <v>78.102692249846214</v>
      </c>
      <c r="O113" s="13" t="str">
        <v>*</v>
      </c>
      <c r="P113" s="44">
        <v>269</v>
      </c>
      <c r="Q113" s="14" t="str">
        <v>-</v>
      </c>
      <c r="R113" s="14" t="str">
        <v>NGC 4656</v>
      </c>
      <c r="S113" s="50">
        <v>188.79384662529546</v>
      </c>
      <c r="T113" s="51">
        <v>75.580255117429772</v>
      </c>
      <c r="U113" s="13">
        <v>12.733333333333333</v>
      </c>
      <c r="V113" s="13">
        <v>32.166666666666664</v>
      </c>
      <c r="W113" s="13">
        <v>2.5776922498462227</v>
      </c>
    </row>
    <row r="114" spans="5:23" ht="17">
      <c r="E114" s="20" t="str">
        <f t="shared" si="7"/>
        <v/>
      </c>
      <c r="F114" s="32">
        <f t="shared" si="9"/>
        <v>107</v>
      </c>
      <c r="G114" s="76" t="s">
        <v>440</v>
      </c>
      <c r="H114" s="29" t="s">
        <v>159</v>
      </c>
      <c r="I114" s="21">
        <f t="shared" si="8"/>
        <v>246.97639967239206</v>
      </c>
      <c r="J114" s="21">
        <f t="shared" si="5"/>
        <v>-2.7804006910002514</v>
      </c>
      <c r="K114" s="30">
        <v>7.918333333333333</v>
      </c>
      <c r="L114" s="33">
        <v>-17.716666666666665</v>
      </c>
      <c r="M114" s="21">
        <f t="shared" si="6"/>
        <v>74.802692249846217</v>
      </c>
      <c r="O114" s="13" t="str">
        <v>*</v>
      </c>
      <c r="P114" s="44">
        <v>270</v>
      </c>
      <c r="Q114" s="14" t="str">
        <v>-</v>
      </c>
      <c r="R114" s="14" t="str">
        <v>NGC 4660</v>
      </c>
      <c r="S114" s="50">
        <v>184.16337636254516</v>
      </c>
      <c r="T114" s="51">
        <v>54.671934528143375</v>
      </c>
      <c r="U114" s="13">
        <v>12.741666666666667</v>
      </c>
      <c r="V114" s="13">
        <v>11.183333333333334</v>
      </c>
      <c r="W114" s="13">
        <v>2.4526922498461943</v>
      </c>
    </row>
    <row r="115" spans="5:23" ht="17">
      <c r="E115" s="20" t="str">
        <f t="shared" si="7"/>
        <v/>
      </c>
      <c r="F115" s="32">
        <f t="shared" si="9"/>
        <v>108</v>
      </c>
      <c r="G115" s="76" t="s">
        <v>440</v>
      </c>
      <c r="H115" s="29" t="s">
        <v>160</v>
      </c>
      <c r="I115" s="21">
        <f t="shared" si="8"/>
        <v>242.5938090969135</v>
      </c>
      <c r="J115" s="21">
        <f t="shared" si="5"/>
        <v>-7.710717565214817</v>
      </c>
      <c r="K115" s="30">
        <v>7.915</v>
      </c>
      <c r="L115" s="33">
        <v>-24.3</v>
      </c>
      <c r="M115" s="21">
        <f t="shared" si="6"/>
        <v>74.852692249846228</v>
      </c>
      <c r="O115" s="13" t="str">
        <v>*</v>
      </c>
      <c r="P115" s="44">
        <v>271</v>
      </c>
      <c r="Q115" s="14" t="str">
        <v>-</v>
      </c>
      <c r="R115" s="14" t="str">
        <v>NGC 4665</v>
      </c>
      <c r="S115" s="50">
        <v>183.3447766501298</v>
      </c>
      <c r="T115" s="51">
        <v>46.553691707988889</v>
      </c>
      <c r="U115" s="13">
        <v>12.751666666666667</v>
      </c>
      <c r="V115" s="13">
        <v>3.05</v>
      </c>
      <c r="W115" s="13">
        <v>2.302692249846217</v>
      </c>
    </row>
    <row r="116" spans="5:23" ht="17">
      <c r="E116" s="20" t="str">
        <f t="shared" si="7"/>
        <v/>
      </c>
      <c r="F116" s="32">
        <f t="shared" si="9"/>
        <v>109</v>
      </c>
      <c r="G116" s="76" t="s">
        <v>440</v>
      </c>
      <c r="H116" s="29" t="s">
        <v>161</v>
      </c>
      <c r="I116" s="21">
        <f t="shared" si="8"/>
        <v>238.43030633925164</v>
      </c>
      <c r="J116" s="21">
        <f t="shared" si="5"/>
        <v>-11.773647050286149</v>
      </c>
      <c r="K116" s="30">
        <v>7.9366666666666665</v>
      </c>
      <c r="L116" s="34">
        <v>-30.066666666666666</v>
      </c>
      <c r="M116" s="21">
        <f t="shared" si="6"/>
        <v>74.527692249846211</v>
      </c>
      <c r="O116" s="13" t="str">
        <v>*</v>
      </c>
      <c r="P116" s="44">
        <v>272</v>
      </c>
      <c r="Q116" s="14" t="str">
        <v>-</v>
      </c>
      <c r="R116" s="14" t="str">
        <v>NGC 4666</v>
      </c>
      <c r="S116" s="50">
        <v>183.20032514509606</v>
      </c>
      <c r="T116" s="51">
        <v>43.972358549365687</v>
      </c>
      <c r="U116" s="13">
        <v>12.751666666666667</v>
      </c>
      <c r="V116" s="13">
        <v>0.46666666666666667</v>
      </c>
      <c r="W116" s="13">
        <v>2.302692249846217</v>
      </c>
    </row>
    <row r="117" spans="5:23" ht="17">
      <c r="E117" s="20" t="str">
        <f t="shared" si="7"/>
        <v/>
      </c>
      <c r="F117" s="32">
        <f t="shared" si="9"/>
        <v>110</v>
      </c>
      <c r="G117" s="76" t="s">
        <v>440</v>
      </c>
      <c r="H117" s="29" t="s">
        <v>59</v>
      </c>
      <c r="I117" s="21">
        <f t="shared" si="8"/>
        <v>250.65144474156926</v>
      </c>
      <c r="J117" s="21">
        <f t="shared" si="5"/>
        <v>3.2281465084908665</v>
      </c>
      <c r="K117" s="30">
        <v>8.0033333333333339</v>
      </c>
      <c r="L117" s="33">
        <v>-10.783333333333333</v>
      </c>
      <c r="M117" s="21">
        <f t="shared" si="6"/>
        <v>73.527692249846226</v>
      </c>
      <c r="O117" s="13" t="str">
        <v>*</v>
      </c>
      <c r="P117" s="44">
        <v>273</v>
      </c>
      <c r="Q117" s="14" t="str">
        <v>-</v>
      </c>
      <c r="R117" s="14" t="str">
        <v>NGC 4689</v>
      </c>
      <c r="S117" s="50">
        <v>182.92627847091066</v>
      </c>
      <c r="T117" s="51">
        <v>57.28802779016101</v>
      </c>
      <c r="U117" s="13">
        <v>12.796666666666667</v>
      </c>
      <c r="V117" s="13">
        <v>13.766666666666667</v>
      </c>
      <c r="W117" s="13">
        <v>1.6276922498462341</v>
      </c>
    </row>
    <row r="118" spans="5:23" ht="17">
      <c r="E118" s="20" t="str">
        <f t="shared" si="7"/>
        <v/>
      </c>
      <c r="F118" s="32">
        <f t="shared" si="9"/>
        <v>111</v>
      </c>
      <c r="G118" s="76" t="s">
        <v>440</v>
      </c>
      <c r="H118" s="29" t="s">
        <v>162</v>
      </c>
      <c r="I118" s="21">
        <f t="shared" si="8"/>
        <v>245.08444018772315</v>
      </c>
      <c r="J118" s="21">
        <f t="shared" si="5"/>
        <v>-2.9091585172082692</v>
      </c>
      <c r="K118" s="30">
        <v>8.0116666666666667</v>
      </c>
      <c r="L118" s="34">
        <v>-19.066666666666666</v>
      </c>
      <c r="M118" s="21">
        <f t="shared" si="6"/>
        <v>73.402692249846226</v>
      </c>
      <c r="O118" s="13" t="str">
        <v>*</v>
      </c>
      <c r="P118" s="44">
        <v>274</v>
      </c>
      <c r="Q118" s="14" t="str">
        <v>-</v>
      </c>
      <c r="R118" s="14" t="str">
        <v>NGC 4697</v>
      </c>
      <c r="S118" s="50">
        <v>181.79611991237721</v>
      </c>
      <c r="T118" s="51">
        <v>37.734582104530887</v>
      </c>
      <c r="U118" s="13">
        <v>12.81</v>
      </c>
      <c r="V118" s="13">
        <v>-5.8</v>
      </c>
      <c r="W118" s="13">
        <v>1.4276922498461886</v>
      </c>
    </row>
    <row r="119" spans="5:23" ht="17">
      <c r="E119" s="20" t="str">
        <f t="shared" si="7"/>
        <v/>
      </c>
      <c r="F119" s="32">
        <f t="shared" si="9"/>
        <v>112</v>
      </c>
      <c r="G119" s="76" t="s">
        <v>440</v>
      </c>
      <c r="H119" s="29" t="s">
        <v>163</v>
      </c>
      <c r="I119" s="21">
        <f t="shared" si="8"/>
        <v>238.2294864948451</v>
      </c>
      <c r="J119" s="21">
        <f t="shared" si="5"/>
        <v>-9.0313180946762852</v>
      </c>
      <c r="K119" s="30">
        <v>8.0883333333333329</v>
      </c>
      <c r="L119" s="33">
        <v>-28.166666666666668</v>
      </c>
      <c r="M119" s="21">
        <f t="shared" si="6"/>
        <v>72.25269224984622</v>
      </c>
      <c r="O119" s="13" t="str">
        <v>*</v>
      </c>
      <c r="P119" s="44">
        <v>275</v>
      </c>
      <c r="Q119" s="14" t="str">
        <v>-</v>
      </c>
      <c r="R119" s="14" t="str">
        <v>NGC 4698</v>
      </c>
      <c r="S119" s="50">
        <v>182.37497512333368</v>
      </c>
      <c r="T119" s="51">
        <v>52.012232296855913</v>
      </c>
      <c r="U119" s="13">
        <v>12.806666666666667</v>
      </c>
      <c r="V119" s="13">
        <v>8.4833333333333325</v>
      </c>
      <c r="W119" s="13">
        <v>1.4776922498462</v>
      </c>
    </row>
    <row r="120" spans="5:23" ht="17">
      <c r="E120" s="20" t="str">
        <f t="shared" si="7"/>
        <v/>
      </c>
      <c r="F120" s="32">
        <f t="shared" si="9"/>
        <v>113</v>
      </c>
      <c r="G120" s="76" t="s">
        <v>440</v>
      </c>
      <c r="H120" s="29" t="s">
        <v>164</v>
      </c>
      <c r="I120" s="21">
        <f t="shared" si="8"/>
        <v>247.36220052271545</v>
      </c>
      <c r="J120" s="21">
        <f t="shared" si="5"/>
        <v>3.3711600768082759</v>
      </c>
      <c r="K120" s="30">
        <v>8.1783333333333328</v>
      </c>
      <c r="L120" s="33">
        <v>-12.833333333333334</v>
      </c>
      <c r="M120" s="21">
        <f t="shared" si="6"/>
        <v>70.902692249846226</v>
      </c>
      <c r="O120" s="13" t="str">
        <v>*</v>
      </c>
      <c r="P120" s="44">
        <v>276</v>
      </c>
      <c r="Q120" s="14" t="str">
        <v>-</v>
      </c>
      <c r="R120" s="14" t="str">
        <v>NGC 4699</v>
      </c>
      <c r="S120" s="50">
        <v>181.59984425111912</v>
      </c>
      <c r="T120" s="51">
        <v>34.870562169986137</v>
      </c>
      <c r="U120" s="13">
        <v>12.816666666666666</v>
      </c>
      <c r="V120" s="13">
        <v>-8.6666666666666661</v>
      </c>
      <c r="W120" s="13">
        <v>1.3276922498462227</v>
      </c>
    </row>
    <row r="121" spans="5:23" ht="17">
      <c r="E121" s="20" t="str">
        <f t="shared" si="7"/>
        <v/>
      </c>
      <c r="F121" s="32">
        <f t="shared" si="9"/>
        <v>114</v>
      </c>
      <c r="G121" s="76" t="s">
        <v>440</v>
      </c>
      <c r="H121" s="29" t="s">
        <v>165</v>
      </c>
      <c r="I121" s="21">
        <f t="shared" si="8"/>
        <v>251.40787166635624</v>
      </c>
      <c r="J121" s="21">
        <f t="shared" si="5"/>
        <v>9.1930923142431098</v>
      </c>
      <c r="K121" s="30">
        <v>8.23</v>
      </c>
      <c r="L121" s="33">
        <v>-5.8</v>
      </c>
      <c r="M121" s="21">
        <f t="shared" si="6"/>
        <v>70.127692249846206</v>
      </c>
      <c r="O121" s="13" t="str">
        <v>*</v>
      </c>
      <c r="P121" s="44">
        <v>277</v>
      </c>
      <c r="Q121" s="14" t="str">
        <v>-</v>
      </c>
      <c r="R121" s="14" t="str">
        <v>NGC 4725</v>
      </c>
      <c r="S121" s="50">
        <v>182.46703874288184</v>
      </c>
      <c r="T121" s="51">
        <v>69.035497042907195</v>
      </c>
      <c r="U121" s="13">
        <v>12.84</v>
      </c>
      <c r="V121" s="13">
        <v>25.5</v>
      </c>
      <c r="W121" s="13">
        <v>0.97769224984619996</v>
      </c>
    </row>
    <row r="122" spans="5:23" ht="17">
      <c r="E122" s="20" t="str">
        <f t="shared" si="7"/>
        <v/>
      </c>
      <c r="F122" s="32">
        <f t="shared" si="9"/>
        <v>115</v>
      </c>
      <c r="G122" s="76" t="s">
        <v>440</v>
      </c>
      <c r="H122" s="29" t="s">
        <v>166</v>
      </c>
      <c r="I122" s="21">
        <f t="shared" si="8"/>
        <v>234.37796998566387</v>
      </c>
      <c r="J122" s="21">
        <f t="shared" si="5"/>
        <v>-8.9835422037180805</v>
      </c>
      <c r="K122" s="30">
        <v>8.31</v>
      </c>
      <c r="L122" s="33">
        <v>-30.633333333333333</v>
      </c>
      <c r="M122" s="21">
        <f t="shared" si="6"/>
        <v>68.927692249846217</v>
      </c>
      <c r="O122" s="13" t="str">
        <v>*</v>
      </c>
      <c r="P122" s="44">
        <v>278</v>
      </c>
      <c r="Q122" s="14" t="str">
        <v>-</v>
      </c>
      <c r="R122" s="14" t="str">
        <v>NGC 4753</v>
      </c>
      <c r="S122" s="50">
        <v>180.64621091381079</v>
      </c>
      <c r="T122" s="51">
        <v>42.348143987887603</v>
      </c>
      <c r="U122" s="13">
        <v>12.873333333333333</v>
      </c>
      <c r="V122" s="13">
        <v>-1.2</v>
      </c>
      <c r="W122" s="13">
        <v>0.47769224984619996</v>
      </c>
    </row>
    <row r="123" spans="5:23" ht="17">
      <c r="E123" s="20" t="str">
        <f t="shared" si="7"/>
        <v/>
      </c>
      <c r="F123" s="32">
        <f t="shared" si="9"/>
        <v>116</v>
      </c>
      <c r="G123" s="76" t="s">
        <v>440</v>
      </c>
      <c r="H123" s="29" t="s">
        <v>167</v>
      </c>
      <c r="I123" s="21">
        <f t="shared" si="8"/>
        <v>234.91992488454915</v>
      </c>
      <c r="J123" s="21">
        <f t="shared" si="5"/>
        <v>-8.257531955660836</v>
      </c>
      <c r="K123" s="30">
        <v>8.3149999999999995</v>
      </c>
      <c r="L123" s="33">
        <v>-29.733333333333334</v>
      </c>
      <c r="M123" s="21">
        <f t="shared" si="6"/>
        <v>68.852692249846228</v>
      </c>
      <c r="O123" s="13" t="str">
        <v>*</v>
      </c>
      <c r="P123" s="44">
        <v>279</v>
      </c>
      <c r="Q123" s="14" t="str">
        <v>-</v>
      </c>
      <c r="R123" s="14" t="str">
        <v>NGC 4754</v>
      </c>
      <c r="S123" s="50">
        <v>180.85649914933902</v>
      </c>
      <c r="T123" s="51">
        <v>54.864077927582464</v>
      </c>
      <c r="U123" s="13">
        <v>12.871666666666666</v>
      </c>
      <c r="V123" s="13">
        <v>11.316666666666666</v>
      </c>
      <c r="W123" s="13">
        <v>0.50269224984620564</v>
      </c>
    </row>
    <row r="124" spans="5:23" ht="17">
      <c r="E124" s="20" t="str">
        <f t="shared" si="7"/>
        <v/>
      </c>
      <c r="F124" s="32">
        <f t="shared" si="9"/>
        <v>117</v>
      </c>
      <c r="G124" s="76" t="s">
        <v>440</v>
      </c>
      <c r="H124" s="29" t="s">
        <v>168</v>
      </c>
      <c r="I124" s="21">
        <f t="shared" si="8"/>
        <v>236.7333801062158</v>
      </c>
      <c r="J124" s="21">
        <f t="shared" si="5"/>
        <v>-0.97366015729892608</v>
      </c>
      <c r="K124" s="30">
        <v>8.5566666666666666</v>
      </c>
      <c r="L124" s="33">
        <v>-22.966666666666665</v>
      </c>
      <c r="M124" s="21">
        <f t="shared" si="6"/>
        <v>65.227692249846228</v>
      </c>
      <c r="O124" s="13" t="str">
        <v>*</v>
      </c>
      <c r="P124" s="44">
        <v>280</v>
      </c>
      <c r="Q124" s="14" t="str">
        <v>-</v>
      </c>
      <c r="R124" s="14" t="str">
        <v>NGC 4762</v>
      </c>
      <c r="S124" s="50">
        <v>180.5998727669425</v>
      </c>
      <c r="T124" s="51">
        <v>54.782061254775464</v>
      </c>
      <c r="U124" s="13">
        <v>12.881666666666666</v>
      </c>
      <c r="V124" s="13">
        <v>11.233333333333333</v>
      </c>
      <c r="W124" s="13">
        <v>0.35269224984622838</v>
      </c>
    </row>
    <row r="125" spans="5:23" ht="17">
      <c r="E125" s="20" t="str">
        <f t="shared" si="7"/>
        <v/>
      </c>
      <c r="F125" s="32">
        <f t="shared" si="9"/>
        <v>118</v>
      </c>
      <c r="G125" s="76" t="s">
        <v>440</v>
      </c>
      <c r="H125" s="29" t="s">
        <v>169</v>
      </c>
      <c r="I125" s="21">
        <f t="shared" si="8"/>
        <v>231.68101589914306</v>
      </c>
      <c r="J125" s="21">
        <f t="shared" si="5"/>
        <v>-5.8836421011894346</v>
      </c>
      <c r="K125" s="30">
        <v>8.6216666666666661</v>
      </c>
      <c r="L125" s="33">
        <v>-29.95</v>
      </c>
      <c r="M125" s="21">
        <f t="shared" si="6"/>
        <v>64.252692249846234</v>
      </c>
      <c r="O125" s="13" t="str">
        <v>*</v>
      </c>
      <c r="P125" s="44">
        <v>281</v>
      </c>
      <c r="Q125" s="14" t="str">
        <v>-</v>
      </c>
      <c r="R125" s="14" t="str">
        <v>NGC 4781</v>
      </c>
      <c r="S125" s="50">
        <v>179.9738443425349</v>
      </c>
      <c r="T125" s="51">
        <v>33.016663158501636</v>
      </c>
      <c r="U125" s="13">
        <v>12.906666666666666</v>
      </c>
      <c r="V125" s="13">
        <v>-10.533333333333333</v>
      </c>
      <c r="W125" s="13">
        <v>-2.2307750153771622E-2</v>
      </c>
    </row>
    <row r="126" spans="5:23" ht="17">
      <c r="E126" s="20" t="str">
        <f t="shared" si="7"/>
        <v/>
      </c>
      <c r="F126" s="32">
        <f t="shared" si="9"/>
        <v>119</v>
      </c>
      <c r="G126" s="76" t="s">
        <v>440</v>
      </c>
      <c r="H126" s="29" t="s">
        <v>170</v>
      </c>
      <c r="I126" s="21">
        <f t="shared" si="8"/>
        <v>343.62105919136792</v>
      </c>
      <c r="J126" s="21">
        <f t="shared" si="5"/>
        <v>51.309488863376792</v>
      </c>
      <c r="K126" s="30">
        <v>8.9266666666666659</v>
      </c>
      <c r="L126" s="33">
        <v>78.216666666666669</v>
      </c>
      <c r="M126" s="21">
        <f t="shared" si="6"/>
        <v>59.677692249846245</v>
      </c>
      <c r="O126" s="13" t="str">
        <v>*</v>
      </c>
      <c r="P126" s="44">
        <v>283</v>
      </c>
      <c r="Q126" s="14" t="str">
        <v>-</v>
      </c>
      <c r="R126" s="14" t="str">
        <v>NGC 4845</v>
      </c>
      <c r="S126" s="50">
        <v>178.6932222475439</v>
      </c>
      <c r="T126" s="51">
        <v>45.126086713049865</v>
      </c>
      <c r="U126" s="13">
        <v>12.966666666666667</v>
      </c>
      <c r="V126" s="13">
        <v>1.5833333333333335</v>
      </c>
      <c r="W126" s="13">
        <v>-0.92230775015377731</v>
      </c>
    </row>
    <row r="127" spans="5:23" ht="17">
      <c r="E127" s="20" t="str">
        <f t="shared" si="7"/>
        <v/>
      </c>
      <c r="F127" s="32">
        <f t="shared" si="9"/>
        <v>120</v>
      </c>
      <c r="G127" s="76" t="s">
        <v>440</v>
      </c>
      <c r="H127" s="29" t="s">
        <v>171</v>
      </c>
      <c r="I127" s="21">
        <f t="shared" si="8"/>
        <v>299.96669066860727</v>
      </c>
      <c r="J127" s="21">
        <f t="shared" si="5"/>
        <v>51.238629270748369</v>
      </c>
      <c r="K127" s="30">
        <v>8.8916666666666675</v>
      </c>
      <c r="L127" s="33">
        <v>51.31666666666667</v>
      </c>
      <c r="M127" s="21">
        <f t="shared" si="6"/>
        <v>60.202692249846223</v>
      </c>
      <c r="O127" s="13" t="str">
        <v>*</v>
      </c>
      <c r="P127" s="44">
        <v>284</v>
      </c>
      <c r="Q127" s="14" t="str">
        <v>-</v>
      </c>
      <c r="R127" s="14" t="str">
        <v>NGC 4856</v>
      </c>
      <c r="S127" s="50">
        <v>178.62916706047011</v>
      </c>
      <c r="T127" s="51">
        <v>28.506386180916113</v>
      </c>
      <c r="U127" s="13">
        <v>12.988333333333333</v>
      </c>
      <c r="V127" s="13">
        <v>-15.033333333333333</v>
      </c>
      <c r="W127" s="13">
        <v>-1.2473077501537659</v>
      </c>
    </row>
    <row r="128" spans="5:23" ht="17">
      <c r="E128" s="20" t="str">
        <f t="shared" si="7"/>
        <v/>
      </c>
      <c r="F128" s="32">
        <f t="shared" si="9"/>
        <v>121</v>
      </c>
      <c r="G128" s="76" t="s">
        <v>440</v>
      </c>
      <c r="H128" s="29" t="s">
        <v>172</v>
      </c>
      <c r="I128" s="21">
        <f t="shared" si="8"/>
        <v>276.34094734014076</v>
      </c>
      <c r="J128" s="21">
        <f t="shared" si="5"/>
        <v>43.093186821140662</v>
      </c>
      <c r="K128" s="30">
        <v>8.8783333333333339</v>
      </c>
      <c r="L128" s="33">
        <v>33.416666666666664</v>
      </c>
      <c r="M128" s="21">
        <f t="shared" si="6"/>
        <v>60.402692249846211</v>
      </c>
      <c r="O128" s="13" t="str">
        <v>*</v>
      </c>
      <c r="P128" s="44">
        <v>285</v>
      </c>
      <c r="Q128" s="14" t="str">
        <v>-</v>
      </c>
      <c r="R128" s="14" t="str">
        <v>NGC 4866</v>
      </c>
      <c r="S128" s="50">
        <v>177.64567055766892</v>
      </c>
      <c r="T128" s="51">
        <v>57.698302328036142</v>
      </c>
      <c r="U128" s="13">
        <v>12.991666666666667</v>
      </c>
      <c r="V128" s="13">
        <v>14.166666666666666</v>
      </c>
      <c r="W128" s="13">
        <v>-1.2973077501537773</v>
      </c>
    </row>
    <row r="129" spans="5:23" ht="17">
      <c r="E129" s="20" t="str">
        <f t="shared" si="7"/>
        <v/>
      </c>
      <c r="F129" s="32">
        <f t="shared" si="9"/>
        <v>122</v>
      </c>
      <c r="G129" s="76" t="s">
        <v>440</v>
      </c>
      <c r="H129" s="29" t="s">
        <v>173</v>
      </c>
      <c r="I129" s="21">
        <f t="shared" si="8"/>
        <v>314.41848452977945</v>
      </c>
      <c r="J129" s="21">
        <f t="shared" si="5"/>
        <v>54.803683801765324</v>
      </c>
      <c r="K129" s="30">
        <v>9.1266666666666669</v>
      </c>
      <c r="L129" s="33">
        <v>60.483333333333334</v>
      </c>
      <c r="M129" s="21">
        <f t="shared" si="6"/>
        <v>56.677692249846217</v>
      </c>
      <c r="O129" s="13" t="str">
        <v>*</v>
      </c>
      <c r="P129" s="44">
        <v>286</v>
      </c>
      <c r="Q129" s="14" t="str">
        <v>-</v>
      </c>
      <c r="R129" s="14" t="str">
        <v>NGC 4900</v>
      </c>
      <c r="S129" s="50">
        <v>177.73725408273219</v>
      </c>
      <c r="T129" s="51">
        <v>46.028609035889893</v>
      </c>
      <c r="U129" s="13">
        <v>13.01</v>
      </c>
      <c r="V129" s="13">
        <v>2.5</v>
      </c>
      <c r="W129" s="13">
        <v>-1.572307750153783</v>
      </c>
    </row>
    <row r="130" spans="5:23" ht="17">
      <c r="E130" s="20" t="str">
        <f t="shared" si="7"/>
        <v/>
      </c>
      <c r="F130" s="32">
        <f t="shared" si="9"/>
        <v>123</v>
      </c>
      <c r="G130" s="76" t="s">
        <v>440</v>
      </c>
      <c r="H130" s="29" t="s">
        <v>174</v>
      </c>
      <c r="I130" s="21">
        <f t="shared" si="8"/>
        <v>313.59383130932235</v>
      </c>
      <c r="J130" s="21">
        <f t="shared" si="5"/>
        <v>55.278369501455302</v>
      </c>
      <c r="K130" s="30">
        <v>9.1933333333333334</v>
      </c>
      <c r="L130" s="33">
        <v>60.033333333333331</v>
      </c>
      <c r="M130" s="21">
        <f t="shared" si="6"/>
        <v>55.677692249846217</v>
      </c>
      <c r="O130" s="13" t="str">
        <v>*</v>
      </c>
      <c r="P130" s="44">
        <v>287</v>
      </c>
      <c r="Q130" s="14" t="str">
        <v>-</v>
      </c>
      <c r="R130" s="14" t="str">
        <v>NGC 4958</v>
      </c>
      <c r="S130" s="50">
        <v>176.50681781127383</v>
      </c>
      <c r="T130" s="51">
        <v>35.47300855686823</v>
      </c>
      <c r="U130" s="13">
        <v>13.096666666666666</v>
      </c>
      <c r="V130" s="13">
        <v>-8.0166666666666675</v>
      </c>
      <c r="W130" s="13">
        <v>-2.8723077501537375</v>
      </c>
    </row>
    <row r="131" spans="5:23" ht="17">
      <c r="E131" s="20" t="str">
        <f t="shared" si="7"/>
        <v>*</v>
      </c>
      <c r="F131" s="32">
        <f t="shared" si="9"/>
        <v>124</v>
      </c>
      <c r="G131" s="76" t="s">
        <v>440</v>
      </c>
      <c r="H131" s="29" t="s">
        <v>55</v>
      </c>
      <c r="I131" s="21">
        <f t="shared" si="8"/>
        <v>248.87913750214312</v>
      </c>
      <c r="J131" s="21">
        <f t="shared" si="5"/>
        <v>28.105539310086982</v>
      </c>
      <c r="K131" s="30">
        <v>9.1716666666666669</v>
      </c>
      <c r="L131" s="33">
        <v>7.0333333333333332</v>
      </c>
      <c r="M131" s="21">
        <f t="shared" si="6"/>
        <v>56.002692249846234</v>
      </c>
      <c r="O131" s="13" t="str">
        <v>*</v>
      </c>
      <c r="P131" s="44">
        <v>288</v>
      </c>
      <c r="Q131" s="14" t="str">
        <v>-</v>
      </c>
      <c r="R131" s="14" t="str">
        <v>NGC 4995</v>
      </c>
      <c r="S131" s="50">
        <v>175.31031052370054</v>
      </c>
      <c r="T131" s="51">
        <v>35.608190935704023</v>
      </c>
      <c r="U131" s="13">
        <v>13.161666666666667</v>
      </c>
      <c r="V131" s="13">
        <v>-7.833333333333333</v>
      </c>
      <c r="W131" s="13">
        <v>-3.8473077501537887</v>
      </c>
    </row>
    <row r="132" spans="5:23" ht="17">
      <c r="E132" s="20" t="str">
        <f t="shared" si="7"/>
        <v/>
      </c>
      <c r="F132" s="32">
        <f t="shared" si="9"/>
        <v>125</v>
      </c>
      <c r="G132" s="76" t="s">
        <v>440</v>
      </c>
      <c r="H132" s="29" t="s">
        <v>175</v>
      </c>
      <c r="I132" s="21">
        <f t="shared" si="8"/>
        <v>281.40542273984386</v>
      </c>
      <c r="J132" s="21">
        <f t="shared" si="5"/>
        <v>50.248107829700153</v>
      </c>
      <c r="K132" s="30">
        <v>9.2349999999999994</v>
      </c>
      <c r="L132" s="33">
        <v>40.116666666666667</v>
      </c>
      <c r="M132" s="21">
        <f t="shared" si="6"/>
        <v>55.052692249846245</v>
      </c>
      <c r="O132" s="13" t="str">
        <v>*</v>
      </c>
      <c r="P132" s="44">
        <v>289</v>
      </c>
      <c r="Q132" s="14" t="str">
        <v>-</v>
      </c>
      <c r="R132" s="14" t="str">
        <v>NGC 5005</v>
      </c>
      <c r="S132" s="50">
        <v>160.36804446014321</v>
      </c>
      <c r="T132" s="51">
        <v>80.107635934553812</v>
      </c>
      <c r="U132" s="13">
        <v>13.181666666666667</v>
      </c>
      <c r="V132" s="13">
        <v>37.049999999999997</v>
      </c>
      <c r="W132" s="13">
        <v>-4.1473077501538</v>
      </c>
    </row>
    <row r="133" spans="5:23" ht="17">
      <c r="E133" s="20" t="str">
        <f t="shared" si="7"/>
        <v/>
      </c>
      <c r="F133" s="32">
        <f t="shared" si="9"/>
        <v>126</v>
      </c>
      <c r="G133" s="76" t="s">
        <v>440</v>
      </c>
      <c r="H133" s="29" t="s">
        <v>176</v>
      </c>
      <c r="I133" s="21">
        <f t="shared" si="8"/>
        <v>329.79236892673435</v>
      </c>
      <c r="J133" s="21">
        <f t="shared" si="5"/>
        <v>55.30561275974469</v>
      </c>
      <c r="K133" s="30">
        <v>9.3216666666666672</v>
      </c>
      <c r="L133" s="33">
        <v>69.2</v>
      </c>
      <c r="M133" s="21">
        <f t="shared" si="6"/>
        <v>53.752692249846206</v>
      </c>
      <c r="O133" s="13" t="str">
        <v>*</v>
      </c>
      <c r="P133" s="44">
        <v>290</v>
      </c>
      <c r="Q133" s="14" t="str">
        <v>-</v>
      </c>
      <c r="R133" s="14" t="str">
        <v>NGC 5033</v>
      </c>
      <c r="S133" s="50">
        <v>158.44135810771709</v>
      </c>
      <c r="T133" s="51">
        <v>79.52722385379785</v>
      </c>
      <c r="U133" s="13">
        <v>13.223333333333333</v>
      </c>
      <c r="V133" s="13">
        <v>36.6</v>
      </c>
      <c r="W133" s="13">
        <v>-4.7723077501537716</v>
      </c>
    </row>
    <row r="134" spans="5:23" ht="17">
      <c r="E134" s="20" t="str">
        <f t="shared" si="7"/>
        <v/>
      </c>
      <c r="F134" s="32">
        <f t="shared" si="9"/>
        <v>127</v>
      </c>
      <c r="G134" s="76" t="s">
        <v>440</v>
      </c>
      <c r="H134" s="29" t="s">
        <v>177</v>
      </c>
      <c r="I134" s="21">
        <f t="shared" si="8"/>
        <v>232.61636226117309</v>
      </c>
      <c r="J134" s="21">
        <f t="shared" si="5"/>
        <v>10.375594838879517</v>
      </c>
      <c r="K134" s="30">
        <v>9.27</v>
      </c>
      <c r="L134" s="33">
        <v>-16.316666666666666</v>
      </c>
      <c r="M134" s="21">
        <f t="shared" si="6"/>
        <v>54.52769224984624</v>
      </c>
      <c r="O134" s="13" t="str">
        <v>*</v>
      </c>
      <c r="P134" s="44">
        <v>291</v>
      </c>
      <c r="Q134" s="14" t="str">
        <v>-</v>
      </c>
      <c r="R134" s="14" t="str">
        <v>NGC 5054</v>
      </c>
      <c r="S134" s="50">
        <v>173.91436120541218</v>
      </c>
      <c r="T134" s="51">
        <v>26.709146916936803</v>
      </c>
      <c r="U134" s="13">
        <v>13.283333333333333</v>
      </c>
      <c r="V134" s="13">
        <v>-16.633333333333333</v>
      </c>
      <c r="W134" s="13">
        <v>-5.6723077501537773</v>
      </c>
    </row>
    <row r="135" spans="5:23" ht="17">
      <c r="E135" s="20" t="str">
        <f t="shared" si="7"/>
        <v/>
      </c>
      <c r="F135" s="32">
        <f t="shared" si="9"/>
        <v>128</v>
      </c>
      <c r="G135" s="76" t="s">
        <v>440</v>
      </c>
      <c r="H135" s="29" t="s">
        <v>178</v>
      </c>
      <c r="I135" s="21">
        <f t="shared" si="8"/>
        <v>297.40152135471794</v>
      </c>
      <c r="J135" s="21">
        <f t="shared" si="5"/>
        <v>55.451839734683169</v>
      </c>
      <c r="K135" s="30">
        <v>9.3666666666666671</v>
      </c>
      <c r="L135" s="33">
        <v>50.966666666666669</v>
      </c>
      <c r="M135" s="21">
        <f t="shared" si="6"/>
        <v>53.077692249846223</v>
      </c>
      <c r="O135" s="13" t="str">
        <v>*</v>
      </c>
      <c r="P135" s="44">
        <v>292</v>
      </c>
      <c r="Q135" s="14" t="str">
        <v>-</v>
      </c>
      <c r="R135" s="14" t="str">
        <v>NGC 5195</v>
      </c>
      <c r="S135" s="50">
        <v>79.132960955563291</v>
      </c>
      <c r="T135" s="51">
        <v>83.847952513800806</v>
      </c>
      <c r="U135" s="13">
        <v>13.5</v>
      </c>
      <c r="V135" s="13">
        <v>47.266666666666666</v>
      </c>
      <c r="W135" s="13">
        <v>-8.9223077501537773</v>
      </c>
    </row>
    <row r="136" spans="5:23" ht="17">
      <c r="E136" s="20" t="str">
        <f t="shared" si="7"/>
        <v/>
      </c>
      <c r="F136" s="32">
        <f t="shared" si="9"/>
        <v>129</v>
      </c>
      <c r="G136" s="76" t="s">
        <v>440</v>
      </c>
      <c r="H136" s="29" t="s">
        <v>179</v>
      </c>
      <c r="I136" s="21">
        <f t="shared" si="8"/>
        <v>272.35554686647561</v>
      </c>
      <c r="J136" s="21">
        <f t="shared" ref="J136:J199" si="10">ASIN(SIN($M$409*L136)*SIN($M$409*$C$13)+COS($M$409*L136)*COS($M$409*$C$13)*COS($M$409*M136))/$M$409</f>
        <v>49.135759904491444</v>
      </c>
      <c r="K136" s="30">
        <v>9.4049999999999994</v>
      </c>
      <c r="L136" s="33">
        <v>34.516666666666666</v>
      </c>
      <c r="M136" s="21">
        <f t="shared" ref="M136:M199" si="11">$C$16-((K136/24)*360)</f>
        <v>52.502692249846234</v>
      </c>
      <c r="O136" s="13" t="str">
        <v>*</v>
      </c>
      <c r="P136" s="44">
        <v>293</v>
      </c>
      <c r="Q136" s="14" t="str">
        <v>-</v>
      </c>
      <c r="R136" s="14" t="str">
        <v>NGC 5248</v>
      </c>
      <c r="S136" s="50">
        <v>162.77516584615213</v>
      </c>
      <c r="T136" s="51">
        <v>51.314901841090425</v>
      </c>
      <c r="U136" s="13">
        <v>13.625</v>
      </c>
      <c r="V136" s="13">
        <v>8.8833333333333329</v>
      </c>
      <c r="W136" s="13">
        <v>-10.797307750153777</v>
      </c>
    </row>
    <row r="137" spans="5:23" ht="17">
      <c r="E137" s="20" t="str">
        <f t="shared" ref="E137:E200" si="12">IF(AND(J137&gt;=$J$4,J137&lt;=$J$6,I137&gt;=$I$4,I137&lt;=$I$6),IF(VLOOKUP(G137,$C$19:$D$24,2,FALSE)="yes","*","-"),"")</f>
        <v>*</v>
      </c>
      <c r="F137" s="32">
        <f t="shared" si="9"/>
        <v>130</v>
      </c>
      <c r="G137" s="76" t="s">
        <v>440</v>
      </c>
      <c r="H137" s="29" t="s">
        <v>180</v>
      </c>
      <c r="I137" s="21">
        <f t="shared" ref="I137:I200" si="13">IF(SIN($M$409*M137)&lt;0,ACOS((SIN($M$409*L137)-SIN($M$409*J137)*SIN($M$409*$C$13))/(COS($M$409*J137)*COS($M$409*$C$13)))/$M$409,360-ACOS((SIN($M$409*L137)-SIN($M$409*J137)*SIN($M$409*$C$13))/(COS($M$409*J137)*COS($M$409*$C$13)))/$M$409)</f>
        <v>256.21832570189264</v>
      </c>
      <c r="J137" s="21">
        <f t="shared" si="10"/>
        <v>42.310384598159857</v>
      </c>
      <c r="K137" s="30">
        <v>9.5366666666666671</v>
      </c>
      <c r="L137" s="33">
        <v>21.5</v>
      </c>
      <c r="M137" s="21">
        <f t="shared" si="11"/>
        <v>50.527692249846211</v>
      </c>
      <c r="O137" s="13" t="str">
        <v>*</v>
      </c>
      <c r="P137" s="44">
        <v>294</v>
      </c>
      <c r="Q137" s="14" t="str">
        <v>-</v>
      </c>
      <c r="R137" s="14" t="str">
        <v>NGC 5273</v>
      </c>
      <c r="S137" s="50">
        <v>136.07068346069852</v>
      </c>
      <c r="T137" s="51">
        <v>75.967809962864834</v>
      </c>
      <c r="U137" s="13">
        <v>13.701666666666666</v>
      </c>
      <c r="V137" s="13">
        <v>35.65</v>
      </c>
      <c r="W137" s="13">
        <v>-11.947307750153783</v>
      </c>
    </row>
    <row r="138" spans="5:23" ht="17">
      <c r="E138" s="20" t="str">
        <f t="shared" si="12"/>
        <v/>
      </c>
      <c r="F138" s="32">
        <f t="shared" ref="F138:F201" si="14">F137+1</f>
        <v>131</v>
      </c>
      <c r="G138" s="76" t="s">
        <v>440</v>
      </c>
      <c r="H138" s="29" t="s">
        <v>181</v>
      </c>
      <c r="I138" s="21">
        <f t="shared" si="13"/>
        <v>311.39237145564391</v>
      </c>
      <c r="J138" s="21">
        <f t="shared" si="10"/>
        <v>59.213958388667209</v>
      </c>
      <c r="K138" s="30">
        <v>9.7100000000000009</v>
      </c>
      <c r="L138" s="33">
        <v>58.85</v>
      </c>
      <c r="M138" s="21">
        <f t="shared" si="11"/>
        <v>47.927692249846217</v>
      </c>
      <c r="O138" s="13" t="str">
        <v>*</v>
      </c>
      <c r="P138" s="44">
        <v>296</v>
      </c>
      <c r="Q138" s="14" t="str">
        <v>-</v>
      </c>
      <c r="R138" s="14" t="str">
        <v>NGC 5363</v>
      </c>
      <c r="S138" s="50">
        <v>157.25337530064687</v>
      </c>
      <c r="T138" s="51">
        <v>46.688092623719143</v>
      </c>
      <c r="U138" s="13">
        <v>13.935</v>
      </c>
      <c r="V138" s="13">
        <v>5.25</v>
      </c>
      <c r="W138" s="13">
        <v>-15.447307750153811</v>
      </c>
    </row>
    <row r="139" spans="5:23" ht="17">
      <c r="E139" s="20" t="str">
        <f t="shared" si="12"/>
        <v>*</v>
      </c>
      <c r="F139" s="32">
        <f t="shared" si="14"/>
        <v>132</v>
      </c>
      <c r="G139" s="76" t="s">
        <v>440</v>
      </c>
      <c r="H139" s="29" t="s">
        <v>182</v>
      </c>
      <c r="I139" s="21">
        <f t="shared" si="13"/>
        <v>265.50176934638625</v>
      </c>
      <c r="J139" s="21">
        <f t="shared" si="10"/>
        <v>50.821839105797707</v>
      </c>
      <c r="K139" s="30">
        <v>9.7149999999999999</v>
      </c>
      <c r="L139" s="33">
        <v>31.85</v>
      </c>
      <c r="M139" s="21">
        <f t="shared" si="11"/>
        <v>47.852692249846228</v>
      </c>
      <c r="O139" s="13" t="str">
        <v>*</v>
      </c>
      <c r="P139" s="44">
        <v>297</v>
      </c>
      <c r="Q139" s="14" t="str">
        <v>-</v>
      </c>
      <c r="R139" s="14" t="str">
        <v>NGC 5364</v>
      </c>
      <c r="S139" s="50">
        <v>157.30915291004476</v>
      </c>
      <c r="T139" s="51">
        <v>46.456588384651447</v>
      </c>
      <c r="U139" s="13">
        <v>13.936666666666667</v>
      </c>
      <c r="V139" s="13">
        <v>5.0166666666666666</v>
      </c>
      <c r="W139" s="13">
        <v>-15.472307750153789</v>
      </c>
    </row>
    <row r="140" spans="5:23" ht="17">
      <c r="E140" s="20" t="str">
        <f t="shared" si="12"/>
        <v>*</v>
      </c>
      <c r="F140" s="32">
        <f t="shared" si="14"/>
        <v>133</v>
      </c>
      <c r="G140" s="76" t="s">
        <v>440</v>
      </c>
      <c r="H140" s="29" t="s">
        <v>183</v>
      </c>
      <c r="I140" s="21">
        <f t="shared" si="13"/>
        <v>234.46293122659372</v>
      </c>
      <c r="J140" s="21">
        <f t="shared" si="10"/>
        <v>24.452248281513189</v>
      </c>
      <c r="K140" s="30">
        <v>9.7100000000000009</v>
      </c>
      <c r="L140" s="33">
        <v>-3.7</v>
      </c>
      <c r="M140" s="21">
        <f t="shared" si="11"/>
        <v>47.927692249846217</v>
      </c>
      <c r="O140" s="13" t="str">
        <v>*</v>
      </c>
      <c r="P140" s="44">
        <v>298</v>
      </c>
      <c r="Q140" s="14" t="str">
        <v>-</v>
      </c>
      <c r="R140" s="14" t="str">
        <v>NGC 5466</v>
      </c>
      <c r="S140" s="50">
        <v>135.90660669323731</v>
      </c>
      <c r="T140" s="51">
        <v>67.299905620348639</v>
      </c>
      <c r="U140" s="13">
        <v>14.091666666666667</v>
      </c>
      <c r="V140" s="13">
        <v>28.533333333333335</v>
      </c>
      <c r="W140" s="13">
        <v>-17.797307750153777</v>
      </c>
    </row>
    <row r="141" spans="5:23" ht="17">
      <c r="E141" s="20" t="str">
        <f t="shared" si="12"/>
        <v/>
      </c>
      <c r="F141" s="32">
        <f t="shared" si="14"/>
        <v>134</v>
      </c>
      <c r="G141" s="76" t="s">
        <v>440</v>
      </c>
      <c r="H141" s="29" t="s">
        <v>184</v>
      </c>
      <c r="I141" s="21">
        <f t="shared" si="13"/>
        <v>328.77621433075569</v>
      </c>
      <c r="J141" s="21">
        <f t="shared" si="10"/>
        <v>58.111239469840505</v>
      </c>
      <c r="K141" s="30">
        <v>9.788333333333334</v>
      </c>
      <c r="L141" s="33">
        <v>67.916666666666671</v>
      </c>
      <c r="M141" s="21">
        <f t="shared" si="11"/>
        <v>46.752692249846206</v>
      </c>
      <c r="O141" s="13" t="str">
        <v>*</v>
      </c>
      <c r="P141" s="44">
        <v>300</v>
      </c>
      <c r="Q141" s="14" t="str">
        <v>-</v>
      </c>
      <c r="R141" s="14" t="str">
        <v>NGC 5474</v>
      </c>
      <c r="S141" s="50">
        <v>50.954267398885072</v>
      </c>
      <c r="T141" s="51">
        <v>76.609419190344028</v>
      </c>
      <c r="U141" s="13">
        <v>14.083333333333334</v>
      </c>
      <c r="V141" s="13">
        <v>53.666666666666664</v>
      </c>
      <c r="W141" s="13">
        <v>-17.672307750153777</v>
      </c>
    </row>
    <row r="142" spans="5:23" ht="17">
      <c r="E142" s="20" t="str">
        <f t="shared" si="12"/>
        <v/>
      </c>
      <c r="F142" s="32">
        <f t="shared" si="14"/>
        <v>135</v>
      </c>
      <c r="G142" s="76" t="s">
        <v>440</v>
      </c>
      <c r="H142" s="29" t="s">
        <v>185</v>
      </c>
      <c r="I142" s="21">
        <f t="shared" si="13"/>
        <v>336.49109534583175</v>
      </c>
      <c r="J142" s="21">
        <f t="shared" si="10"/>
        <v>56.731012729910653</v>
      </c>
      <c r="K142" s="30">
        <v>9.84</v>
      </c>
      <c r="L142" s="33">
        <v>72.283333333333331</v>
      </c>
      <c r="M142" s="21">
        <f t="shared" si="11"/>
        <v>45.977692249846228</v>
      </c>
      <c r="O142" s="13" t="str">
        <v>*</v>
      </c>
      <c r="P142" s="44">
        <v>301</v>
      </c>
      <c r="Q142" s="14" t="str">
        <v>-</v>
      </c>
      <c r="R142" s="14" t="str">
        <v>NGC 5557</v>
      </c>
      <c r="S142" s="50">
        <v>114.92518519102219</v>
      </c>
      <c r="T142" s="51">
        <v>71.458810851380179</v>
      </c>
      <c r="U142" s="13">
        <v>14.306666666666667</v>
      </c>
      <c r="V142" s="13">
        <v>36.5</v>
      </c>
      <c r="W142" s="13">
        <v>-21.0223077501538</v>
      </c>
    </row>
    <row r="143" spans="5:23" ht="17">
      <c r="E143" s="20" t="str">
        <f t="shared" si="12"/>
        <v/>
      </c>
      <c r="F143" s="32">
        <f t="shared" si="14"/>
        <v>136</v>
      </c>
      <c r="G143" s="76" t="s">
        <v>440</v>
      </c>
      <c r="H143" s="29" t="s">
        <v>186</v>
      </c>
      <c r="I143" s="21">
        <f t="shared" si="13"/>
        <v>332.42355240683526</v>
      </c>
      <c r="J143" s="21">
        <f t="shared" si="10"/>
        <v>58.204602922086728</v>
      </c>
      <c r="K143" s="30">
        <v>9.93</v>
      </c>
      <c r="L143" s="33">
        <v>69.683333333333337</v>
      </c>
      <c r="M143" s="21">
        <f t="shared" si="11"/>
        <v>44.627692249846234</v>
      </c>
      <c r="O143" s="13" t="str">
        <v>*</v>
      </c>
      <c r="P143" s="44">
        <v>302</v>
      </c>
      <c r="Q143" s="14" t="str">
        <v>-</v>
      </c>
      <c r="R143" s="14" t="str">
        <v>NGC 5566</v>
      </c>
      <c r="S143" s="50">
        <v>149.69460062588959</v>
      </c>
      <c r="T143" s="51">
        <v>43.571886703601884</v>
      </c>
      <c r="U143" s="13">
        <v>14.338333333333333</v>
      </c>
      <c r="V143" s="13">
        <v>3.9333333333333336</v>
      </c>
      <c r="W143" s="13">
        <v>-21.497307750153794</v>
      </c>
    </row>
    <row r="144" spans="5:23" ht="17">
      <c r="E144" s="20" t="str">
        <f t="shared" si="12"/>
        <v/>
      </c>
      <c r="F144" s="32">
        <f t="shared" si="14"/>
        <v>137</v>
      </c>
      <c r="G144" s="76" t="s">
        <v>440</v>
      </c>
      <c r="H144" s="29" t="s">
        <v>187</v>
      </c>
      <c r="I144" s="21">
        <f t="shared" si="13"/>
        <v>331.26280094516244</v>
      </c>
      <c r="J144" s="21">
        <f t="shared" si="10"/>
        <v>59.1953964263434</v>
      </c>
      <c r="K144" s="30">
        <v>10.055</v>
      </c>
      <c r="L144" s="33">
        <v>68.733333333333334</v>
      </c>
      <c r="M144" s="21">
        <f t="shared" si="11"/>
        <v>42.752692249846234</v>
      </c>
      <c r="O144" s="13" t="str">
        <v>*</v>
      </c>
      <c r="P144" s="44">
        <v>303</v>
      </c>
      <c r="Q144" s="14" t="str">
        <v>-</v>
      </c>
      <c r="R144" s="14" t="str">
        <v>NGC 5576</v>
      </c>
      <c r="S144" s="50">
        <v>149.75622036041349</v>
      </c>
      <c r="T144" s="51">
        <v>42.877429864633356</v>
      </c>
      <c r="U144" s="13">
        <v>14.351666666666667</v>
      </c>
      <c r="V144" s="13">
        <v>3.2666666666666666</v>
      </c>
      <c r="W144" s="13">
        <v>-21.697307750153783</v>
      </c>
    </row>
    <row r="145" spans="5:23" ht="17">
      <c r="E145" s="20" t="str">
        <f t="shared" si="12"/>
        <v/>
      </c>
      <c r="F145" s="32">
        <f t="shared" si="14"/>
        <v>138</v>
      </c>
      <c r="G145" s="76" t="s">
        <v>440</v>
      </c>
      <c r="H145" s="29" t="s">
        <v>188</v>
      </c>
      <c r="I145" s="21">
        <f t="shared" si="13"/>
        <v>305.09881059887141</v>
      </c>
      <c r="J145" s="21">
        <f t="shared" si="10"/>
        <v>61.925195663206424</v>
      </c>
      <c r="K145" s="30">
        <v>10.033333333333333</v>
      </c>
      <c r="L145" s="33">
        <v>55.68333333333333</v>
      </c>
      <c r="M145" s="21">
        <f t="shared" si="11"/>
        <v>43.077692249846223</v>
      </c>
      <c r="O145" s="13" t="str">
        <v>*</v>
      </c>
      <c r="P145" s="44">
        <v>305</v>
      </c>
      <c r="Q145" s="14" t="str">
        <v>-</v>
      </c>
      <c r="R145" s="14" t="str">
        <v>NGC 5634</v>
      </c>
      <c r="S145" s="50">
        <v>151.21787539090403</v>
      </c>
      <c r="T145" s="51">
        <v>33.456511812771133</v>
      </c>
      <c r="U145" s="13">
        <v>14.493333333333334</v>
      </c>
      <c r="V145" s="13">
        <v>-5.9833333333333334</v>
      </c>
      <c r="W145" s="13">
        <v>-23.822307750153783</v>
      </c>
    </row>
    <row r="146" spans="5:23" ht="17">
      <c r="E146" s="20" t="str">
        <f t="shared" si="12"/>
        <v>*</v>
      </c>
      <c r="F146" s="32">
        <f t="shared" si="14"/>
        <v>139</v>
      </c>
      <c r="G146" s="76" t="s">
        <v>440</v>
      </c>
      <c r="H146" s="29" t="s">
        <v>58</v>
      </c>
      <c r="I146" s="21">
        <f t="shared" si="13"/>
        <v>226.89595007494353</v>
      </c>
      <c r="J146" s="21">
        <f t="shared" si="10"/>
        <v>24.069341661237885</v>
      </c>
      <c r="K146" s="30">
        <v>10.086666666666666</v>
      </c>
      <c r="L146" s="33">
        <v>-7.7166666666666668</v>
      </c>
      <c r="M146" s="21">
        <f t="shared" si="11"/>
        <v>42.27769224984624</v>
      </c>
      <c r="O146" s="13" t="str">
        <v>*</v>
      </c>
      <c r="P146" s="44">
        <v>306</v>
      </c>
      <c r="Q146" s="14" t="str">
        <v>-</v>
      </c>
      <c r="R146" s="14" t="str">
        <v>NGC 5676</v>
      </c>
      <c r="S146" s="50">
        <v>70.580679629989987</v>
      </c>
      <c r="T146" s="51">
        <v>73.315592820283072</v>
      </c>
      <c r="U146" s="13">
        <v>14.546666666666667</v>
      </c>
      <c r="V146" s="13">
        <v>49.466666666666669</v>
      </c>
      <c r="W146" s="13">
        <v>-24.622307750153794</v>
      </c>
    </row>
    <row r="147" spans="5:23" ht="17">
      <c r="E147" s="20" t="str">
        <f t="shared" si="12"/>
        <v/>
      </c>
      <c r="F147" s="32">
        <f t="shared" si="14"/>
        <v>140</v>
      </c>
      <c r="G147" s="76" t="s">
        <v>440</v>
      </c>
      <c r="H147" s="29" t="s">
        <v>189</v>
      </c>
      <c r="I147" s="21">
        <f t="shared" si="13"/>
        <v>340.0902078905911</v>
      </c>
      <c r="J147" s="21">
        <f t="shared" si="10"/>
        <v>57.862219339375308</v>
      </c>
      <c r="K147" s="30">
        <v>10.281666666666666</v>
      </c>
      <c r="L147" s="33">
        <v>73.400000000000006</v>
      </c>
      <c r="M147" s="21">
        <f t="shared" si="11"/>
        <v>39.352692249846228</v>
      </c>
      <c r="O147" s="13" t="str">
        <v>*</v>
      </c>
      <c r="P147" s="44">
        <v>307</v>
      </c>
      <c r="Q147" s="14" t="str">
        <v>-</v>
      </c>
      <c r="R147" s="14" t="str">
        <v>NGC 5689</v>
      </c>
      <c r="S147" s="50">
        <v>73.03354105399653</v>
      </c>
      <c r="T147" s="51">
        <v>72.868273870488551</v>
      </c>
      <c r="U147" s="13">
        <v>14.591666666666667</v>
      </c>
      <c r="V147" s="13">
        <v>48.75</v>
      </c>
      <c r="W147" s="13">
        <v>-25.297307750153777</v>
      </c>
    </row>
    <row r="148" spans="5:23" ht="17">
      <c r="E148" s="20" t="str">
        <f t="shared" si="12"/>
        <v>*</v>
      </c>
      <c r="F148" s="32">
        <f t="shared" si="14"/>
        <v>141</v>
      </c>
      <c r="G148" s="76" t="s">
        <v>440</v>
      </c>
      <c r="H148" s="29" t="s">
        <v>190</v>
      </c>
      <c r="I148" s="21">
        <f t="shared" si="13"/>
        <v>231.49018742952489</v>
      </c>
      <c r="J148" s="21">
        <f t="shared" si="10"/>
        <v>34.699032742858535</v>
      </c>
      <c r="K148" s="30">
        <v>10.23</v>
      </c>
      <c r="L148" s="33">
        <v>3.4333333333333336</v>
      </c>
      <c r="M148" s="21">
        <f t="shared" si="11"/>
        <v>40.127692249846206</v>
      </c>
      <c r="O148" s="13" t="str">
        <v>*</v>
      </c>
      <c r="P148" s="44">
        <v>309</v>
      </c>
      <c r="Q148" s="14" t="str">
        <v>-</v>
      </c>
      <c r="R148" s="14" t="str">
        <v>NGC 5746</v>
      </c>
      <c r="S148" s="50">
        <v>143.12378270223562</v>
      </c>
      <c r="T148" s="51">
        <v>39.392395404872339</v>
      </c>
      <c r="U148" s="13">
        <v>14.748333333333333</v>
      </c>
      <c r="V148" s="13">
        <v>1.95</v>
      </c>
      <c r="W148" s="13">
        <v>-27.6473077501538</v>
      </c>
    </row>
    <row r="149" spans="5:23" ht="17">
      <c r="E149" s="20" t="str">
        <f t="shared" si="12"/>
        <v>*</v>
      </c>
      <c r="F149" s="32">
        <f t="shared" si="14"/>
        <v>142</v>
      </c>
      <c r="G149" s="76" t="s">
        <v>440</v>
      </c>
      <c r="H149" s="29" t="s">
        <v>191</v>
      </c>
      <c r="I149" s="21">
        <f t="shared" si="13"/>
        <v>231.40983127346917</v>
      </c>
      <c r="J149" s="21">
        <f t="shared" si="10"/>
        <v>34.780975554956171</v>
      </c>
      <c r="K149" s="30">
        <v>10.236666666666666</v>
      </c>
      <c r="L149" s="33">
        <v>3.4666666666666668</v>
      </c>
      <c r="M149" s="21">
        <f t="shared" si="11"/>
        <v>40.027692249846211</v>
      </c>
      <c r="O149" s="13" t="str">
        <v>*</v>
      </c>
      <c r="P149" s="44">
        <v>310</v>
      </c>
      <c r="Q149" s="14" t="str">
        <v>-</v>
      </c>
      <c r="R149" s="14" t="str">
        <v>NGC 5846</v>
      </c>
      <c r="S149" s="50">
        <v>137.19698994605434</v>
      </c>
      <c r="T149" s="51">
        <v>36.705268736568357</v>
      </c>
      <c r="U149" s="13">
        <v>15.106666666666667</v>
      </c>
      <c r="V149" s="13">
        <v>1.6</v>
      </c>
      <c r="W149" s="13">
        <v>-33.0223077501538</v>
      </c>
    </row>
    <row r="150" spans="5:23" ht="17">
      <c r="E150" s="20" t="str">
        <f t="shared" si="12"/>
        <v/>
      </c>
      <c r="F150" s="32">
        <f t="shared" si="14"/>
        <v>143</v>
      </c>
      <c r="G150" s="76" t="s">
        <v>440</v>
      </c>
      <c r="H150" s="29" t="s">
        <v>192</v>
      </c>
      <c r="I150" s="21">
        <f t="shared" si="13"/>
        <v>274.04874786745967</v>
      </c>
      <c r="J150" s="21">
        <f t="shared" si="10"/>
        <v>61.761210042318822</v>
      </c>
      <c r="K150" s="30">
        <v>10.305</v>
      </c>
      <c r="L150" s="33">
        <v>41.416666666666664</v>
      </c>
      <c r="M150" s="21">
        <f t="shared" si="11"/>
        <v>39.002692249846234</v>
      </c>
      <c r="O150" s="13" t="str">
        <v>*</v>
      </c>
      <c r="P150" s="44">
        <v>311</v>
      </c>
      <c r="Q150" s="14" t="str">
        <v>-</v>
      </c>
      <c r="R150" s="14" t="str">
        <v>NGC 5866</v>
      </c>
      <c r="S150" s="50">
        <v>53.398126685701016</v>
      </c>
      <c r="T150" s="51">
        <v>67.533481570733969</v>
      </c>
      <c r="U150" s="13">
        <v>15.108333333333333</v>
      </c>
      <c r="V150" s="13">
        <v>55.766666666666666</v>
      </c>
      <c r="W150" s="13">
        <v>-33.047307750153749</v>
      </c>
    </row>
    <row r="151" spans="5:23" ht="17">
      <c r="E151" s="20" t="str">
        <f t="shared" si="12"/>
        <v>*</v>
      </c>
      <c r="F151" s="32">
        <f t="shared" si="14"/>
        <v>144</v>
      </c>
      <c r="G151" s="76" t="s">
        <v>440</v>
      </c>
      <c r="H151" s="29" t="s">
        <v>193</v>
      </c>
      <c r="I151" s="21">
        <f t="shared" si="13"/>
        <v>245.52475965437333</v>
      </c>
      <c r="J151" s="21">
        <f t="shared" si="10"/>
        <v>50.015183016121227</v>
      </c>
      <c r="K151" s="30">
        <v>10.301666666666666</v>
      </c>
      <c r="L151" s="33">
        <v>21.833333333333332</v>
      </c>
      <c r="M151" s="21">
        <f t="shared" si="11"/>
        <v>39.052692249846217</v>
      </c>
      <c r="O151" s="13" t="str">
        <v>*</v>
      </c>
      <c r="P151" s="44">
        <v>312</v>
      </c>
      <c r="Q151" s="14" t="str">
        <v>-</v>
      </c>
      <c r="R151" s="14" t="str">
        <v>NGC 5897</v>
      </c>
      <c r="S151" s="50">
        <v>145.56910417716966</v>
      </c>
      <c r="T151" s="51">
        <v>15.182102131382626</v>
      </c>
      <c r="U151" s="13">
        <v>15.29</v>
      </c>
      <c r="V151" s="13">
        <v>-21.016666666666666</v>
      </c>
      <c r="W151" s="13">
        <v>-35.772307750153772</v>
      </c>
    </row>
    <row r="152" spans="5:23" ht="17">
      <c r="E152" s="20" t="str">
        <f t="shared" si="12"/>
        <v>*</v>
      </c>
      <c r="F152" s="32">
        <f t="shared" si="14"/>
        <v>145</v>
      </c>
      <c r="G152" s="76" t="s">
        <v>440</v>
      </c>
      <c r="H152" s="29" t="s">
        <v>194</v>
      </c>
      <c r="I152" s="21">
        <f t="shared" si="13"/>
        <v>245.51499455222407</v>
      </c>
      <c r="J152" s="21">
        <f t="shared" si="10"/>
        <v>50.111359220362978</v>
      </c>
      <c r="K152" s="30">
        <v>10.306666666666667</v>
      </c>
      <c r="L152" s="33">
        <v>21.9</v>
      </c>
      <c r="M152" s="21">
        <f t="shared" si="11"/>
        <v>38.977692249846228</v>
      </c>
      <c r="O152" s="13" t="str">
        <v>*</v>
      </c>
      <c r="P152" s="44">
        <v>313</v>
      </c>
      <c r="Q152" s="14" t="str">
        <v>-</v>
      </c>
      <c r="R152" s="14" t="str">
        <v>NGC 5907</v>
      </c>
      <c r="S152" s="50">
        <v>52.59519779154973</v>
      </c>
      <c r="T152" s="51">
        <v>66.145772456985767</v>
      </c>
      <c r="U152" s="13">
        <v>15.265000000000001</v>
      </c>
      <c r="V152" s="13">
        <v>56.31666666666667</v>
      </c>
      <c r="W152" s="13">
        <v>-35.3973077501538</v>
      </c>
    </row>
    <row r="153" spans="5:23" ht="17">
      <c r="E153" s="20" t="str">
        <f t="shared" si="12"/>
        <v/>
      </c>
      <c r="F153" s="32">
        <f t="shared" si="14"/>
        <v>146</v>
      </c>
      <c r="G153" s="76" t="s">
        <v>440</v>
      </c>
      <c r="H153" s="29" t="s">
        <v>195</v>
      </c>
      <c r="I153" s="21">
        <f t="shared" si="13"/>
        <v>282.29156605979119</v>
      </c>
      <c r="J153" s="21">
        <f t="shared" si="10"/>
        <v>63.437693536062937</v>
      </c>
      <c r="K153" s="30">
        <v>10.331666666666667</v>
      </c>
      <c r="L153" s="33">
        <v>45.55</v>
      </c>
      <c r="M153" s="21">
        <f t="shared" si="11"/>
        <v>38.602692249846228</v>
      </c>
      <c r="O153" s="13" t="str">
        <v>*</v>
      </c>
      <c r="P153" s="44">
        <v>315</v>
      </c>
      <c r="Q153" s="14" t="str">
        <v>-</v>
      </c>
      <c r="R153" s="14" t="str">
        <v>NGC 6118</v>
      </c>
      <c r="S153" s="50">
        <v>121.12290690848324</v>
      </c>
      <c r="T153" s="51">
        <v>23.339485061518364</v>
      </c>
      <c r="U153" s="13">
        <v>16.363333333333333</v>
      </c>
      <c r="V153" s="13">
        <v>-2.2833333333333332</v>
      </c>
      <c r="W153" s="13">
        <v>-51.872307750153766</v>
      </c>
    </row>
    <row r="154" spans="5:23" ht="17">
      <c r="E154" s="20" t="str">
        <f t="shared" si="12"/>
        <v>*</v>
      </c>
      <c r="F154" s="32">
        <f t="shared" si="14"/>
        <v>147</v>
      </c>
      <c r="G154" s="76" t="s">
        <v>440</v>
      </c>
      <c r="H154" s="29" t="s">
        <v>196</v>
      </c>
      <c r="I154" s="21">
        <f t="shared" si="13"/>
        <v>242.11139447364232</v>
      </c>
      <c r="J154" s="21">
        <f t="shared" si="10"/>
        <v>49.384741842030827</v>
      </c>
      <c r="K154" s="30">
        <v>10.39</v>
      </c>
      <c r="L154" s="33">
        <v>19.899999999999999</v>
      </c>
      <c r="M154" s="21">
        <f t="shared" si="11"/>
        <v>37.727692249846228</v>
      </c>
      <c r="O154" s="13" t="str">
        <v>*</v>
      </c>
      <c r="P154" s="44">
        <v>318</v>
      </c>
      <c r="Q154" s="14" t="str">
        <v>-</v>
      </c>
      <c r="R154" s="14" t="str">
        <v>NGC 6207</v>
      </c>
      <c r="S154" s="50">
        <v>81.647426124392808</v>
      </c>
      <c r="T154" s="51">
        <v>47.158928170970803</v>
      </c>
      <c r="U154" s="13">
        <v>16.718333333333334</v>
      </c>
      <c r="V154" s="13">
        <v>36.833333333333336</v>
      </c>
      <c r="W154" s="13">
        <v>-57.197307750153783</v>
      </c>
    </row>
    <row r="155" spans="5:23" ht="17">
      <c r="E155" s="20" t="str">
        <f t="shared" si="12"/>
        <v>*</v>
      </c>
      <c r="F155" s="32">
        <f t="shared" si="14"/>
        <v>148</v>
      </c>
      <c r="G155" s="76" t="s">
        <v>440</v>
      </c>
      <c r="H155" s="29" t="s">
        <v>197</v>
      </c>
      <c r="I155" s="21">
        <f t="shared" si="13"/>
        <v>242.05072610280706</v>
      </c>
      <c r="J155" s="21">
        <f t="shared" si="10"/>
        <v>49.374556447510109</v>
      </c>
      <c r="K155" s="30">
        <v>10.391666666666667</v>
      </c>
      <c r="L155" s="33">
        <v>19.866666666666667</v>
      </c>
      <c r="M155" s="21">
        <f t="shared" si="11"/>
        <v>37.702692249846223</v>
      </c>
      <c r="O155" s="13" t="str">
        <v>*</v>
      </c>
      <c r="P155" s="44">
        <v>320</v>
      </c>
      <c r="Q155" s="14" t="str">
        <v>-</v>
      </c>
      <c r="R155" s="14" t="str">
        <v>NGC 6229</v>
      </c>
      <c r="S155" s="50">
        <v>66.436386698994426</v>
      </c>
      <c r="T155" s="51">
        <v>51.257169092349287</v>
      </c>
      <c r="U155" s="13">
        <v>16.783333333333335</v>
      </c>
      <c r="V155" s="13">
        <v>47.533333333333331</v>
      </c>
      <c r="W155" s="13">
        <v>-58.172307750153806</v>
      </c>
    </row>
    <row r="156" spans="5:23" ht="17">
      <c r="E156" s="20" t="str">
        <f t="shared" si="12"/>
        <v>*</v>
      </c>
      <c r="F156" s="32">
        <f t="shared" si="14"/>
        <v>149</v>
      </c>
      <c r="G156" s="76" t="s">
        <v>440</v>
      </c>
      <c r="H156" s="29" t="s">
        <v>63</v>
      </c>
      <c r="I156" s="21">
        <f t="shared" si="13"/>
        <v>216.90947988967713</v>
      </c>
      <c r="J156" s="21">
        <f t="shared" si="10"/>
        <v>16.692369834221676</v>
      </c>
      <c r="K156" s="30">
        <v>10.413333333333334</v>
      </c>
      <c r="L156" s="33">
        <v>-18.633333333333333</v>
      </c>
      <c r="M156" s="21">
        <f t="shared" si="11"/>
        <v>37.377692249846206</v>
      </c>
      <c r="P156" s="44"/>
      <c r="S156" s="50"/>
      <c r="T156" s="51"/>
    </row>
    <row r="157" spans="5:23" ht="17">
      <c r="E157" s="20" t="str">
        <f t="shared" si="12"/>
        <v>*</v>
      </c>
      <c r="F157" s="32">
        <f t="shared" si="14"/>
        <v>150</v>
      </c>
      <c r="G157" s="76" t="s">
        <v>440</v>
      </c>
      <c r="H157" s="29" t="s">
        <v>198</v>
      </c>
      <c r="I157" s="21">
        <f t="shared" si="13"/>
        <v>250.94995095381176</v>
      </c>
      <c r="J157" s="21">
        <f t="shared" si="10"/>
        <v>56.198427857244155</v>
      </c>
      <c r="K157" s="30">
        <v>10.455</v>
      </c>
      <c r="L157" s="33">
        <v>28.5</v>
      </c>
      <c r="M157" s="21">
        <f t="shared" si="11"/>
        <v>36.752692249846234</v>
      </c>
      <c r="P157" s="44"/>
      <c r="S157" s="50"/>
      <c r="T157" s="51"/>
    </row>
    <row r="158" spans="5:23" ht="17">
      <c r="E158" s="20" t="str">
        <f t="shared" si="12"/>
        <v>*</v>
      </c>
      <c r="F158" s="32">
        <f t="shared" si="14"/>
        <v>151</v>
      </c>
      <c r="G158" s="76" t="s">
        <v>440</v>
      </c>
      <c r="H158" s="29" t="s">
        <v>199</v>
      </c>
      <c r="I158" s="21">
        <f t="shared" si="13"/>
        <v>249.4611218668216</v>
      </c>
      <c r="J158" s="21">
        <f t="shared" si="10"/>
        <v>57.117267412633339</v>
      </c>
      <c r="K158" s="30">
        <v>10.548333333333334</v>
      </c>
      <c r="L158" s="33">
        <v>28.516666666666666</v>
      </c>
      <c r="M158" s="21">
        <f t="shared" si="11"/>
        <v>35.3526922498462</v>
      </c>
      <c r="P158" s="44"/>
      <c r="S158" s="50"/>
      <c r="T158" s="51"/>
    </row>
    <row r="159" spans="5:23" ht="17">
      <c r="E159" s="20" t="str">
        <f t="shared" si="12"/>
        <v>*</v>
      </c>
      <c r="F159" s="32">
        <f t="shared" si="14"/>
        <v>152</v>
      </c>
      <c r="G159" s="76" t="s">
        <v>440</v>
      </c>
      <c r="H159" s="29" t="s">
        <v>200</v>
      </c>
      <c r="I159" s="21">
        <f t="shared" si="13"/>
        <v>262.7775619667882</v>
      </c>
      <c r="J159" s="21">
        <f t="shared" si="10"/>
        <v>62.999751288984847</v>
      </c>
      <c r="K159" s="30">
        <v>10.605</v>
      </c>
      <c r="L159" s="33">
        <v>37.333333333333336</v>
      </c>
      <c r="M159" s="21">
        <f t="shared" si="11"/>
        <v>34.502692249846206</v>
      </c>
      <c r="P159" s="44"/>
      <c r="S159" s="50"/>
      <c r="T159" s="51"/>
    </row>
    <row r="160" spans="5:23" ht="17">
      <c r="E160" s="20" t="str">
        <f t="shared" si="12"/>
        <v/>
      </c>
      <c r="F160" s="32">
        <f t="shared" si="14"/>
        <v>153</v>
      </c>
      <c r="G160" s="76" t="s">
        <v>440</v>
      </c>
      <c r="H160" s="29" t="s">
        <v>201</v>
      </c>
      <c r="I160" s="21">
        <f t="shared" si="13"/>
        <v>300.57628804075006</v>
      </c>
      <c r="J160" s="21">
        <f t="shared" si="10"/>
        <v>67.333476224591038</v>
      </c>
      <c r="K160" s="30">
        <v>10.645</v>
      </c>
      <c r="L160" s="33">
        <v>53.5</v>
      </c>
      <c r="M160" s="21">
        <f t="shared" si="11"/>
        <v>33.902692249846211</v>
      </c>
      <c r="P160" s="44"/>
      <c r="S160" s="50"/>
      <c r="T160" s="51"/>
    </row>
    <row r="161" spans="5:20" ht="17">
      <c r="E161" s="20" t="str">
        <f t="shared" si="12"/>
        <v>*</v>
      </c>
      <c r="F161" s="32">
        <f t="shared" si="14"/>
        <v>154</v>
      </c>
      <c r="G161" s="76" t="s">
        <v>440</v>
      </c>
      <c r="H161" s="29" t="s">
        <v>202</v>
      </c>
      <c r="I161" s="21">
        <f t="shared" si="13"/>
        <v>241.78930951726232</v>
      </c>
      <c r="J161" s="21">
        <f t="shared" si="10"/>
        <v>56.217584637362421</v>
      </c>
      <c r="K161" s="30">
        <v>10.725</v>
      </c>
      <c r="L161" s="33">
        <v>24.916666666666668</v>
      </c>
      <c r="M161" s="21">
        <f t="shared" si="11"/>
        <v>32.702692249846223</v>
      </c>
      <c r="P161" s="44"/>
      <c r="S161" s="50"/>
      <c r="T161" s="51"/>
    </row>
    <row r="162" spans="5:20" ht="17">
      <c r="E162" s="20" t="str">
        <f t="shared" si="12"/>
        <v>*</v>
      </c>
      <c r="F162" s="32">
        <f t="shared" si="14"/>
        <v>155</v>
      </c>
      <c r="G162" s="76" t="s">
        <v>440</v>
      </c>
      <c r="H162" s="29" t="s">
        <v>203</v>
      </c>
      <c r="I162" s="21">
        <f t="shared" si="13"/>
        <v>229.67764812350214</v>
      </c>
      <c r="J162" s="21">
        <f t="shared" si="10"/>
        <v>48.09476855193104</v>
      </c>
      <c r="K162" s="30">
        <v>10.795</v>
      </c>
      <c r="L162" s="33">
        <v>13.983333333333333</v>
      </c>
      <c r="M162" s="21">
        <f t="shared" si="11"/>
        <v>31.65269224984624</v>
      </c>
      <c r="P162" s="44"/>
      <c r="S162" s="50"/>
      <c r="T162" s="51"/>
    </row>
    <row r="163" spans="5:20" ht="17">
      <c r="E163" s="20" t="str">
        <f t="shared" si="12"/>
        <v>*</v>
      </c>
      <c r="F163" s="32">
        <f t="shared" si="14"/>
        <v>156</v>
      </c>
      <c r="G163" s="76" t="s">
        <v>440</v>
      </c>
      <c r="H163" s="29" t="s">
        <v>204</v>
      </c>
      <c r="I163" s="21">
        <f t="shared" si="13"/>
        <v>228.53794820574242</v>
      </c>
      <c r="J163" s="21">
        <f t="shared" si="10"/>
        <v>46.925124405124052</v>
      </c>
      <c r="K163" s="30">
        <v>10.796666666666667</v>
      </c>
      <c r="L163" s="33">
        <v>12.583333333333334</v>
      </c>
      <c r="M163" s="21">
        <f t="shared" si="11"/>
        <v>31.627692249846234</v>
      </c>
      <c r="P163" s="44"/>
      <c r="S163" s="50"/>
      <c r="T163" s="51"/>
    </row>
    <row r="164" spans="5:20" ht="17">
      <c r="E164" s="20" t="str">
        <f t="shared" si="12"/>
        <v>*</v>
      </c>
      <c r="F164" s="32">
        <f t="shared" si="14"/>
        <v>157</v>
      </c>
      <c r="G164" s="76" t="s">
        <v>440</v>
      </c>
      <c r="H164" s="29" t="s">
        <v>205</v>
      </c>
      <c r="I164" s="21">
        <f t="shared" si="13"/>
        <v>228.42491772367444</v>
      </c>
      <c r="J164" s="21">
        <f t="shared" si="10"/>
        <v>47.032051452039873</v>
      </c>
      <c r="K164" s="30">
        <v>10.805</v>
      </c>
      <c r="L164" s="33">
        <v>12.633333333333333</v>
      </c>
      <c r="M164" s="21">
        <f t="shared" si="11"/>
        <v>31.502692249846234</v>
      </c>
      <c r="P164" s="44"/>
      <c r="S164" s="50"/>
      <c r="T164" s="51"/>
    </row>
    <row r="165" spans="5:20" ht="17">
      <c r="E165" s="20" t="str">
        <f t="shared" si="12"/>
        <v>*</v>
      </c>
      <c r="F165" s="32">
        <f t="shared" si="14"/>
        <v>158</v>
      </c>
      <c r="G165" s="76" t="s">
        <v>440</v>
      </c>
      <c r="H165" s="29" t="s">
        <v>206</v>
      </c>
      <c r="I165" s="21">
        <f t="shared" si="13"/>
        <v>251.46992434365214</v>
      </c>
      <c r="J165" s="21">
        <f t="shared" si="10"/>
        <v>62.784397236009148</v>
      </c>
      <c r="K165" s="30">
        <v>10.83</v>
      </c>
      <c r="L165" s="33">
        <v>32.983333333333334</v>
      </c>
      <c r="M165" s="21">
        <f t="shared" si="11"/>
        <v>31.127692249846234</v>
      </c>
      <c r="P165" s="44"/>
      <c r="S165" s="50"/>
      <c r="T165" s="51"/>
    </row>
    <row r="166" spans="5:20" ht="17">
      <c r="E166" s="20" t="str">
        <f t="shared" si="12"/>
        <v>*</v>
      </c>
      <c r="F166" s="32">
        <f t="shared" si="14"/>
        <v>159</v>
      </c>
      <c r="G166" s="76" t="s">
        <v>440</v>
      </c>
      <c r="H166" s="29" t="s">
        <v>207</v>
      </c>
      <c r="I166" s="21">
        <f t="shared" si="13"/>
        <v>228.24145758756606</v>
      </c>
      <c r="J166" s="21">
        <f t="shared" si="10"/>
        <v>48.03170207067776</v>
      </c>
      <c r="K166" s="30">
        <v>10.848333333333333</v>
      </c>
      <c r="L166" s="33">
        <v>13.416666666666666</v>
      </c>
      <c r="M166" s="21">
        <f t="shared" si="11"/>
        <v>30.852692249846228</v>
      </c>
      <c r="P166" s="44"/>
      <c r="S166" s="50"/>
      <c r="T166" s="51"/>
    </row>
    <row r="167" spans="5:20" ht="17">
      <c r="E167" s="20" t="str">
        <f t="shared" si="12"/>
        <v>*</v>
      </c>
      <c r="F167" s="32">
        <f t="shared" si="14"/>
        <v>160</v>
      </c>
      <c r="G167" s="76" t="s">
        <v>440</v>
      </c>
      <c r="H167" s="29" t="s">
        <v>208</v>
      </c>
      <c r="I167" s="21">
        <f t="shared" si="13"/>
        <v>243.33582549668057</v>
      </c>
      <c r="J167" s="21">
        <f t="shared" si="10"/>
        <v>59.649620402013682</v>
      </c>
      <c r="K167" s="30">
        <v>10.855</v>
      </c>
      <c r="L167" s="33">
        <v>27.983333333333334</v>
      </c>
      <c r="M167" s="21">
        <f t="shared" si="11"/>
        <v>30.752692249846206</v>
      </c>
      <c r="P167" s="44"/>
      <c r="S167" s="50"/>
      <c r="T167" s="51"/>
    </row>
    <row r="168" spans="5:20" ht="17">
      <c r="E168" s="20" t="str">
        <f t="shared" si="12"/>
        <v>*</v>
      </c>
      <c r="F168" s="32">
        <f t="shared" si="14"/>
        <v>161</v>
      </c>
      <c r="G168" s="76" t="s">
        <v>440</v>
      </c>
      <c r="H168" s="29" t="s">
        <v>209</v>
      </c>
      <c r="I168" s="21">
        <f t="shared" si="13"/>
        <v>257.45362703978151</v>
      </c>
      <c r="J168" s="21">
        <f t="shared" si="10"/>
        <v>65.370219921152881</v>
      </c>
      <c r="K168" s="30">
        <v>10.875</v>
      </c>
      <c r="L168" s="33">
        <v>36.616666666666667</v>
      </c>
      <c r="M168" s="21">
        <f t="shared" si="11"/>
        <v>30.452692249846223</v>
      </c>
      <c r="P168" s="44"/>
      <c r="S168" s="50"/>
      <c r="T168" s="51"/>
    </row>
    <row r="169" spans="5:20" ht="17">
      <c r="E169" s="20" t="str">
        <f t="shared" si="12"/>
        <v>*</v>
      </c>
      <c r="F169" s="32">
        <f t="shared" si="14"/>
        <v>162</v>
      </c>
      <c r="G169" s="76" t="s">
        <v>440</v>
      </c>
      <c r="H169" s="29" t="s">
        <v>210</v>
      </c>
      <c r="I169" s="21">
        <f t="shared" si="13"/>
        <v>241.79785523653516</v>
      </c>
      <c r="J169" s="21">
        <f t="shared" si="10"/>
        <v>61.747217958064503</v>
      </c>
      <c r="K169" s="30">
        <v>11.006666666666666</v>
      </c>
      <c r="L169" s="33">
        <v>28.966666666666665</v>
      </c>
      <c r="M169" s="21">
        <f t="shared" si="11"/>
        <v>28.477692249846228</v>
      </c>
      <c r="P169" s="44"/>
      <c r="S169" s="50"/>
      <c r="T169" s="51"/>
    </row>
    <row r="170" spans="5:20" ht="17">
      <c r="E170" s="20" t="str">
        <f t="shared" si="12"/>
        <v>*</v>
      </c>
      <c r="F170" s="32">
        <f t="shared" si="14"/>
        <v>163</v>
      </c>
      <c r="G170" s="76" t="s">
        <v>440</v>
      </c>
      <c r="H170" s="29" t="s">
        <v>211</v>
      </c>
      <c r="I170" s="21">
        <f t="shared" si="13"/>
        <v>225.65453400310312</v>
      </c>
      <c r="J170" s="21">
        <f t="shared" si="10"/>
        <v>49.628336849915712</v>
      </c>
      <c r="K170" s="30">
        <v>11.005000000000001</v>
      </c>
      <c r="L170" s="33">
        <v>13.9</v>
      </c>
      <c r="M170" s="21">
        <f t="shared" si="11"/>
        <v>28.502692249846206</v>
      </c>
      <c r="P170" s="44"/>
      <c r="S170" s="50"/>
      <c r="T170" s="51"/>
    </row>
    <row r="171" spans="5:20" ht="17">
      <c r="E171" s="20" t="str">
        <f t="shared" si="12"/>
        <v>*</v>
      </c>
      <c r="F171" s="32">
        <f t="shared" si="14"/>
        <v>164</v>
      </c>
      <c r="G171" s="76" t="s">
        <v>440</v>
      </c>
      <c r="H171" s="29" t="s">
        <v>212</v>
      </c>
      <c r="I171" s="21">
        <f t="shared" si="13"/>
        <v>239.41743049325606</v>
      </c>
      <c r="J171" s="21">
        <f t="shared" si="10"/>
        <v>61.436852998320866</v>
      </c>
      <c r="K171" s="30">
        <v>11.053333333333333</v>
      </c>
      <c r="L171" s="33">
        <v>27.966666666666665</v>
      </c>
      <c r="M171" s="21">
        <f t="shared" si="11"/>
        <v>27.777692249846211</v>
      </c>
      <c r="P171" s="44"/>
      <c r="S171" s="50"/>
      <c r="T171" s="51"/>
    </row>
    <row r="172" spans="5:20" ht="17">
      <c r="E172" s="20" t="str">
        <f t="shared" si="12"/>
        <v>*</v>
      </c>
      <c r="F172" s="32">
        <f t="shared" si="14"/>
        <v>165</v>
      </c>
      <c r="G172" s="76" t="s">
        <v>440</v>
      </c>
      <c r="H172" s="29" t="s">
        <v>213</v>
      </c>
      <c r="I172" s="21">
        <f t="shared" si="13"/>
        <v>215.27294119354454</v>
      </c>
      <c r="J172" s="21">
        <f t="shared" si="10"/>
        <v>37.85136119376709</v>
      </c>
      <c r="K172" s="30">
        <v>11.096666666666666</v>
      </c>
      <c r="L172" s="34">
        <v>3.3333333333333333E-2</v>
      </c>
      <c r="M172" s="21">
        <f t="shared" si="11"/>
        <v>27.127692249846234</v>
      </c>
      <c r="P172" s="44"/>
      <c r="S172" s="50"/>
      <c r="T172" s="51"/>
    </row>
    <row r="173" spans="5:20" ht="17">
      <c r="E173" s="20" t="str">
        <f t="shared" si="12"/>
        <v/>
      </c>
      <c r="F173" s="32">
        <f t="shared" si="14"/>
        <v>166</v>
      </c>
      <c r="G173" s="76" t="s">
        <v>440</v>
      </c>
      <c r="H173" s="29" t="s">
        <v>214</v>
      </c>
      <c r="I173" s="21">
        <f t="shared" si="13"/>
        <v>309.35644752244485</v>
      </c>
      <c r="J173" s="21">
        <f t="shared" si="10"/>
        <v>71.557385950945729</v>
      </c>
      <c r="K173" s="30">
        <v>11.191666666666666</v>
      </c>
      <c r="L173" s="33">
        <v>55.666666666666664</v>
      </c>
      <c r="M173" s="21">
        <f t="shared" si="11"/>
        <v>25.702692249846223</v>
      </c>
      <c r="P173" s="44"/>
      <c r="S173" s="50"/>
      <c r="T173" s="51"/>
    </row>
    <row r="174" spans="5:20" ht="17">
      <c r="E174" s="20" t="str">
        <f t="shared" si="12"/>
        <v>*</v>
      </c>
      <c r="F174" s="32">
        <f t="shared" si="14"/>
        <v>167</v>
      </c>
      <c r="G174" s="76" t="s">
        <v>440</v>
      </c>
      <c r="H174" s="29" t="s">
        <v>215</v>
      </c>
      <c r="I174" s="21">
        <f t="shared" si="13"/>
        <v>220.10043466937378</v>
      </c>
      <c r="J174" s="21">
        <f t="shared" si="10"/>
        <v>50.355017847405989</v>
      </c>
      <c r="K174" s="30">
        <v>11.243333333333334</v>
      </c>
      <c r="L174" s="33">
        <v>12.816666666666666</v>
      </c>
      <c r="M174" s="21">
        <f t="shared" si="11"/>
        <v>24.927692249846217</v>
      </c>
      <c r="P174" s="44"/>
      <c r="S174" s="50"/>
      <c r="T174" s="51"/>
    </row>
    <row r="175" spans="5:20" ht="17">
      <c r="E175" s="20" t="str">
        <f t="shared" si="12"/>
        <v>*</v>
      </c>
      <c r="F175" s="32">
        <f t="shared" si="14"/>
        <v>168</v>
      </c>
      <c r="G175" s="76" t="s">
        <v>440</v>
      </c>
      <c r="H175" s="29" t="s">
        <v>216</v>
      </c>
      <c r="I175" s="21">
        <f t="shared" si="13"/>
        <v>223.41933092224511</v>
      </c>
      <c r="J175" s="21">
        <f t="shared" si="10"/>
        <v>55.22141653162015</v>
      </c>
      <c r="K175" s="30">
        <v>11.281666666666666</v>
      </c>
      <c r="L175" s="33">
        <v>18.05</v>
      </c>
      <c r="M175" s="21">
        <f t="shared" si="11"/>
        <v>24.352692249846228</v>
      </c>
      <c r="P175" s="44"/>
      <c r="S175" s="50"/>
      <c r="T175" s="51"/>
    </row>
    <row r="176" spans="5:20" ht="17">
      <c r="E176" s="20" t="str">
        <f t="shared" si="12"/>
        <v>*</v>
      </c>
      <c r="F176" s="32">
        <f t="shared" si="14"/>
        <v>169</v>
      </c>
      <c r="G176" s="76" t="s">
        <v>440</v>
      </c>
      <c r="H176" s="29" t="s">
        <v>217</v>
      </c>
      <c r="I176" s="21">
        <f t="shared" si="13"/>
        <v>223.47066477009716</v>
      </c>
      <c r="J176" s="21">
        <f t="shared" si="10"/>
        <v>55.319952882305031</v>
      </c>
      <c r="K176" s="30">
        <v>11.283333333333333</v>
      </c>
      <c r="L176" s="33">
        <v>18.149999999999999</v>
      </c>
      <c r="M176" s="21">
        <f t="shared" si="11"/>
        <v>24.327692249846223</v>
      </c>
      <c r="P176" s="44"/>
      <c r="S176" s="50"/>
      <c r="T176" s="51"/>
    </row>
    <row r="177" spans="5:20" ht="17">
      <c r="E177" s="20" t="str">
        <f t="shared" si="12"/>
        <v/>
      </c>
      <c r="F177" s="32">
        <f t="shared" si="14"/>
        <v>170</v>
      </c>
      <c r="G177" s="76" t="s">
        <v>440</v>
      </c>
      <c r="H177" s="29" t="s">
        <v>218</v>
      </c>
      <c r="I177" s="21">
        <f t="shared" si="13"/>
        <v>319.43257237988257</v>
      </c>
      <c r="J177" s="21">
        <f t="shared" si="10"/>
        <v>71.103710995714124</v>
      </c>
      <c r="K177" s="30">
        <v>11.306666666666667</v>
      </c>
      <c r="L177" s="33">
        <v>58.783333333333331</v>
      </c>
      <c r="M177" s="21">
        <f t="shared" si="11"/>
        <v>23.977692249846228</v>
      </c>
      <c r="P177" s="44"/>
      <c r="S177" s="50"/>
      <c r="T177" s="51"/>
    </row>
    <row r="178" spans="5:20" ht="17">
      <c r="E178" s="20" t="str">
        <f t="shared" si="12"/>
        <v/>
      </c>
      <c r="F178" s="32">
        <f t="shared" si="14"/>
        <v>171</v>
      </c>
      <c r="G178" s="76" t="s">
        <v>440</v>
      </c>
      <c r="H178" s="29" t="s">
        <v>219</v>
      </c>
      <c r="I178" s="21">
        <f t="shared" si="13"/>
        <v>317.33886959422296</v>
      </c>
      <c r="J178" s="21">
        <f t="shared" si="10"/>
        <v>71.508782365190712</v>
      </c>
      <c r="K178" s="30">
        <v>11.31</v>
      </c>
      <c r="L178" s="33">
        <v>58</v>
      </c>
      <c r="M178" s="21">
        <f t="shared" si="11"/>
        <v>23.927692249846217</v>
      </c>
      <c r="P178" s="44"/>
      <c r="S178" s="50"/>
      <c r="T178" s="51"/>
    </row>
    <row r="179" spans="5:20" ht="17">
      <c r="E179" s="20" t="str">
        <f t="shared" si="12"/>
        <v/>
      </c>
      <c r="F179" s="32">
        <f t="shared" si="14"/>
        <v>172</v>
      </c>
      <c r="G179" s="76" t="s">
        <v>440</v>
      </c>
      <c r="H179" s="29" t="s">
        <v>220</v>
      </c>
      <c r="I179" s="21">
        <f t="shared" si="13"/>
        <v>316.84492463509883</v>
      </c>
      <c r="J179" s="21">
        <f t="shared" si="10"/>
        <v>71.712422015942636</v>
      </c>
      <c r="K179" s="30">
        <v>11.323333333333334</v>
      </c>
      <c r="L179" s="33">
        <v>57.766666666666666</v>
      </c>
      <c r="M179" s="21">
        <f t="shared" si="11"/>
        <v>23.7276922498462</v>
      </c>
      <c r="P179" s="44"/>
      <c r="S179" s="50"/>
      <c r="T179" s="51"/>
    </row>
    <row r="180" spans="5:20" ht="17">
      <c r="E180" s="20" t="str">
        <f t="shared" si="12"/>
        <v/>
      </c>
      <c r="F180" s="32">
        <f t="shared" si="14"/>
        <v>173</v>
      </c>
      <c r="G180" s="76" t="s">
        <v>440</v>
      </c>
      <c r="H180" s="29" t="s">
        <v>221</v>
      </c>
      <c r="I180" s="21">
        <f t="shared" si="13"/>
        <v>200.18639170436725</v>
      </c>
      <c r="J180" s="21">
        <f t="shared" si="10"/>
        <v>7.826124925324943</v>
      </c>
      <c r="K180" s="30">
        <v>11.305</v>
      </c>
      <c r="L180" s="33">
        <v>-32.81666666666667</v>
      </c>
      <c r="M180" s="21">
        <f t="shared" si="11"/>
        <v>24.002692249846234</v>
      </c>
      <c r="P180" s="44"/>
      <c r="S180" s="50"/>
      <c r="T180" s="51"/>
    </row>
    <row r="181" spans="5:20" ht="17">
      <c r="E181" s="20" t="str">
        <f t="shared" si="12"/>
        <v>*</v>
      </c>
      <c r="F181" s="32">
        <f t="shared" si="14"/>
        <v>174</v>
      </c>
      <c r="G181" s="76" t="s">
        <v>440</v>
      </c>
      <c r="H181" s="29" t="s">
        <v>49</v>
      </c>
      <c r="I181" s="21">
        <f t="shared" si="13"/>
        <v>222.51386165868101</v>
      </c>
      <c r="J181" s="21">
        <f t="shared" si="10"/>
        <v>55.857881445915268</v>
      </c>
      <c r="K181" s="30">
        <v>11.335000000000001</v>
      </c>
      <c r="L181" s="33">
        <v>18.350000000000001</v>
      </c>
      <c r="M181" s="21">
        <f t="shared" si="11"/>
        <v>23.552692249846217</v>
      </c>
      <c r="P181" s="44"/>
      <c r="S181" s="50"/>
      <c r="T181" s="51"/>
    </row>
    <row r="182" spans="5:20" ht="17">
      <c r="E182" s="20" t="str">
        <f t="shared" si="12"/>
        <v>*</v>
      </c>
      <c r="F182" s="32">
        <f t="shared" si="14"/>
        <v>175</v>
      </c>
      <c r="G182" s="76" t="s">
        <v>440</v>
      </c>
      <c r="H182" s="29" t="s">
        <v>222</v>
      </c>
      <c r="I182" s="21">
        <f t="shared" si="13"/>
        <v>218.68935333150759</v>
      </c>
      <c r="J182" s="21">
        <f t="shared" si="10"/>
        <v>51.67803605476832</v>
      </c>
      <c r="K182" s="30">
        <v>11.338333333333333</v>
      </c>
      <c r="L182" s="33">
        <v>13.6</v>
      </c>
      <c r="M182" s="21">
        <f t="shared" si="11"/>
        <v>23.502692249846234</v>
      </c>
      <c r="P182" s="44"/>
      <c r="S182" s="50"/>
      <c r="T182" s="51"/>
    </row>
    <row r="183" spans="5:20" ht="17">
      <c r="E183" s="20" t="str">
        <f t="shared" si="12"/>
        <v/>
      </c>
      <c r="F183" s="32">
        <f t="shared" si="14"/>
        <v>176</v>
      </c>
      <c r="G183" s="76" t="s">
        <v>440</v>
      </c>
      <c r="H183" s="29" t="s">
        <v>223</v>
      </c>
      <c r="I183" s="21">
        <f t="shared" si="13"/>
        <v>302.71276976747163</v>
      </c>
      <c r="J183" s="21">
        <f t="shared" si="10"/>
        <v>73.61192339877357</v>
      </c>
      <c r="K183" s="30">
        <v>11.35</v>
      </c>
      <c r="L183" s="33">
        <v>53.166666666666664</v>
      </c>
      <c r="M183" s="21">
        <f t="shared" si="11"/>
        <v>23.327692249846223</v>
      </c>
      <c r="P183" s="44"/>
      <c r="S183" s="50"/>
      <c r="T183" s="51"/>
    </row>
    <row r="184" spans="5:20" ht="17">
      <c r="E184" s="20" t="str">
        <f t="shared" si="12"/>
        <v>*</v>
      </c>
      <c r="F184" s="32">
        <f t="shared" si="14"/>
        <v>177</v>
      </c>
      <c r="G184" s="76" t="s">
        <v>440</v>
      </c>
      <c r="H184" s="29" t="s">
        <v>224</v>
      </c>
      <c r="I184" s="21">
        <f t="shared" si="13"/>
        <v>212.259922290932</v>
      </c>
      <c r="J184" s="21">
        <f t="shared" si="10"/>
        <v>42.272444474664724</v>
      </c>
      <c r="K184" s="30">
        <v>11.351666666666667</v>
      </c>
      <c r="L184" s="33">
        <v>3.2333333333333334</v>
      </c>
      <c r="M184" s="21">
        <f t="shared" si="11"/>
        <v>23.302692249846217</v>
      </c>
      <c r="P184" s="44"/>
      <c r="S184" s="50"/>
      <c r="T184" s="51"/>
    </row>
    <row r="185" spans="5:20" ht="17">
      <c r="E185" s="20" t="str">
        <f t="shared" si="12"/>
        <v>*</v>
      </c>
      <c r="F185" s="32">
        <f t="shared" si="14"/>
        <v>178</v>
      </c>
      <c r="G185" s="76" t="s">
        <v>440</v>
      </c>
      <c r="H185" s="29" t="s">
        <v>225</v>
      </c>
      <c r="I185" s="21">
        <f t="shared" si="13"/>
        <v>220.00779047591061</v>
      </c>
      <c r="J185" s="21">
        <f t="shared" si="10"/>
        <v>54.62247585301872</v>
      </c>
      <c r="K185" s="30">
        <v>11.381666666666666</v>
      </c>
      <c r="L185" s="33">
        <v>16.583333333333332</v>
      </c>
      <c r="M185" s="21">
        <f t="shared" si="11"/>
        <v>22.852692249846228</v>
      </c>
      <c r="P185" s="44"/>
      <c r="S185" s="50"/>
      <c r="T185" s="51"/>
    </row>
    <row r="186" spans="5:20" ht="17">
      <c r="E186" s="20" t="str">
        <f t="shared" si="12"/>
        <v>*</v>
      </c>
      <c r="F186" s="32">
        <f t="shared" si="14"/>
        <v>179</v>
      </c>
      <c r="G186" s="76" t="s">
        <v>440</v>
      </c>
      <c r="H186" s="29" t="s">
        <v>226</v>
      </c>
      <c r="I186" s="21">
        <f t="shared" si="13"/>
        <v>252.96497247055527</v>
      </c>
      <c r="J186" s="21">
        <f t="shared" si="10"/>
        <v>71.893090860085636</v>
      </c>
      <c r="K186" s="30">
        <v>11.411666666666667</v>
      </c>
      <c r="L186" s="33">
        <v>38.766666666666666</v>
      </c>
      <c r="M186" s="21">
        <f t="shared" si="11"/>
        <v>22.402692249846211</v>
      </c>
      <c r="P186" s="44"/>
      <c r="S186" s="50"/>
      <c r="T186" s="51"/>
    </row>
    <row r="187" spans="5:20" ht="17">
      <c r="E187" s="20" t="str">
        <f t="shared" si="12"/>
        <v>*</v>
      </c>
      <c r="F187" s="32">
        <f t="shared" si="14"/>
        <v>180</v>
      </c>
      <c r="G187" s="76" t="s">
        <v>440</v>
      </c>
      <c r="H187" s="29" t="s">
        <v>227</v>
      </c>
      <c r="I187" s="21">
        <f t="shared" si="13"/>
        <v>267.55733013624439</v>
      </c>
      <c r="J187" s="21">
        <f t="shared" si="10"/>
        <v>74.20361207502043</v>
      </c>
      <c r="K187" s="30">
        <v>11.435</v>
      </c>
      <c r="L187" s="33">
        <v>43.583333333333336</v>
      </c>
      <c r="M187" s="21">
        <f t="shared" si="11"/>
        <v>22.052692249846217</v>
      </c>
      <c r="P187" s="44"/>
      <c r="S187" s="50"/>
      <c r="T187" s="51"/>
    </row>
    <row r="188" spans="5:20" ht="17">
      <c r="E188" s="20" t="str">
        <f t="shared" si="12"/>
        <v>*</v>
      </c>
      <c r="F188" s="32">
        <f t="shared" si="14"/>
        <v>181</v>
      </c>
      <c r="G188" s="76" t="s">
        <v>440</v>
      </c>
      <c r="H188" s="29" t="s">
        <v>228</v>
      </c>
      <c r="I188" s="21">
        <f t="shared" si="13"/>
        <v>218.72592952291799</v>
      </c>
      <c r="J188" s="21">
        <f t="shared" si="10"/>
        <v>55.710328662054316</v>
      </c>
      <c r="K188" s="30">
        <v>11.461666666666666</v>
      </c>
      <c r="L188" s="33">
        <v>17.216666666666665</v>
      </c>
      <c r="M188" s="21">
        <f t="shared" si="11"/>
        <v>21.65269224984624</v>
      </c>
      <c r="P188" s="44"/>
      <c r="S188" s="50"/>
      <c r="T188" s="51"/>
    </row>
    <row r="189" spans="5:20" ht="17">
      <c r="E189" s="20" t="str">
        <f t="shared" si="12"/>
        <v/>
      </c>
      <c r="F189" s="32">
        <f t="shared" si="14"/>
        <v>182</v>
      </c>
      <c r="G189" s="76" t="s">
        <v>440</v>
      </c>
      <c r="H189" s="29" t="s">
        <v>229</v>
      </c>
      <c r="I189" s="21">
        <f t="shared" si="13"/>
        <v>279.79261175583497</v>
      </c>
      <c r="J189" s="21">
        <f t="shared" si="10"/>
        <v>76.147545898169653</v>
      </c>
      <c r="K189" s="30">
        <v>11.555</v>
      </c>
      <c r="L189" s="33">
        <v>47.033333333333331</v>
      </c>
      <c r="M189" s="21">
        <f t="shared" si="11"/>
        <v>20.252692249846234</v>
      </c>
      <c r="P189" s="44"/>
      <c r="S189" s="50"/>
      <c r="T189" s="51"/>
    </row>
    <row r="190" spans="5:20" ht="17">
      <c r="E190" s="20" t="str">
        <f t="shared" si="12"/>
        <v/>
      </c>
      <c r="F190" s="32">
        <f t="shared" si="14"/>
        <v>183</v>
      </c>
      <c r="G190" s="76" t="s">
        <v>440</v>
      </c>
      <c r="H190" s="29" t="s">
        <v>230</v>
      </c>
      <c r="I190" s="21">
        <f t="shared" si="13"/>
        <v>304.69686231240104</v>
      </c>
      <c r="J190" s="21">
        <f t="shared" si="10"/>
        <v>75.457069010031404</v>
      </c>
      <c r="K190" s="30">
        <v>11.563333333333333</v>
      </c>
      <c r="L190" s="33">
        <v>53.133333333333333</v>
      </c>
      <c r="M190" s="21">
        <f t="shared" si="11"/>
        <v>20.127692249846234</v>
      </c>
      <c r="P190" s="44"/>
      <c r="S190" s="50"/>
      <c r="T190" s="51"/>
    </row>
    <row r="191" spans="5:20" ht="17">
      <c r="E191" s="20" t="str">
        <f t="shared" si="12"/>
        <v>*</v>
      </c>
      <c r="F191" s="32">
        <f t="shared" si="14"/>
        <v>184</v>
      </c>
      <c r="G191" s="76" t="s">
        <v>440</v>
      </c>
      <c r="H191" s="29" t="s">
        <v>231</v>
      </c>
      <c r="I191" s="21">
        <f t="shared" si="13"/>
        <v>209.8366431246404</v>
      </c>
      <c r="J191" s="21">
        <f t="shared" si="10"/>
        <v>51.726837945979142</v>
      </c>
      <c r="K191" s="30">
        <v>11.683333333333334</v>
      </c>
      <c r="L191" s="33">
        <v>11.466666666666667</v>
      </c>
      <c r="M191" s="21">
        <f t="shared" si="11"/>
        <v>18.327692249846223</v>
      </c>
      <c r="P191" s="44"/>
      <c r="S191" s="50"/>
      <c r="T191" s="51"/>
    </row>
    <row r="192" spans="5:20" ht="17">
      <c r="E192" s="20" t="str">
        <f t="shared" si="12"/>
        <v>*</v>
      </c>
      <c r="F192" s="32">
        <f t="shared" si="14"/>
        <v>185</v>
      </c>
      <c r="G192" s="76" t="s">
        <v>440</v>
      </c>
      <c r="H192" s="29" t="s">
        <v>232</v>
      </c>
      <c r="I192" s="21">
        <f t="shared" si="13"/>
        <v>240.45203186202647</v>
      </c>
      <c r="J192" s="21">
        <f t="shared" si="10"/>
        <v>73.188246010897103</v>
      </c>
      <c r="K192" s="30">
        <v>11.688333333333333</v>
      </c>
      <c r="L192" s="33">
        <v>36.549999999999997</v>
      </c>
      <c r="M192" s="21">
        <f t="shared" si="11"/>
        <v>18.252692249846234</v>
      </c>
      <c r="P192" s="44"/>
      <c r="S192" s="50"/>
      <c r="T192" s="51"/>
    </row>
    <row r="193" spans="5:20" ht="17">
      <c r="E193" s="20" t="str">
        <f t="shared" si="12"/>
        <v/>
      </c>
      <c r="F193" s="32">
        <f t="shared" si="14"/>
        <v>186</v>
      </c>
      <c r="G193" s="76" t="s">
        <v>440</v>
      </c>
      <c r="H193" s="29" t="s">
        <v>233</v>
      </c>
      <c r="I193" s="21">
        <f t="shared" si="13"/>
        <v>281.37350000059075</v>
      </c>
      <c r="J193" s="21">
        <f t="shared" si="10"/>
        <v>78.341030573119497</v>
      </c>
      <c r="K193" s="30">
        <v>11.768333333333333</v>
      </c>
      <c r="L193" s="33">
        <v>47.5</v>
      </c>
      <c r="M193" s="21">
        <f t="shared" si="11"/>
        <v>17.052692249846217</v>
      </c>
      <c r="P193" s="44"/>
      <c r="S193" s="50"/>
      <c r="T193" s="51"/>
    </row>
    <row r="194" spans="5:20" ht="17">
      <c r="E194" s="20" t="str">
        <f t="shared" si="12"/>
        <v/>
      </c>
      <c r="F194" s="32">
        <f t="shared" si="14"/>
        <v>187</v>
      </c>
      <c r="G194" s="76" t="s">
        <v>440</v>
      </c>
      <c r="H194" s="29" t="s">
        <v>234</v>
      </c>
      <c r="I194" s="21">
        <f t="shared" si="13"/>
        <v>287.56699738915853</v>
      </c>
      <c r="J194" s="21">
        <f t="shared" si="10"/>
        <v>78.713367385703251</v>
      </c>
      <c r="K194" s="30">
        <v>11.81</v>
      </c>
      <c r="L194" s="33">
        <v>48.716666666666669</v>
      </c>
      <c r="M194" s="21">
        <f t="shared" si="11"/>
        <v>16.427692249846217</v>
      </c>
      <c r="P194" s="44"/>
      <c r="S194" s="50"/>
      <c r="T194" s="51"/>
    </row>
    <row r="195" spans="5:20" ht="17">
      <c r="E195" s="20" t="str">
        <f t="shared" si="12"/>
        <v/>
      </c>
      <c r="F195" s="32">
        <f t="shared" si="14"/>
        <v>188</v>
      </c>
      <c r="G195" s="76" t="s">
        <v>440</v>
      </c>
      <c r="H195" s="29" t="s">
        <v>235</v>
      </c>
      <c r="I195" s="21">
        <f t="shared" si="13"/>
        <v>319.56680536144199</v>
      </c>
      <c r="J195" s="21">
        <f t="shared" si="10"/>
        <v>76.045645858592167</v>
      </c>
      <c r="K195" s="30">
        <v>11.82</v>
      </c>
      <c r="L195" s="33">
        <v>56.083333333333336</v>
      </c>
      <c r="M195" s="21">
        <f t="shared" si="11"/>
        <v>16.277692249846211</v>
      </c>
      <c r="P195" s="44"/>
      <c r="S195" s="50"/>
      <c r="T195" s="51"/>
    </row>
    <row r="196" spans="5:20" ht="17">
      <c r="E196" s="20" t="str">
        <f t="shared" si="12"/>
        <v>*</v>
      </c>
      <c r="F196" s="32">
        <f t="shared" si="14"/>
        <v>189</v>
      </c>
      <c r="G196" s="76" t="s">
        <v>440</v>
      </c>
      <c r="H196" s="29" t="s">
        <v>236</v>
      </c>
      <c r="I196" s="21">
        <f t="shared" si="13"/>
        <v>219.13979497498113</v>
      </c>
      <c r="J196" s="21">
        <f t="shared" si="10"/>
        <v>66.696863131508778</v>
      </c>
      <c r="K196" s="30">
        <v>11.82</v>
      </c>
      <c r="L196" s="33">
        <v>27.016666666666666</v>
      </c>
      <c r="M196" s="21">
        <f t="shared" si="11"/>
        <v>16.277692249846211</v>
      </c>
      <c r="P196" s="44"/>
      <c r="S196" s="50"/>
      <c r="T196" s="51"/>
    </row>
    <row r="197" spans="5:20" ht="17">
      <c r="E197" s="20" t="str">
        <f t="shared" si="12"/>
        <v>*</v>
      </c>
      <c r="F197" s="32">
        <f t="shared" si="14"/>
        <v>190</v>
      </c>
      <c r="G197" s="76" t="s">
        <v>440</v>
      </c>
      <c r="H197" s="29" t="s">
        <v>237</v>
      </c>
      <c r="I197" s="21">
        <f t="shared" si="13"/>
        <v>218.05381605340739</v>
      </c>
      <c r="J197" s="21">
        <f t="shared" si="10"/>
        <v>66.326075319241298</v>
      </c>
      <c r="K197" s="30">
        <v>11.835000000000001</v>
      </c>
      <c r="L197" s="33">
        <v>26.483333333333334</v>
      </c>
      <c r="M197" s="21">
        <f t="shared" si="11"/>
        <v>16.052692249846217</v>
      </c>
      <c r="P197" s="44"/>
      <c r="S197" s="50"/>
      <c r="T197" s="51"/>
    </row>
    <row r="198" spans="5:20" ht="17">
      <c r="E198" s="20" t="str">
        <f t="shared" si="12"/>
        <v>*</v>
      </c>
      <c r="F198" s="32">
        <f t="shared" si="14"/>
        <v>191</v>
      </c>
      <c r="G198" s="76" t="s">
        <v>440</v>
      </c>
      <c r="H198" s="29" t="s">
        <v>238</v>
      </c>
      <c r="I198" s="21">
        <f t="shared" si="13"/>
        <v>263.38311050802207</v>
      </c>
      <c r="J198" s="21">
        <f t="shared" si="10"/>
        <v>78.950544834219585</v>
      </c>
      <c r="K198" s="30">
        <v>11.88</v>
      </c>
      <c r="L198" s="33">
        <v>44.116666666666667</v>
      </c>
      <c r="M198" s="21">
        <f t="shared" si="11"/>
        <v>15.377692249846206</v>
      </c>
      <c r="P198" s="44"/>
      <c r="S198" s="50"/>
      <c r="T198" s="51"/>
    </row>
    <row r="199" spans="5:20" ht="17">
      <c r="E199" s="20" t="str">
        <f t="shared" si="12"/>
        <v>*</v>
      </c>
      <c r="F199" s="32">
        <f t="shared" si="14"/>
        <v>192</v>
      </c>
      <c r="G199" s="76" t="s">
        <v>440</v>
      </c>
      <c r="H199" s="29" t="s">
        <v>239</v>
      </c>
      <c r="I199" s="21">
        <f t="shared" si="13"/>
        <v>235.78466108231646</v>
      </c>
      <c r="J199" s="21">
        <f t="shared" si="10"/>
        <v>75.181560009902597</v>
      </c>
      <c r="K199" s="30">
        <v>11.881666666666666</v>
      </c>
      <c r="L199" s="33">
        <v>36.983333333333334</v>
      </c>
      <c r="M199" s="21">
        <f t="shared" si="11"/>
        <v>15.352692249846228</v>
      </c>
      <c r="P199" s="44"/>
      <c r="S199" s="50"/>
      <c r="T199" s="51"/>
    </row>
    <row r="200" spans="5:20" ht="17">
      <c r="E200" s="20" t="str">
        <f t="shared" si="12"/>
        <v/>
      </c>
      <c r="F200" s="32">
        <f t="shared" si="14"/>
        <v>193</v>
      </c>
      <c r="G200" s="76" t="s">
        <v>440</v>
      </c>
      <c r="H200" s="29" t="s">
        <v>240</v>
      </c>
      <c r="I200" s="21">
        <f t="shared" si="13"/>
        <v>333.46838009570439</v>
      </c>
      <c r="J200" s="21">
        <f t="shared" ref="J200:J263" si="15">ASIN(SIN($M$409*L200)*SIN($M$409*$C$13)+COS($M$409*L200)*COS($M$409*$C$13)*COS($M$409*M200))/$M$409</f>
        <v>73.212085496722111</v>
      </c>
      <c r="K200" s="30">
        <v>11.886666666666667</v>
      </c>
      <c r="L200" s="33">
        <v>60.68333333333333</v>
      </c>
      <c r="M200" s="21">
        <f t="shared" ref="M200:M263" si="16">$C$16-((K200/24)*360)</f>
        <v>15.27769224984624</v>
      </c>
      <c r="P200" s="44"/>
      <c r="S200" s="50"/>
      <c r="T200" s="51"/>
    </row>
    <row r="201" spans="5:20" ht="17">
      <c r="E201" s="20" t="str">
        <f t="shared" ref="E201:E264" si="17">IF(AND(J201&gt;=$J$4,J201&lt;=$J$6,I201&gt;=$I$4,I201&lt;=$I$6),IF(VLOOKUP(G201,$C$19:$D$24,2,FALSE)="yes","*","-"),"")</f>
        <v/>
      </c>
      <c r="F201" s="32">
        <f t="shared" si="14"/>
        <v>194</v>
      </c>
      <c r="G201" s="76" t="s">
        <v>440</v>
      </c>
      <c r="H201" s="29" t="s">
        <v>241</v>
      </c>
      <c r="I201" s="21">
        <f t="shared" ref="I201:I264" si="18">IF(SIN($M$409*M201)&lt;0,ACOS((SIN($M$409*L201)-SIN($M$409*J201)*SIN($M$409*$C$13))/(COS($M$409*J201)*COS($M$409*$C$13)))/$M$409,360-ACOS((SIN($M$409*L201)-SIN($M$409*J201)*SIN($M$409*$C$13))/(COS($M$409*J201)*COS($M$409*$C$13)))/$M$409)</f>
        <v>283.35410669302871</v>
      </c>
      <c r="J201" s="21">
        <f t="shared" si="15"/>
        <v>79.616821337206318</v>
      </c>
      <c r="K201" s="30">
        <v>11.895</v>
      </c>
      <c r="L201" s="33">
        <v>47.866666666666667</v>
      </c>
      <c r="M201" s="21">
        <f t="shared" si="16"/>
        <v>15.15269224984624</v>
      </c>
      <c r="P201" s="44"/>
      <c r="S201" s="50"/>
      <c r="T201" s="51"/>
    </row>
    <row r="202" spans="5:20" ht="17">
      <c r="E202" s="20" t="str">
        <f t="shared" si="17"/>
        <v/>
      </c>
      <c r="F202" s="32">
        <f t="shared" ref="F202:F265" si="19">F201+1</f>
        <v>195</v>
      </c>
      <c r="G202" s="76" t="s">
        <v>440</v>
      </c>
      <c r="H202" s="29" t="s">
        <v>242</v>
      </c>
      <c r="I202" s="21">
        <f t="shared" si="18"/>
        <v>306.46481285123195</v>
      </c>
      <c r="J202" s="21">
        <f t="shared" si="15"/>
        <v>78.562906425312676</v>
      </c>
      <c r="K202" s="30">
        <v>11.896666666666667</v>
      </c>
      <c r="L202" s="33">
        <v>52.333333333333336</v>
      </c>
      <c r="M202" s="21">
        <f t="shared" si="16"/>
        <v>15.127692249846234</v>
      </c>
      <c r="P202" s="44"/>
      <c r="S202" s="50"/>
      <c r="T202" s="51"/>
    </row>
    <row r="203" spans="5:20" ht="17">
      <c r="E203" s="20" t="str">
        <f t="shared" si="17"/>
        <v>*</v>
      </c>
      <c r="F203" s="32">
        <f t="shared" si="19"/>
        <v>196</v>
      </c>
      <c r="G203" s="76" t="s">
        <v>440</v>
      </c>
      <c r="H203" s="29" t="s">
        <v>243</v>
      </c>
      <c r="I203" s="21">
        <f t="shared" si="18"/>
        <v>196.43672741590663</v>
      </c>
      <c r="J203" s="21">
        <f t="shared" si="15"/>
        <v>28.11217204445224</v>
      </c>
      <c r="K203" s="30">
        <v>11.911666666666667</v>
      </c>
      <c r="L203" s="33">
        <v>-13.966666666666667</v>
      </c>
      <c r="M203" s="21">
        <f t="shared" si="16"/>
        <v>14.902692249846211</v>
      </c>
      <c r="P203" s="44"/>
      <c r="S203" s="50"/>
      <c r="T203" s="51"/>
    </row>
    <row r="204" spans="5:20" ht="17">
      <c r="E204" s="20" t="str">
        <f t="shared" si="17"/>
        <v/>
      </c>
      <c r="F204" s="32">
        <f t="shared" si="19"/>
        <v>197</v>
      </c>
      <c r="G204" s="76" t="s">
        <v>440</v>
      </c>
      <c r="H204" s="29" t="s">
        <v>244</v>
      </c>
      <c r="I204" s="21">
        <f t="shared" si="18"/>
        <v>318.99198101630316</v>
      </c>
      <c r="J204" s="21">
        <f t="shared" si="15"/>
        <v>77.441200953514453</v>
      </c>
      <c r="K204" s="30">
        <v>11.941666666666666</v>
      </c>
      <c r="L204" s="33">
        <v>55.133333333333333</v>
      </c>
      <c r="M204" s="21">
        <f t="shared" si="16"/>
        <v>14.452692249846223</v>
      </c>
      <c r="P204" s="44"/>
      <c r="S204" s="50"/>
      <c r="T204" s="51"/>
    </row>
    <row r="205" spans="5:20" ht="17">
      <c r="E205" s="20" t="str">
        <f t="shared" si="17"/>
        <v/>
      </c>
      <c r="F205" s="32">
        <f t="shared" si="19"/>
        <v>198</v>
      </c>
      <c r="G205" s="76" t="s">
        <v>440</v>
      </c>
      <c r="H205" s="29" t="s">
        <v>245</v>
      </c>
      <c r="I205" s="21">
        <f t="shared" si="18"/>
        <v>312.50309769922069</v>
      </c>
      <c r="J205" s="21">
        <f t="shared" si="15"/>
        <v>78.570708622650017</v>
      </c>
      <c r="K205" s="30">
        <v>11.96</v>
      </c>
      <c r="L205" s="33">
        <v>53.383333333333333</v>
      </c>
      <c r="M205" s="21">
        <f t="shared" si="16"/>
        <v>14.177692249846217</v>
      </c>
      <c r="P205" s="44"/>
      <c r="S205" s="50"/>
      <c r="T205" s="51"/>
    </row>
    <row r="206" spans="5:20" ht="17">
      <c r="E206" s="20" t="str">
        <f t="shared" si="17"/>
        <v/>
      </c>
      <c r="F206" s="32">
        <f t="shared" si="19"/>
        <v>199</v>
      </c>
      <c r="G206" s="76" t="s">
        <v>440</v>
      </c>
      <c r="H206" s="29" t="s">
        <v>246</v>
      </c>
      <c r="I206" s="21">
        <f t="shared" si="18"/>
        <v>320.69875604204998</v>
      </c>
      <c r="J206" s="21">
        <f t="shared" si="15"/>
        <v>77.398643216264006</v>
      </c>
      <c r="K206" s="30">
        <v>11.965</v>
      </c>
      <c r="L206" s="33">
        <v>55.45</v>
      </c>
      <c r="M206" s="21">
        <f t="shared" si="16"/>
        <v>14.102692249846228</v>
      </c>
      <c r="P206" s="44"/>
      <c r="S206" s="50"/>
      <c r="T206" s="51"/>
    </row>
    <row r="207" spans="5:20" ht="17">
      <c r="E207" s="20" t="str">
        <f t="shared" si="17"/>
        <v/>
      </c>
      <c r="F207" s="32">
        <f t="shared" si="19"/>
        <v>200</v>
      </c>
      <c r="G207" s="76" t="s">
        <v>440</v>
      </c>
      <c r="H207" s="29" t="s">
        <v>247</v>
      </c>
      <c r="I207" s="21">
        <f t="shared" si="18"/>
        <v>301.55698795323235</v>
      </c>
      <c r="J207" s="21">
        <f t="shared" si="15"/>
        <v>79.898884621845724</v>
      </c>
      <c r="K207" s="30">
        <v>11.99</v>
      </c>
      <c r="L207" s="33">
        <v>50.966666666666669</v>
      </c>
      <c r="M207" s="21">
        <f t="shared" si="16"/>
        <v>13.727692249846228</v>
      </c>
      <c r="P207" s="44"/>
      <c r="S207" s="50"/>
      <c r="T207" s="51"/>
    </row>
    <row r="208" spans="5:20" ht="17">
      <c r="E208" s="20" t="str">
        <f t="shared" si="17"/>
        <v>*</v>
      </c>
      <c r="F208" s="32">
        <f t="shared" si="19"/>
        <v>201</v>
      </c>
      <c r="G208" s="76" t="s">
        <v>440</v>
      </c>
      <c r="H208" s="29" t="s">
        <v>248</v>
      </c>
      <c r="I208" s="21">
        <f t="shared" si="18"/>
        <v>194.07276352318803</v>
      </c>
      <c r="J208" s="21">
        <f t="shared" si="15"/>
        <v>23.124945640802185</v>
      </c>
      <c r="K208" s="30">
        <v>11.991666666666667</v>
      </c>
      <c r="L208" s="33">
        <v>-19.266666666666666</v>
      </c>
      <c r="M208" s="21">
        <f t="shared" si="16"/>
        <v>13.702692249846223</v>
      </c>
      <c r="P208" s="44"/>
      <c r="S208" s="50"/>
      <c r="T208" s="51"/>
    </row>
    <row r="209" spans="5:20" ht="17">
      <c r="E209" s="20" t="str">
        <f t="shared" si="17"/>
        <v>*</v>
      </c>
      <c r="F209" s="32">
        <f t="shared" si="19"/>
        <v>202</v>
      </c>
      <c r="G209" s="76" t="s">
        <v>440</v>
      </c>
      <c r="H209" s="29" t="s">
        <v>249</v>
      </c>
      <c r="I209" s="21">
        <f t="shared" si="18"/>
        <v>195.72922200477964</v>
      </c>
      <c r="J209" s="21">
        <f t="shared" si="15"/>
        <v>32.176482827956562</v>
      </c>
      <c r="K209" s="30">
        <v>12.006666666666666</v>
      </c>
      <c r="L209" s="34">
        <v>-10.1</v>
      </c>
      <c r="M209" s="21">
        <f t="shared" si="16"/>
        <v>13.477692249846257</v>
      </c>
      <c r="P209" s="44"/>
      <c r="S209" s="50"/>
      <c r="T209" s="51"/>
    </row>
    <row r="210" spans="5:20" ht="17">
      <c r="E210" s="20" t="str">
        <f t="shared" si="17"/>
        <v/>
      </c>
      <c r="F210" s="32">
        <f t="shared" si="19"/>
        <v>203</v>
      </c>
      <c r="G210" s="76" t="s">
        <v>440</v>
      </c>
      <c r="H210" s="29" t="s">
        <v>250</v>
      </c>
      <c r="I210" s="21">
        <f t="shared" si="18"/>
        <v>338.63099996902935</v>
      </c>
      <c r="J210" s="21">
        <f t="shared" si="15"/>
        <v>72.795132271878558</v>
      </c>
      <c r="K210" s="30">
        <v>12.023333333333333</v>
      </c>
      <c r="L210" s="33">
        <v>61.9</v>
      </c>
      <c r="M210" s="21">
        <f t="shared" si="16"/>
        <v>13.2276922498462</v>
      </c>
      <c r="P210" s="44"/>
      <c r="S210" s="50"/>
      <c r="T210" s="51"/>
    </row>
    <row r="211" spans="5:20" ht="17">
      <c r="E211" s="20" t="str">
        <f t="shared" si="17"/>
        <v>*</v>
      </c>
      <c r="F211" s="32">
        <f t="shared" si="19"/>
        <v>204</v>
      </c>
      <c r="G211" s="76" t="s">
        <v>440</v>
      </c>
      <c r="H211" s="29" t="s">
        <v>64</v>
      </c>
      <c r="I211" s="21">
        <f t="shared" si="18"/>
        <v>193.54022277866994</v>
      </c>
      <c r="J211" s="21">
        <f t="shared" si="15"/>
        <v>23.617502116487437</v>
      </c>
      <c r="K211" s="30">
        <v>12.031666666666666</v>
      </c>
      <c r="L211" s="33">
        <v>-18.866666666666667</v>
      </c>
      <c r="M211" s="21">
        <f t="shared" si="16"/>
        <v>13.102692249846228</v>
      </c>
      <c r="P211" s="44"/>
      <c r="S211" s="50"/>
      <c r="T211" s="51"/>
    </row>
    <row r="212" spans="5:20" ht="17">
      <c r="E212" s="20" t="str">
        <f t="shared" si="17"/>
        <v/>
      </c>
      <c r="F212" s="32">
        <f t="shared" si="19"/>
        <v>205</v>
      </c>
      <c r="G212" s="76" t="s">
        <v>440</v>
      </c>
      <c r="H212" s="29" t="s">
        <v>251</v>
      </c>
      <c r="I212" s="21">
        <f t="shared" si="18"/>
        <v>339.31341709290325</v>
      </c>
      <c r="J212" s="21">
        <f t="shared" si="15"/>
        <v>72.6462519885077</v>
      </c>
      <c r="K212" s="30">
        <v>12.036666666666667</v>
      </c>
      <c r="L212" s="33">
        <v>62.133333333333333</v>
      </c>
      <c r="M212" s="21">
        <f t="shared" si="16"/>
        <v>13.027692249846211</v>
      </c>
      <c r="P212" s="44"/>
      <c r="S212" s="50"/>
      <c r="T212" s="51"/>
    </row>
    <row r="213" spans="5:20" ht="17">
      <c r="E213" s="20" t="str">
        <f t="shared" si="17"/>
        <v>*</v>
      </c>
      <c r="F213" s="32">
        <f t="shared" si="19"/>
        <v>206</v>
      </c>
      <c r="G213" s="76" t="s">
        <v>440</v>
      </c>
      <c r="H213" s="29" t="s">
        <v>252</v>
      </c>
      <c r="I213" s="21">
        <f t="shared" si="18"/>
        <v>262.53743236888414</v>
      </c>
      <c r="J213" s="21">
        <f t="shared" si="15"/>
        <v>80.850833328691778</v>
      </c>
      <c r="K213" s="30">
        <v>12.053333333333333</v>
      </c>
      <c r="L213" s="33">
        <v>44.533333333333331</v>
      </c>
      <c r="M213" s="21">
        <f t="shared" si="16"/>
        <v>12.777692249846211</v>
      </c>
      <c r="P213" s="44"/>
      <c r="S213" s="50"/>
      <c r="T213" s="51"/>
    </row>
    <row r="214" spans="5:20" ht="17">
      <c r="E214" s="20" t="str">
        <f t="shared" si="17"/>
        <v/>
      </c>
      <c r="F214" s="32">
        <f t="shared" si="19"/>
        <v>207</v>
      </c>
      <c r="G214" s="76" t="s">
        <v>440</v>
      </c>
      <c r="H214" s="29" t="s">
        <v>253</v>
      </c>
      <c r="I214" s="21">
        <f t="shared" si="18"/>
        <v>300.15239771927139</v>
      </c>
      <c r="J214" s="21">
        <f t="shared" si="15"/>
        <v>81.008099613030566</v>
      </c>
      <c r="K214" s="30">
        <v>12.09</v>
      </c>
      <c r="L214" s="33">
        <v>50.35</v>
      </c>
      <c r="M214" s="21">
        <f t="shared" si="16"/>
        <v>12.2276922498462</v>
      </c>
      <c r="P214" s="44"/>
      <c r="S214" s="50"/>
      <c r="T214" s="51"/>
    </row>
    <row r="215" spans="5:20" ht="17">
      <c r="E215" s="20" t="str">
        <f t="shared" si="17"/>
        <v/>
      </c>
      <c r="F215" s="32">
        <f t="shared" si="19"/>
        <v>208</v>
      </c>
      <c r="G215" s="76" t="s">
        <v>440</v>
      </c>
      <c r="H215" s="29" t="s">
        <v>254</v>
      </c>
      <c r="I215" s="21">
        <f t="shared" si="18"/>
        <v>301.41396375737918</v>
      </c>
      <c r="J215" s="21">
        <f t="shared" si="15"/>
        <v>80.963969603411414</v>
      </c>
      <c r="K215" s="30">
        <v>12.093333333333334</v>
      </c>
      <c r="L215" s="33">
        <v>50.55</v>
      </c>
      <c r="M215" s="21">
        <f t="shared" si="16"/>
        <v>12.177692249846217</v>
      </c>
      <c r="P215" s="44"/>
      <c r="S215" s="50"/>
      <c r="T215" s="51"/>
    </row>
    <row r="216" spans="5:20" ht="17">
      <c r="E216" s="20" t="str">
        <f t="shared" si="17"/>
        <v/>
      </c>
      <c r="F216" s="32">
        <f t="shared" si="19"/>
        <v>209</v>
      </c>
      <c r="G216" s="76" t="s">
        <v>440</v>
      </c>
      <c r="H216" s="29" t="s">
        <v>255</v>
      </c>
      <c r="I216" s="21">
        <f t="shared" si="18"/>
        <v>313.35989105766174</v>
      </c>
      <c r="J216" s="21">
        <f t="shared" si="15"/>
        <v>80.043096733161519</v>
      </c>
      <c r="K216" s="30">
        <v>12.106666666666667</v>
      </c>
      <c r="L216" s="33">
        <v>52.716666666666669</v>
      </c>
      <c r="M216" s="21">
        <f t="shared" si="16"/>
        <v>11.9776922498462</v>
      </c>
      <c r="P216" s="44"/>
      <c r="S216" s="50"/>
      <c r="T216" s="51"/>
    </row>
    <row r="217" spans="5:20" ht="17">
      <c r="E217" s="20" t="str">
        <f t="shared" si="17"/>
        <v>*</v>
      </c>
      <c r="F217" s="32">
        <f t="shared" si="19"/>
        <v>210</v>
      </c>
      <c r="G217" s="76" t="s">
        <v>440</v>
      </c>
      <c r="H217" s="29" t="s">
        <v>256</v>
      </c>
      <c r="I217" s="21">
        <f t="shared" si="18"/>
        <v>252.25402706003649</v>
      </c>
      <c r="J217" s="21">
        <f t="shared" si="15"/>
        <v>80.973242629553837</v>
      </c>
      <c r="K217" s="30">
        <v>12.118333333333334</v>
      </c>
      <c r="L217" s="33">
        <v>43.06666666666667</v>
      </c>
      <c r="M217" s="21">
        <f t="shared" si="16"/>
        <v>11.802692249846217</v>
      </c>
      <c r="P217" s="44"/>
      <c r="S217" s="50"/>
      <c r="T217" s="51"/>
    </row>
    <row r="218" spans="5:20" ht="17">
      <c r="E218" s="20" t="str">
        <f t="shared" si="17"/>
        <v>*</v>
      </c>
      <c r="F218" s="32">
        <f t="shared" si="19"/>
        <v>211</v>
      </c>
      <c r="G218" s="76" t="s">
        <v>440</v>
      </c>
      <c r="H218" s="29" t="s">
        <v>257</v>
      </c>
      <c r="I218" s="21">
        <f t="shared" si="18"/>
        <v>247.84133895295929</v>
      </c>
      <c r="J218" s="21">
        <f t="shared" si="15"/>
        <v>81.127373695857685</v>
      </c>
      <c r="K218" s="30">
        <v>12.16</v>
      </c>
      <c r="L218" s="33">
        <v>42.533333333333331</v>
      </c>
      <c r="M218" s="21">
        <f t="shared" si="16"/>
        <v>11.177692249846217</v>
      </c>
      <c r="P218" s="44"/>
      <c r="S218" s="50"/>
      <c r="T218" s="51"/>
    </row>
    <row r="219" spans="5:20" ht="17">
      <c r="E219" s="20" t="str">
        <f t="shared" si="17"/>
        <v>*</v>
      </c>
      <c r="F219" s="32">
        <f t="shared" si="19"/>
        <v>212</v>
      </c>
      <c r="G219" s="76" t="s">
        <v>440</v>
      </c>
      <c r="H219" s="29" t="s">
        <v>258</v>
      </c>
      <c r="I219" s="21">
        <f t="shared" si="18"/>
        <v>201.76642755344872</v>
      </c>
      <c r="J219" s="21">
        <f t="shared" si="15"/>
        <v>60.65092215868809</v>
      </c>
      <c r="K219" s="30">
        <v>12.168333333333333</v>
      </c>
      <c r="L219" s="33">
        <v>18.55</v>
      </c>
      <c r="M219" s="21">
        <f t="shared" si="16"/>
        <v>11.052692249846217</v>
      </c>
      <c r="P219" s="44"/>
      <c r="S219" s="50"/>
      <c r="T219" s="51"/>
    </row>
    <row r="220" spans="5:20" ht="17">
      <c r="E220" s="20" t="str">
        <f t="shared" si="17"/>
        <v>*</v>
      </c>
      <c r="F220" s="32">
        <f t="shared" si="19"/>
        <v>213</v>
      </c>
      <c r="G220" s="76" t="s">
        <v>440</v>
      </c>
      <c r="H220" s="29" t="s">
        <v>259</v>
      </c>
      <c r="I220" s="21">
        <f t="shared" si="18"/>
        <v>211.66125765730027</v>
      </c>
      <c r="J220" s="21">
        <f t="shared" si="15"/>
        <v>71.850170050657141</v>
      </c>
      <c r="K220" s="30">
        <v>12.176666666666666</v>
      </c>
      <c r="L220" s="33">
        <v>30.4</v>
      </c>
      <c r="M220" s="21">
        <f t="shared" si="16"/>
        <v>10.927692249846245</v>
      </c>
      <c r="P220" s="44"/>
      <c r="S220" s="50"/>
      <c r="T220" s="51"/>
    </row>
    <row r="221" spans="5:20" ht="17">
      <c r="E221" s="20" t="str">
        <f t="shared" si="17"/>
        <v>*</v>
      </c>
      <c r="F221" s="32">
        <f t="shared" si="19"/>
        <v>214</v>
      </c>
      <c r="G221" s="76" t="s">
        <v>440</v>
      </c>
      <c r="H221" s="29" t="s">
        <v>260</v>
      </c>
      <c r="I221" s="21">
        <f t="shared" si="18"/>
        <v>232.53043401913379</v>
      </c>
      <c r="J221" s="21">
        <f t="shared" si="15"/>
        <v>79.339749618354432</v>
      </c>
      <c r="K221" s="30">
        <v>12.175000000000001</v>
      </c>
      <c r="L221" s="33">
        <v>39.4</v>
      </c>
      <c r="M221" s="21">
        <f t="shared" si="16"/>
        <v>10.952692249846223</v>
      </c>
      <c r="P221" s="44"/>
      <c r="S221" s="50"/>
      <c r="T221" s="51"/>
    </row>
    <row r="222" spans="5:20" ht="17">
      <c r="E222" s="20" t="str">
        <f t="shared" si="17"/>
        <v>*</v>
      </c>
      <c r="F222" s="32">
        <f t="shared" si="19"/>
        <v>215</v>
      </c>
      <c r="G222" s="76" t="s">
        <v>440</v>
      </c>
      <c r="H222" s="29" t="s">
        <v>261</v>
      </c>
      <c r="I222" s="21">
        <f t="shared" si="18"/>
        <v>194.45092201072805</v>
      </c>
      <c r="J222" s="21">
        <f t="shared" si="15"/>
        <v>43.95072395281219</v>
      </c>
      <c r="K222" s="30">
        <v>12.215</v>
      </c>
      <c r="L222" s="33">
        <v>1.3</v>
      </c>
      <c r="M222" s="21">
        <f t="shared" si="16"/>
        <v>10.352692249846228</v>
      </c>
      <c r="P222" s="44"/>
      <c r="S222" s="50"/>
      <c r="T222" s="51"/>
    </row>
    <row r="223" spans="5:20" ht="17">
      <c r="E223" s="20" t="str">
        <f t="shared" si="17"/>
        <v>*</v>
      </c>
      <c r="F223" s="32">
        <f t="shared" si="19"/>
        <v>216</v>
      </c>
      <c r="G223" s="76" t="s">
        <v>440</v>
      </c>
      <c r="H223" s="29" t="s">
        <v>262</v>
      </c>
      <c r="I223" s="21">
        <f t="shared" si="18"/>
        <v>212.88456135839803</v>
      </c>
      <c r="J223" s="21">
        <f t="shared" si="15"/>
        <v>74.788097809448132</v>
      </c>
      <c r="K223" s="30">
        <v>12.251666666666667</v>
      </c>
      <c r="L223" s="33">
        <v>33.200000000000003</v>
      </c>
      <c r="M223" s="21">
        <f t="shared" si="16"/>
        <v>9.8026922498462454</v>
      </c>
      <c r="P223" s="44"/>
      <c r="S223" s="50"/>
      <c r="T223" s="51"/>
    </row>
    <row r="224" spans="5:20" ht="17">
      <c r="E224" s="20" t="str">
        <f t="shared" si="17"/>
        <v>*</v>
      </c>
      <c r="F224" s="32">
        <f t="shared" si="19"/>
        <v>217</v>
      </c>
      <c r="G224" s="76" t="s">
        <v>440</v>
      </c>
      <c r="H224" s="29" t="s">
        <v>263</v>
      </c>
      <c r="I224" s="21">
        <f t="shared" si="18"/>
        <v>218.98149703357996</v>
      </c>
      <c r="J224" s="21">
        <f t="shared" si="15"/>
        <v>77.568318545747573</v>
      </c>
      <c r="K224" s="30">
        <v>12.26</v>
      </c>
      <c r="L224" s="33">
        <v>36.333333333333336</v>
      </c>
      <c r="M224" s="21">
        <f t="shared" si="16"/>
        <v>9.677692249846217</v>
      </c>
      <c r="P224" s="44"/>
      <c r="S224" s="50"/>
      <c r="T224" s="51"/>
    </row>
    <row r="225" spans="5:20" ht="17">
      <c r="E225" s="20" t="str">
        <f t="shared" si="17"/>
        <v>*</v>
      </c>
      <c r="F225" s="32">
        <f t="shared" si="19"/>
        <v>218</v>
      </c>
      <c r="G225" s="76" t="s">
        <v>440</v>
      </c>
      <c r="H225" s="29" t="s">
        <v>264</v>
      </c>
      <c r="I225" s="21">
        <f t="shared" si="18"/>
        <v>196.76753718803741</v>
      </c>
      <c r="J225" s="21">
        <f t="shared" si="15"/>
        <v>55.731354713255108</v>
      </c>
      <c r="K225" s="30">
        <v>12.265000000000001</v>
      </c>
      <c r="L225" s="33">
        <v>13.15</v>
      </c>
      <c r="M225" s="21">
        <f t="shared" si="16"/>
        <v>9.6026922498462</v>
      </c>
      <c r="P225" s="44"/>
      <c r="S225" s="50"/>
      <c r="T225" s="51"/>
    </row>
    <row r="226" spans="5:20" ht="17">
      <c r="E226" s="20" t="str">
        <f t="shared" si="17"/>
        <v>*</v>
      </c>
      <c r="F226" s="32">
        <f t="shared" si="19"/>
        <v>219</v>
      </c>
      <c r="G226" s="76" t="s">
        <v>440</v>
      </c>
      <c r="H226" s="29" t="s">
        <v>265</v>
      </c>
      <c r="I226" s="21">
        <f t="shared" si="18"/>
        <v>206.20311585144358</v>
      </c>
      <c r="J226" s="21">
        <f t="shared" si="15"/>
        <v>71.694961409568364</v>
      </c>
      <c r="K226" s="30">
        <v>12.293333333333333</v>
      </c>
      <c r="L226" s="33">
        <v>29.6</v>
      </c>
      <c r="M226" s="21">
        <f t="shared" si="16"/>
        <v>9.177692249846217</v>
      </c>
      <c r="P226" s="44"/>
      <c r="S226" s="50"/>
      <c r="T226" s="51"/>
    </row>
    <row r="227" spans="5:20" ht="17">
      <c r="E227" s="20" t="str">
        <f t="shared" si="17"/>
        <v>*</v>
      </c>
      <c r="F227" s="32">
        <f t="shared" si="19"/>
        <v>220</v>
      </c>
      <c r="G227" s="76" t="s">
        <v>440</v>
      </c>
      <c r="H227" s="29" t="s">
        <v>266</v>
      </c>
      <c r="I227" s="21">
        <f t="shared" si="18"/>
        <v>204.40188357628568</v>
      </c>
      <c r="J227" s="21">
        <f t="shared" si="15"/>
        <v>70.381839709589073</v>
      </c>
      <c r="K227" s="30">
        <v>12.301666666666666</v>
      </c>
      <c r="L227" s="33">
        <v>28.166666666666668</v>
      </c>
      <c r="M227" s="21">
        <f t="shared" si="16"/>
        <v>9.0526922498462454</v>
      </c>
      <c r="P227" s="44"/>
      <c r="S227" s="50"/>
      <c r="T227" s="51"/>
    </row>
    <row r="228" spans="5:20" ht="17">
      <c r="E228" s="20" t="str">
        <f t="shared" si="17"/>
        <v/>
      </c>
      <c r="F228" s="32">
        <f t="shared" si="19"/>
        <v>221</v>
      </c>
      <c r="G228" s="76" t="s">
        <v>440</v>
      </c>
      <c r="H228" s="29" t="s">
        <v>267</v>
      </c>
      <c r="I228" s="21">
        <f t="shared" si="18"/>
        <v>281.22653514405516</v>
      </c>
      <c r="J228" s="21">
        <f t="shared" si="15"/>
        <v>83.909281572314214</v>
      </c>
      <c r="K228" s="30">
        <v>12.316666666666666</v>
      </c>
      <c r="L228" s="33">
        <v>47.3</v>
      </c>
      <c r="M228" s="21">
        <f t="shared" si="16"/>
        <v>8.8276922498462511</v>
      </c>
      <c r="P228" s="44"/>
      <c r="S228" s="50"/>
      <c r="T228" s="51"/>
    </row>
    <row r="229" spans="5:20" ht="17">
      <c r="E229" s="20" t="str">
        <f t="shared" si="17"/>
        <v>*</v>
      </c>
      <c r="F229" s="32">
        <f t="shared" si="19"/>
        <v>222</v>
      </c>
      <c r="G229" s="76" t="s">
        <v>440</v>
      </c>
      <c r="H229" s="29" t="s">
        <v>268</v>
      </c>
      <c r="I229" s="21">
        <f t="shared" si="18"/>
        <v>193.21472283036124</v>
      </c>
      <c r="J229" s="21">
        <f t="shared" si="15"/>
        <v>48.673225846233237</v>
      </c>
      <c r="K229" s="30">
        <v>12.323333333333334</v>
      </c>
      <c r="L229" s="33">
        <v>5.8166666666666664</v>
      </c>
      <c r="M229" s="21">
        <f t="shared" si="16"/>
        <v>8.7276922498462284</v>
      </c>
      <c r="P229" s="44"/>
      <c r="S229" s="50"/>
      <c r="T229" s="51"/>
    </row>
    <row r="230" spans="5:20" ht="17">
      <c r="E230" s="20" t="str">
        <f t="shared" si="17"/>
        <v>*</v>
      </c>
      <c r="F230" s="32">
        <f t="shared" si="19"/>
        <v>223</v>
      </c>
      <c r="G230" s="76" t="s">
        <v>440</v>
      </c>
      <c r="H230" s="29" t="s">
        <v>269</v>
      </c>
      <c r="I230" s="21">
        <f t="shared" si="18"/>
        <v>192.91933181706776</v>
      </c>
      <c r="J230" s="21">
        <f t="shared" si="15"/>
        <v>48.231781707963592</v>
      </c>
      <c r="K230" s="30">
        <v>12.331666666666667</v>
      </c>
      <c r="L230" s="33">
        <v>5.35</v>
      </c>
      <c r="M230" s="21">
        <f t="shared" si="16"/>
        <v>8.6026922498462</v>
      </c>
      <c r="P230" s="44"/>
      <c r="S230" s="50"/>
      <c r="T230" s="51"/>
    </row>
    <row r="231" spans="5:20" ht="17">
      <c r="E231" s="20" t="str">
        <f t="shared" si="17"/>
        <v>*</v>
      </c>
      <c r="F231" s="32">
        <f t="shared" si="19"/>
        <v>224</v>
      </c>
      <c r="G231" s="76" t="s">
        <v>440</v>
      </c>
      <c r="H231" s="29" t="s">
        <v>270</v>
      </c>
      <c r="I231" s="21">
        <f t="shared" si="18"/>
        <v>204.78327154866702</v>
      </c>
      <c r="J231" s="21">
        <f t="shared" si="15"/>
        <v>71.873734590173044</v>
      </c>
      <c r="K231" s="30">
        <v>12.33</v>
      </c>
      <c r="L231" s="33">
        <v>29.616666666666667</v>
      </c>
      <c r="M231" s="21">
        <f t="shared" si="16"/>
        <v>8.6276922498462056</v>
      </c>
      <c r="P231" s="44"/>
      <c r="S231" s="50"/>
      <c r="T231" s="51"/>
    </row>
    <row r="232" spans="5:20" ht="17">
      <c r="E232" s="20" t="str">
        <f t="shared" si="17"/>
        <v>*</v>
      </c>
      <c r="F232" s="32">
        <f t="shared" si="19"/>
        <v>225</v>
      </c>
      <c r="G232" s="76" t="s">
        <v>440</v>
      </c>
      <c r="H232" s="29" t="s">
        <v>271</v>
      </c>
      <c r="I232" s="21">
        <f t="shared" si="18"/>
        <v>204.23754879083694</v>
      </c>
      <c r="J232" s="21">
        <f t="shared" si="15"/>
        <v>71.580306141332244</v>
      </c>
      <c r="K232" s="30">
        <v>12.335000000000001</v>
      </c>
      <c r="L232" s="33">
        <v>29.283333333333335</v>
      </c>
      <c r="M232" s="21">
        <f t="shared" si="16"/>
        <v>8.5526922498461886</v>
      </c>
      <c r="P232" s="44"/>
      <c r="S232" s="50"/>
      <c r="T232" s="51"/>
    </row>
    <row r="233" spans="5:20" ht="17">
      <c r="E233" s="20" t="str">
        <f t="shared" si="17"/>
        <v>*</v>
      </c>
      <c r="F233" s="32">
        <f t="shared" si="19"/>
        <v>226</v>
      </c>
      <c r="G233" s="76" t="s">
        <v>440</v>
      </c>
      <c r="H233" s="29" t="s">
        <v>272</v>
      </c>
      <c r="I233" s="21">
        <f t="shared" si="18"/>
        <v>192.74231976781675</v>
      </c>
      <c r="J233" s="21">
        <f t="shared" si="15"/>
        <v>48.283844787875125</v>
      </c>
      <c r="K233" s="30">
        <v>12.34</v>
      </c>
      <c r="L233" s="33">
        <v>5.3833333333333337</v>
      </c>
      <c r="M233" s="21">
        <f t="shared" si="16"/>
        <v>8.4776922498462284</v>
      </c>
      <c r="P233" s="44"/>
      <c r="S233" s="50"/>
      <c r="T233" s="51"/>
    </row>
    <row r="234" spans="5:20" ht="17">
      <c r="E234" s="20" t="str">
        <f t="shared" si="17"/>
        <v>*</v>
      </c>
      <c r="F234" s="32">
        <f t="shared" si="19"/>
        <v>227</v>
      </c>
      <c r="G234" s="76" t="s">
        <v>440</v>
      </c>
      <c r="H234" s="29" t="s">
        <v>273</v>
      </c>
      <c r="I234" s="21">
        <f t="shared" si="18"/>
        <v>196.42928807954422</v>
      </c>
      <c r="J234" s="21">
        <f t="shared" si="15"/>
        <v>61.114774577103312</v>
      </c>
      <c r="K234" s="30">
        <v>12.353333333333333</v>
      </c>
      <c r="L234" s="33">
        <v>18.383333333333333</v>
      </c>
      <c r="M234" s="21">
        <f t="shared" si="16"/>
        <v>8.2776922498462397</v>
      </c>
      <c r="P234" s="44"/>
      <c r="S234" s="50"/>
      <c r="T234" s="51"/>
    </row>
    <row r="235" spans="5:20" ht="17">
      <c r="E235" s="20" t="str">
        <f t="shared" si="17"/>
        <v>*</v>
      </c>
      <c r="F235" s="32">
        <f t="shared" si="19"/>
        <v>228</v>
      </c>
      <c r="G235" s="76" t="s">
        <v>440</v>
      </c>
      <c r="H235" s="29" t="s">
        <v>274</v>
      </c>
      <c r="I235" s="21">
        <f t="shared" si="18"/>
        <v>191.98929412864953</v>
      </c>
      <c r="J235" s="21">
        <f t="shared" si="15"/>
        <v>47.432608104044007</v>
      </c>
      <c r="K235" s="30">
        <v>12.365</v>
      </c>
      <c r="L235" s="33">
        <v>4.4666666666666668</v>
      </c>
      <c r="M235" s="21">
        <f t="shared" si="16"/>
        <v>8.1026922498462</v>
      </c>
      <c r="P235" s="44"/>
      <c r="S235" s="50"/>
      <c r="T235" s="51"/>
    </row>
    <row r="236" spans="5:20" ht="17">
      <c r="E236" s="20" t="str">
        <f t="shared" si="17"/>
        <v>*</v>
      </c>
      <c r="F236" s="32">
        <f t="shared" si="19"/>
        <v>229</v>
      </c>
      <c r="G236" s="76" t="s">
        <v>440</v>
      </c>
      <c r="H236" s="29" t="s">
        <v>275</v>
      </c>
      <c r="I236" s="21">
        <f t="shared" si="18"/>
        <v>203.19168960516453</v>
      </c>
      <c r="J236" s="21">
        <f t="shared" si="15"/>
        <v>72.32223598528968</v>
      </c>
      <c r="K236" s="30">
        <v>12.376666666666667</v>
      </c>
      <c r="L236" s="33">
        <v>29.883333333333333</v>
      </c>
      <c r="M236" s="21">
        <f t="shared" si="16"/>
        <v>7.927692249846217</v>
      </c>
      <c r="P236" s="44"/>
      <c r="S236" s="50"/>
      <c r="T236" s="51"/>
    </row>
    <row r="237" spans="5:20" ht="17">
      <c r="E237" s="20" t="str">
        <f t="shared" si="17"/>
        <v/>
      </c>
      <c r="F237" s="32">
        <f t="shared" si="19"/>
        <v>230</v>
      </c>
      <c r="G237" s="76" t="s">
        <v>440</v>
      </c>
      <c r="H237" s="29" t="s">
        <v>276</v>
      </c>
      <c r="I237" s="21">
        <f t="shared" si="18"/>
        <v>278.74379502025602</v>
      </c>
      <c r="J237" s="21">
        <f t="shared" si="15"/>
        <v>84.693417717945124</v>
      </c>
      <c r="K237" s="30">
        <v>12.391666666666667</v>
      </c>
      <c r="L237" s="33">
        <v>47</v>
      </c>
      <c r="M237" s="21">
        <f t="shared" si="16"/>
        <v>7.7026922498462227</v>
      </c>
      <c r="P237" s="44"/>
      <c r="S237" s="50"/>
      <c r="T237" s="51"/>
    </row>
    <row r="238" spans="5:20" ht="17">
      <c r="E238" s="20" t="str">
        <f t="shared" si="17"/>
        <v>*</v>
      </c>
      <c r="F238" s="32">
        <f t="shared" si="19"/>
        <v>231</v>
      </c>
      <c r="G238" s="76" t="s">
        <v>440</v>
      </c>
      <c r="H238" s="29" t="s">
        <v>277</v>
      </c>
      <c r="I238" s="21">
        <f t="shared" si="18"/>
        <v>194.4502515690439</v>
      </c>
      <c r="J238" s="21">
        <f t="shared" si="15"/>
        <v>59.5911662458454</v>
      </c>
      <c r="K238" s="30">
        <v>12.4</v>
      </c>
      <c r="L238" s="33">
        <v>16.7</v>
      </c>
      <c r="M238" s="21">
        <f t="shared" si="16"/>
        <v>7.5776922498461943</v>
      </c>
      <c r="P238" s="44"/>
      <c r="S238" s="50"/>
      <c r="T238" s="51"/>
    </row>
    <row r="239" spans="5:20">
      <c r="E239" s="20" t="str">
        <f t="shared" si="17"/>
        <v>*</v>
      </c>
      <c r="F239" s="32">
        <f t="shared" si="19"/>
        <v>232</v>
      </c>
      <c r="G239" s="76" t="s">
        <v>440</v>
      </c>
      <c r="H239" s="28" t="s">
        <v>278</v>
      </c>
      <c r="I239" s="21">
        <f t="shared" si="18"/>
        <v>187.74897041852824</v>
      </c>
      <c r="J239" s="21">
        <f t="shared" si="15"/>
        <v>24.402860604478121</v>
      </c>
      <c r="K239" s="30">
        <v>12.408333333333333</v>
      </c>
      <c r="L239" s="33">
        <v>-18.8</v>
      </c>
      <c r="M239" s="21">
        <f t="shared" si="16"/>
        <v>7.4526922498462227</v>
      </c>
      <c r="P239" s="44"/>
      <c r="S239" s="50"/>
      <c r="T239" s="51"/>
    </row>
    <row r="240" spans="5:20" ht="17">
      <c r="E240" s="20" t="str">
        <f t="shared" si="17"/>
        <v>*</v>
      </c>
      <c r="F240" s="32">
        <f t="shared" si="19"/>
        <v>233</v>
      </c>
      <c r="G240" s="76" t="s">
        <v>440</v>
      </c>
      <c r="H240" s="29" t="s">
        <v>279</v>
      </c>
      <c r="I240" s="21">
        <f t="shared" si="18"/>
        <v>191.63044356479537</v>
      </c>
      <c r="J240" s="21">
        <f t="shared" si="15"/>
        <v>50.345483946874744</v>
      </c>
      <c r="K240" s="30">
        <v>12.408333333333333</v>
      </c>
      <c r="L240" s="33">
        <v>7.3166666666666664</v>
      </c>
      <c r="M240" s="21">
        <f t="shared" si="16"/>
        <v>7.4526922498462227</v>
      </c>
      <c r="P240" s="44"/>
      <c r="S240" s="50"/>
      <c r="T240" s="51"/>
    </row>
    <row r="241" spans="5:20" ht="17">
      <c r="E241" s="20" t="str">
        <f t="shared" si="17"/>
        <v>*</v>
      </c>
      <c r="F241" s="32">
        <f t="shared" si="19"/>
        <v>234</v>
      </c>
      <c r="G241" s="76" t="s">
        <v>440</v>
      </c>
      <c r="H241" s="29" t="s">
        <v>280</v>
      </c>
      <c r="I241" s="21">
        <f t="shared" si="18"/>
        <v>192.52383969637017</v>
      </c>
      <c r="J241" s="21">
        <f t="shared" si="15"/>
        <v>54.696195947333862</v>
      </c>
      <c r="K241" s="30">
        <v>12.414999999999999</v>
      </c>
      <c r="L241" s="33">
        <v>11.7</v>
      </c>
      <c r="M241" s="21">
        <f t="shared" si="16"/>
        <v>7.3526922498462568</v>
      </c>
      <c r="P241" s="44"/>
      <c r="S241" s="50"/>
      <c r="T241" s="51"/>
    </row>
    <row r="242" spans="5:20" ht="17">
      <c r="E242" s="20" t="str">
        <f t="shared" si="17"/>
        <v>*</v>
      </c>
      <c r="F242" s="32">
        <f t="shared" si="19"/>
        <v>235</v>
      </c>
      <c r="G242" s="76" t="s">
        <v>440</v>
      </c>
      <c r="H242" s="29" t="s">
        <v>281</v>
      </c>
      <c r="I242" s="21">
        <f t="shared" si="18"/>
        <v>194.09455073792446</v>
      </c>
      <c r="J242" s="21">
        <f t="shared" si="15"/>
        <v>61.164280380926549</v>
      </c>
      <c r="K242" s="30">
        <v>12.431666666666667</v>
      </c>
      <c r="L242" s="33">
        <v>18.216666666666665</v>
      </c>
      <c r="M242" s="21">
        <f t="shared" si="16"/>
        <v>7.1026922498462</v>
      </c>
      <c r="P242" s="44"/>
      <c r="S242" s="50"/>
      <c r="T242" s="51"/>
    </row>
    <row r="243" spans="5:20" ht="17">
      <c r="E243" s="20" t="str">
        <f t="shared" si="17"/>
        <v>*</v>
      </c>
      <c r="F243" s="32">
        <f t="shared" si="19"/>
        <v>236</v>
      </c>
      <c r="G243" s="76" t="s">
        <v>440</v>
      </c>
      <c r="H243" s="29" t="s">
        <v>282</v>
      </c>
      <c r="I243" s="21">
        <f t="shared" si="18"/>
        <v>201.92182688595102</v>
      </c>
      <c r="J243" s="21">
        <f t="shared" si="15"/>
        <v>73.84235626614219</v>
      </c>
      <c r="K243" s="30">
        <v>12.44</v>
      </c>
      <c r="L243" s="33">
        <v>31.216666666666665</v>
      </c>
      <c r="M243" s="21">
        <f t="shared" si="16"/>
        <v>6.9776922498462284</v>
      </c>
      <c r="P243" s="44"/>
      <c r="S243" s="50"/>
      <c r="T243" s="51"/>
    </row>
    <row r="244" spans="5:20" ht="17">
      <c r="E244" s="20" t="str">
        <f t="shared" si="17"/>
        <v>*</v>
      </c>
      <c r="F244" s="32">
        <f t="shared" si="19"/>
        <v>237</v>
      </c>
      <c r="G244" s="76" t="s">
        <v>440</v>
      </c>
      <c r="H244" s="29" t="s">
        <v>283</v>
      </c>
      <c r="I244" s="21">
        <f t="shared" si="18"/>
        <v>192.58759132960662</v>
      </c>
      <c r="J244" s="21">
        <f t="shared" si="15"/>
        <v>58.081133298046815</v>
      </c>
      <c r="K244" s="30">
        <v>12.448333333333334</v>
      </c>
      <c r="L244" s="33">
        <v>15.05</v>
      </c>
      <c r="M244" s="21">
        <f t="shared" si="16"/>
        <v>6.8526922498462</v>
      </c>
      <c r="P244" s="44"/>
      <c r="S244" s="50"/>
      <c r="T244" s="51"/>
    </row>
    <row r="245" spans="5:20" ht="17">
      <c r="E245" s="20" t="str">
        <f t="shared" si="17"/>
        <v>*</v>
      </c>
      <c r="F245" s="32">
        <f t="shared" si="19"/>
        <v>238</v>
      </c>
      <c r="G245" s="76" t="s">
        <v>440</v>
      </c>
      <c r="H245" s="29" t="s">
        <v>284</v>
      </c>
      <c r="I245" s="21">
        <f t="shared" si="18"/>
        <v>191.3354417358444</v>
      </c>
      <c r="J245" s="21">
        <f t="shared" si="15"/>
        <v>54.208052173296011</v>
      </c>
      <c r="K245" s="30">
        <v>12.456666666666667</v>
      </c>
      <c r="L245" s="33">
        <v>11.116666666666667</v>
      </c>
      <c r="M245" s="21">
        <f t="shared" si="16"/>
        <v>6.7276922498462284</v>
      </c>
      <c r="P245" s="44"/>
      <c r="S245" s="50"/>
      <c r="T245" s="51"/>
    </row>
    <row r="246" spans="5:20" ht="17">
      <c r="E246" s="20" t="str">
        <f t="shared" si="17"/>
        <v>*</v>
      </c>
      <c r="F246" s="32">
        <f t="shared" si="19"/>
        <v>239</v>
      </c>
      <c r="G246" s="76" t="s">
        <v>440</v>
      </c>
      <c r="H246" s="29" t="s">
        <v>285</v>
      </c>
      <c r="I246" s="21">
        <f t="shared" si="18"/>
        <v>191.6928770569283</v>
      </c>
      <c r="J246" s="21">
        <f t="shared" si="15"/>
        <v>56.165485035679772</v>
      </c>
      <c r="K246" s="30">
        <v>12.461666666666666</v>
      </c>
      <c r="L246" s="33">
        <v>13.083333333333334</v>
      </c>
      <c r="M246" s="21">
        <f t="shared" si="16"/>
        <v>6.6526922498462113</v>
      </c>
      <c r="P246" s="44"/>
      <c r="S246" s="50"/>
      <c r="T246" s="51"/>
    </row>
    <row r="247" spans="5:20" ht="17">
      <c r="E247" s="20" t="str">
        <f t="shared" si="17"/>
        <v>*</v>
      </c>
      <c r="F247" s="32">
        <f t="shared" si="19"/>
        <v>240</v>
      </c>
      <c r="G247" s="76" t="s">
        <v>440</v>
      </c>
      <c r="H247" s="29" t="s">
        <v>286</v>
      </c>
      <c r="I247" s="21">
        <f t="shared" si="18"/>
        <v>191.63251706722735</v>
      </c>
      <c r="J247" s="21">
        <f t="shared" si="15"/>
        <v>56.102985204950798</v>
      </c>
      <c r="K247" s="30">
        <v>12.463333333333333</v>
      </c>
      <c r="L247" s="33">
        <v>13.016666666666667</v>
      </c>
      <c r="M247" s="21">
        <f t="shared" si="16"/>
        <v>6.6276922498462056</v>
      </c>
      <c r="P247" s="44"/>
      <c r="S247" s="50"/>
      <c r="T247" s="51"/>
    </row>
    <row r="248" spans="5:20" ht="17">
      <c r="E248" s="20" t="str">
        <f t="shared" si="17"/>
        <v>*</v>
      </c>
      <c r="F248" s="32">
        <f t="shared" si="19"/>
        <v>241</v>
      </c>
      <c r="G248" s="76" t="s">
        <v>440</v>
      </c>
      <c r="H248" s="29" t="s">
        <v>287</v>
      </c>
      <c r="I248" s="21">
        <f t="shared" si="18"/>
        <v>190.75071894437821</v>
      </c>
      <c r="J248" s="21">
        <f t="shared" si="15"/>
        <v>52.926384077155411</v>
      </c>
      <c r="K248" s="30">
        <v>12.468333333333334</v>
      </c>
      <c r="L248" s="33">
        <v>9.8000000000000007</v>
      </c>
      <c r="M248" s="21">
        <f t="shared" si="16"/>
        <v>6.552692249846217</v>
      </c>
      <c r="P248" s="44"/>
      <c r="S248" s="50"/>
      <c r="T248" s="51"/>
    </row>
    <row r="249" spans="5:20" ht="17">
      <c r="E249" s="20" t="str">
        <f t="shared" si="17"/>
        <v>*</v>
      </c>
      <c r="F249" s="32">
        <f t="shared" si="19"/>
        <v>242</v>
      </c>
      <c r="G249" s="76" t="s">
        <v>440</v>
      </c>
      <c r="H249" s="29" t="s">
        <v>288</v>
      </c>
      <c r="I249" s="21">
        <f t="shared" si="18"/>
        <v>198.27916846041126</v>
      </c>
      <c r="J249" s="21">
        <f t="shared" si="15"/>
        <v>71.447107599741869</v>
      </c>
      <c r="K249" s="30">
        <v>12.47</v>
      </c>
      <c r="L249" s="33">
        <v>28.616666666666667</v>
      </c>
      <c r="M249" s="21">
        <f t="shared" si="16"/>
        <v>6.5276922498462113</v>
      </c>
      <c r="P249" s="44"/>
      <c r="S249" s="50"/>
      <c r="T249" s="51"/>
    </row>
    <row r="250" spans="5:20" ht="17">
      <c r="E250" s="20" t="str">
        <f t="shared" si="17"/>
        <v>*</v>
      </c>
      <c r="F250" s="32">
        <f t="shared" si="19"/>
        <v>243</v>
      </c>
      <c r="G250" s="76" t="s">
        <v>440</v>
      </c>
      <c r="H250" s="29" t="s">
        <v>37</v>
      </c>
      <c r="I250" s="21">
        <f t="shared" si="18"/>
        <v>245.25383720726398</v>
      </c>
      <c r="J250" s="21">
        <f t="shared" si="15"/>
        <v>84.842496878925104</v>
      </c>
      <c r="K250" s="30">
        <v>12.47</v>
      </c>
      <c r="L250" s="33">
        <v>44.1</v>
      </c>
      <c r="M250" s="21">
        <f t="shared" si="16"/>
        <v>6.5276922498462113</v>
      </c>
      <c r="P250" s="44"/>
      <c r="S250" s="50"/>
      <c r="T250" s="51"/>
    </row>
    <row r="251" spans="5:20" ht="17">
      <c r="E251" s="20" t="str">
        <f t="shared" si="17"/>
        <v>*</v>
      </c>
      <c r="F251" s="32">
        <f t="shared" si="19"/>
        <v>244</v>
      </c>
      <c r="G251" s="76" t="s">
        <v>440</v>
      </c>
      <c r="H251" s="29" t="s">
        <v>289</v>
      </c>
      <c r="I251" s="21">
        <f t="shared" si="18"/>
        <v>192.46391822791384</v>
      </c>
      <c r="J251" s="21">
        <f t="shared" si="15"/>
        <v>60.149500789013565</v>
      </c>
      <c r="K251" s="30">
        <v>12.475</v>
      </c>
      <c r="L251" s="33">
        <v>17.083333333333332</v>
      </c>
      <c r="M251" s="21">
        <f t="shared" si="16"/>
        <v>6.4526922498462227</v>
      </c>
      <c r="P251" s="44"/>
      <c r="S251" s="50"/>
      <c r="T251" s="51"/>
    </row>
    <row r="252" spans="5:20" ht="17">
      <c r="E252" s="20" t="str">
        <f t="shared" si="17"/>
        <v>*</v>
      </c>
      <c r="F252" s="32">
        <f t="shared" si="19"/>
        <v>245</v>
      </c>
      <c r="G252" s="76" t="s">
        <v>440</v>
      </c>
      <c r="H252" s="29" t="s">
        <v>290</v>
      </c>
      <c r="I252" s="21">
        <f t="shared" si="18"/>
        <v>191.35583381018563</v>
      </c>
      <c r="J252" s="21">
        <f t="shared" si="15"/>
        <v>57.101156832563476</v>
      </c>
      <c r="K252" s="30">
        <v>12.483333333333333</v>
      </c>
      <c r="L252" s="33">
        <v>13.983333333333333</v>
      </c>
      <c r="M252" s="21">
        <f t="shared" si="16"/>
        <v>6.3276922498462511</v>
      </c>
      <c r="P252" s="44"/>
      <c r="S252" s="50"/>
      <c r="T252" s="51"/>
    </row>
    <row r="253" spans="5:20" ht="17">
      <c r="E253" s="20" t="str">
        <f t="shared" si="17"/>
        <v>*</v>
      </c>
      <c r="F253" s="32">
        <f t="shared" si="19"/>
        <v>246</v>
      </c>
      <c r="G253" s="76" t="s">
        <v>440</v>
      </c>
      <c r="H253" s="29" t="s">
        <v>291</v>
      </c>
      <c r="I253" s="21">
        <f t="shared" si="18"/>
        <v>190.86648159463917</v>
      </c>
      <c r="J253" s="21">
        <f t="shared" si="15"/>
        <v>56.582870730838614</v>
      </c>
      <c r="K253" s="30">
        <v>12.496666666666666</v>
      </c>
      <c r="L253" s="33">
        <v>13.433333333333334</v>
      </c>
      <c r="M253" s="21">
        <f t="shared" si="16"/>
        <v>6.1276922498462056</v>
      </c>
      <c r="P253" s="44"/>
      <c r="S253" s="50"/>
      <c r="T253" s="51"/>
    </row>
    <row r="254" spans="5:20" ht="17">
      <c r="E254" s="20" t="str">
        <f t="shared" si="17"/>
        <v>*</v>
      </c>
      <c r="F254" s="32">
        <f t="shared" si="19"/>
        <v>247</v>
      </c>
      <c r="G254" s="76" t="s">
        <v>440</v>
      </c>
      <c r="H254" s="29" t="s">
        <v>292</v>
      </c>
      <c r="I254" s="21">
        <f t="shared" si="18"/>
        <v>190.82732660735294</v>
      </c>
      <c r="J254" s="21">
        <f t="shared" si="15"/>
        <v>56.787567127879839</v>
      </c>
      <c r="K254" s="30">
        <v>12.5</v>
      </c>
      <c r="L254" s="33">
        <v>13.633333333333333</v>
      </c>
      <c r="M254" s="21">
        <f t="shared" si="16"/>
        <v>6.0776922498462227</v>
      </c>
      <c r="P254" s="44"/>
      <c r="S254" s="50"/>
      <c r="T254" s="51"/>
    </row>
    <row r="255" spans="5:20" ht="17">
      <c r="E255" s="20" t="str">
        <f t="shared" si="17"/>
        <v>*</v>
      </c>
      <c r="F255" s="32">
        <f t="shared" si="19"/>
        <v>248</v>
      </c>
      <c r="G255" s="76" t="s">
        <v>440</v>
      </c>
      <c r="H255" s="29" t="s">
        <v>293</v>
      </c>
      <c r="I255" s="21">
        <f t="shared" si="18"/>
        <v>190.39338833119419</v>
      </c>
      <c r="J255" s="21">
        <f t="shared" si="15"/>
        <v>55.508142201942043</v>
      </c>
      <c r="K255" s="30">
        <v>12.505000000000001</v>
      </c>
      <c r="L255" s="33">
        <v>12.333333333333334</v>
      </c>
      <c r="M255" s="21">
        <f t="shared" si="16"/>
        <v>6.0026922498462056</v>
      </c>
      <c r="P255" s="44"/>
      <c r="S255" s="50"/>
      <c r="T255" s="51"/>
    </row>
    <row r="256" spans="5:20" ht="17">
      <c r="E256" s="20" t="str">
        <f t="shared" si="17"/>
        <v>*</v>
      </c>
      <c r="F256" s="32">
        <f t="shared" si="19"/>
        <v>249</v>
      </c>
      <c r="G256" s="76" t="s">
        <v>440</v>
      </c>
      <c r="H256" s="29" t="s">
        <v>294</v>
      </c>
      <c r="I256" s="21">
        <f t="shared" si="18"/>
        <v>224.10471025134217</v>
      </c>
      <c r="J256" s="21">
        <f t="shared" si="15"/>
        <v>83.612212760779556</v>
      </c>
      <c r="K256" s="30">
        <v>12.508333333333333</v>
      </c>
      <c r="L256" s="33">
        <v>41.7</v>
      </c>
      <c r="M256" s="21">
        <f t="shared" si="16"/>
        <v>5.9526922498462227</v>
      </c>
      <c r="P256" s="44"/>
      <c r="S256" s="50"/>
      <c r="T256" s="51"/>
    </row>
    <row r="257" spans="5:20" ht="17">
      <c r="E257" s="20" t="str">
        <f t="shared" si="17"/>
        <v>*</v>
      </c>
      <c r="F257" s="32">
        <f t="shared" si="19"/>
        <v>250</v>
      </c>
      <c r="G257" s="76" t="s">
        <v>440</v>
      </c>
      <c r="H257" s="29" t="s">
        <v>295</v>
      </c>
      <c r="I257" s="21">
        <f t="shared" si="18"/>
        <v>223.59428332460797</v>
      </c>
      <c r="J257" s="21">
        <f t="shared" si="15"/>
        <v>83.57286161179664</v>
      </c>
      <c r="K257" s="30">
        <v>12.51</v>
      </c>
      <c r="L257" s="33">
        <v>41.633333333333333</v>
      </c>
      <c r="M257" s="21">
        <f t="shared" si="16"/>
        <v>5.927692249846217</v>
      </c>
      <c r="P257" s="44"/>
      <c r="S257" s="50"/>
      <c r="T257" s="51"/>
    </row>
    <row r="258" spans="5:20" ht="17">
      <c r="E258" s="20" t="str">
        <f t="shared" si="17"/>
        <v>*</v>
      </c>
      <c r="F258" s="32">
        <f t="shared" si="19"/>
        <v>251</v>
      </c>
      <c r="G258" s="76" t="s">
        <v>440</v>
      </c>
      <c r="H258" s="29" t="s">
        <v>296</v>
      </c>
      <c r="I258" s="21">
        <f t="shared" si="18"/>
        <v>194.41298131750173</v>
      </c>
      <c r="J258" s="21">
        <f t="shared" si="15"/>
        <v>68.836210807439727</v>
      </c>
      <c r="K258" s="30">
        <v>12.523333333333333</v>
      </c>
      <c r="L258" s="33">
        <v>25.783333333333335</v>
      </c>
      <c r="M258" s="21">
        <f t="shared" si="16"/>
        <v>5.7276922498462284</v>
      </c>
      <c r="P258" s="44"/>
      <c r="S258" s="50"/>
      <c r="T258" s="51"/>
    </row>
    <row r="259" spans="5:20" ht="17">
      <c r="E259" s="20" t="str">
        <f t="shared" si="17"/>
        <v>*</v>
      </c>
      <c r="F259" s="32">
        <f t="shared" si="19"/>
        <v>252</v>
      </c>
      <c r="G259" s="76" t="s">
        <v>440</v>
      </c>
      <c r="H259" s="29" t="s">
        <v>297</v>
      </c>
      <c r="I259" s="21">
        <f t="shared" si="18"/>
        <v>188.01233243250431</v>
      </c>
      <c r="J259" s="21">
        <f t="shared" si="15"/>
        <v>51.005375562074349</v>
      </c>
      <c r="K259" s="30">
        <v>12.566666666666666</v>
      </c>
      <c r="L259" s="33">
        <v>7.7</v>
      </c>
      <c r="M259" s="21">
        <f t="shared" si="16"/>
        <v>5.0776922498462227</v>
      </c>
      <c r="P259" s="44"/>
      <c r="S259" s="50"/>
      <c r="T259" s="51"/>
    </row>
    <row r="260" spans="5:20" ht="17">
      <c r="E260" s="20" t="str">
        <f t="shared" si="17"/>
        <v>*</v>
      </c>
      <c r="F260" s="32">
        <f t="shared" si="19"/>
        <v>253</v>
      </c>
      <c r="G260" s="76" t="s">
        <v>440</v>
      </c>
      <c r="H260" s="29" t="s">
        <v>298</v>
      </c>
      <c r="I260" s="21">
        <f t="shared" si="18"/>
        <v>187.27321597598169</v>
      </c>
      <c r="J260" s="21">
        <f t="shared" si="15"/>
        <v>45.979051557274218</v>
      </c>
      <c r="K260" s="30">
        <v>12.568333333333333</v>
      </c>
      <c r="L260" s="33">
        <v>2.65</v>
      </c>
      <c r="M260" s="21">
        <f t="shared" si="16"/>
        <v>5.052692249846217</v>
      </c>
      <c r="P260" s="44"/>
      <c r="S260" s="50"/>
      <c r="T260" s="51"/>
    </row>
    <row r="261" spans="5:20" ht="17">
      <c r="E261" s="20" t="str">
        <f t="shared" si="17"/>
        <v>*</v>
      </c>
      <c r="F261" s="32">
        <f t="shared" si="19"/>
        <v>254</v>
      </c>
      <c r="G261" s="76" t="s">
        <v>440</v>
      </c>
      <c r="H261" s="29" t="s">
        <v>299</v>
      </c>
      <c r="I261" s="21">
        <f t="shared" si="18"/>
        <v>187.97147411206009</v>
      </c>
      <c r="J261" s="21">
        <f t="shared" si="15"/>
        <v>51.510215702401752</v>
      </c>
      <c r="K261" s="30">
        <v>12.571666666666667</v>
      </c>
      <c r="L261" s="33">
        <v>8.1999999999999993</v>
      </c>
      <c r="M261" s="21">
        <f t="shared" si="16"/>
        <v>5.0026922498462056</v>
      </c>
      <c r="P261" s="44"/>
      <c r="S261" s="50"/>
      <c r="T261" s="51"/>
    </row>
    <row r="262" spans="5:20" ht="17">
      <c r="E262" s="20" t="str">
        <f t="shared" si="17"/>
        <v>*</v>
      </c>
      <c r="F262" s="32">
        <f t="shared" si="19"/>
        <v>255</v>
      </c>
      <c r="G262" s="76" t="s">
        <v>440</v>
      </c>
      <c r="H262" s="29" t="s">
        <v>300</v>
      </c>
      <c r="I262" s="21">
        <f t="shared" si="18"/>
        <v>187.07297459739999</v>
      </c>
      <c r="J262" s="21">
        <f t="shared" si="15"/>
        <v>45.522721084218531</v>
      </c>
      <c r="K262" s="30">
        <v>12.574999999999999</v>
      </c>
      <c r="L262" s="33">
        <v>2.1833333333333331</v>
      </c>
      <c r="M262" s="21">
        <f t="shared" si="16"/>
        <v>4.9526922498462227</v>
      </c>
      <c r="P262" s="44"/>
      <c r="S262" s="50"/>
      <c r="T262" s="51"/>
    </row>
    <row r="263" spans="5:20" ht="17">
      <c r="E263" s="20" t="str">
        <f t="shared" si="17"/>
        <v>*</v>
      </c>
      <c r="F263" s="32">
        <f t="shared" si="19"/>
        <v>256</v>
      </c>
      <c r="G263" s="76" t="s">
        <v>440</v>
      </c>
      <c r="H263" s="29" t="s">
        <v>301</v>
      </c>
      <c r="I263" s="21">
        <f t="shared" si="18"/>
        <v>186.09259233121233</v>
      </c>
      <c r="J263" s="21">
        <f t="shared" si="15"/>
        <v>39.577744512946587</v>
      </c>
      <c r="K263" s="30">
        <v>12.591666666666667</v>
      </c>
      <c r="L263" s="33">
        <v>-3.8</v>
      </c>
      <c r="M263" s="21">
        <f t="shared" si="16"/>
        <v>4.7026922498462227</v>
      </c>
      <c r="P263" s="44"/>
      <c r="S263" s="50"/>
      <c r="T263" s="51"/>
    </row>
    <row r="264" spans="5:20" ht="17">
      <c r="E264" s="20" t="str">
        <f t="shared" si="17"/>
        <v>*</v>
      </c>
      <c r="F264" s="32">
        <f t="shared" si="19"/>
        <v>257</v>
      </c>
      <c r="G264" s="76" t="s">
        <v>440</v>
      </c>
      <c r="H264" s="29" t="s">
        <v>302</v>
      </c>
      <c r="I264" s="21">
        <f t="shared" si="18"/>
        <v>188.61330948958809</v>
      </c>
      <c r="J264" s="21">
        <f t="shared" ref="J264:J327" si="20">ASIN(SIN($M$409*L264)*SIN($M$409*$C$13)+COS($M$409*L264)*COS($M$409*$C$13)*COS($M$409*M264))/$M$409</f>
        <v>57.805113263641218</v>
      </c>
      <c r="K264" s="30">
        <v>12.59</v>
      </c>
      <c r="L264" s="33">
        <v>14.5</v>
      </c>
      <c r="M264" s="21">
        <f t="shared" ref="M264:M327" si="21">$C$16-((K264/24)*360)</f>
        <v>4.7276922498462284</v>
      </c>
      <c r="P264" s="44"/>
      <c r="S264" s="50"/>
      <c r="T264" s="51"/>
    </row>
    <row r="265" spans="5:20" ht="17">
      <c r="E265" s="20" t="str">
        <f t="shared" ref="E265:E328" si="22">IF(AND(J265&gt;=$J$4,J265&lt;=$J$6,I265&gt;=$I$4,I265&lt;=$I$6),IF(VLOOKUP(G265,$C$19:$D$24,2,FALSE)="yes","*","-"),"")</f>
        <v>*</v>
      </c>
      <c r="F265" s="32">
        <f t="shared" si="19"/>
        <v>258</v>
      </c>
      <c r="G265" s="76" t="s">
        <v>440</v>
      </c>
      <c r="H265" s="29" t="s">
        <v>303</v>
      </c>
      <c r="I265" s="21">
        <f t="shared" ref="I265:I328" si="23">IF(SIN($M$409*M265)&lt;0,ACOS((SIN($M$409*L265)-SIN($M$409*J265)*SIN($M$409*$C$13))/(COS($M$409*J265)*COS($M$409*$C$13)))/$M$409,360-ACOS((SIN($M$409*L265)-SIN($M$409*J265)*SIN($M$409*$C$13))/(COS($M$409*J265)*COS($M$409*$C$13)))/$M$409)</f>
        <v>188.14043098380196</v>
      </c>
      <c r="J265" s="21">
        <f t="shared" si="20"/>
        <v>55.536464948676347</v>
      </c>
      <c r="K265" s="30">
        <v>12.591666666666667</v>
      </c>
      <c r="L265" s="33">
        <v>12.216666666666667</v>
      </c>
      <c r="M265" s="21">
        <f t="shared" si="21"/>
        <v>4.7026922498462227</v>
      </c>
      <c r="P265" s="44"/>
      <c r="S265" s="50"/>
      <c r="T265" s="51"/>
    </row>
    <row r="266" spans="5:20" ht="17">
      <c r="E266" s="20" t="str">
        <f t="shared" si="22"/>
        <v>*</v>
      </c>
      <c r="F266" s="32">
        <f t="shared" ref="F266:F329" si="24">F265+1</f>
        <v>259</v>
      </c>
      <c r="G266" s="76" t="s">
        <v>440</v>
      </c>
      <c r="H266" s="29" t="s">
        <v>45</v>
      </c>
      <c r="I266" s="21">
        <f t="shared" si="23"/>
        <v>192.61432289631219</v>
      </c>
      <c r="J266" s="21">
        <f t="shared" si="20"/>
        <v>71.168994597588977</v>
      </c>
      <c r="K266" s="30">
        <v>12.6</v>
      </c>
      <c r="L266" s="33">
        <v>27.966666666666665</v>
      </c>
      <c r="M266" s="21">
        <f t="shared" si="21"/>
        <v>4.5776922498462227</v>
      </c>
      <c r="P266" s="44"/>
      <c r="S266" s="50"/>
      <c r="T266" s="51"/>
    </row>
    <row r="267" spans="5:20" ht="17">
      <c r="E267" s="20" t="str">
        <f t="shared" si="22"/>
        <v>*</v>
      </c>
      <c r="F267" s="32">
        <f t="shared" si="24"/>
        <v>260</v>
      </c>
      <c r="G267" s="76" t="s">
        <v>440</v>
      </c>
      <c r="H267" s="29" t="s">
        <v>47</v>
      </c>
      <c r="I267" s="21">
        <f t="shared" si="23"/>
        <v>191.47470260823999</v>
      </c>
      <c r="J267" s="21">
        <f t="shared" si="20"/>
        <v>69.222370631463576</v>
      </c>
      <c r="K267" s="30">
        <v>12.605</v>
      </c>
      <c r="L267" s="33">
        <v>25.983333333333334</v>
      </c>
      <c r="M267" s="21">
        <f t="shared" si="21"/>
        <v>4.5026922498462056</v>
      </c>
      <c r="P267" s="44"/>
      <c r="S267" s="50"/>
      <c r="T267" s="51"/>
    </row>
    <row r="268" spans="5:20" ht="17">
      <c r="E268" s="20" t="str">
        <f t="shared" si="22"/>
        <v>*</v>
      </c>
      <c r="F268" s="32">
        <f t="shared" si="24"/>
        <v>261</v>
      </c>
      <c r="G268" s="76" t="s">
        <v>440</v>
      </c>
      <c r="H268" s="29" t="s">
        <v>304</v>
      </c>
      <c r="I268" s="21">
        <f t="shared" si="23"/>
        <v>186.81536229405557</v>
      </c>
      <c r="J268" s="21">
        <f t="shared" si="20"/>
        <v>50.621632836402057</v>
      </c>
      <c r="K268" s="30">
        <v>12.615</v>
      </c>
      <c r="L268" s="33">
        <v>7.25</v>
      </c>
      <c r="M268" s="21">
        <f t="shared" si="21"/>
        <v>4.3526922498462284</v>
      </c>
      <c r="P268" s="44"/>
      <c r="S268" s="50"/>
      <c r="T268" s="51"/>
    </row>
    <row r="269" spans="5:20" ht="17">
      <c r="E269" s="20" t="str">
        <f t="shared" si="22"/>
        <v>*</v>
      </c>
      <c r="F269" s="32">
        <f t="shared" si="24"/>
        <v>262</v>
      </c>
      <c r="G269" s="76" t="s">
        <v>440</v>
      </c>
      <c r="H269" s="29" t="s">
        <v>305</v>
      </c>
      <c r="I269" s="21">
        <f t="shared" si="23"/>
        <v>184.12623190154662</v>
      </c>
      <c r="J269" s="21">
        <f t="shared" si="20"/>
        <v>31.844578903074829</v>
      </c>
      <c r="K269" s="30">
        <v>12.666666666666666</v>
      </c>
      <c r="L269" s="33">
        <v>-11.616666666666667</v>
      </c>
      <c r="M269" s="21">
        <f t="shared" si="21"/>
        <v>3.5776922498462227</v>
      </c>
      <c r="P269" s="44"/>
      <c r="S269" s="50"/>
      <c r="T269" s="51"/>
    </row>
    <row r="270" spans="5:20" ht="17">
      <c r="E270" s="20" t="str">
        <f t="shared" si="22"/>
        <v>*</v>
      </c>
      <c r="F270" s="32">
        <f t="shared" si="24"/>
        <v>263</v>
      </c>
      <c r="G270" s="76" t="s">
        <v>440</v>
      </c>
      <c r="H270" s="29" t="s">
        <v>306</v>
      </c>
      <c r="I270" s="21">
        <f t="shared" si="23"/>
        <v>185.98289789222301</v>
      </c>
      <c r="J270" s="21">
        <f t="shared" si="20"/>
        <v>53.603729406655056</v>
      </c>
      <c r="K270" s="30">
        <v>12.664999999999999</v>
      </c>
      <c r="L270" s="33">
        <v>10.183333333333334</v>
      </c>
      <c r="M270" s="21">
        <f t="shared" si="21"/>
        <v>3.6026922498462284</v>
      </c>
      <c r="P270" s="44"/>
      <c r="S270" s="50"/>
      <c r="T270" s="51"/>
    </row>
    <row r="271" spans="5:20" ht="17">
      <c r="E271" s="20" t="str">
        <f t="shared" si="22"/>
        <v>*</v>
      </c>
      <c r="F271" s="32">
        <f t="shared" si="24"/>
        <v>264</v>
      </c>
      <c r="G271" s="76" t="s">
        <v>440</v>
      </c>
      <c r="H271" s="29" t="s">
        <v>307</v>
      </c>
      <c r="I271" s="21">
        <f t="shared" si="23"/>
        <v>204.68690335986881</v>
      </c>
      <c r="J271" s="21">
        <f t="shared" si="20"/>
        <v>84.219136140040277</v>
      </c>
      <c r="K271" s="30">
        <v>12.691666666666666</v>
      </c>
      <c r="L271" s="33">
        <v>41.15</v>
      </c>
      <c r="M271" s="21">
        <f t="shared" si="21"/>
        <v>3.2026922498462511</v>
      </c>
      <c r="P271" s="44"/>
      <c r="S271" s="50"/>
      <c r="T271" s="51"/>
    </row>
    <row r="272" spans="5:20" ht="17">
      <c r="E272" s="20" t="str">
        <f t="shared" si="22"/>
        <v>*</v>
      </c>
      <c r="F272" s="32">
        <f t="shared" si="24"/>
        <v>265</v>
      </c>
      <c r="G272" s="76" t="s">
        <v>440</v>
      </c>
      <c r="H272" s="29" t="s">
        <v>44</v>
      </c>
      <c r="I272" s="21">
        <f t="shared" si="23"/>
        <v>190.61144790568656</v>
      </c>
      <c r="J272" s="21">
        <f t="shared" si="20"/>
        <v>75.888311033227126</v>
      </c>
      <c r="K272" s="30">
        <v>12.701666666666666</v>
      </c>
      <c r="L272" s="33">
        <v>32.533333333333331</v>
      </c>
      <c r="M272" s="21">
        <f t="shared" si="21"/>
        <v>3.052692249846217</v>
      </c>
      <c r="P272" s="44"/>
      <c r="S272" s="50"/>
      <c r="T272" s="51"/>
    </row>
    <row r="273" spans="5:20" ht="17">
      <c r="E273" s="20" t="str">
        <f t="shared" si="22"/>
        <v>*</v>
      </c>
      <c r="F273" s="32">
        <f t="shared" si="24"/>
        <v>266</v>
      </c>
      <c r="G273" s="76" t="s">
        <v>440</v>
      </c>
      <c r="H273" s="29" t="s">
        <v>308</v>
      </c>
      <c r="I273" s="21">
        <f t="shared" si="23"/>
        <v>184.15207682519565</v>
      </c>
      <c r="J273" s="21">
        <f t="shared" si="20"/>
        <v>46.16149385070063</v>
      </c>
      <c r="K273" s="30">
        <v>12.713333333333333</v>
      </c>
      <c r="L273" s="33">
        <v>2.6833333333333336</v>
      </c>
      <c r="M273" s="21">
        <f t="shared" si="21"/>
        <v>2.8776922498462341</v>
      </c>
      <c r="P273" s="44"/>
      <c r="S273" s="50"/>
      <c r="T273" s="51"/>
    </row>
    <row r="274" spans="5:20" ht="17">
      <c r="E274" s="20" t="str">
        <f t="shared" si="22"/>
        <v>*</v>
      </c>
      <c r="F274" s="32">
        <f t="shared" si="24"/>
        <v>267</v>
      </c>
      <c r="G274" s="76" t="s">
        <v>440</v>
      </c>
      <c r="H274" s="29" t="s">
        <v>309</v>
      </c>
      <c r="I274" s="21">
        <f t="shared" si="23"/>
        <v>183.92431996615906</v>
      </c>
      <c r="J274" s="21">
        <f t="shared" si="20"/>
        <v>45.468383957265331</v>
      </c>
      <c r="K274" s="30">
        <v>12.721666666666666</v>
      </c>
      <c r="L274" s="33">
        <v>1.9833333333333334</v>
      </c>
      <c r="M274" s="21">
        <f t="shared" si="21"/>
        <v>2.7526922498462625</v>
      </c>
      <c r="P274" s="44"/>
      <c r="S274" s="50"/>
      <c r="T274" s="51"/>
    </row>
    <row r="275" spans="5:20" ht="17">
      <c r="E275" s="20" t="str">
        <f t="shared" si="22"/>
        <v>*</v>
      </c>
      <c r="F275" s="32">
        <f t="shared" si="24"/>
        <v>268</v>
      </c>
      <c r="G275" s="76" t="s">
        <v>440</v>
      </c>
      <c r="H275" s="29" t="s">
        <v>310</v>
      </c>
      <c r="I275" s="21">
        <f t="shared" si="23"/>
        <v>184.56494982514471</v>
      </c>
      <c r="J275" s="21">
        <f t="shared" si="20"/>
        <v>56.612580060454867</v>
      </c>
      <c r="K275" s="30">
        <v>12.733333333333333</v>
      </c>
      <c r="L275" s="33">
        <v>13.133333333333333</v>
      </c>
      <c r="M275" s="21">
        <f t="shared" si="21"/>
        <v>2.5776922498462227</v>
      </c>
      <c r="P275" s="44"/>
      <c r="S275" s="50"/>
      <c r="T275" s="51"/>
    </row>
    <row r="276" spans="5:20" ht="17">
      <c r="E276" s="20" t="str">
        <f t="shared" si="22"/>
        <v>*</v>
      </c>
      <c r="F276" s="32">
        <f t="shared" si="24"/>
        <v>269</v>
      </c>
      <c r="G276" s="76" t="s">
        <v>440</v>
      </c>
      <c r="H276" s="29" t="s">
        <v>311</v>
      </c>
      <c r="I276" s="21">
        <f t="shared" si="23"/>
        <v>188.79384662529546</v>
      </c>
      <c r="J276" s="21">
        <f t="shared" si="20"/>
        <v>75.580255117429772</v>
      </c>
      <c r="K276" s="30">
        <v>12.733333333333333</v>
      </c>
      <c r="L276" s="33">
        <v>32.166666666666664</v>
      </c>
      <c r="M276" s="21">
        <f t="shared" si="21"/>
        <v>2.5776922498462227</v>
      </c>
      <c r="P276" s="44"/>
      <c r="S276" s="50"/>
      <c r="T276" s="51"/>
    </row>
    <row r="277" spans="5:20" ht="17">
      <c r="E277" s="20" t="str">
        <f t="shared" si="22"/>
        <v>*</v>
      </c>
      <c r="F277" s="32">
        <f t="shared" si="24"/>
        <v>270</v>
      </c>
      <c r="G277" s="76" t="s">
        <v>440</v>
      </c>
      <c r="H277" s="29" t="s">
        <v>312</v>
      </c>
      <c r="I277" s="21">
        <f t="shared" si="23"/>
        <v>184.16337636254516</v>
      </c>
      <c r="J277" s="21">
        <f t="shared" si="20"/>
        <v>54.671934528143375</v>
      </c>
      <c r="K277" s="30">
        <v>12.741666666666667</v>
      </c>
      <c r="L277" s="33">
        <v>11.183333333333334</v>
      </c>
      <c r="M277" s="21">
        <f t="shared" si="21"/>
        <v>2.4526922498461943</v>
      </c>
      <c r="P277" s="44"/>
      <c r="S277" s="50"/>
      <c r="T277" s="51"/>
    </row>
    <row r="278" spans="5:20" ht="17">
      <c r="E278" s="20" t="str">
        <f t="shared" si="22"/>
        <v>*</v>
      </c>
      <c r="F278" s="32">
        <f t="shared" si="24"/>
        <v>271</v>
      </c>
      <c r="G278" s="76" t="s">
        <v>440</v>
      </c>
      <c r="H278" s="29" t="s">
        <v>313</v>
      </c>
      <c r="I278" s="21">
        <f t="shared" si="23"/>
        <v>183.3447766501298</v>
      </c>
      <c r="J278" s="21">
        <f t="shared" si="20"/>
        <v>46.553691707988889</v>
      </c>
      <c r="K278" s="30">
        <v>12.751666666666667</v>
      </c>
      <c r="L278" s="33">
        <v>3.05</v>
      </c>
      <c r="M278" s="21">
        <f t="shared" si="21"/>
        <v>2.302692249846217</v>
      </c>
      <c r="P278" s="44"/>
      <c r="S278" s="50"/>
      <c r="T278" s="51"/>
    </row>
    <row r="279" spans="5:20" ht="17">
      <c r="E279" s="20" t="str">
        <f t="shared" si="22"/>
        <v>*</v>
      </c>
      <c r="F279" s="32">
        <f t="shared" si="24"/>
        <v>272</v>
      </c>
      <c r="G279" s="76" t="s">
        <v>440</v>
      </c>
      <c r="H279" s="29" t="s">
        <v>314</v>
      </c>
      <c r="I279" s="21">
        <f t="shared" si="23"/>
        <v>183.20032514509606</v>
      </c>
      <c r="J279" s="21">
        <f t="shared" si="20"/>
        <v>43.972358549365687</v>
      </c>
      <c r="K279" s="30">
        <v>12.751666666666667</v>
      </c>
      <c r="L279" s="33">
        <v>0.46666666666666667</v>
      </c>
      <c r="M279" s="21">
        <f t="shared" si="21"/>
        <v>2.302692249846217</v>
      </c>
      <c r="P279" s="44"/>
      <c r="S279" s="50"/>
      <c r="T279" s="51"/>
    </row>
    <row r="280" spans="5:20" ht="17">
      <c r="E280" s="20" t="str">
        <f t="shared" si="22"/>
        <v>*</v>
      </c>
      <c r="F280" s="32">
        <f t="shared" si="24"/>
        <v>273</v>
      </c>
      <c r="G280" s="76" t="s">
        <v>440</v>
      </c>
      <c r="H280" s="29" t="s">
        <v>315</v>
      </c>
      <c r="I280" s="21">
        <f t="shared" si="23"/>
        <v>182.92627847091066</v>
      </c>
      <c r="J280" s="21">
        <f t="shared" si="20"/>
        <v>57.28802779016101</v>
      </c>
      <c r="K280" s="30">
        <v>12.796666666666667</v>
      </c>
      <c r="L280" s="33">
        <v>13.766666666666667</v>
      </c>
      <c r="M280" s="21">
        <f t="shared" si="21"/>
        <v>1.6276922498462341</v>
      </c>
      <c r="P280" s="44"/>
      <c r="S280" s="50"/>
      <c r="T280" s="51"/>
    </row>
    <row r="281" spans="5:20" ht="17">
      <c r="E281" s="20" t="str">
        <f t="shared" si="22"/>
        <v>*</v>
      </c>
      <c r="F281" s="32">
        <f t="shared" si="24"/>
        <v>274</v>
      </c>
      <c r="G281" s="76" t="s">
        <v>440</v>
      </c>
      <c r="H281" s="29" t="s">
        <v>57</v>
      </c>
      <c r="I281" s="21">
        <f t="shared" si="23"/>
        <v>181.79611991237721</v>
      </c>
      <c r="J281" s="21">
        <f t="shared" si="20"/>
        <v>37.734582104530887</v>
      </c>
      <c r="K281" s="30">
        <v>12.81</v>
      </c>
      <c r="L281" s="33">
        <v>-5.8</v>
      </c>
      <c r="M281" s="21">
        <f t="shared" si="21"/>
        <v>1.4276922498461886</v>
      </c>
      <c r="P281" s="44"/>
      <c r="S281" s="50"/>
      <c r="T281" s="51"/>
    </row>
    <row r="282" spans="5:20" ht="17">
      <c r="E282" s="20" t="str">
        <f t="shared" si="22"/>
        <v>*</v>
      </c>
      <c r="F282" s="32">
        <f t="shared" si="24"/>
        <v>275</v>
      </c>
      <c r="G282" s="76" t="s">
        <v>440</v>
      </c>
      <c r="H282" s="29" t="s">
        <v>316</v>
      </c>
      <c r="I282" s="21">
        <f t="shared" si="23"/>
        <v>182.37497512333368</v>
      </c>
      <c r="J282" s="21">
        <f t="shared" si="20"/>
        <v>52.012232296855913</v>
      </c>
      <c r="K282" s="30">
        <v>12.806666666666667</v>
      </c>
      <c r="L282" s="33">
        <v>8.4833333333333325</v>
      </c>
      <c r="M282" s="21">
        <f t="shared" si="21"/>
        <v>1.4776922498462</v>
      </c>
      <c r="P282" s="44"/>
      <c r="S282" s="50"/>
      <c r="T282" s="51"/>
    </row>
    <row r="283" spans="5:20" ht="17">
      <c r="E283" s="20" t="str">
        <f t="shared" si="22"/>
        <v>*</v>
      </c>
      <c r="F283" s="32">
        <f t="shared" si="24"/>
        <v>276</v>
      </c>
      <c r="G283" s="76" t="s">
        <v>440</v>
      </c>
      <c r="H283" s="29" t="s">
        <v>317</v>
      </c>
      <c r="I283" s="21">
        <f t="shared" si="23"/>
        <v>181.59984425111912</v>
      </c>
      <c r="J283" s="21">
        <f t="shared" si="20"/>
        <v>34.870562169986137</v>
      </c>
      <c r="K283" s="30">
        <v>12.816666666666666</v>
      </c>
      <c r="L283" s="33">
        <v>-8.6666666666666661</v>
      </c>
      <c r="M283" s="21">
        <f t="shared" si="21"/>
        <v>1.3276922498462227</v>
      </c>
      <c r="P283" s="44"/>
      <c r="S283" s="50"/>
      <c r="T283" s="51"/>
    </row>
    <row r="284" spans="5:20" ht="17">
      <c r="E284" s="20" t="str">
        <f t="shared" si="22"/>
        <v>*</v>
      </c>
      <c r="F284" s="32">
        <f t="shared" si="24"/>
        <v>277</v>
      </c>
      <c r="G284" s="76" t="s">
        <v>440</v>
      </c>
      <c r="H284" s="29" t="s">
        <v>318</v>
      </c>
      <c r="I284" s="21">
        <f t="shared" si="23"/>
        <v>182.46703874288184</v>
      </c>
      <c r="J284" s="21">
        <f t="shared" si="20"/>
        <v>69.035497042907195</v>
      </c>
      <c r="K284" s="30">
        <v>12.84</v>
      </c>
      <c r="L284" s="33">
        <v>25.5</v>
      </c>
      <c r="M284" s="21">
        <f t="shared" si="21"/>
        <v>0.97769224984619996</v>
      </c>
      <c r="P284" s="44"/>
      <c r="S284" s="50"/>
      <c r="T284" s="51"/>
    </row>
    <row r="285" spans="5:20" ht="17">
      <c r="E285" s="20" t="str">
        <f t="shared" si="22"/>
        <v>*</v>
      </c>
      <c r="F285" s="32">
        <f t="shared" si="24"/>
        <v>278</v>
      </c>
      <c r="G285" s="76" t="s">
        <v>440</v>
      </c>
      <c r="H285" s="29" t="s">
        <v>319</v>
      </c>
      <c r="I285" s="21">
        <f t="shared" si="23"/>
        <v>180.64621091381079</v>
      </c>
      <c r="J285" s="21">
        <f t="shared" si="20"/>
        <v>42.348143987887603</v>
      </c>
      <c r="K285" s="30">
        <v>12.873333333333333</v>
      </c>
      <c r="L285" s="33">
        <v>-1.2</v>
      </c>
      <c r="M285" s="21">
        <f t="shared" si="21"/>
        <v>0.47769224984619996</v>
      </c>
      <c r="P285" s="44"/>
      <c r="S285" s="50"/>
      <c r="T285" s="51"/>
    </row>
    <row r="286" spans="5:20" ht="17">
      <c r="E286" s="20" t="str">
        <f t="shared" si="22"/>
        <v>*</v>
      </c>
      <c r="F286" s="32">
        <f t="shared" si="24"/>
        <v>279</v>
      </c>
      <c r="G286" s="76" t="s">
        <v>440</v>
      </c>
      <c r="H286" s="29" t="s">
        <v>320</v>
      </c>
      <c r="I286" s="21">
        <f t="shared" si="23"/>
        <v>180.85649914933902</v>
      </c>
      <c r="J286" s="21">
        <f t="shared" si="20"/>
        <v>54.864077927582464</v>
      </c>
      <c r="K286" s="30">
        <v>12.871666666666666</v>
      </c>
      <c r="L286" s="33">
        <v>11.316666666666666</v>
      </c>
      <c r="M286" s="21">
        <f t="shared" si="21"/>
        <v>0.50269224984620564</v>
      </c>
      <c r="P286" s="44"/>
      <c r="S286" s="50"/>
      <c r="T286" s="51"/>
    </row>
    <row r="287" spans="5:20" ht="17">
      <c r="E287" s="20" t="str">
        <f t="shared" si="22"/>
        <v>*</v>
      </c>
      <c r="F287" s="32">
        <f t="shared" si="24"/>
        <v>280</v>
      </c>
      <c r="G287" s="76" t="s">
        <v>440</v>
      </c>
      <c r="H287" s="29" t="s">
        <v>321</v>
      </c>
      <c r="I287" s="21">
        <f t="shared" si="23"/>
        <v>180.5998727669425</v>
      </c>
      <c r="J287" s="21">
        <f t="shared" si="20"/>
        <v>54.782061254775464</v>
      </c>
      <c r="K287" s="30">
        <v>12.881666666666666</v>
      </c>
      <c r="L287" s="33">
        <v>11.233333333333333</v>
      </c>
      <c r="M287" s="21">
        <f t="shared" si="21"/>
        <v>0.35269224984622838</v>
      </c>
      <c r="P287" s="44"/>
      <c r="S287" s="50"/>
      <c r="T287" s="51"/>
    </row>
    <row r="288" spans="5:20" ht="17">
      <c r="E288" s="20" t="str">
        <f t="shared" si="22"/>
        <v>*</v>
      </c>
      <c r="F288" s="32">
        <f t="shared" si="24"/>
        <v>281</v>
      </c>
      <c r="G288" s="76" t="s">
        <v>440</v>
      </c>
      <c r="H288" s="29" t="s">
        <v>322</v>
      </c>
      <c r="I288" s="21">
        <f t="shared" si="23"/>
        <v>179.9738443425349</v>
      </c>
      <c r="J288" s="21">
        <f t="shared" si="20"/>
        <v>33.016663158501636</v>
      </c>
      <c r="K288" s="30">
        <v>12.906666666666666</v>
      </c>
      <c r="L288" s="33">
        <v>-10.533333333333333</v>
      </c>
      <c r="M288" s="21">
        <f t="shared" si="21"/>
        <v>-2.2307750153771622E-2</v>
      </c>
      <c r="P288" s="44"/>
      <c r="S288" s="50"/>
      <c r="T288" s="51"/>
    </row>
    <row r="289" spans="5:20" ht="17">
      <c r="E289" s="20" t="str">
        <f t="shared" si="22"/>
        <v/>
      </c>
      <c r="F289" s="32">
        <f t="shared" si="24"/>
        <v>282</v>
      </c>
      <c r="G289" s="76" t="s">
        <v>440</v>
      </c>
      <c r="H289" s="29" t="s">
        <v>323</v>
      </c>
      <c r="I289" s="21">
        <f t="shared" si="23"/>
        <v>30.826695925603815</v>
      </c>
      <c r="J289" s="21">
        <f t="shared" si="20"/>
        <v>89.90292997263208</v>
      </c>
      <c r="K289" s="30">
        <v>12.91</v>
      </c>
      <c r="L289" s="33">
        <v>46.533333333333331</v>
      </c>
      <c r="M289" s="21">
        <f t="shared" si="21"/>
        <v>-7.230775015378299E-2</v>
      </c>
      <c r="P289" s="44"/>
      <c r="S289" s="50"/>
      <c r="T289" s="51"/>
    </row>
    <row r="290" spans="5:20" ht="17">
      <c r="E290" s="20" t="str">
        <f t="shared" si="22"/>
        <v>*</v>
      </c>
      <c r="F290" s="32">
        <f t="shared" si="24"/>
        <v>283</v>
      </c>
      <c r="G290" s="76" t="s">
        <v>440</v>
      </c>
      <c r="H290" s="29" t="s">
        <v>324</v>
      </c>
      <c r="I290" s="21">
        <f t="shared" si="23"/>
        <v>178.6932222475439</v>
      </c>
      <c r="J290" s="21">
        <f t="shared" si="20"/>
        <v>45.126086713049865</v>
      </c>
      <c r="K290" s="30">
        <v>12.966666666666667</v>
      </c>
      <c r="L290" s="33">
        <v>1.5833333333333335</v>
      </c>
      <c r="M290" s="21">
        <f t="shared" si="21"/>
        <v>-0.92230775015377731</v>
      </c>
      <c r="P290" s="44"/>
      <c r="S290" s="50"/>
      <c r="T290" s="51"/>
    </row>
    <row r="291" spans="5:20" ht="17">
      <c r="E291" s="20" t="str">
        <f t="shared" si="22"/>
        <v>*</v>
      </c>
      <c r="F291" s="32">
        <f t="shared" si="24"/>
        <v>284</v>
      </c>
      <c r="G291" s="76" t="s">
        <v>440</v>
      </c>
      <c r="H291" s="29" t="s">
        <v>325</v>
      </c>
      <c r="I291" s="21">
        <f t="shared" si="23"/>
        <v>178.62916706047011</v>
      </c>
      <c r="J291" s="21">
        <f t="shared" si="20"/>
        <v>28.506386180916113</v>
      </c>
      <c r="K291" s="30">
        <v>12.988333333333333</v>
      </c>
      <c r="L291" s="33">
        <v>-15.033333333333333</v>
      </c>
      <c r="M291" s="21">
        <f t="shared" si="21"/>
        <v>-1.2473077501537659</v>
      </c>
      <c r="P291" s="44"/>
      <c r="S291" s="50"/>
      <c r="T291" s="51"/>
    </row>
    <row r="292" spans="5:20" ht="17">
      <c r="E292" s="20" t="str">
        <f t="shared" si="22"/>
        <v>*</v>
      </c>
      <c r="F292" s="32">
        <f t="shared" si="24"/>
        <v>285</v>
      </c>
      <c r="G292" s="76" t="s">
        <v>440</v>
      </c>
      <c r="H292" s="29" t="s">
        <v>326</v>
      </c>
      <c r="I292" s="21">
        <f t="shared" si="23"/>
        <v>177.64567055766892</v>
      </c>
      <c r="J292" s="21">
        <f t="shared" si="20"/>
        <v>57.698302328036142</v>
      </c>
      <c r="K292" s="30">
        <v>12.991666666666667</v>
      </c>
      <c r="L292" s="33">
        <v>14.166666666666666</v>
      </c>
      <c r="M292" s="21">
        <f t="shared" si="21"/>
        <v>-1.2973077501537773</v>
      </c>
      <c r="P292" s="44"/>
      <c r="S292" s="50"/>
      <c r="T292" s="51"/>
    </row>
    <row r="293" spans="5:20" ht="17">
      <c r="E293" s="20" t="str">
        <f t="shared" si="22"/>
        <v>*</v>
      </c>
      <c r="F293" s="32">
        <f t="shared" si="24"/>
        <v>286</v>
      </c>
      <c r="G293" s="76" t="s">
        <v>440</v>
      </c>
      <c r="H293" s="29" t="s">
        <v>327</v>
      </c>
      <c r="I293" s="21">
        <f t="shared" si="23"/>
        <v>177.73725408273219</v>
      </c>
      <c r="J293" s="21">
        <f t="shared" si="20"/>
        <v>46.028609035889893</v>
      </c>
      <c r="K293" s="30">
        <v>13.01</v>
      </c>
      <c r="L293" s="33">
        <v>2.5</v>
      </c>
      <c r="M293" s="21">
        <f t="shared" si="21"/>
        <v>-1.572307750153783</v>
      </c>
      <c r="P293" s="44"/>
      <c r="S293" s="50"/>
      <c r="T293" s="51"/>
    </row>
    <row r="294" spans="5:20" ht="17">
      <c r="E294" s="20" t="str">
        <f t="shared" si="22"/>
        <v>*</v>
      </c>
      <c r="F294" s="32">
        <f t="shared" si="24"/>
        <v>287</v>
      </c>
      <c r="G294" s="76" t="s">
        <v>440</v>
      </c>
      <c r="H294" s="29" t="s">
        <v>328</v>
      </c>
      <c r="I294" s="21">
        <f t="shared" si="23"/>
        <v>176.50681781127383</v>
      </c>
      <c r="J294" s="21">
        <f t="shared" si="20"/>
        <v>35.47300855686823</v>
      </c>
      <c r="K294" s="30">
        <v>13.096666666666666</v>
      </c>
      <c r="L294" s="34">
        <v>-8.0166666666666675</v>
      </c>
      <c r="M294" s="21">
        <f t="shared" si="21"/>
        <v>-2.8723077501537375</v>
      </c>
      <c r="P294" s="44"/>
      <c r="S294" s="50"/>
      <c r="T294" s="51"/>
    </row>
    <row r="295" spans="5:20" ht="17">
      <c r="E295" s="20" t="str">
        <f t="shared" si="22"/>
        <v>*</v>
      </c>
      <c r="F295" s="32">
        <f t="shared" si="24"/>
        <v>288</v>
      </c>
      <c r="G295" s="76" t="s">
        <v>440</v>
      </c>
      <c r="H295" s="29" t="s">
        <v>329</v>
      </c>
      <c r="I295" s="21">
        <f t="shared" si="23"/>
        <v>175.31031052370054</v>
      </c>
      <c r="J295" s="21">
        <f t="shared" si="20"/>
        <v>35.608190935704023</v>
      </c>
      <c r="K295" s="30">
        <v>13.161666666666667</v>
      </c>
      <c r="L295" s="33">
        <v>-7.833333333333333</v>
      </c>
      <c r="M295" s="21">
        <f t="shared" si="21"/>
        <v>-3.8473077501537887</v>
      </c>
      <c r="P295" s="44"/>
      <c r="S295" s="50"/>
      <c r="T295" s="51"/>
    </row>
    <row r="296" spans="5:20" ht="17">
      <c r="E296" s="20" t="str">
        <f t="shared" si="22"/>
        <v>*</v>
      </c>
      <c r="F296" s="32">
        <f t="shared" si="24"/>
        <v>289</v>
      </c>
      <c r="G296" s="76" t="s">
        <v>440</v>
      </c>
      <c r="H296" s="29" t="s">
        <v>42</v>
      </c>
      <c r="I296" s="21">
        <f t="shared" si="23"/>
        <v>160.36804446014321</v>
      </c>
      <c r="J296" s="21">
        <f t="shared" si="20"/>
        <v>80.107635934553812</v>
      </c>
      <c r="K296" s="30">
        <v>13.181666666666667</v>
      </c>
      <c r="L296" s="33">
        <v>37.049999999999997</v>
      </c>
      <c r="M296" s="21">
        <f t="shared" si="21"/>
        <v>-4.1473077501538</v>
      </c>
      <c r="P296" s="44"/>
      <c r="S296" s="50"/>
      <c r="T296" s="51"/>
    </row>
    <row r="297" spans="5:20" ht="17">
      <c r="E297" s="20" t="str">
        <f t="shared" si="22"/>
        <v>*</v>
      </c>
      <c r="F297" s="32">
        <f t="shared" si="24"/>
        <v>290</v>
      </c>
      <c r="G297" s="76" t="s">
        <v>440</v>
      </c>
      <c r="H297" s="29" t="s">
        <v>330</v>
      </c>
      <c r="I297" s="21">
        <f t="shared" si="23"/>
        <v>158.44135810771709</v>
      </c>
      <c r="J297" s="21">
        <f t="shared" si="20"/>
        <v>79.52722385379785</v>
      </c>
      <c r="K297" s="30">
        <v>13.223333333333333</v>
      </c>
      <c r="L297" s="33">
        <v>36.6</v>
      </c>
      <c r="M297" s="21">
        <f t="shared" si="21"/>
        <v>-4.7723077501537716</v>
      </c>
      <c r="P297" s="44"/>
      <c r="S297" s="50"/>
      <c r="T297" s="51"/>
    </row>
    <row r="298" spans="5:20" ht="17">
      <c r="E298" s="20" t="str">
        <f t="shared" si="22"/>
        <v>*</v>
      </c>
      <c r="F298" s="32">
        <f t="shared" si="24"/>
        <v>291</v>
      </c>
      <c r="G298" s="76" t="s">
        <v>440</v>
      </c>
      <c r="H298" s="29" t="s">
        <v>331</v>
      </c>
      <c r="I298" s="21">
        <f t="shared" si="23"/>
        <v>173.91436120541218</v>
      </c>
      <c r="J298" s="21">
        <f t="shared" si="20"/>
        <v>26.709146916936803</v>
      </c>
      <c r="K298" s="30">
        <v>13.283333333333333</v>
      </c>
      <c r="L298" s="33">
        <v>-16.633333333333333</v>
      </c>
      <c r="M298" s="21">
        <f t="shared" si="21"/>
        <v>-5.6723077501537773</v>
      </c>
      <c r="P298" s="44"/>
      <c r="S298" s="50"/>
      <c r="T298" s="51"/>
    </row>
    <row r="299" spans="5:20" ht="17">
      <c r="E299" s="20" t="str">
        <f t="shared" si="22"/>
        <v>*</v>
      </c>
      <c r="F299" s="32">
        <f t="shared" si="24"/>
        <v>292</v>
      </c>
      <c r="G299" s="76" t="s">
        <v>440</v>
      </c>
      <c r="H299" s="29" t="s">
        <v>332</v>
      </c>
      <c r="I299" s="21">
        <f t="shared" si="23"/>
        <v>79.132960955563291</v>
      </c>
      <c r="J299" s="21">
        <f t="shared" si="20"/>
        <v>83.847952513800806</v>
      </c>
      <c r="K299" s="30">
        <v>13.5</v>
      </c>
      <c r="L299" s="33">
        <v>47.266666666666666</v>
      </c>
      <c r="M299" s="21">
        <f t="shared" si="21"/>
        <v>-8.9223077501537773</v>
      </c>
      <c r="P299" s="44"/>
      <c r="S299" s="50"/>
      <c r="T299" s="51"/>
    </row>
    <row r="300" spans="5:20" ht="17">
      <c r="E300" s="20" t="str">
        <f t="shared" si="22"/>
        <v>*</v>
      </c>
      <c r="F300" s="32">
        <f t="shared" si="24"/>
        <v>293</v>
      </c>
      <c r="G300" s="76" t="s">
        <v>440</v>
      </c>
      <c r="H300" s="29" t="s">
        <v>53</v>
      </c>
      <c r="I300" s="21">
        <f t="shared" si="23"/>
        <v>162.77516584615213</v>
      </c>
      <c r="J300" s="21">
        <f t="shared" si="20"/>
        <v>51.314901841090425</v>
      </c>
      <c r="K300" s="30">
        <v>13.625</v>
      </c>
      <c r="L300" s="33">
        <v>8.8833333333333329</v>
      </c>
      <c r="M300" s="21">
        <f t="shared" si="21"/>
        <v>-10.797307750153777</v>
      </c>
      <c r="P300" s="44"/>
      <c r="S300" s="50"/>
      <c r="T300" s="51"/>
    </row>
    <row r="301" spans="5:20" ht="17">
      <c r="E301" s="20" t="str">
        <f t="shared" si="22"/>
        <v>*</v>
      </c>
      <c r="F301" s="32">
        <f t="shared" si="24"/>
        <v>294</v>
      </c>
      <c r="G301" s="76" t="s">
        <v>440</v>
      </c>
      <c r="H301" s="29" t="s">
        <v>333</v>
      </c>
      <c r="I301" s="21">
        <f t="shared" si="23"/>
        <v>136.07068346069852</v>
      </c>
      <c r="J301" s="21">
        <f t="shared" si="20"/>
        <v>75.967809962864834</v>
      </c>
      <c r="K301" s="30">
        <v>13.701666666666666</v>
      </c>
      <c r="L301" s="33">
        <v>35.65</v>
      </c>
      <c r="M301" s="21">
        <f t="shared" si="21"/>
        <v>-11.947307750153783</v>
      </c>
      <c r="P301" s="44"/>
      <c r="S301" s="50"/>
      <c r="T301" s="51"/>
    </row>
    <row r="302" spans="5:20" ht="17">
      <c r="E302" s="20" t="str">
        <f t="shared" si="22"/>
        <v/>
      </c>
      <c r="F302" s="32">
        <f t="shared" si="24"/>
        <v>295</v>
      </c>
      <c r="G302" s="76" t="s">
        <v>440</v>
      </c>
      <c r="H302" s="29" t="s">
        <v>334</v>
      </c>
      <c r="I302" s="21">
        <f t="shared" si="23"/>
        <v>25.464050302620201</v>
      </c>
      <c r="J302" s="21">
        <f t="shared" si="20"/>
        <v>74.056527073001917</v>
      </c>
      <c r="K302" s="30">
        <v>13.821666666666667</v>
      </c>
      <c r="L302" s="33">
        <v>60.2</v>
      </c>
      <c r="M302" s="21">
        <f t="shared" si="21"/>
        <v>-13.747307750153766</v>
      </c>
      <c r="P302" s="44"/>
      <c r="S302" s="50"/>
      <c r="T302" s="51"/>
    </row>
    <row r="303" spans="5:20" ht="17">
      <c r="E303" s="20" t="str">
        <f t="shared" si="22"/>
        <v>*</v>
      </c>
      <c r="F303" s="32">
        <f t="shared" si="24"/>
        <v>296</v>
      </c>
      <c r="G303" s="76" t="s">
        <v>440</v>
      </c>
      <c r="H303" s="29" t="s">
        <v>335</v>
      </c>
      <c r="I303" s="21">
        <f t="shared" si="23"/>
        <v>157.25337530064687</v>
      </c>
      <c r="J303" s="21">
        <f t="shared" si="20"/>
        <v>46.688092623719143</v>
      </c>
      <c r="K303" s="30">
        <v>13.935</v>
      </c>
      <c r="L303" s="33">
        <v>5.25</v>
      </c>
      <c r="M303" s="21">
        <f t="shared" si="21"/>
        <v>-15.447307750153811</v>
      </c>
      <c r="P303" s="44"/>
      <c r="S303" s="50"/>
      <c r="T303" s="51"/>
    </row>
    <row r="304" spans="5:20" ht="17">
      <c r="E304" s="20" t="str">
        <f t="shared" si="22"/>
        <v>*</v>
      </c>
      <c r="F304" s="32">
        <f t="shared" si="24"/>
        <v>297</v>
      </c>
      <c r="G304" s="76" t="s">
        <v>440</v>
      </c>
      <c r="H304" s="29" t="s">
        <v>336</v>
      </c>
      <c r="I304" s="21">
        <f t="shared" si="23"/>
        <v>157.30915291004476</v>
      </c>
      <c r="J304" s="21">
        <f t="shared" si="20"/>
        <v>46.456588384651447</v>
      </c>
      <c r="K304" s="30">
        <v>13.936666666666667</v>
      </c>
      <c r="L304" s="33">
        <v>5.0166666666666666</v>
      </c>
      <c r="M304" s="21">
        <f t="shared" si="21"/>
        <v>-15.472307750153789</v>
      </c>
      <c r="P304" s="44"/>
      <c r="S304" s="50"/>
      <c r="T304" s="51"/>
    </row>
    <row r="305" spans="5:20" ht="17">
      <c r="E305" s="20" t="str">
        <f t="shared" si="22"/>
        <v>*</v>
      </c>
      <c r="F305" s="32">
        <f t="shared" si="24"/>
        <v>298</v>
      </c>
      <c r="G305" s="76" t="s">
        <v>440</v>
      </c>
      <c r="H305" s="29" t="s">
        <v>337</v>
      </c>
      <c r="I305" s="21">
        <f t="shared" si="23"/>
        <v>135.90660669323731</v>
      </c>
      <c r="J305" s="21">
        <f t="shared" si="20"/>
        <v>67.299905620348639</v>
      </c>
      <c r="K305" s="30">
        <v>14.091666666666667</v>
      </c>
      <c r="L305" s="33">
        <v>28.533333333333335</v>
      </c>
      <c r="M305" s="21">
        <f t="shared" si="21"/>
        <v>-17.797307750153777</v>
      </c>
      <c r="P305" s="44"/>
      <c r="S305" s="50"/>
      <c r="T305" s="51"/>
    </row>
    <row r="306" spans="5:20" ht="17">
      <c r="E306" s="20" t="str">
        <f t="shared" si="22"/>
        <v/>
      </c>
      <c r="F306" s="32">
        <f t="shared" si="24"/>
        <v>299</v>
      </c>
      <c r="G306" s="76" t="s">
        <v>440</v>
      </c>
      <c r="H306" s="29" t="s">
        <v>338</v>
      </c>
      <c r="I306" s="21">
        <f t="shared" si="23"/>
        <v>46.244171383380255</v>
      </c>
      <c r="J306" s="21">
        <f t="shared" si="20"/>
        <v>76.073575818337105</v>
      </c>
      <c r="K306" s="30">
        <v>14.078333333333333</v>
      </c>
      <c r="L306" s="33">
        <v>54.9</v>
      </c>
      <c r="M306" s="21">
        <f t="shared" si="21"/>
        <v>-17.597307750153789</v>
      </c>
      <c r="P306" s="44"/>
      <c r="S306" s="50"/>
      <c r="T306" s="51"/>
    </row>
    <row r="307" spans="5:20" ht="17">
      <c r="E307" s="20" t="str">
        <f t="shared" si="22"/>
        <v>*</v>
      </c>
      <c r="F307" s="32">
        <f t="shared" si="24"/>
        <v>300</v>
      </c>
      <c r="G307" s="76" t="s">
        <v>440</v>
      </c>
      <c r="H307" s="29" t="s">
        <v>339</v>
      </c>
      <c r="I307" s="21">
        <f t="shared" si="23"/>
        <v>50.954267398885072</v>
      </c>
      <c r="J307" s="21">
        <f t="shared" si="20"/>
        <v>76.609419190344028</v>
      </c>
      <c r="K307" s="30">
        <v>14.083333333333334</v>
      </c>
      <c r="L307" s="33">
        <v>53.666666666666664</v>
      </c>
      <c r="M307" s="21">
        <f t="shared" si="21"/>
        <v>-17.672307750153777</v>
      </c>
      <c r="P307" s="44"/>
      <c r="S307" s="50"/>
      <c r="T307" s="51"/>
    </row>
    <row r="308" spans="5:20" ht="17">
      <c r="E308" s="20" t="str">
        <f t="shared" si="22"/>
        <v>*</v>
      </c>
      <c r="F308" s="32">
        <f t="shared" si="24"/>
        <v>301</v>
      </c>
      <c r="G308" s="76" t="s">
        <v>440</v>
      </c>
      <c r="H308" s="29" t="s">
        <v>340</v>
      </c>
      <c r="I308" s="21">
        <f t="shared" si="23"/>
        <v>114.92518519102219</v>
      </c>
      <c r="J308" s="21">
        <f t="shared" si="20"/>
        <v>71.458810851380179</v>
      </c>
      <c r="K308" s="30">
        <v>14.306666666666667</v>
      </c>
      <c r="L308" s="33">
        <v>36.5</v>
      </c>
      <c r="M308" s="21">
        <f t="shared" si="21"/>
        <v>-21.0223077501538</v>
      </c>
      <c r="P308" s="44"/>
      <c r="S308" s="50"/>
      <c r="T308" s="51"/>
    </row>
    <row r="309" spans="5:20" ht="17">
      <c r="E309" s="20" t="str">
        <f t="shared" si="22"/>
        <v>*</v>
      </c>
      <c r="F309" s="32">
        <f t="shared" si="24"/>
        <v>302</v>
      </c>
      <c r="G309" s="76" t="s">
        <v>440</v>
      </c>
      <c r="H309" s="29" t="s">
        <v>341</v>
      </c>
      <c r="I309" s="21">
        <f t="shared" si="23"/>
        <v>149.69460062588959</v>
      </c>
      <c r="J309" s="21">
        <f t="shared" si="20"/>
        <v>43.571886703601884</v>
      </c>
      <c r="K309" s="30">
        <v>14.338333333333333</v>
      </c>
      <c r="L309" s="33">
        <v>3.9333333333333336</v>
      </c>
      <c r="M309" s="21">
        <f t="shared" si="21"/>
        <v>-21.497307750153794</v>
      </c>
      <c r="P309" s="44"/>
      <c r="S309" s="50"/>
      <c r="T309" s="51"/>
    </row>
    <row r="310" spans="5:20" ht="17">
      <c r="E310" s="20" t="str">
        <f t="shared" si="22"/>
        <v>*</v>
      </c>
      <c r="F310" s="32">
        <f t="shared" si="24"/>
        <v>303</v>
      </c>
      <c r="G310" s="76" t="s">
        <v>440</v>
      </c>
      <c r="H310" s="29" t="s">
        <v>342</v>
      </c>
      <c r="I310" s="21">
        <f t="shared" si="23"/>
        <v>149.75622036041349</v>
      </c>
      <c r="J310" s="21">
        <f t="shared" si="20"/>
        <v>42.877429864633356</v>
      </c>
      <c r="K310" s="30">
        <v>14.351666666666667</v>
      </c>
      <c r="L310" s="33">
        <v>3.2666666666666666</v>
      </c>
      <c r="M310" s="21">
        <f t="shared" si="21"/>
        <v>-21.697307750153783</v>
      </c>
      <c r="P310" s="44"/>
      <c r="S310" s="50"/>
      <c r="T310" s="51"/>
    </row>
    <row r="311" spans="5:20" ht="17">
      <c r="E311" s="20" t="str">
        <f t="shared" si="22"/>
        <v/>
      </c>
      <c r="F311" s="32">
        <f t="shared" si="24"/>
        <v>304</v>
      </c>
      <c r="G311" s="76" t="s">
        <v>440</v>
      </c>
      <c r="H311" s="29" t="s">
        <v>343</v>
      </c>
      <c r="I311" s="21">
        <f t="shared" si="23"/>
        <v>46.075951249360735</v>
      </c>
      <c r="J311" s="21">
        <f t="shared" si="20"/>
        <v>72.563540507651282</v>
      </c>
      <c r="K311" s="30">
        <v>14.443333333333333</v>
      </c>
      <c r="L311" s="33">
        <v>56.583333333333336</v>
      </c>
      <c r="M311" s="21">
        <f t="shared" si="21"/>
        <v>-23.072307750153783</v>
      </c>
      <c r="P311" s="44"/>
      <c r="S311" s="50"/>
      <c r="T311" s="51"/>
    </row>
    <row r="312" spans="5:20" ht="17">
      <c r="E312" s="20" t="str">
        <f t="shared" si="22"/>
        <v>*</v>
      </c>
      <c r="F312" s="32">
        <f t="shared" si="24"/>
        <v>305</v>
      </c>
      <c r="G312" s="76" t="s">
        <v>440</v>
      </c>
      <c r="H312" s="29" t="s">
        <v>344</v>
      </c>
      <c r="I312" s="21">
        <f t="shared" si="23"/>
        <v>151.21787539090403</v>
      </c>
      <c r="J312" s="21">
        <f t="shared" si="20"/>
        <v>33.456511812771133</v>
      </c>
      <c r="K312" s="30">
        <v>14.493333333333334</v>
      </c>
      <c r="L312" s="33">
        <v>-5.9833333333333334</v>
      </c>
      <c r="M312" s="21">
        <f t="shared" si="21"/>
        <v>-23.822307750153783</v>
      </c>
      <c r="P312" s="44"/>
      <c r="S312" s="50"/>
      <c r="T312" s="51"/>
    </row>
    <row r="313" spans="5:20" ht="17">
      <c r="E313" s="20" t="str">
        <f t="shared" si="22"/>
        <v>*</v>
      </c>
      <c r="F313" s="32">
        <f t="shared" si="24"/>
        <v>306</v>
      </c>
      <c r="G313" s="76" t="s">
        <v>440</v>
      </c>
      <c r="H313" s="29" t="s">
        <v>345</v>
      </c>
      <c r="I313" s="21">
        <f t="shared" si="23"/>
        <v>70.580679629989987</v>
      </c>
      <c r="J313" s="21">
        <f t="shared" si="20"/>
        <v>73.315592820283072</v>
      </c>
      <c r="K313" s="30">
        <v>14.546666666666667</v>
      </c>
      <c r="L313" s="33">
        <v>49.466666666666669</v>
      </c>
      <c r="M313" s="21">
        <f t="shared" si="21"/>
        <v>-24.622307750153794</v>
      </c>
      <c r="P313" s="44"/>
      <c r="S313" s="50"/>
      <c r="T313" s="51"/>
    </row>
    <row r="314" spans="5:20" ht="17">
      <c r="E314" s="20" t="str">
        <f t="shared" si="22"/>
        <v>*</v>
      </c>
      <c r="F314" s="32">
        <f t="shared" si="24"/>
        <v>307</v>
      </c>
      <c r="G314" s="76" t="s">
        <v>440</v>
      </c>
      <c r="H314" s="29" t="s">
        <v>346</v>
      </c>
      <c r="I314" s="21">
        <f t="shared" si="23"/>
        <v>73.03354105399653</v>
      </c>
      <c r="J314" s="21">
        <f t="shared" si="20"/>
        <v>72.868273870488551</v>
      </c>
      <c r="K314" s="30">
        <v>14.591666666666667</v>
      </c>
      <c r="L314" s="33">
        <v>48.75</v>
      </c>
      <c r="M314" s="21">
        <f t="shared" si="21"/>
        <v>-25.297307750153777</v>
      </c>
      <c r="P314" s="44"/>
      <c r="S314" s="50"/>
      <c r="T314" s="51"/>
    </row>
    <row r="315" spans="5:20" ht="17">
      <c r="E315" s="20" t="str">
        <f t="shared" si="22"/>
        <v/>
      </c>
      <c r="F315" s="32">
        <f t="shared" si="24"/>
        <v>308</v>
      </c>
      <c r="G315" s="76" t="s">
        <v>440</v>
      </c>
      <c r="H315" s="29" t="s">
        <v>68</v>
      </c>
      <c r="I315" s="21">
        <f t="shared" si="23"/>
        <v>155.95081221888574</v>
      </c>
      <c r="J315" s="21">
        <f t="shared" si="20"/>
        <v>13.2226492341529</v>
      </c>
      <c r="K315" s="30">
        <v>14.66</v>
      </c>
      <c r="L315" s="33">
        <v>-26.533333333333335</v>
      </c>
      <c r="M315" s="21">
        <f t="shared" si="21"/>
        <v>-26.322307750153783</v>
      </c>
      <c r="P315" s="44"/>
      <c r="S315" s="50"/>
      <c r="T315" s="51"/>
    </row>
    <row r="316" spans="5:20" ht="17">
      <c r="E316" s="20" t="str">
        <f t="shared" si="22"/>
        <v>*</v>
      </c>
      <c r="F316" s="32">
        <f t="shared" si="24"/>
        <v>309</v>
      </c>
      <c r="G316" s="76" t="s">
        <v>440</v>
      </c>
      <c r="H316" s="29" t="s">
        <v>347</v>
      </c>
      <c r="I316" s="21">
        <f t="shared" si="23"/>
        <v>143.12378270223562</v>
      </c>
      <c r="J316" s="21">
        <f t="shared" si="20"/>
        <v>39.392395404872339</v>
      </c>
      <c r="K316" s="30">
        <v>14.748333333333333</v>
      </c>
      <c r="L316" s="33">
        <v>1.95</v>
      </c>
      <c r="M316" s="21">
        <f t="shared" si="21"/>
        <v>-27.6473077501538</v>
      </c>
      <c r="P316" s="44"/>
      <c r="S316" s="50"/>
      <c r="T316" s="51"/>
    </row>
    <row r="317" spans="5:20" ht="17">
      <c r="E317" s="20" t="str">
        <f t="shared" si="22"/>
        <v>*</v>
      </c>
      <c r="F317" s="32">
        <f t="shared" si="24"/>
        <v>310</v>
      </c>
      <c r="G317" s="76" t="s">
        <v>440</v>
      </c>
      <c r="H317" s="29" t="s">
        <v>348</v>
      </c>
      <c r="I317" s="21">
        <f t="shared" si="23"/>
        <v>137.19698994605434</v>
      </c>
      <c r="J317" s="21">
        <f t="shared" si="20"/>
        <v>36.705268736568357</v>
      </c>
      <c r="K317" s="30">
        <v>15.106666666666667</v>
      </c>
      <c r="L317" s="33">
        <v>1.6</v>
      </c>
      <c r="M317" s="21">
        <f t="shared" si="21"/>
        <v>-33.0223077501538</v>
      </c>
      <c r="P317" s="44"/>
      <c r="S317" s="50"/>
      <c r="T317" s="51"/>
    </row>
    <row r="318" spans="5:20" ht="17">
      <c r="E318" s="20" t="str">
        <f t="shared" si="22"/>
        <v>*</v>
      </c>
      <c r="F318" s="32">
        <f t="shared" si="24"/>
        <v>311</v>
      </c>
      <c r="G318" s="76" t="s">
        <v>440</v>
      </c>
      <c r="H318" s="29" t="s">
        <v>349</v>
      </c>
      <c r="I318" s="21">
        <f t="shared" si="23"/>
        <v>53.398126685701016</v>
      </c>
      <c r="J318" s="21">
        <f t="shared" si="20"/>
        <v>67.533481570733969</v>
      </c>
      <c r="K318" s="30">
        <v>15.108333333333333</v>
      </c>
      <c r="L318" s="33">
        <v>55.766666666666666</v>
      </c>
      <c r="M318" s="21">
        <f t="shared" si="21"/>
        <v>-33.047307750153749</v>
      </c>
      <c r="P318" s="44"/>
      <c r="S318" s="50"/>
      <c r="T318" s="51"/>
    </row>
    <row r="319" spans="5:20" ht="17">
      <c r="E319" s="20" t="str">
        <f t="shared" si="22"/>
        <v>*</v>
      </c>
      <c r="F319" s="32">
        <f t="shared" si="24"/>
        <v>312</v>
      </c>
      <c r="G319" s="76" t="s">
        <v>440</v>
      </c>
      <c r="H319" s="29" t="s">
        <v>350</v>
      </c>
      <c r="I319" s="21">
        <f t="shared" si="23"/>
        <v>145.56910417716966</v>
      </c>
      <c r="J319" s="21">
        <f t="shared" si="20"/>
        <v>15.182102131382626</v>
      </c>
      <c r="K319" s="30">
        <v>15.29</v>
      </c>
      <c r="L319" s="34">
        <v>-21.016666666666666</v>
      </c>
      <c r="M319" s="21">
        <f t="shared" si="21"/>
        <v>-35.772307750153772</v>
      </c>
      <c r="P319" s="44"/>
      <c r="S319" s="50"/>
      <c r="T319" s="51"/>
    </row>
    <row r="320" spans="5:20" ht="17">
      <c r="E320" s="20" t="str">
        <f t="shared" si="22"/>
        <v>*</v>
      </c>
      <c r="F320" s="32">
        <f t="shared" si="24"/>
        <v>313</v>
      </c>
      <c r="G320" s="76" t="s">
        <v>440</v>
      </c>
      <c r="H320" s="29" t="s">
        <v>351</v>
      </c>
      <c r="I320" s="21">
        <f t="shared" si="23"/>
        <v>52.59519779154973</v>
      </c>
      <c r="J320" s="21">
        <f t="shared" si="20"/>
        <v>66.145772456985767</v>
      </c>
      <c r="K320" s="30">
        <v>15.265000000000001</v>
      </c>
      <c r="L320" s="33">
        <v>56.31666666666667</v>
      </c>
      <c r="M320" s="21">
        <f t="shared" si="21"/>
        <v>-35.3973077501538</v>
      </c>
      <c r="P320" s="44"/>
      <c r="S320" s="50"/>
      <c r="T320" s="51"/>
    </row>
    <row r="321" spans="5:20" ht="17">
      <c r="E321" s="20" t="str">
        <f t="shared" si="22"/>
        <v/>
      </c>
      <c r="F321" s="32">
        <f t="shared" si="24"/>
        <v>314</v>
      </c>
      <c r="G321" s="76" t="s">
        <v>440</v>
      </c>
      <c r="H321" s="29" t="s">
        <v>352</v>
      </c>
      <c r="I321" s="21">
        <f t="shared" si="23"/>
        <v>46.835744417793208</v>
      </c>
      <c r="J321" s="21">
        <f t="shared" si="20"/>
        <v>62.649611590076574</v>
      </c>
      <c r="K321" s="30">
        <v>15.645</v>
      </c>
      <c r="L321" s="33">
        <v>59.35</v>
      </c>
      <c r="M321" s="21">
        <f t="shared" si="21"/>
        <v>-41.09730775015376</v>
      </c>
      <c r="P321" s="44"/>
      <c r="S321" s="50"/>
      <c r="T321" s="51"/>
    </row>
    <row r="322" spans="5:20" ht="17">
      <c r="E322" s="20" t="str">
        <f t="shared" si="22"/>
        <v>*</v>
      </c>
      <c r="F322" s="32">
        <f t="shared" si="24"/>
        <v>315</v>
      </c>
      <c r="G322" s="76" t="s">
        <v>440</v>
      </c>
      <c r="H322" s="29" t="s">
        <v>353</v>
      </c>
      <c r="I322" s="21">
        <f t="shared" si="23"/>
        <v>121.12290690848324</v>
      </c>
      <c r="J322" s="21">
        <f t="shared" si="20"/>
        <v>23.339485061518364</v>
      </c>
      <c r="K322" s="30">
        <v>16.363333333333333</v>
      </c>
      <c r="L322" s="33">
        <v>-2.2833333333333332</v>
      </c>
      <c r="M322" s="21">
        <f t="shared" si="21"/>
        <v>-51.872307750153766</v>
      </c>
      <c r="P322" s="44"/>
      <c r="S322" s="50"/>
      <c r="T322" s="51"/>
    </row>
    <row r="323" spans="5:20" ht="17">
      <c r="E323" s="20" t="str">
        <f t="shared" si="22"/>
        <v/>
      </c>
      <c r="F323" s="32">
        <f t="shared" si="24"/>
        <v>316</v>
      </c>
      <c r="G323" s="76" t="s">
        <v>440</v>
      </c>
      <c r="H323" s="29" t="s">
        <v>354</v>
      </c>
      <c r="I323" s="21">
        <f t="shared" si="23"/>
        <v>133.86947362666373</v>
      </c>
      <c r="J323" s="21">
        <f t="shared" si="20"/>
        <v>3.0000344704946666</v>
      </c>
      <c r="K323" s="30">
        <v>16.454999999999998</v>
      </c>
      <c r="L323" s="34">
        <v>-26.033333333333335</v>
      </c>
      <c r="M323" s="21">
        <f t="shared" si="21"/>
        <v>-53.247307750153766</v>
      </c>
      <c r="P323" s="44"/>
      <c r="S323" s="50"/>
      <c r="T323" s="51"/>
    </row>
    <row r="324" spans="5:20" ht="17">
      <c r="E324" s="20" t="str">
        <f t="shared" si="22"/>
        <v/>
      </c>
      <c r="F324" s="32">
        <f t="shared" si="24"/>
        <v>317</v>
      </c>
      <c r="G324" s="76" t="s">
        <v>440</v>
      </c>
      <c r="H324" s="29" t="s">
        <v>355</v>
      </c>
      <c r="I324" s="21">
        <f t="shared" si="23"/>
        <v>125.45543849318791</v>
      </c>
      <c r="J324" s="21">
        <f t="shared" si="20"/>
        <v>13.04156032635083</v>
      </c>
      <c r="K324" s="30">
        <v>16.541666666666668</v>
      </c>
      <c r="L324" s="34">
        <v>-13.05</v>
      </c>
      <c r="M324" s="21">
        <f t="shared" si="21"/>
        <v>-54.547307750153806</v>
      </c>
      <c r="P324" s="44"/>
      <c r="S324" s="50"/>
      <c r="T324" s="51"/>
    </row>
    <row r="325" spans="5:20" ht="17">
      <c r="E325" s="20" t="str">
        <f t="shared" si="22"/>
        <v>*</v>
      </c>
      <c r="F325" s="32">
        <f t="shared" si="24"/>
        <v>318</v>
      </c>
      <c r="G325" s="76" t="s">
        <v>440</v>
      </c>
      <c r="H325" s="29" t="s">
        <v>356</v>
      </c>
      <c r="I325" s="21">
        <f t="shared" si="23"/>
        <v>81.647426124392808</v>
      </c>
      <c r="J325" s="21">
        <f t="shared" si="20"/>
        <v>47.158928170970803</v>
      </c>
      <c r="K325" s="30">
        <v>16.718333333333334</v>
      </c>
      <c r="L325" s="33">
        <v>36.833333333333336</v>
      </c>
      <c r="M325" s="21">
        <f t="shared" si="21"/>
        <v>-57.197307750153783</v>
      </c>
      <c r="P325" s="44"/>
      <c r="S325" s="50"/>
      <c r="T325" s="51"/>
    </row>
    <row r="326" spans="5:20" ht="17">
      <c r="E326" s="20" t="str">
        <f t="shared" si="22"/>
        <v/>
      </c>
      <c r="F326" s="32">
        <f t="shared" si="24"/>
        <v>319</v>
      </c>
      <c r="G326" s="76" t="s">
        <v>440</v>
      </c>
      <c r="H326" s="29" t="s">
        <v>357</v>
      </c>
      <c r="I326" s="21">
        <f t="shared" si="23"/>
        <v>15.809115040909269</v>
      </c>
      <c r="J326" s="21">
        <f t="shared" si="20"/>
        <v>52.291281115045507</v>
      </c>
      <c r="K326" s="30">
        <v>16.543333333333333</v>
      </c>
      <c r="L326" s="33">
        <v>78.2</v>
      </c>
      <c r="M326" s="21">
        <f t="shared" si="21"/>
        <v>-54.572307750153755</v>
      </c>
      <c r="P326" s="44"/>
      <c r="S326" s="50"/>
      <c r="T326" s="51"/>
    </row>
    <row r="327" spans="5:20" ht="17">
      <c r="E327" s="20" t="str">
        <f t="shared" si="22"/>
        <v>*</v>
      </c>
      <c r="F327" s="32">
        <f t="shared" si="24"/>
        <v>320</v>
      </c>
      <c r="G327" s="76" t="s">
        <v>440</v>
      </c>
      <c r="H327" s="29" t="s">
        <v>358</v>
      </c>
      <c r="I327" s="21">
        <f t="shared" si="23"/>
        <v>66.436386698994426</v>
      </c>
      <c r="J327" s="21">
        <f t="shared" si="20"/>
        <v>51.257169092349287</v>
      </c>
      <c r="K327" s="30">
        <v>16.783333333333335</v>
      </c>
      <c r="L327" s="33">
        <v>47.533333333333331</v>
      </c>
      <c r="M327" s="21">
        <f t="shared" si="21"/>
        <v>-58.172307750153806</v>
      </c>
      <c r="P327" s="44"/>
      <c r="S327" s="50"/>
      <c r="T327" s="51"/>
    </row>
    <row r="328" spans="5:20" ht="17">
      <c r="E328" s="20" t="str">
        <f t="shared" si="22"/>
        <v/>
      </c>
      <c r="F328" s="32">
        <f t="shared" si="24"/>
        <v>321</v>
      </c>
      <c r="G328" s="76" t="s">
        <v>440</v>
      </c>
      <c r="H328" s="29" t="s">
        <v>359</v>
      </c>
      <c r="I328" s="21">
        <f t="shared" si="23"/>
        <v>126.77604366728607</v>
      </c>
      <c r="J328" s="21">
        <f t="shared" ref="J328:J391" si="25">ASIN(SIN($M$409*L328)*SIN($M$409*$C$13)+COS($M$409*L328)*COS($M$409*$C$13)*COS($M$409*M328))/$M$409</f>
        <v>2.7245136845760825</v>
      </c>
      <c r="K328" s="30">
        <v>16.89</v>
      </c>
      <c r="L328" s="33">
        <v>-22.183333333333334</v>
      </c>
      <c r="M328" s="21">
        <f t="shared" ref="M328:M391" si="26">$C$16-((K328/24)*360)</f>
        <v>-59.772307750153772</v>
      </c>
      <c r="P328" s="44"/>
      <c r="S328" s="50"/>
      <c r="T328" s="51"/>
    </row>
    <row r="329" spans="5:20" ht="17">
      <c r="E329" s="20" t="str">
        <f t="shared" ref="E329:E392" si="27">IF(AND(J329&gt;=$J$4,J329&lt;=$J$6,I329&gt;=$I$4,I329&lt;=$I$6),IF(VLOOKUP(G329,$C$19:$D$24,2,FALSE)="yes","*","-"),"")</f>
        <v/>
      </c>
      <c r="F329" s="32">
        <f t="shared" si="24"/>
        <v>322</v>
      </c>
      <c r="G329" s="76" t="s">
        <v>440</v>
      </c>
      <c r="H329" s="29" t="s">
        <v>360</v>
      </c>
      <c r="I329" s="21">
        <f t="shared" ref="I329:I392" si="28">IF(SIN($M$409*M329)&lt;0,ACOS((SIN($M$409*L329)-SIN($M$409*J329)*SIN($M$409*$C$13))/(COS($M$409*J329)*COS($M$409*$C$13)))/$M$409,360-ACOS((SIN($M$409*L329)-SIN($M$409*J329)*SIN($M$409*$C$13))/(COS($M$409*J329)*COS($M$409*$C$13)))/$M$409)</f>
        <v>126.30623400813901</v>
      </c>
      <c r="J329" s="21">
        <f t="shared" si="25"/>
        <v>-0.87128610104476978</v>
      </c>
      <c r="K329" s="30">
        <v>17.074999999999999</v>
      </c>
      <c r="L329" s="33">
        <v>-24.766666666666666</v>
      </c>
      <c r="M329" s="21">
        <f t="shared" si="26"/>
        <v>-62.547307750153777</v>
      </c>
      <c r="P329" s="44"/>
      <c r="S329" s="50"/>
      <c r="T329" s="51"/>
    </row>
    <row r="330" spans="5:20" ht="17">
      <c r="E330" s="20" t="str">
        <f t="shared" si="27"/>
        <v/>
      </c>
      <c r="F330" s="32">
        <f t="shared" ref="F330:F393" si="29">F329+1</f>
        <v>323</v>
      </c>
      <c r="G330" s="76" t="s">
        <v>440</v>
      </c>
      <c r="H330" s="29" t="s">
        <v>361</v>
      </c>
      <c r="I330" s="21">
        <f t="shared" si="28"/>
        <v>124.91488600130634</v>
      </c>
      <c r="J330" s="21">
        <f t="shared" si="25"/>
        <v>0.66528272619812678</v>
      </c>
      <c r="K330" s="30">
        <v>17.086666666666666</v>
      </c>
      <c r="L330" s="33">
        <v>-22.7</v>
      </c>
      <c r="M330" s="21">
        <f t="shared" si="26"/>
        <v>-62.722307750153732</v>
      </c>
      <c r="P330" s="44"/>
      <c r="S330" s="50"/>
      <c r="T330" s="51"/>
    </row>
    <row r="331" spans="5:20" ht="17">
      <c r="E331" s="20" t="str">
        <f t="shared" si="27"/>
        <v/>
      </c>
      <c r="F331" s="32">
        <f t="shared" si="29"/>
        <v>324</v>
      </c>
      <c r="G331" s="76" t="s">
        <v>440</v>
      </c>
      <c r="H331" s="29" t="s">
        <v>362</v>
      </c>
      <c r="I331" s="21">
        <f t="shared" si="28"/>
        <v>126.41285423902707</v>
      </c>
      <c r="J331" s="21">
        <f t="shared" si="25"/>
        <v>-3.0934725091873765</v>
      </c>
      <c r="K331" s="30">
        <v>17.170000000000002</v>
      </c>
      <c r="L331" s="33">
        <v>-26.583333333333332</v>
      </c>
      <c r="M331" s="21">
        <f t="shared" si="26"/>
        <v>-63.972307750153789</v>
      </c>
      <c r="P331" s="44"/>
      <c r="S331" s="50"/>
      <c r="T331" s="51"/>
    </row>
    <row r="332" spans="5:20" ht="17">
      <c r="E332" s="20" t="str">
        <f t="shared" si="27"/>
        <v/>
      </c>
      <c r="F332" s="32">
        <f t="shared" si="29"/>
        <v>325</v>
      </c>
      <c r="G332" s="76" t="s">
        <v>440</v>
      </c>
      <c r="H332" s="29" t="s">
        <v>363</v>
      </c>
      <c r="I332" s="21">
        <f t="shared" si="28"/>
        <v>127.47371383358843</v>
      </c>
      <c r="J332" s="21">
        <f t="shared" si="25"/>
        <v>-5.9387397082184057</v>
      </c>
      <c r="K332" s="30">
        <v>17.241666666666667</v>
      </c>
      <c r="L332" s="33">
        <v>-29.466666666666665</v>
      </c>
      <c r="M332" s="21">
        <f t="shared" si="26"/>
        <v>-65.047307750153777</v>
      </c>
      <c r="P332" s="44"/>
      <c r="S332" s="50"/>
      <c r="T332" s="51"/>
    </row>
    <row r="333" spans="5:20" ht="17">
      <c r="E333" s="20" t="str">
        <f t="shared" si="27"/>
        <v/>
      </c>
      <c r="F333" s="32">
        <f t="shared" si="29"/>
        <v>326</v>
      </c>
      <c r="G333" s="76" t="s">
        <v>440</v>
      </c>
      <c r="H333" s="29" t="s">
        <v>364</v>
      </c>
      <c r="I333" s="21">
        <f t="shared" si="28"/>
        <v>126.27176286989837</v>
      </c>
      <c r="J333" s="21">
        <f t="shared" si="25"/>
        <v>-5.1915200308657798</v>
      </c>
      <c r="K333" s="30">
        <v>17.276666666666667</v>
      </c>
      <c r="L333" s="33">
        <v>-28.133333333333333</v>
      </c>
      <c r="M333" s="21">
        <f t="shared" si="26"/>
        <v>-65.572307750153811</v>
      </c>
      <c r="P333" s="44"/>
      <c r="S333" s="50"/>
      <c r="T333" s="51"/>
    </row>
    <row r="334" spans="5:20" ht="17">
      <c r="E334" s="20" t="str">
        <f t="shared" si="27"/>
        <v/>
      </c>
      <c r="F334" s="32">
        <f t="shared" si="29"/>
        <v>327</v>
      </c>
      <c r="G334" s="76" t="s">
        <v>440</v>
      </c>
      <c r="H334" s="29" t="s">
        <v>365</v>
      </c>
      <c r="I334" s="21">
        <f t="shared" si="28"/>
        <v>120.05512562609297</v>
      </c>
      <c r="J334" s="21">
        <f t="shared" si="25"/>
        <v>0.77934311273410672</v>
      </c>
      <c r="K334" s="30">
        <v>17.353333333333332</v>
      </c>
      <c r="L334" s="33">
        <v>-19.583333333333332</v>
      </c>
      <c r="M334" s="21">
        <f t="shared" si="26"/>
        <v>-66.722307750153732</v>
      </c>
      <c r="P334" s="44"/>
      <c r="S334" s="50"/>
      <c r="T334" s="51"/>
    </row>
    <row r="335" spans="5:20" ht="17">
      <c r="E335" s="20" t="str">
        <f t="shared" si="27"/>
        <v/>
      </c>
      <c r="F335" s="32">
        <f t="shared" si="29"/>
        <v>328</v>
      </c>
      <c r="G335" s="76" t="s">
        <v>440</v>
      </c>
      <c r="H335" s="29" t="s">
        <v>366</v>
      </c>
      <c r="I335" s="21">
        <f t="shared" si="28"/>
        <v>123.85986841179916</v>
      </c>
      <c r="J335" s="21">
        <f t="shared" si="25"/>
        <v>-4.8559371555681237</v>
      </c>
      <c r="K335" s="30">
        <v>17.399999999999999</v>
      </c>
      <c r="L335" s="33">
        <v>-26.35</v>
      </c>
      <c r="M335" s="21">
        <f t="shared" si="26"/>
        <v>-67.422307750153777</v>
      </c>
      <c r="P335" s="44"/>
      <c r="S335" s="50"/>
      <c r="T335" s="51"/>
    </row>
    <row r="336" spans="5:20" ht="17">
      <c r="E336" s="20" t="str">
        <f t="shared" si="27"/>
        <v/>
      </c>
      <c r="F336" s="32">
        <f t="shared" si="29"/>
        <v>329</v>
      </c>
      <c r="G336" s="76" t="s">
        <v>440</v>
      </c>
      <c r="H336" s="29" t="s">
        <v>367</v>
      </c>
      <c r="I336" s="21">
        <f t="shared" si="28"/>
        <v>118.49453031578173</v>
      </c>
      <c r="J336" s="21">
        <f t="shared" si="25"/>
        <v>1.7842782561861941</v>
      </c>
      <c r="K336" s="30">
        <v>17.393333333333334</v>
      </c>
      <c r="L336" s="33">
        <v>-17.816666666666666</v>
      </c>
      <c r="M336" s="21">
        <f t="shared" si="26"/>
        <v>-67.322307750153811</v>
      </c>
      <c r="P336" s="44"/>
      <c r="S336" s="50"/>
      <c r="T336" s="51"/>
    </row>
    <row r="337" spans="5:20">
      <c r="E337" s="20" t="str">
        <f t="shared" si="27"/>
        <v/>
      </c>
      <c r="F337" s="32">
        <f t="shared" si="29"/>
        <v>330</v>
      </c>
      <c r="G337" s="76" t="s">
        <v>440</v>
      </c>
      <c r="H337" s="28" t="s">
        <v>368</v>
      </c>
      <c r="I337" s="21">
        <f t="shared" si="28"/>
        <v>121.27570261963018</v>
      </c>
      <c r="J337" s="21">
        <f t="shared" si="25"/>
        <v>-3.6423100507723918</v>
      </c>
      <c r="K337" s="30">
        <v>17.488333333333333</v>
      </c>
      <c r="L337" s="33">
        <v>-23.766666666666666</v>
      </c>
      <c r="M337" s="21">
        <f t="shared" si="26"/>
        <v>-68.747307750153766</v>
      </c>
      <c r="P337" s="44"/>
      <c r="S337" s="50"/>
      <c r="T337" s="51"/>
    </row>
    <row r="338" spans="5:20" ht="17">
      <c r="E338" s="20" t="str">
        <f t="shared" si="27"/>
        <v/>
      </c>
      <c r="F338" s="32">
        <f t="shared" si="29"/>
        <v>331</v>
      </c>
      <c r="G338" s="76" t="s">
        <v>440</v>
      </c>
      <c r="H338" s="29" t="s">
        <v>369</v>
      </c>
      <c r="I338" s="21">
        <f t="shared" si="28"/>
        <v>119.75056078528831</v>
      </c>
      <c r="J338" s="21">
        <f t="shared" si="25"/>
        <v>-5.1364708641648686</v>
      </c>
      <c r="K338" s="30">
        <v>17.643333333333334</v>
      </c>
      <c r="L338" s="33">
        <v>-23.916666666666668</v>
      </c>
      <c r="M338" s="21">
        <f t="shared" si="26"/>
        <v>-71.072307750153755</v>
      </c>
      <c r="P338" s="44"/>
      <c r="S338" s="50"/>
      <c r="T338" s="51"/>
    </row>
    <row r="339" spans="5:20" ht="17">
      <c r="E339" s="20" t="str">
        <f t="shared" si="27"/>
        <v/>
      </c>
      <c r="F339" s="32">
        <f t="shared" si="29"/>
        <v>332</v>
      </c>
      <c r="G339" s="76" t="s">
        <v>440</v>
      </c>
      <c r="H339" s="29" t="s">
        <v>370</v>
      </c>
      <c r="I339" s="21">
        <f t="shared" si="28"/>
        <v>100.68291409004105</v>
      </c>
      <c r="J339" s="21">
        <f t="shared" si="25"/>
        <v>14.072086858293288</v>
      </c>
      <c r="K339" s="30">
        <v>17.748333333333335</v>
      </c>
      <c r="L339" s="33">
        <v>3</v>
      </c>
      <c r="M339" s="21">
        <f t="shared" si="26"/>
        <v>-72.6473077501538</v>
      </c>
      <c r="P339" s="44"/>
      <c r="S339" s="50"/>
      <c r="T339" s="51"/>
    </row>
    <row r="340" spans="5:20" ht="17">
      <c r="E340" s="20" t="str">
        <f t="shared" si="27"/>
        <v/>
      </c>
      <c r="F340" s="32">
        <f t="shared" si="29"/>
        <v>333</v>
      </c>
      <c r="G340" s="76" t="s">
        <v>440</v>
      </c>
      <c r="H340" s="29" t="s">
        <v>371</v>
      </c>
      <c r="I340" s="21">
        <f t="shared" si="28"/>
        <v>115.6047374545973</v>
      </c>
      <c r="J340" s="21">
        <f t="shared" si="25"/>
        <v>-4.0360193280628405</v>
      </c>
      <c r="K340" s="30">
        <v>17.815000000000001</v>
      </c>
      <c r="L340" s="33">
        <v>-20.366666666666667</v>
      </c>
      <c r="M340" s="21">
        <f t="shared" si="26"/>
        <v>-73.6473077501538</v>
      </c>
      <c r="P340" s="44"/>
      <c r="S340" s="50"/>
      <c r="T340" s="51"/>
    </row>
    <row r="341" spans="5:20">
      <c r="E341" s="20" t="str">
        <f t="shared" si="27"/>
        <v/>
      </c>
      <c r="F341" s="32">
        <f t="shared" si="29"/>
        <v>334</v>
      </c>
      <c r="G341" s="76" t="s">
        <v>440</v>
      </c>
      <c r="H341" s="28" t="s">
        <v>372</v>
      </c>
      <c r="I341" s="21">
        <f t="shared" si="28"/>
        <v>115.3193786218286</v>
      </c>
      <c r="J341" s="21">
        <f t="shared" si="25"/>
        <v>-3.820595446279305</v>
      </c>
      <c r="K341" s="30">
        <v>17.82</v>
      </c>
      <c r="L341" s="34">
        <v>-20.016666666666666</v>
      </c>
      <c r="M341" s="21">
        <f t="shared" si="26"/>
        <v>-73.722307750153789</v>
      </c>
      <c r="P341" s="44"/>
      <c r="S341" s="50"/>
      <c r="T341" s="51"/>
    </row>
    <row r="342" spans="5:20" ht="17">
      <c r="E342" s="20" t="str">
        <f t="shared" si="27"/>
        <v/>
      </c>
      <c r="F342" s="32">
        <f t="shared" si="29"/>
        <v>335</v>
      </c>
      <c r="G342" s="76" t="s">
        <v>440</v>
      </c>
      <c r="H342" s="29" t="s">
        <v>373</v>
      </c>
      <c r="I342" s="21">
        <f t="shared" si="28"/>
        <v>121.95306088418788</v>
      </c>
      <c r="J342" s="21">
        <f t="shared" si="25"/>
        <v>-11.631865901022534</v>
      </c>
      <c r="K342" s="30">
        <v>17.844999999999999</v>
      </c>
      <c r="L342" s="33">
        <v>-30.216666666666665</v>
      </c>
      <c r="M342" s="21">
        <f t="shared" si="26"/>
        <v>-74.097307750153789</v>
      </c>
      <c r="P342" s="44"/>
      <c r="S342" s="50"/>
      <c r="T342" s="51"/>
    </row>
    <row r="343" spans="5:20" ht="17">
      <c r="E343" s="20" t="str">
        <f t="shared" si="27"/>
        <v/>
      </c>
      <c r="F343" s="32">
        <f t="shared" si="29"/>
        <v>336</v>
      </c>
      <c r="G343" s="76" t="s">
        <v>440</v>
      </c>
      <c r="H343" s="29" t="s">
        <v>374</v>
      </c>
      <c r="I343" s="21">
        <f t="shared" si="28"/>
        <v>115.07971082920818</v>
      </c>
      <c r="J343" s="21">
        <f t="shared" si="25"/>
        <v>-8.1009844816303165</v>
      </c>
      <c r="K343" s="30">
        <v>18.038333333333334</v>
      </c>
      <c r="L343" s="34">
        <v>-23.033333333333335</v>
      </c>
      <c r="M343" s="21">
        <f t="shared" si="26"/>
        <v>-76.997307750153766</v>
      </c>
      <c r="P343" s="44"/>
      <c r="S343" s="50"/>
      <c r="T343" s="51"/>
    </row>
    <row r="344" spans="5:20" ht="17">
      <c r="E344" s="20" t="str">
        <f t="shared" si="27"/>
        <v/>
      </c>
      <c r="F344" s="32">
        <f t="shared" si="29"/>
        <v>337</v>
      </c>
      <c r="G344" s="76" t="s">
        <v>440</v>
      </c>
      <c r="H344" s="29" t="s">
        <v>375</v>
      </c>
      <c r="I344" s="21">
        <f t="shared" si="28"/>
        <v>105.67734460654681</v>
      </c>
      <c r="J344" s="21">
        <f t="shared" si="25"/>
        <v>2.3846957189380449</v>
      </c>
      <c r="K344" s="30">
        <v>18.03</v>
      </c>
      <c r="L344" s="33">
        <v>-8.9666666666666668</v>
      </c>
      <c r="M344" s="21">
        <f t="shared" si="26"/>
        <v>-76.872307750153823</v>
      </c>
      <c r="P344" s="44"/>
      <c r="S344" s="50"/>
      <c r="T344" s="51"/>
    </row>
    <row r="345" spans="5:20" ht="17">
      <c r="E345" s="20" t="str">
        <f t="shared" si="27"/>
        <v/>
      </c>
      <c r="F345" s="32">
        <f t="shared" si="29"/>
        <v>338</v>
      </c>
      <c r="G345" s="76" t="s">
        <v>440</v>
      </c>
      <c r="H345" s="29" t="s">
        <v>376</v>
      </c>
      <c r="I345" s="21">
        <f t="shared" si="28"/>
        <v>118.2665854111323</v>
      </c>
      <c r="J345" s="21">
        <f t="shared" si="25"/>
        <v>-11.828967293464105</v>
      </c>
      <c r="K345" s="30">
        <v>18.056666666666668</v>
      </c>
      <c r="L345" s="33">
        <v>-27.9</v>
      </c>
      <c r="M345" s="21">
        <f t="shared" si="26"/>
        <v>-77.2723077501538</v>
      </c>
      <c r="P345" s="44"/>
      <c r="S345" s="50"/>
      <c r="T345" s="51"/>
    </row>
    <row r="346" spans="5:20" ht="17">
      <c r="E346" s="20" t="str">
        <f t="shared" si="27"/>
        <v/>
      </c>
      <c r="F346" s="32">
        <f t="shared" si="29"/>
        <v>339</v>
      </c>
      <c r="G346" s="76" t="s">
        <v>440</v>
      </c>
      <c r="H346" s="29" t="s">
        <v>377</v>
      </c>
      <c r="I346" s="21">
        <f t="shared" si="28"/>
        <v>119.73991595029608</v>
      </c>
      <c r="J346" s="21">
        <f t="shared" si="25"/>
        <v>-13.405689444819881</v>
      </c>
      <c r="K346" s="30">
        <v>18.059999999999999</v>
      </c>
      <c r="L346" s="33">
        <v>-30.033333333333335</v>
      </c>
      <c r="M346" s="21">
        <f t="shared" si="26"/>
        <v>-77.322307750153755</v>
      </c>
      <c r="P346" s="44"/>
      <c r="S346" s="50"/>
      <c r="T346" s="51"/>
    </row>
    <row r="347" spans="5:20" ht="17">
      <c r="E347" s="20" t="str">
        <f t="shared" si="27"/>
        <v/>
      </c>
      <c r="F347" s="32">
        <f t="shared" si="29"/>
        <v>340</v>
      </c>
      <c r="G347" s="76" t="s">
        <v>440</v>
      </c>
      <c r="H347" s="29" t="s">
        <v>378</v>
      </c>
      <c r="I347" s="21">
        <f t="shared" si="28"/>
        <v>119.55889082337978</v>
      </c>
      <c r="J347" s="21">
        <f t="shared" si="25"/>
        <v>-13.597359033138975</v>
      </c>
      <c r="K347" s="30">
        <v>18.079999999999998</v>
      </c>
      <c r="L347" s="33">
        <v>-30.05</v>
      </c>
      <c r="M347" s="21">
        <f t="shared" si="26"/>
        <v>-77.622307750153766</v>
      </c>
      <c r="P347" s="44"/>
      <c r="S347" s="50"/>
      <c r="T347" s="51"/>
    </row>
    <row r="348" spans="5:20" ht="17">
      <c r="E348" s="20" t="str">
        <f t="shared" si="27"/>
        <v/>
      </c>
      <c r="F348" s="32">
        <f t="shared" si="29"/>
        <v>341</v>
      </c>
      <c r="G348" s="76" t="s">
        <v>440</v>
      </c>
      <c r="H348" s="29" t="s">
        <v>379</v>
      </c>
      <c r="I348" s="21">
        <f t="shared" si="28"/>
        <v>117.73242351770399</v>
      </c>
      <c r="J348" s="21">
        <f t="shared" si="25"/>
        <v>-12.209545097507792</v>
      </c>
      <c r="K348" s="30">
        <v>18.105</v>
      </c>
      <c r="L348" s="33">
        <v>-27.816666666666666</v>
      </c>
      <c r="M348" s="21">
        <f t="shared" si="26"/>
        <v>-77.997307750153766</v>
      </c>
      <c r="P348" s="44"/>
      <c r="S348" s="50"/>
      <c r="T348" s="51"/>
    </row>
    <row r="349" spans="5:20" ht="17">
      <c r="E349" s="20" t="str">
        <f t="shared" si="27"/>
        <v/>
      </c>
      <c r="F349" s="32">
        <f t="shared" si="29"/>
        <v>342</v>
      </c>
      <c r="G349" s="76" t="s">
        <v>440</v>
      </c>
      <c r="H349" s="29" t="s">
        <v>27</v>
      </c>
      <c r="I349" s="21">
        <f t="shared" si="28"/>
        <v>34.348747323457225</v>
      </c>
      <c r="J349" s="21">
        <f t="shared" si="25"/>
        <v>46.979098569185858</v>
      </c>
      <c r="K349" s="30">
        <v>17.976666666666667</v>
      </c>
      <c r="L349" s="33">
        <v>66.63333333333334</v>
      </c>
      <c r="M349" s="21">
        <f t="shared" si="26"/>
        <v>-76.072307750153755</v>
      </c>
      <c r="P349" s="44"/>
      <c r="S349" s="50"/>
      <c r="T349" s="51"/>
    </row>
    <row r="350" spans="5:20" ht="17">
      <c r="E350" s="20" t="str">
        <f t="shared" si="27"/>
        <v/>
      </c>
      <c r="F350" s="32">
        <f t="shared" si="29"/>
        <v>343</v>
      </c>
      <c r="G350" s="76" t="s">
        <v>440</v>
      </c>
      <c r="H350" s="29" t="s">
        <v>380</v>
      </c>
      <c r="I350" s="21">
        <f t="shared" si="28"/>
        <v>115.59200899179856</v>
      </c>
      <c r="J350" s="21">
        <f t="shared" si="25"/>
        <v>-10.318086865614855</v>
      </c>
      <c r="K350" s="30">
        <v>18.121666666666666</v>
      </c>
      <c r="L350" s="33">
        <v>-25</v>
      </c>
      <c r="M350" s="21">
        <f t="shared" si="26"/>
        <v>-78.247307750153766</v>
      </c>
      <c r="P350" s="44"/>
      <c r="S350" s="50"/>
      <c r="T350" s="51"/>
    </row>
    <row r="351" spans="5:20" ht="17">
      <c r="E351" s="20" t="str">
        <f t="shared" si="27"/>
        <v/>
      </c>
      <c r="F351" s="32">
        <f t="shared" si="29"/>
        <v>344</v>
      </c>
      <c r="G351" s="76" t="s">
        <v>440</v>
      </c>
      <c r="H351" s="29" t="s">
        <v>381</v>
      </c>
      <c r="I351" s="21">
        <f t="shared" si="28"/>
        <v>115.88792777000508</v>
      </c>
      <c r="J351" s="21">
        <f t="shared" si="25"/>
        <v>-11.282107721539038</v>
      </c>
      <c r="K351" s="30">
        <v>18.155000000000001</v>
      </c>
      <c r="L351" s="33">
        <v>-25.9</v>
      </c>
      <c r="M351" s="21">
        <f t="shared" si="26"/>
        <v>-78.747307750153766</v>
      </c>
      <c r="P351" s="44"/>
      <c r="S351" s="50"/>
      <c r="T351" s="51"/>
    </row>
    <row r="352" spans="5:20" ht="17">
      <c r="E352" s="20" t="str">
        <f t="shared" si="27"/>
        <v/>
      </c>
      <c r="F352" s="32">
        <f t="shared" si="29"/>
        <v>345</v>
      </c>
      <c r="G352" s="76" t="s">
        <v>440</v>
      </c>
      <c r="H352" s="29" t="s">
        <v>382</v>
      </c>
      <c r="I352" s="21">
        <f t="shared" si="28"/>
        <v>112.29633199697581</v>
      </c>
      <c r="J352" s="21">
        <f t="shared" si="25"/>
        <v>-8.7086981211967434</v>
      </c>
      <c r="K352" s="30">
        <v>18.213333333333335</v>
      </c>
      <c r="L352" s="33">
        <v>-21.6</v>
      </c>
      <c r="M352" s="21">
        <f t="shared" si="26"/>
        <v>-79.622307750153823</v>
      </c>
      <c r="P352" s="44"/>
      <c r="S352" s="50"/>
      <c r="T352" s="51"/>
    </row>
    <row r="353" spans="5:20" ht="17">
      <c r="E353" s="20" t="str">
        <f t="shared" si="27"/>
        <v/>
      </c>
      <c r="F353" s="32">
        <f t="shared" si="29"/>
        <v>346</v>
      </c>
      <c r="G353" s="76" t="s">
        <v>440</v>
      </c>
      <c r="H353" s="29" t="s">
        <v>383</v>
      </c>
      <c r="I353" s="21">
        <f t="shared" si="28"/>
        <v>119.45340792796144</v>
      </c>
      <c r="J353" s="21">
        <f t="shared" si="25"/>
        <v>-16.19151497687761</v>
      </c>
      <c r="K353" s="30">
        <v>18.226666666666667</v>
      </c>
      <c r="L353" s="33">
        <v>-31.833333333333332</v>
      </c>
      <c r="M353" s="21">
        <f t="shared" si="26"/>
        <v>-79.822307750153811</v>
      </c>
      <c r="P353" s="44"/>
      <c r="S353" s="50"/>
      <c r="T353" s="51"/>
    </row>
    <row r="354" spans="5:20" ht="17">
      <c r="E354" s="20" t="str">
        <f t="shared" si="27"/>
        <v/>
      </c>
      <c r="F354" s="32">
        <f t="shared" si="29"/>
        <v>347</v>
      </c>
      <c r="G354" s="76" t="s">
        <v>440</v>
      </c>
      <c r="H354" s="29" t="s">
        <v>384</v>
      </c>
      <c r="I354" s="21">
        <f t="shared" si="28"/>
        <v>112.15545473163505</v>
      </c>
      <c r="J354" s="21">
        <f t="shared" si="25"/>
        <v>-9.5744721482067163</v>
      </c>
      <c r="K354" s="30">
        <v>18.263333333333332</v>
      </c>
      <c r="L354" s="33">
        <v>-22.133333333333333</v>
      </c>
      <c r="M354" s="21">
        <f t="shared" si="26"/>
        <v>-80.372307750153766</v>
      </c>
      <c r="P354" s="44"/>
      <c r="S354" s="50"/>
      <c r="T354" s="51"/>
    </row>
    <row r="355" spans="5:20" ht="17">
      <c r="E355" s="20" t="str">
        <f t="shared" si="27"/>
        <v/>
      </c>
      <c r="F355" s="32">
        <f t="shared" si="29"/>
        <v>348</v>
      </c>
      <c r="G355" s="76" t="s">
        <v>440</v>
      </c>
      <c r="H355" s="29" t="s">
        <v>385</v>
      </c>
      <c r="I355" s="21">
        <f t="shared" si="28"/>
        <v>116.78005533629923</v>
      </c>
      <c r="J355" s="21">
        <f t="shared" si="25"/>
        <v>-16.692346423192458</v>
      </c>
      <c r="K355" s="30">
        <v>18.395</v>
      </c>
      <c r="L355" s="33">
        <v>-30.366666666666667</v>
      </c>
      <c r="M355" s="21">
        <f t="shared" si="26"/>
        <v>-82.347307750153789</v>
      </c>
      <c r="P355" s="44"/>
      <c r="S355" s="50"/>
      <c r="T355" s="51"/>
    </row>
    <row r="356" spans="5:20">
      <c r="E356" s="20" t="str">
        <f t="shared" si="27"/>
        <v/>
      </c>
      <c r="F356" s="32">
        <f t="shared" si="29"/>
        <v>349</v>
      </c>
      <c r="G356" s="76" t="s">
        <v>440</v>
      </c>
      <c r="H356" s="28" t="s">
        <v>386</v>
      </c>
      <c r="I356" s="21">
        <f t="shared" si="28"/>
        <v>111.23456815321686</v>
      </c>
      <c r="J356" s="21">
        <f t="shared" si="25"/>
        <v>-11.927118285952824</v>
      </c>
      <c r="K356" s="30">
        <v>18.428333333333335</v>
      </c>
      <c r="L356" s="33">
        <v>-23.2</v>
      </c>
      <c r="M356" s="21">
        <f t="shared" si="26"/>
        <v>-82.847307750153789</v>
      </c>
      <c r="P356" s="44"/>
      <c r="S356" s="50"/>
      <c r="T356" s="51"/>
    </row>
    <row r="357" spans="5:20" ht="17">
      <c r="E357" s="20" t="str">
        <f t="shared" si="27"/>
        <v/>
      </c>
      <c r="F357" s="32">
        <f t="shared" si="29"/>
        <v>350</v>
      </c>
      <c r="G357" s="76" t="s">
        <v>440</v>
      </c>
      <c r="H357" s="29" t="s">
        <v>387</v>
      </c>
      <c r="I357" s="21">
        <f t="shared" si="28"/>
        <v>90.268408238152617</v>
      </c>
      <c r="J357" s="21">
        <f t="shared" si="25"/>
        <v>9.3334823433185417</v>
      </c>
      <c r="K357" s="30">
        <v>18.461666666666666</v>
      </c>
      <c r="L357" s="33">
        <v>6.5666666666666664</v>
      </c>
      <c r="M357" s="21">
        <f t="shared" si="26"/>
        <v>-83.347307750153789</v>
      </c>
      <c r="P357" s="44"/>
      <c r="S357" s="50"/>
      <c r="T357" s="51"/>
    </row>
    <row r="358" spans="5:20" ht="17">
      <c r="E358" s="20" t="str">
        <f t="shared" si="27"/>
        <v/>
      </c>
      <c r="F358" s="32">
        <f t="shared" si="29"/>
        <v>351</v>
      </c>
      <c r="G358" s="76" t="s">
        <v>440</v>
      </c>
      <c r="H358" s="29" t="s">
        <v>388</v>
      </c>
      <c r="I358" s="21">
        <f t="shared" si="28"/>
        <v>112.03049023012306</v>
      </c>
      <c r="J358" s="21">
        <f t="shared" si="25"/>
        <v>-14.3952848383316</v>
      </c>
      <c r="K358" s="30">
        <v>18.515000000000001</v>
      </c>
      <c r="L358" s="33">
        <v>-25.5</v>
      </c>
      <c r="M358" s="21">
        <f t="shared" si="26"/>
        <v>-84.1473077501538</v>
      </c>
      <c r="P358" s="44"/>
      <c r="S358" s="50"/>
      <c r="T358" s="51"/>
    </row>
    <row r="359" spans="5:20" ht="17">
      <c r="E359" s="20" t="str">
        <f t="shared" si="27"/>
        <v/>
      </c>
      <c r="F359" s="32">
        <f t="shared" si="29"/>
        <v>352</v>
      </c>
      <c r="G359" s="76" t="s">
        <v>440</v>
      </c>
      <c r="H359" s="29" t="s">
        <v>389</v>
      </c>
      <c r="I359" s="21">
        <f t="shared" si="28"/>
        <v>110.39905272651684</v>
      </c>
      <c r="J359" s="21">
        <f t="shared" si="25"/>
        <v>-13.127276930459923</v>
      </c>
      <c r="K359" s="30">
        <v>18.531666666666666</v>
      </c>
      <c r="L359" s="33">
        <v>-23.483333333333334</v>
      </c>
      <c r="M359" s="21">
        <f t="shared" si="26"/>
        <v>-84.3973077501538</v>
      </c>
      <c r="P359" s="44"/>
      <c r="S359" s="50"/>
      <c r="T359" s="51"/>
    </row>
    <row r="360" spans="5:20" ht="17">
      <c r="E360" s="20" t="str">
        <f t="shared" si="27"/>
        <v/>
      </c>
      <c r="F360" s="32">
        <f t="shared" si="29"/>
        <v>353</v>
      </c>
      <c r="G360" s="76" t="s">
        <v>440</v>
      </c>
      <c r="H360" s="29" t="s">
        <v>390</v>
      </c>
      <c r="I360" s="21">
        <f t="shared" si="28"/>
        <v>105.59642950790168</v>
      </c>
      <c r="J360" s="21">
        <f t="shared" si="25"/>
        <v>-8.5305518545947461</v>
      </c>
      <c r="K360" s="30">
        <v>18.543333333333333</v>
      </c>
      <c r="L360" s="33">
        <v>-16.899999999999999</v>
      </c>
      <c r="M360" s="21">
        <f t="shared" si="26"/>
        <v>-84.572307750153755</v>
      </c>
      <c r="P360" s="44"/>
      <c r="S360" s="50"/>
      <c r="T360" s="51"/>
    </row>
    <row r="361" spans="5:20" ht="17">
      <c r="E361" s="20" t="str">
        <f t="shared" si="27"/>
        <v/>
      </c>
      <c r="F361" s="32">
        <f t="shared" si="29"/>
        <v>354</v>
      </c>
      <c r="G361" s="76" t="s">
        <v>440</v>
      </c>
      <c r="H361" s="29" t="s">
        <v>391</v>
      </c>
      <c r="I361" s="21">
        <f t="shared" si="28"/>
        <v>98.843526427188635</v>
      </c>
      <c r="J361" s="21">
        <f t="shared" si="25"/>
        <v>-2.936809083210802</v>
      </c>
      <c r="K361" s="30">
        <v>18.611666666666668</v>
      </c>
      <c r="L361" s="33">
        <v>-8.2166666666666668</v>
      </c>
      <c r="M361" s="21">
        <f t="shared" si="26"/>
        <v>-85.597307750153789</v>
      </c>
      <c r="P361" s="44"/>
      <c r="S361" s="50"/>
      <c r="T361" s="51"/>
    </row>
    <row r="362" spans="5:20" ht="17">
      <c r="E362" s="20" t="str">
        <f t="shared" si="27"/>
        <v/>
      </c>
      <c r="F362" s="32">
        <f t="shared" si="29"/>
        <v>355</v>
      </c>
      <c r="G362" s="76" t="s">
        <v>440</v>
      </c>
      <c r="H362" s="29" t="s">
        <v>392</v>
      </c>
      <c r="I362" s="21">
        <f t="shared" si="28"/>
        <v>96.235422574162271</v>
      </c>
      <c r="J362" s="21">
        <f t="shared" si="25"/>
        <v>-6.0866169064078841</v>
      </c>
      <c r="K362" s="30">
        <v>18.885000000000002</v>
      </c>
      <c r="L362" s="33">
        <v>-8.6999999999999993</v>
      </c>
      <c r="M362" s="21">
        <f t="shared" si="26"/>
        <v>-89.697307750153811</v>
      </c>
      <c r="P362" s="44"/>
      <c r="S362" s="50"/>
      <c r="T362" s="51"/>
    </row>
    <row r="363" spans="5:20" ht="17">
      <c r="E363" s="20" t="str">
        <f t="shared" si="27"/>
        <v/>
      </c>
      <c r="F363" s="32">
        <f t="shared" si="29"/>
        <v>356</v>
      </c>
      <c r="G363" s="76" t="s">
        <v>440</v>
      </c>
      <c r="H363" s="29" t="s">
        <v>393</v>
      </c>
      <c r="I363" s="21">
        <f t="shared" si="28"/>
        <v>84.641590994375647</v>
      </c>
      <c r="J363" s="21">
        <f t="shared" si="25"/>
        <v>0.74963739211058167</v>
      </c>
      <c r="K363" s="30">
        <v>19.13</v>
      </c>
      <c r="L363" s="33">
        <v>4.2333333333333334</v>
      </c>
      <c r="M363" s="21">
        <f t="shared" si="26"/>
        <v>-93.372307750153766</v>
      </c>
      <c r="P363" s="44"/>
      <c r="S363" s="50"/>
      <c r="T363" s="51"/>
    </row>
    <row r="364" spans="5:20" ht="17">
      <c r="E364" s="20" t="str">
        <f t="shared" si="27"/>
        <v/>
      </c>
      <c r="F364" s="32">
        <f t="shared" si="29"/>
        <v>357</v>
      </c>
      <c r="G364" s="76" t="s">
        <v>440</v>
      </c>
      <c r="H364" s="29" t="s">
        <v>394</v>
      </c>
      <c r="I364" s="21">
        <f t="shared" si="28"/>
        <v>84.169200872016319</v>
      </c>
      <c r="J364" s="21">
        <f t="shared" si="25"/>
        <v>0.9220150478619572</v>
      </c>
      <c r="K364" s="30">
        <v>19.145</v>
      </c>
      <c r="L364" s="33">
        <v>4.6833333333333336</v>
      </c>
      <c r="M364" s="21">
        <f t="shared" si="26"/>
        <v>-93.597307750153789</v>
      </c>
      <c r="P364" s="44"/>
      <c r="S364" s="50"/>
      <c r="T364" s="51"/>
    </row>
    <row r="365" spans="5:20">
      <c r="E365" s="20" t="str">
        <f t="shared" si="27"/>
        <v/>
      </c>
      <c r="F365" s="32">
        <f t="shared" si="29"/>
        <v>358</v>
      </c>
      <c r="G365" s="76" t="s">
        <v>440</v>
      </c>
      <c r="H365" s="28" t="s">
        <v>395</v>
      </c>
      <c r="I365" s="21">
        <f t="shared" si="28"/>
        <v>81.132742470222709</v>
      </c>
      <c r="J365" s="21">
        <f t="shared" si="25"/>
        <v>0.62232065224243982</v>
      </c>
      <c r="K365" s="30">
        <v>19.306666666666665</v>
      </c>
      <c r="L365" s="33">
        <v>6.55</v>
      </c>
      <c r="M365" s="21">
        <f t="shared" si="26"/>
        <v>-96.022307750153743</v>
      </c>
      <c r="P365" s="44"/>
      <c r="S365" s="50"/>
      <c r="T365" s="51"/>
    </row>
    <row r="366" spans="5:20" ht="17">
      <c r="E366" s="20" t="str">
        <f t="shared" si="27"/>
        <v/>
      </c>
      <c r="F366" s="32">
        <f t="shared" si="29"/>
        <v>359</v>
      </c>
      <c r="G366" s="76" t="s">
        <v>440</v>
      </c>
      <c r="H366" s="29" t="s">
        <v>396</v>
      </c>
      <c r="I366" s="21">
        <f t="shared" si="28"/>
        <v>69.526272417458415</v>
      </c>
      <c r="J366" s="21">
        <f t="shared" si="25"/>
        <v>8.5770904862946225</v>
      </c>
      <c r="K366" s="30">
        <v>19.510000000000002</v>
      </c>
      <c r="L366" s="33">
        <v>20.266666666666666</v>
      </c>
      <c r="M366" s="21">
        <f t="shared" si="26"/>
        <v>-99.072307750153811</v>
      </c>
      <c r="P366" s="44"/>
      <c r="S366" s="50"/>
      <c r="T366" s="51"/>
    </row>
    <row r="367" spans="5:20">
      <c r="E367" s="20" t="str">
        <f t="shared" si="27"/>
        <v/>
      </c>
      <c r="F367" s="32">
        <f t="shared" si="29"/>
        <v>360</v>
      </c>
      <c r="G367" s="76" t="s">
        <v>440</v>
      </c>
      <c r="H367" s="28" t="s">
        <v>397</v>
      </c>
      <c r="I367" s="21">
        <f t="shared" si="28"/>
        <v>91.043666764377804</v>
      </c>
      <c r="J367" s="21">
        <f t="shared" si="25"/>
        <v>-18.717001977179528</v>
      </c>
      <c r="K367" s="30">
        <v>19.733333333333334</v>
      </c>
      <c r="L367" s="33">
        <v>-14.15</v>
      </c>
      <c r="M367" s="21">
        <f t="shared" si="26"/>
        <v>-102.42230775015378</v>
      </c>
      <c r="P367" s="44"/>
      <c r="S367" s="50"/>
      <c r="T367" s="51"/>
    </row>
    <row r="368" spans="5:20" ht="17">
      <c r="E368" s="20" t="str">
        <f t="shared" si="27"/>
        <v/>
      </c>
      <c r="F368" s="32">
        <f t="shared" si="29"/>
        <v>361</v>
      </c>
      <c r="G368" s="76" t="s">
        <v>440</v>
      </c>
      <c r="H368" s="29" t="s">
        <v>398</v>
      </c>
      <c r="I368" s="21">
        <f t="shared" si="28"/>
        <v>65.286044271904728</v>
      </c>
      <c r="J368" s="21">
        <f t="shared" si="25"/>
        <v>8.7998951867998247</v>
      </c>
      <c r="K368" s="30">
        <v>19.718333333333334</v>
      </c>
      <c r="L368" s="33">
        <v>23.3</v>
      </c>
      <c r="M368" s="21">
        <f t="shared" si="26"/>
        <v>-102.19730775015375</v>
      </c>
      <c r="P368" s="44"/>
      <c r="S368" s="50"/>
      <c r="T368" s="51"/>
    </row>
    <row r="369" spans="5:20" ht="17">
      <c r="E369" s="20" t="str">
        <f t="shared" si="27"/>
        <v/>
      </c>
      <c r="F369" s="32">
        <f t="shared" si="29"/>
        <v>362</v>
      </c>
      <c r="G369" s="76" t="s">
        <v>440</v>
      </c>
      <c r="H369" s="29" t="s">
        <v>33</v>
      </c>
      <c r="I369" s="21">
        <f t="shared" si="28"/>
        <v>44.451864991473371</v>
      </c>
      <c r="J369" s="21">
        <f t="shared" si="25"/>
        <v>27.623087307119526</v>
      </c>
      <c r="K369" s="30">
        <v>19.746666666666666</v>
      </c>
      <c r="L369" s="33">
        <v>50.516666666666666</v>
      </c>
      <c r="M369" s="21">
        <f t="shared" si="26"/>
        <v>-102.62230775015377</v>
      </c>
      <c r="P369" s="44"/>
      <c r="S369" s="50"/>
      <c r="T369" s="51"/>
    </row>
    <row r="370" spans="5:20" ht="17">
      <c r="E370" s="20" t="str">
        <f t="shared" si="27"/>
        <v/>
      </c>
      <c r="F370" s="32">
        <f t="shared" si="29"/>
        <v>363</v>
      </c>
      <c r="G370" s="76" t="s">
        <v>440</v>
      </c>
      <c r="H370" s="29" t="s">
        <v>399</v>
      </c>
      <c r="I370" s="21">
        <f t="shared" si="28"/>
        <v>64.097029633216039</v>
      </c>
      <c r="J370" s="21">
        <f t="shared" si="25"/>
        <v>7.3981556731717619</v>
      </c>
      <c r="K370" s="30">
        <v>19.850000000000001</v>
      </c>
      <c r="L370" s="33">
        <v>23.066666666666666</v>
      </c>
      <c r="M370" s="21">
        <f t="shared" si="26"/>
        <v>-104.17230775015378</v>
      </c>
      <c r="P370" s="44"/>
      <c r="S370" s="50"/>
      <c r="T370" s="51"/>
    </row>
    <row r="371" spans="5:20" ht="17">
      <c r="E371" s="20" t="str">
        <f t="shared" si="27"/>
        <v/>
      </c>
      <c r="F371" s="32">
        <f t="shared" si="29"/>
        <v>364</v>
      </c>
      <c r="G371" s="76" t="s">
        <v>440</v>
      </c>
      <c r="H371" s="29" t="s">
        <v>400</v>
      </c>
      <c r="I371" s="21">
        <f t="shared" si="28"/>
        <v>59.532328627373133</v>
      </c>
      <c r="J371" s="21">
        <f t="shared" si="25"/>
        <v>11.887529671615665</v>
      </c>
      <c r="K371" s="30">
        <v>19.87</v>
      </c>
      <c r="L371" s="33">
        <v>29.416666666666668</v>
      </c>
      <c r="M371" s="21">
        <f t="shared" si="26"/>
        <v>-104.47230775015379</v>
      </c>
      <c r="P371" s="44"/>
      <c r="S371" s="50"/>
      <c r="T371" s="51"/>
    </row>
    <row r="372" spans="5:20" ht="17">
      <c r="E372" s="20" t="str">
        <f t="shared" si="27"/>
        <v/>
      </c>
      <c r="F372" s="32">
        <f t="shared" si="29"/>
        <v>365</v>
      </c>
      <c r="G372" s="76" t="s">
        <v>440</v>
      </c>
      <c r="H372" s="29" t="s">
        <v>401</v>
      </c>
      <c r="I372" s="21">
        <f t="shared" si="28"/>
        <v>47.279032396862227</v>
      </c>
      <c r="J372" s="21">
        <f t="shared" si="25"/>
        <v>20.836076101943249</v>
      </c>
      <c r="K372" s="30">
        <v>20.061666666666667</v>
      </c>
      <c r="L372" s="33">
        <v>44</v>
      </c>
      <c r="M372" s="21">
        <f t="shared" si="26"/>
        <v>-107.34730775015379</v>
      </c>
      <c r="P372" s="44"/>
      <c r="S372" s="50"/>
      <c r="T372" s="51"/>
    </row>
    <row r="373" spans="5:20" ht="17">
      <c r="E373" s="20" t="str">
        <f t="shared" si="27"/>
        <v/>
      </c>
      <c r="F373" s="32">
        <f t="shared" si="29"/>
        <v>366</v>
      </c>
      <c r="G373" s="76" t="s">
        <v>440</v>
      </c>
      <c r="H373" s="29" t="s">
        <v>402</v>
      </c>
      <c r="I373" s="21">
        <f t="shared" si="28"/>
        <v>58.227719752180576</v>
      </c>
      <c r="J373" s="21">
        <f t="shared" si="25"/>
        <v>6.8789490309181316</v>
      </c>
      <c r="K373" s="30">
        <v>20.195</v>
      </c>
      <c r="L373" s="33">
        <v>26.55</v>
      </c>
      <c r="M373" s="21">
        <f t="shared" si="26"/>
        <v>-109.34730775015379</v>
      </c>
      <c r="P373" s="44"/>
      <c r="S373" s="50"/>
      <c r="T373" s="51"/>
    </row>
    <row r="374" spans="5:20" ht="17">
      <c r="E374" s="20" t="str">
        <f t="shared" si="27"/>
        <v/>
      </c>
      <c r="F374" s="32">
        <f t="shared" si="29"/>
        <v>367</v>
      </c>
      <c r="G374" s="76" t="s">
        <v>440</v>
      </c>
      <c r="H374" s="29" t="s">
        <v>46</v>
      </c>
      <c r="I374" s="21">
        <f t="shared" si="28"/>
        <v>58.220572351852994</v>
      </c>
      <c r="J374" s="21">
        <f t="shared" si="25"/>
        <v>6.7846204632363225</v>
      </c>
      <c r="K374" s="30">
        <v>20.2</v>
      </c>
      <c r="L374" s="33">
        <v>26.483333333333334</v>
      </c>
      <c r="M374" s="21">
        <f t="shared" si="26"/>
        <v>-109.42230775015378</v>
      </c>
      <c r="P374" s="44"/>
      <c r="S374" s="50"/>
      <c r="T374" s="51"/>
    </row>
    <row r="375" spans="5:20">
      <c r="E375" s="20" t="str">
        <f t="shared" si="27"/>
        <v/>
      </c>
      <c r="F375" s="32">
        <f t="shared" si="29"/>
        <v>368</v>
      </c>
      <c r="G375" s="76" t="s">
        <v>440</v>
      </c>
      <c r="H375" s="28" t="s">
        <v>403</v>
      </c>
      <c r="I375" s="21">
        <f t="shared" si="28"/>
        <v>60.517114187287831</v>
      </c>
      <c r="J375" s="21">
        <f t="shared" si="25"/>
        <v>0.38309353913905897</v>
      </c>
      <c r="K375" s="30">
        <v>20.373333333333335</v>
      </c>
      <c r="L375" s="33">
        <v>20.116666666666667</v>
      </c>
      <c r="M375" s="21">
        <f t="shared" si="26"/>
        <v>-112.0223077501538</v>
      </c>
      <c r="P375" s="44"/>
      <c r="S375" s="50"/>
      <c r="T375" s="51"/>
    </row>
    <row r="376" spans="5:20" ht="17">
      <c r="E376" s="20" t="str">
        <f t="shared" si="27"/>
        <v/>
      </c>
      <c r="F376" s="32">
        <f t="shared" si="29"/>
        <v>369</v>
      </c>
      <c r="G376" s="76" t="s">
        <v>440</v>
      </c>
      <c r="H376" s="29" t="s">
        <v>404</v>
      </c>
      <c r="I376" s="21">
        <f t="shared" si="28"/>
        <v>46.842165062147636</v>
      </c>
      <c r="J376" s="21">
        <f t="shared" si="25"/>
        <v>16.041219793797485</v>
      </c>
      <c r="K376" s="30">
        <v>20.385000000000002</v>
      </c>
      <c r="L376" s="33">
        <v>40.783333333333331</v>
      </c>
      <c r="M376" s="21">
        <f t="shared" si="26"/>
        <v>-112.19730775015381</v>
      </c>
      <c r="P376" s="44"/>
      <c r="S376" s="50"/>
      <c r="T376" s="51"/>
    </row>
    <row r="377" spans="5:20" ht="17">
      <c r="E377" s="20" t="str">
        <f t="shared" si="27"/>
        <v/>
      </c>
      <c r="F377" s="32">
        <f t="shared" si="29"/>
        <v>370</v>
      </c>
      <c r="G377" s="76" t="s">
        <v>440</v>
      </c>
      <c r="H377" s="29" t="s">
        <v>54</v>
      </c>
      <c r="I377" s="21">
        <f t="shared" si="28"/>
        <v>66.43060668412177</v>
      </c>
      <c r="J377" s="21">
        <f t="shared" si="25"/>
        <v>-11.250945158147873</v>
      </c>
      <c r="K377" s="30">
        <v>20.57</v>
      </c>
      <c r="L377" s="33">
        <v>7.4</v>
      </c>
      <c r="M377" s="21">
        <f t="shared" si="26"/>
        <v>-114.97230775015379</v>
      </c>
      <c r="P377" s="44"/>
      <c r="S377" s="50"/>
      <c r="T377" s="51"/>
    </row>
    <row r="378" spans="5:20" ht="17">
      <c r="E378" s="20" t="str">
        <f t="shared" si="27"/>
        <v/>
      </c>
      <c r="F378" s="32">
        <f t="shared" si="29"/>
        <v>371</v>
      </c>
      <c r="G378" s="76" t="s">
        <v>440</v>
      </c>
      <c r="H378" s="29" t="s">
        <v>405</v>
      </c>
      <c r="I378" s="21">
        <f t="shared" si="28"/>
        <v>30.913599813339399</v>
      </c>
      <c r="J378" s="21">
        <f t="shared" si="25"/>
        <v>29.521295082303112</v>
      </c>
      <c r="K378" s="30">
        <v>20.523333333333333</v>
      </c>
      <c r="L378" s="33">
        <v>60.633333333333333</v>
      </c>
      <c r="M378" s="21">
        <f t="shared" si="26"/>
        <v>-114.2723077501538</v>
      </c>
      <c r="P378" s="44"/>
      <c r="S378" s="50"/>
      <c r="T378" s="51"/>
    </row>
    <row r="379" spans="5:20" ht="17">
      <c r="E379" s="20" t="str">
        <f t="shared" si="27"/>
        <v/>
      </c>
      <c r="F379" s="32">
        <f t="shared" si="29"/>
        <v>372</v>
      </c>
      <c r="G379" s="76" t="s">
        <v>440</v>
      </c>
      <c r="H379" s="29" t="s">
        <v>406</v>
      </c>
      <c r="I379" s="21">
        <f t="shared" si="28"/>
        <v>53.179428982035148</v>
      </c>
      <c r="J379" s="21">
        <f t="shared" si="25"/>
        <v>4.964396162031151</v>
      </c>
      <c r="K379" s="30">
        <v>20.576666666666668</v>
      </c>
      <c r="L379" s="33">
        <v>28.3</v>
      </c>
      <c r="M379" s="21">
        <f t="shared" si="26"/>
        <v>-115.07230775015381</v>
      </c>
      <c r="P379" s="44"/>
      <c r="S379" s="50"/>
      <c r="T379" s="51"/>
    </row>
    <row r="380" spans="5:20" ht="17">
      <c r="E380" s="20" t="str">
        <f t="shared" si="27"/>
        <v/>
      </c>
      <c r="F380" s="32">
        <f t="shared" si="29"/>
        <v>373</v>
      </c>
      <c r="G380" s="76" t="s">
        <v>440</v>
      </c>
      <c r="H380" s="29" t="s">
        <v>31</v>
      </c>
      <c r="I380" s="21">
        <f t="shared" si="28"/>
        <v>30.975368872181512</v>
      </c>
      <c r="J380" s="21">
        <f t="shared" si="25"/>
        <v>28.883286025072287</v>
      </c>
      <c r="K380" s="30">
        <v>20.58</v>
      </c>
      <c r="L380" s="33">
        <v>60.15</v>
      </c>
      <c r="M380" s="21">
        <f t="shared" si="26"/>
        <v>-115.12230775015377</v>
      </c>
      <c r="P380" s="44"/>
      <c r="S380" s="50"/>
      <c r="T380" s="51"/>
    </row>
    <row r="381" spans="5:20" ht="17">
      <c r="E381" s="20" t="str">
        <f t="shared" si="27"/>
        <v/>
      </c>
      <c r="F381" s="32">
        <f t="shared" si="29"/>
        <v>374</v>
      </c>
      <c r="G381" s="76" t="s">
        <v>440</v>
      </c>
      <c r="H381" s="29" t="s">
        <v>36</v>
      </c>
      <c r="I381" s="21">
        <f t="shared" si="28"/>
        <v>39.250631439233352</v>
      </c>
      <c r="J381" s="21">
        <f t="shared" si="25"/>
        <v>14.582313479246078</v>
      </c>
      <c r="K381" s="31">
        <v>20.98</v>
      </c>
      <c r="L381" s="33">
        <v>44.333333333333336</v>
      </c>
      <c r="M381" s="21">
        <f t="shared" si="26"/>
        <v>-121.12230775015377</v>
      </c>
      <c r="P381" s="44"/>
      <c r="S381" s="50"/>
      <c r="T381" s="51"/>
    </row>
    <row r="382" spans="5:20" ht="17">
      <c r="E382" s="20" t="str">
        <f t="shared" si="27"/>
        <v/>
      </c>
      <c r="F382" s="32">
        <f t="shared" si="29"/>
        <v>375</v>
      </c>
      <c r="G382" s="76" t="s">
        <v>440</v>
      </c>
      <c r="H382" s="29" t="s">
        <v>50</v>
      </c>
      <c r="I382" s="21">
        <f t="shared" si="28"/>
        <v>55.604774636033838</v>
      </c>
      <c r="J382" s="21">
        <f t="shared" si="25"/>
        <v>-8.4328396062103099</v>
      </c>
      <c r="K382" s="30">
        <v>21.024999999999999</v>
      </c>
      <c r="L382" s="33">
        <v>16.183333333333334</v>
      </c>
      <c r="M382" s="21">
        <f t="shared" si="26"/>
        <v>-121.79730775015378</v>
      </c>
      <c r="P382" s="44"/>
      <c r="S382" s="50"/>
      <c r="T382" s="51"/>
    </row>
    <row r="383" spans="5:20" ht="17">
      <c r="E383" s="20" t="str">
        <f t="shared" si="27"/>
        <v/>
      </c>
      <c r="F383" s="32">
        <f t="shared" si="29"/>
        <v>376</v>
      </c>
      <c r="G383" s="76" t="s">
        <v>440</v>
      </c>
      <c r="H383" s="29" t="s">
        <v>407</v>
      </c>
      <c r="I383" s="21">
        <f t="shared" si="28"/>
        <v>32.309926559884907</v>
      </c>
      <c r="J383" s="21">
        <f t="shared" si="25"/>
        <v>22.407552493092545</v>
      </c>
      <c r="K383" s="30">
        <v>21.01</v>
      </c>
      <c r="L383" s="33">
        <v>54.55</v>
      </c>
      <c r="M383" s="21">
        <f t="shared" si="26"/>
        <v>-121.57230775015381</v>
      </c>
      <c r="P383" s="44"/>
      <c r="S383" s="50"/>
      <c r="T383" s="51"/>
    </row>
    <row r="384" spans="5:20" ht="17">
      <c r="E384" s="20" t="str">
        <f t="shared" si="27"/>
        <v/>
      </c>
      <c r="F384" s="32">
        <f t="shared" si="29"/>
        <v>377</v>
      </c>
      <c r="G384" s="76" t="s">
        <v>440</v>
      </c>
      <c r="H384" s="29" t="s">
        <v>60</v>
      </c>
      <c r="I384" s="21">
        <f t="shared" si="28"/>
        <v>73.455242312906663</v>
      </c>
      <c r="J384" s="21">
        <f t="shared" si="25"/>
        <v>-30.364528879700369</v>
      </c>
      <c r="K384" s="30">
        <v>21.07</v>
      </c>
      <c r="L384" s="33">
        <v>-11.366666666666667</v>
      </c>
      <c r="M384" s="21">
        <f t="shared" si="26"/>
        <v>-122.47230775015379</v>
      </c>
      <c r="P384" s="44"/>
      <c r="S384" s="50"/>
      <c r="T384" s="51"/>
    </row>
    <row r="385" spans="5:20" ht="17">
      <c r="E385" s="20" t="str">
        <f t="shared" si="27"/>
        <v/>
      </c>
      <c r="F385" s="32">
        <f t="shared" si="29"/>
        <v>378</v>
      </c>
      <c r="G385" s="76" t="s">
        <v>440</v>
      </c>
      <c r="H385" s="29" t="s">
        <v>408</v>
      </c>
      <c r="I385" s="21">
        <f t="shared" si="28"/>
        <v>38.264044474433945</v>
      </c>
      <c r="J385" s="21">
        <f t="shared" si="25"/>
        <v>11.573331892631623</v>
      </c>
      <c r="K385" s="30">
        <v>21.215</v>
      </c>
      <c r="L385" s="33">
        <v>42.483333333333334</v>
      </c>
      <c r="M385" s="21">
        <f t="shared" si="26"/>
        <v>-124.64730775015374</v>
      </c>
      <c r="P385" s="44"/>
      <c r="S385" s="50"/>
      <c r="T385" s="51"/>
    </row>
    <row r="386" spans="5:20" ht="17">
      <c r="E386" s="20" t="str">
        <f t="shared" si="27"/>
        <v/>
      </c>
      <c r="F386" s="32">
        <f t="shared" si="29"/>
        <v>379</v>
      </c>
      <c r="G386" s="76" t="s">
        <v>440</v>
      </c>
      <c r="H386" s="29" t="s">
        <v>409</v>
      </c>
      <c r="I386" s="21">
        <f t="shared" si="28"/>
        <v>34.433329097831987</v>
      </c>
      <c r="J386" s="21">
        <f t="shared" si="25"/>
        <v>13.722005932648099</v>
      </c>
      <c r="K386" s="30">
        <v>21.386666666666667</v>
      </c>
      <c r="L386" s="33">
        <v>46.383333333333333</v>
      </c>
      <c r="M386" s="21">
        <f t="shared" si="26"/>
        <v>-127.22230775015379</v>
      </c>
      <c r="P386" s="44"/>
      <c r="S386" s="50"/>
      <c r="T386" s="51"/>
    </row>
    <row r="387" spans="5:20" ht="17">
      <c r="E387" s="20" t="str">
        <f t="shared" si="27"/>
        <v/>
      </c>
      <c r="F387" s="32">
        <f t="shared" si="29"/>
        <v>380</v>
      </c>
      <c r="G387" s="76" t="s">
        <v>440</v>
      </c>
      <c r="H387" s="29" t="s">
        <v>410</v>
      </c>
      <c r="I387" s="21">
        <f t="shared" si="28"/>
        <v>30.369444698444472</v>
      </c>
      <c r="J387" s="21">
        <f t="shared" si="25"/>
        <v>17.347717613084466</v>
      </c>
      <c r="K387" s="30">
        <v>21.508333333333333</v>
      </c>
      <c r="L387" s="33">
        <v>51.583333333333336</v>
      </c>
      <c r="M387" s="21">
        <f t="shared" si="26"/>
        <v>-129.04730775015378</v>
      </c>
      <c r="P387" s="44"/>
      <c r="S387" s="50"/>
      <c r="T387" s="51"/>
    </row>
    <row r="388" spans="5:20" ht="17">
      <c r="E388" s="20" t="str">
        <f t="shared" si="27"/>
        <v/>
      </c>
      <c r="F388" s="32">
        <f t="shared" si="29"/>
        <v>381</v>
      </c>
      <c r="G388" s="76" t="s">
        <v>440</v>
      </c>
      <c r="H388" s="29" t="s">
        <v>411</v>
      </c>
      <c r="I388" s="21">
        <f t="shared" si="28"/>
        <v>27.34550604250671</v>
      </c>
      <c r="J388" s="21">
        <f t="shared" si="25"/>
        <v>18.010481344860615</v>
      </c>
      <c r="K388" s="30">
        <v>21.733333333333334</v>
      </c>
      <c r="L388" s="33">
        <v>53.716666666666669</v>
      </c>
      <c r="M388" s="21">
        <f t="shared" si="26"/>
        <v>-132.42230775015378</v>
      </c>
      <c r="P388" s="44"/>
      <c r="S388" s="50"/>
      <c r="T388" s="51"/>
    </row>
    <row r="389" spans="5:20" ht="17">
      <c r="E389" s="20" t="str">
        <f t="shared" si="27"/>
        <v/>
      </c>
      <c r="F389" s="32">
        <f t="shared" si="29"/>
        <v>382</v>
      </c>
      <c r="G389" s="76" t="s">
        <v>440</v>
      </c>
      <c r="H389" s="29" t="s">
        <v>412</v>
      </c>
      <c r="I389" s="21">
        <f t="shared" si="28"/>
        <v>19.875617459577196</v>
      </c>
      <c r="J389" s="21">
        <f t="shared" si="25"/>
        <v>27.958564859776828</v>
      </c>
      <c r="K389" s="30">
        <v>21.765000000000001</v>
      </c>
      <c r="L389" s="33">
        <v>65.8</v>
      </c>
      <c r="M389" s="21">
        <f t="shared" si="26"/>
        <v>-132.8973077501538</v>
      </c>
      <c r="P389" s="44"/>
      <c r="S389" s="50"/>
      <c r="T389" s="51"/>
    </row>
    <row r="390" spans="5:20" ht="17">
      <c r="E390" s="20" t="str">
        <f t="shared" si="27"/>
        <v/>
      </c>
      <c r="F390" s="32">
        <f t="shared" si="29"/>
        <v>383</v>
      </c>
      <c r="G390" s="76" t="s">
        <v>440</v>
      </c>
      <c r="H390" s="29" t="s">
        <v>413</v>
      </c>
      <c r="I390" s="21">
        <f t="shared" si="28"/>
        <v>21.069369369547577</v>
      </c>
      <c r="J390" s="21">
        <f t="shared" si="25"/>
        <v>24.825725687837753</v>
      </c>
      <c r="K390" s="30">
        <v>21.895</v>
      </c>
      <c r="L390" s="33">
        <v>62.6</v>
      </c>
      <c r="M390" s="21">
        <f t="shared" si="26"/>
        <v>-134.84730775015373</v>
      </c>
      <c r="P390" s="44"/>
      <c r="S390" s="50"/>
      <c r="T390" s="51"/>
    </row>
    <row r="391" spans="5:20" ht="17">
      <c r="E391" s="20" t="str">
        <f t="shared" si="27"/>
        <v/>
      </c>
      <c r="F391" s="32">
        <f t="shared" si="29"/>
        <v>384</v>
      </c>
      <c r="G391" s="76" t="s">
        <v>440</v>
      </c>
      <c r="H391" s="29" t="s">
        <v>414</v>
      </c>
      <c r="I391" s="21">
        <f t="shared" si="28"/>
        <v>28.054814179661101</v>
      </c>
      <c r="J391" s="21">
        <f t="shared" si="25"/>
        <v>10.068459798999177</v>
      </c>
      <c r="K391" s="30">
        <v>22.086666666666666</v>
      </c>
      <c r="L391" s="33">
        <v>46.5</v>
      </c>
      <c r="M391" s="21">
        <f t="shared" si="26"/>
        <v>-137.72230775015379</v>
      </c>
      <c r="P391" s="44"/>
      <c r="S391" s="50"/>
      <c r="T391" s="51"/>
    </row>
    <row r="392" spans="5:20" ht="17">
      <c r="E392" s="20" t="str">
        <f t="shared" si="27"/>
        <v/>
      </c>
      <c r="F392" s="32">
        <f t="shared" si="29"/>
        <v>385</v>
      </c>
      <c r="G392" s="76" t="s">
        <v>440</v>
      </c>
      <c r="H392" s="29" t="s">
        <v>415</v>
      </c>
      <c r="I392" s="21">
        <f t="shared" si="28"/>
        <v>34.613793657216867</v>
      </c>
      <c r="J392" s="21">
        <f t="shared" ref="J392:J407" si="30">ASIN(SIN($M$409*L392)*SIN($M$409*$C$13)+COS($M$409*L392)*COS($M$409*$C$13)*COS($M$409*M392))/$M$409</f>
        <v>-3.5921131831710658</v>
      </c>
      <c r="K392" s="30">
        <v>22.131666666666668</v>
      </c>
      <c r="L392" s="33">
        <v>31.366666666666667</v>
      </c>
      <c r="M392" s="21">
        <f t="shared" ref="M392:M407" si="31">$C$16-((K392/24)*360)</f>
        <v>-138.3973077501538</v>
      </c>
      <c r="P392" s="44"/>
      <c r="S392" s="50"/>
      <c r="T392" s="51"/>
    </row>
    <row r="393" spans="5:20" ht="17">
      <c r="E393" s="20" t="str">
        <f t="shared" ref="E393:E407" si="32">IF(AND(J393&gt;=$J$4,J393&lt;=$J$6,I393&gt;=$I$4,I393&lt;=$I$6),IF(VLOOKUP(G393,$C$19:$D$24,2,FALSE)="yes","*","-"),"")</f>
        <v/>
      </c>
      <c r="F393" s="32">
        <f t="shared" si="29"/>
        <v>386</v>
      </c>
      <c r="G393" s="76" t="s">
        <v>440</v>
      </c>
      <c r="H393" s="29" t="s">
        <v>34</v>
      </c>
      <c r="I393" s="21">
        <f t="shared" ref="I393:I407" si="33">IF(SIN($M$409*M393)&lt;0,ACOS((SIN($M$409*L393)-SIN($M$409*J393)*SIN($M$409*$C$13))/(COS($M$409*J393)*COS($M$409*$C$13)))/$M$409,360-ACOS((SIN($M$409*L393)-SIN($M$409*J393)*SIN($M$409*$C$13))/(COS($M$409*J393)*COS($M$409*$C$13)))/$M$409)</f>
        <v>24.942970553189244</v>
      </c>
      <c r="J393" s="21">
        <f t="shared" si="30"/>
        <v>12.295151653160367</v>
      </c>
      <c r="K393" s="30">
        <v>22.254999999999999</v>
      </c>
      <c r="L393" s="33">
        <v>49.883333333333333</v>
      </c>
      <c r="M393" s="21">
        <f t="shared" si="31"/>
        <v>-140.24730775015377</v>
      </c>
      <c r="P393" s="44"/>
      <c r="S393" s="50"/>
      <c r="T393" s="51"/>
    </row>
    <row r="394" spans="5:20" ht="17">
      <c r="E394" s="20" t="str">
        <f t="shared" si="32"/>
        <v/>
      </c>
      <c r="F394" s="32">
        <f t="shared" ref="F394:F407" si="34">F393+1</f>
        <v>387</v>
      </c>
      <c r="G394" s="76" t="s">
        <v>440</v>
      </c>
      <c r="H394" s="29" t="s">
        <v>416</v>
      </c>
      <c r="I394" s="21">
        <f t="shared" si="33"/>
        <v>21.998435561816589</v>
      </c>
      <c r="J394" s="21">
        <f t="shared" si="30"/>
        <v>13.569815871881637</v>
      </c>
      <c r="K394" s="30">
        <v>22.47</v>
      </c>
      <c r="L394" s="33">
        <v>52.283333333333331</v>
      </c>
      <c r="M394" s="21">
        <f t="shared" si="31"/>
        <v>-143.47230775015373</v>
      </c>
      <c r="P394" s="44"/>
      <c r="S394" s="50"/>
      <c r="T394" s="51"/>
    </row>
    <row r="395" spans="5:20" ht="17">
      <c r="E395" s="20" t="str">
        <f t="shared" si="32"/>
        <v/>
      </c>
      <c r="F395" s="32">
        <f t="shared" si="34"/>
        <v>388</v>
      </c>
      <c r="G395" s="76" t="s">
        <v>440</v>
      </c>
      <c r="H395" s="29" t="s">
        <v>43</v>
      </c>
      <c r="I395" s="21">
        <f t="shared" si="33"/>
        <v>27.758639146037805</v>
      </c>
      <c r="J395" s="21">
        <f t="shared" si="30"/>
        <v>-3.4326540677724249</v>
      </c>
      <c r="K395" s="30">
        <v>22.618333333333332</v>
      </c>
      <c r="L395" s="33">
        <v>34.416666666666664</v>
      </c>
      <c r="M395" s="21">
        <f t="shared" si="31"/>
        <v>-145.69730775015375</v>
      </c>
      <c r="P395" s="44"/>
      <c r="S395" s="50"/>
      <c r="T395" s="51"/>
    </row>
    <row r="396" spans="5:20" ht="17">
      <c r="E396" s="20" t="str">
        <f t="shared" si="32"/>
        <v/>
      </c>
      <c r="F396" s="32">
        <f t="shared" si="34"/>
        <v>389</v>
      </c>
      <c r="G396" s="76" t="s">
        <v>440</v>
      </c>
      <c r="H396" s="29" t="s">
        <v>417</v>
      </c>
      <c r="I396" s="21">
        <f t="shared" si="33"/>
        <v>17.020816182513961</v>
      </c>
      <c r="J396" s="21">
        <f t="shared" si="30"/>
        <v>17.816513367667469</v>
      </c>
      <c r="K396" s="30">
        <v>22.783333333333335</v>
      </c>
      <c r="L396" s="33">
        <v>58.1</v>
      </c>
      <c r="M396" s="21">
        <f t="shared" si="31"/>
        <v>-148.17230775015378</v>
      </c>
      <c r="P396" s="44"/>
      <c r="S396" s="50"/>
      <c r="T396" s="51"/>
    </row>
    <row r="397" spans="5:20" ht="17">
      <c r="E397" s="20" t="str">
        <f t="shared" si="32"/>
        <v/>
      </c>
      <c r="F397" s="32">
        <f t="shared" si="34"/>
        <v>390</v>
      </c>
      <c r="G397" s="76" t="s">
        <v>440</v>
      </c>
      <c r="H397" s="29" t="s">
        <v>418</v>
      </c>
      <c r="I397" s="21">
        <f t="shared" si="33"/>
        <v>29.817922446844122</v>
      </c>
      <c r="J397" s="21">
        <f t="shared" si="30"/>
        <v>-22.47149292620384</v>
      </c>
      <c r="K397" s="30">
        <v>23.001666666666665</v>
      </c>
      <c r="L397" s="33">
        <v>15.983333333333333</v>
      </c>
      <c r="M397" s="21">
        <f t="shared" si="31"/>
        <v>-151.44730775015375</v>
      </c>
      <c r="P397" s="44"/>
      <c r="S397" s="50"/>
      <c r="T397" s="51"/>
    </row>
    <row r="398" spans="5:20" ht="17">
      <c r="E398" s="20" t="str">
        <f t="shared" si="32"/>
        <v/>
      </c>
      <c r="F398" s="32">
        <f t="shared" si="34"/>
        <v>391</v>
      </c>
      <c r="G398" s="76" t="s">
        <v>440</v>
      </c>
      <c r="H398" s="29" t="s">
        <v>52</v>
      </c>
      <c r="I398" s="21">
        <f t="shared" si="33"/>
        <v>30.05138859168629</v>
      </c>
      <c r="J398" s="21">
        <f t="shared" si="30"/>
        <v>-26.312411036123848</v>
      </c>
      <c r="K398" s="30">
        <v>23.081666666666667</v>
      </c>
      <c r="L398" s="33">
        <v>12.316666666666666</v>
      </c>
      <c r="M398" s="21">
        <f t="shared" si="31"/>
        <v>-152.6473077501538</v>
      </c>
      <c r="P398" s="44"/>
      <c r="S398" s="50"/>
      <c r="T398" s="51"/>
    </row>
    <row r="399" spans="5:20" ht="17">
      <c r="E399" s="20" t="str">
        <f t="shared" si="32"/>
        <v/>
      </c>
      <c r="F399" s="32">
        <f t="shared" si="34"/>
        <v>392</v>
      </c>
      <c r="G399" s="76" t="s">
        <v>440</v>
      </c>
      <c r="H399" s="29" t="s">
        <v>419</v>
      </c>
      <c r="I399" s="21">
        <f t="shared" si="33"/>
        <v>13.029556973680256</v>
      </c>
      <c r="J399" s="21">
        <f t="shared" si="30"/>
        <v>19.035242460286966</v>
      </c>
      <c r="K399" s="30">
        <v>23.191666666666666</v>
      </c>
      <c r="L399" s="33">
        <v>60.56666666666667</v>
      </c>
      <c r="M399" s="21">
        <f t="shared" si="31"/>
        <v>-154.29730775015378</v>
      </c>
      <c r="P399" s="44"/>
      <c r="S399" s="50"/>
      <c r="T399" s="51"/>
    </row>
    <row r="400" spans="5:20" ht="17">
      <c r="E400" s="20" t="str">
        <f t="shared" si="32"/>
        <v/>
      </c>
      <c r="F400" s="32">
        <f t="shared" si="34"/>
        <v>393</v>
      </c>
      <c r="G400" s="76" t="s">
        <v>440</v>
      </c>
      <c r="H400" s="29" t="s">
        <v>420</v>
      </c>
      <c r="I400" s="21">
        <f t="shared" si="33"/>
        <v>35.762592684232921</v>
      </c>
      <c r="J400" s="21">
        <f t="shared" si="30"/>
        <v>-46.92037643319297</v>
      </c>
      <c r="K400" s="30">
        <v>23.318333333333335</v>
      </c>
      <c r="L400" s="33">
        <v>-8.4833333333333325</v>
      </c>
      <c r="M400" s="21">
        <f t="shared" si="31"/>
        <v>-156.19730775015381</v>
      </c>
      <c r="P400" s="44"/>
      <c r="S400" s="50"/>
      <c r="T400" s="51"/>
    </row>
    <row r="401" spans="5:20" ht="17">
      <c r="E401" s="20" t="str">
        <f t="shared" si="32"/>
        <v/>
      </c>
      <c r="F401" s="32">
        <f t="shared" si="34"/>
        <v>394</v>
      </c>
      <c r="G401" s="76" t="s">
        <v>440</v>
      </c>
      <c r="H401" s="29" t="s">
        <v>38</v>
      </c>
      <c r="I401" s="21">
        <f t="shared" si="33"/>
        <v>16.095929662665032</v>
      </c>
      <c r="J401" s="21">
        <f t="shared" si="30"/>
        <v>1.1372989652092276</v>
      </c>
      <c r="K401" s="30">
        <v>23.431666666666665</v>
      </c>
      <c r="L401" s="33">
        <v>42.55</v>
      </c>
      <c r="M401" s="21">
        <f t="shared" si="31"/>
        <v>-157.89730775015374</v>
      </c>
      <c r="P401" s="44"/>
      <c r="S401" s="50"/>
      <c r="T401" s="51"/>
    </row>
    <row r="402" spans="5:20" ht="17">
      <c r="E402" s="20" t="str">
        <f t="shared" si="32"/>
        <v/>
      </c>
      <c r="F402" s="32">
        <f t="shared" si="34"/>
        <v>395</v>
      </c>
      <c r="G402" s="76" t="s">
        <v>440</v>
      </c>
      <c r="H402" s="29" t="s">
        <v>421</v>
      </c>
      <c r="I402" s="21">
        <f t="shared" si="33"/>
        <v>13.691963163200484</v>
      </c>
      <c r="J402" s="21">
        <f t="shared" si="30"/>
        <v>7.3143949725807502</v>
      </c>
      <c r="K402" s="30">
        <v>23.503333333333334</v>
      </c>
      <c r="L402" s="33">
        <v>49.133333333333333</v>
      </c>
      <c r="M402" s="21">
        <f t="shared" si="31"/>
        <v>-158.97230775015379</v>
      </c>
      <c r="P402" s="44"/>
      <c r="S402" s="50"/>
      <c r="T402" s="51"/>
    </row>
    <row r="403" spans="5:20" ht="17">
      <c r="E403" s="20" t="str">
        <f t="shared" si="32"/>
        <v/>
      </c>
      <c r="F403" s="32">
        <f t="shared" si="34"/>
        <v>396</v>
      </c>
      <c r="G403" s="76" t="s">
        <v>440</v>
      </c>
      <c r="H403" s="29" t="s">
        <v>422</v>
      </c>
      <c r="I403" s="21">
        <f t="shared" si="33"/>
        <v>31.503014943256858</v>
      </c>
      <c r="J403" s="21">
        <f t="shared" si="30"/>
        <v>-52.942048262518789</v>
      </c>
      <c r="K403" s="30">
        <v>23.648333333333333</v>
      </c>
      <c r="L403" s="33">
        <v>-12.966666666666667</v>
      </c>
      <c r="M403" s="21">
        <f t="shared" si="31"/>
        <v>-161.1473077501538</v>
      </c>
      <c r="P403" s="44"/>
      <c r="S403" s="50"/>
      <c r="T403" s="51"/>
    </row>
    <row r="404" spans="5:20" ht="17">
      <c r="E404" s="20" t="str">
        <f t="shared" si="32"/>
        <v/>
      </c>
      <c r="F404" s="32">
        <f t="shared" si="34"/>
        <v>397</v>
      </c>
      <c r="G404" s="76" t="s">
        <v>440</v>
      </c>
      <c r="H404" s="29" t="s">
        <v>423</v>
      </c>
      <c r="I404" s="21">
        <f t="shared" si="33"/>
        <v>30.727210986614864</v>
      </c>
      <c r="J404" s="21">
        <f t="shared" si="30"/>
        <v>-52.410348787199396</v>
      </c>
      <c r="K404" s="30">
        <v>23.664999999999999</v>
      </c>
      <c r="L404" s="33">
        <v>-12.3</v>
      </c>
      <c r="M404" s="21">
        <f t="shared" si="31"/>
        <v>-161.39730775015374</v>
      </c>
      <c r="P404" s="44"/>
      <c r="S404" s="50"/>
      <c r="T404" s="51"/>
    </row>
    <row r="405" spans="5:20" ht="17">
      <c r="E405" s="20" t="str">
        <f t="shared" si="32"/>
        <v/>
      </c>
      <c r="F405" s="32">
        <f t="shared" si="34"/>
        <v>398</v>
      </c>
      <c r="G405" s="76" t="s">
        <v>440</v>
      </c>
      <c r="H405" s="29" t="s">
        <v>424</v>
      </c>
      <c r="I405" s="21">
        <f t="shared" si="33"/>
        <v>8.0377446373937111</v>
      </c>
      <c r="J405" s="21">
        <f t="shared" si="30"/>
        <v>13.876084938999316</v>
      </c>
      <c r="K405" s="30">
        <v>23.95</v>
      </c>
      <c r="L405" s="33">
        <v>56.733333333333334</v>
      </c>
      <c r="M405" s="21">
        <f t="shared" si="31"/>
        <v>-165.67230775015378</v>
      </c>
      <c r="P405" s="44"/>
      <c r="S405" s="50"/>
      <c r="T405" s="51"/>
    </row>
    <row r="406" spans="5:20" ht="17">
      <c r="E406" s="20" t="str">
        <f t="shared" si="32"/>
        <v/>
      </c>
      <c r="F406" s="32">
        <f t="shared" si="34"/>
        <v>399</v>
      </c>
      <c r="G406" s="76" t="s">
        <v>440</v>
      </c>
      <c r="H406" s="29" t="s">
        <v>425</v>
      </c>
      <c r="I406" s="21">
        <f t="shared" si="33"/>
        <v>7.034620395447301</v>
      </c>
      <c r="J406" s="21">
        <f t="shared" si="30"/>
        <v>18.258327839436049</v>
      </c>
      <c r="K406" s="30">
        <v>23.973333333333333</v>
      </c>
      <c r="L406" s="33">
        <v>61.216666666666669</v>
      </c>
      <c r="M406" s="21">
        <f t="shared" si="31"/>
        <v>-166.02230775015374</v>
      </c>
      <c r="P406" s="44"/>
      <c r="S406" s="50"/>
      <c r="T406" s="51"/>
    </row>
    <row r="407" spans="5:20" ht="17">
      <c r="E407" s="20" t="str">
        <f t="shared" si="32"/>
        <v/>
      </c>
      <c r="F407" s="32">
        <f t="shared" si="34"/>
        <v>400</v>
      </c>
      <c r="G407" s="76" t="s">
        <v>440</v>
      </c>
      <c r="H407" s="29" t="s">
        <v>51</v>
      </c>
      <c r="I407" s="21">
        <f t="shared" si="33"/>
        <v>13.687099872950297</v>
      </c>
      <c r="J407" s="21">
        <f t="shared" si="30"/>
        <v>-26.351353743011884</v>
      </c>
      <c r="K407" s="30">
        <v>5.5E-2</v>
      </c>
      <c r="L407" s="33">
        <v>16.149999999999999</v>
      </c>
      <c r="M407" s="21">
        <f t="shared" si="31"/>
        <v>192.75269224984623</v>
      </c>
      <c r="P407" s="45"/>
      <c r="Q407" s="46"/>
      <c r="R407" s="46"/>
      <c r="S407" s="52"/>
      <c r="T407" s="53"/>
    </row>
    <row r="409" spans="5:20">
      <c r="L409" s="93" t="s">
        <v>445</v>
      </c>
      <c r="M409" s="56">
        <f>PI()/180</f>
        <v>1.7453292519943295E-2</v>
      </c>
    </row>
  </sheetData>
  <sheetProtection sheet="1" objects="1" scenarios="1"/>
  <mergeCells count="6">
    <mergeCell ref="B36:D36"/>
    <mergeCell ref="B2:C2"/>
    <mergeCell ref="F2:M2"/>
    <mergeCell ref="P2:W2"/>
    <mergeCell ref="B19:B24"/>
    <mergeCell ref="B27:D27"/>
  </mergeCells>
  <conditionalFormatting sqref="F8:F407">
    <cfRule type="expression" dxfId="2" priority="1">
      <formula>AND($I8&gt;=$I$4,$I8&lt;=$I$6,$J8&gt;=$J$4,$J8&lt;=$J$6)</formula>
    </cfRule>
  </conditionalFormatting>
  <conditionalFormatting sqref="I8:I407">
    <cfRule type="expression" dxfId="1" priority="23">
      <formula>AND($I8&gt;=$I$4,$I8&lt;=$I$6)</formula>
    </cfRule>
  </conditionalFormatting>
  <conditionalFormatting sqref="J8:J407">
    <cfRule type="expression" dxfId="0" priority="22">
      <formula>AND($J8&gt;=$J$4,$J8&lt;=$J$6)</formula>
    </cfRule>
  </conditionalFormatting>
  <dataValidations count="2">
    <dataValidation type="list" allowBlank="1" showInputMessage="1" showErrorMessage="1" sqref="C12" xr:uid="{4953CC05-B54E-8345-BE93-1406C46B07E2}">
      <formula1>$B$29:$B$33</formula1>
    </dataValidation>
    <dataValidation type="list" allowBlank="1" showInputMessage="1" showErrorMessage="1" sqref="D19:D24" xr:uid="{3B47C551-CE27-8043-A32F-FA1D0A509A39}">
      <formula1>$B$55:$B$56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D486D-E28B-8E41-BB1E-8A383C96BE5D}">
  <dimension ref="B1:J209"/>
  <sheetViews>
    <sheetView showGridLines="0" workbookViewId="0">
      <selection activeCell="C21" sqref="C21"/>
    </sheetView>
  </sheetViews>
  <sheetFormatPr baseColWidth="10" defaultRowHeight="13"/>
  <cols>
    <col min="1" max="1" width="10.83203125" style="134" customWidth="1"/>
    <col min="2" max="2" width="15.83203125" style="134" customWidth="1"/>
    <col min="3" max="3" width="13.33203125" style="134" customWidth="1"/>
    <col min="4" max="4" width="15.83203125" style="134" customWidth="1"/>
    <col min="5" max="7" width="10.83203125" style="134" customWidth="1"/>
    <col min="8" max="10" width="12.1640625" style="134" customWidth="1"/>
    <col min="11" max="22" width="10.83203125" style="134" customWidth="1"/>
    <col min="23" max="23" width="10.1640625" style="134" bestFit="1" customWidth="1"/>
    <col min="24" max="247" width="8.83203125" style="134" customWidth="1"/>
    <col min="248" max="248" width="7.83203125" style="134" customWidth="1"/>
    <col min="249" max="249" width="7.5" style="134" customWidth="1"/>
    <col min="250" max="250" width="9" style="134" customWidth="1"/>
    <col min="251" max="251" width="8.33203125" style="134" customWidth="1"/>
    <col min="252" max="254" width="8.5" style="134" bestFit="1" customWidth="1"/>
    <col min="255" max="255" width="10" style="134" bestFit="1" customWidth="1"/>
    <col min="256" max="256" width="8.1640625" style="134" bestFit="1" customWidth="1"/>
    <col min="257" max="258" width="8.5" style="134" bestFit="1" customWidth="1"/>
    <col min="259" max="259" width="6" style="134" bestFit="1" customWidth="1"/>
    <col min="260" max="260" width="8.83203125" style="134" customWidth="1"/>
    <col min="261" max="261" width="8.5" style="134" bestFit="1" customWidth="1"/>
    <col min="262" max="262" width="7.1640625" style="134" bestFit="1" customWidth="1"/>
    <col min="263" max="263" width="4.5" style="134" bestFit="1" customWidth="1"/>
    <col min="264" max="264" width="5.5" style="134" bestFit="1" customWidth="1"/>
    <col min="265" max="267" width="6.1640625" style="134" bestFit="1" customWidth="1"/>
    <col min="268" max="268" width="7.1640625" style="134" bestFit="1" customWidth="1"/>
    <col min="269" max="278" width="8.83203125" style="134" customWidth="1"/>
    <col min="279" max="279" width="10" style="134" bestFit="1" customWidth="1"/>
    <col min="280" max="503" width="8.83203125" style="134" customWidth="1"/>
    <col min="504" max="504" width="7.83203125" style="134" customWidth="1"/>
    <col min="505" max="505" width="7.5" style="134" customWidth="1"/>
    <col min="506" max="506" width="9" style="134" customWidth="1"/>
    <col min="507" max="507" width="8.33203125" style="134" customWidth="1"/>
    <col min="508" max="510" width="8.5" style="134" bestFit="1" customWidth="1"/>
    <col min="511" max="511" width="10" style="134" bestFit="1" customWidth="1"/>
    <col min="512" max="512" width="8.1640625" style="134" bestFit="1" customWidth="1"/>
    <col min="513" max="514" width="8.5" style="134" bestFit="1" customWidth="1"/>
    <col min="515" max="515" width="6" style="134" bestFit="1" customWidth="1"/>
    <col min="516" max="516" width="8.83203125" style="134" customWidth="1"/>
    <col min="517" max="517" width="8.5" style="134" bestFit="1" customWidth="1"/>
    <col min="518" max="518" width="7.1640625" style="134" bestFit="1" customWidth="1"/>
    <col min="519" max="519" width="4.5" style="134" bestFit="1" customWidth="1"/>
    <col min="520" max="520" width="5.5" style="134" bestFit="1" customWidth="1"/>
    <col min="521" max="523" width="6.1640625" style="134" bestFit="1" customWidth="1"/>
    <col min="524" max="524" width="7.1640625" style="134" bestFit="1" customWidth="1"/>
    <col min="525" max="534" width="8.83203125" style="134" customWidth="1"/>
    <col min="535" max="535" width="10" style="134" bestFit="1" customWidth="1"/>
    <col min="536" max="759" width="8.83203125" style="134" customWidth="1"/>
    <col min="760" max="760" width="7.83203125" style="134" customWidth="1"/>
    <col min="761" max="761" width="7.5" style="134" customWidth="1"/>
    <col min="762" max="762" width="9" style="134" customWidth="1"/>
    <col min="763" max="763" width="8.33203125" style="134" customWidth="1"/>
    <col min="764" max="766" width="8.5" style="134" bestFit="1" customWidth="1"/>
    <col min="767" max="767" width="10" style="134" bestFit="1" customWidth="1"/>
    <col min="768" max="768" width="8.1640625" style="134" bestFit="1" customWidth="1"/>
    <col min="769" max="770" width="8.5" style="134" bestFit="1" customWidth="1"/>
    <col min="771" max="771" width="6" style="134" bestFit="1" customWidth="1"/>
    <col min="772" max="772" width="8.83203125" style="134" customWidth="1"/>
    <col min="773" max="773" width="8.5" style="134" bestFit="1" customWidth="1"/>
    <col min="774" max="774" width="7.1640625" style="134" bestFit="1" customWidth="1"/>
    <col min="775" max="775" width="4.5" style="134" bestFit="1" customWidth="1"/>
    <col min="776" max="776" width="5.5" style="134" bestFit="1" customWidth="1"/>
    <col min="777" max="779" width="6.1640625" style="134" bestFit="1" customWidth="1"/>
    <col min="780" max="780" width="7.1640625" style="134" bestFit="1" customWidth="1"/>
    <col min="781" max="790" width="8.83203125" style="134" customWidth="1"/>
    <col min="791" max="791" width="10" style="134" bestFit="1" customWidth="1"/>
    <col min="792" max="1015" width="8.83203125" style="134" customWidth="1"/>
    <col min="1016" max="1016" width="7.83203125" style="134" customWidth="1"/>
    <col min="1017" max="1017" width="7.5" style="134" customWidth="1"/>
    <col min="1018" max="1018" width="9" style="134" customWidth="1"/>
    <col min="1019" max="1019" width="8.33203125" style="134" customWidth="1"/>
    <col min="1020" max="1022" width="8.5" style="134" bestFit="1" customWidth="1"/>
    <col min="1023" max="1023" width="10" style="134" bestFit="1" customWidth="1"/>
    <col min="1024" max="1024" width="8.1640625" style="134" bestFit="1" customWidth="1"/>
    <col min="1025" max="1026" width="8.5" style="134" bestFit="1" customWidth="1"/>
    <col min="1027" max="1027" width="6" style="134" bestFit="1" customWidth="1"/>
    <col min="1028" max="1028" width="8.83203125" style="134" customWidth="1"/>
    <col min="1029" max="1029" width="8.5" style="134" bestFit="1" customWidth="1"/>
    <col min="1030" max="1030" width="7.1640625" style="134" bestFit="1" customWidth="1"/>
    <col min="1031" max="1031" width="4.5" style="134" bestFit="1" customWidth="1"/>
    <col min="1032" max="1032" width="5.5" style="134" bestFit="1" customWidth="1"/>
    <col min="1033" max="1035" width="6.1640625" style="134" bestFit="1" customWidth="1"/>
    <col min="1036" max="1036" width="7.1640625" style="134" bestFit="1" customWidth="1"/>
    <col min="1037" max="1046" width="8.83203125" style="134" customWidth="1"/>
    <col min="1047" max="1047" width="10" style="134" bestFit="1" customWidth="1"/>
    <col min="1048" max="1271" width="8.83203125" style="134" customWidth="1"/>
    <col min="1272" max="1272" width="7.83203125" style="134" customWidth="1"/>
    <col min="1273" max="1273" width="7.5" style="134" customWidth="1"/>
    <col min="1274" max="1274" width="9" style="134" customWidth="1"/>
    <col min="1275" max="1275" width="8.33203125" style="134" customWidth="1"/>
    <col min="1276" max="1278" width="8.5" style="134" bestFit="1" customWidth="1"/>
    <col min="1279" max="1279" width="10" style="134" bestFit="1" customWidth="1"/>
    <col min="1280" max="1280" width="8.1640625" style="134" bestFit="1" customWidth="1"/>
    <col min="1281" max="1282" width="8.5" style="134" bestFit="1" customWidth="1"/>
    <col min="1283" max="1283" width="6" style="134" bestFit="1" customWidth="1"/>
    <col min="1284" max="1284" width="8.83203125" style="134" customWidth="1"/>
    <col min="1285" max="1285" width="8.5" style="134" bestFit="1" customWidth="1"/>
    <col min="1286" max="1286" width="7.1640625" style="134" bestFit="1" customWidth="1"/>
    <col min="1287" max="1287" width="4.5" style="134" bestFit="1" customWidth="1"/>
    <col min="1288" max="1288" width="5.5" style="134" bestFit="1" customWidth="1"/>
    <col min="1289" max="1291" width="6.1640625" style="134" bestFit="1" customWidth="1"/>
    <col min="1292" max="1292" width="7.1640625" style="134" bestFit="1" customWidth="1"/>
    <col min="1293" max="1302" width="8.83203125" style="134" customWidth="1"/>
    <col min="1303" max="1303" width="10" style="134" bestFit="1" customWidth="1"/>
    <col min="1304" max="1527" width="8.83203125" style="134" customWidth="1"/>
    <col min="1528" max="1528" width="7.83203125" style="134" customWidth="1"/>
    <col min="1529" max="1529" width="7.5" style="134" customWidth="1"/>
    <col min="1530" max="1530" width="9" style="134" customWidth="1"/>
    <col min="1531" max="1531" width="8.33203125" style="134" customWidth="1"/>
    <col min="1532" max="1534" width="8.5" style="134" bestFit="1" customWidth="1"/>
    <col min="1535" max="1535" width="10" style="134" bestFit="1" customWidth="1"/>
    <col min="1536" max="1536" width="8.1640625" style="134" bestFit="1" customWidth="1"/>
    <col min="1537" max="1538" width="8.5" style="134" bestFit="1" customWidth="1"/>
    <col min="1539" max="1539" width="6" style="134" bestFit="1" customWidth="1"/>
    <col min="1540" max="1540" width="8.83203125" style="134" customWidth="1"/>
    <col min="1541" max="1541" width="8.5" style="134" bestFit="1" customWidth="1"/>
    <col min="1542" max="1542" width="7.1640625" style="134" bestFit="1" customWidth="1"/>
    <col min="1543" max="1543" width="4.5" style="134" bestFit="1" customWidth="1"/>
    <col min="1544" max="1544" width="5.5" style="134" bestFit="1" customWidth="1"/>
    <col min="1545" max="1547" width="6.1640625" style="134" bestFit="1" customWidth="1"/>
    <col min="1548" max="1548" width="7.1640625" style="134" bestFit="1" customWidth="1"/>
    <col min="1549" max="1558" width="8.83203125" style="134" customWidth="1"/>
    <col min="1559" max="1559" width="10" style="134" bestFit="1" customWidth="1"/>
    <col min="1560" max="1783" width="8.83203125" style="134" customWidth="1"/>
    <col min="1784" max="1784" width="7.83203125" style="134" customWidth="1"/>
    <col min="1785" max="1785" width="7.5" style="134" customWidth="1"/>
    <col min="1786" max="1786" width="9" style="134" customWidth="1"/>
    <col min="1787" max="1787" width="8.33203125" style="134" customWidth="1"/>
    <col min="1788" max="1790" width="8.5" style="134" bestFit="1" customWidth="1"/>
    <col min="1791" max="1791" width="10" style="134" bestFit="1" customWidth="1"/>
    <col min="1792" max="1792" width="8.1640625" style="134" bestFit="1" customWidth="1"/>
    <col min="1793" max="1794" width="8.5" style="134" bestFit="1" customWidth="1"/>
    <col min="1795" max="1795" width="6" style="134" bestFit="1" customWidth="1"/>
    <col min="1796" max="1796" width="8.83203125" style="134" customWidth="1"/>
    <col min="1797" max="1797" width="8.5" style="134" bestFit="1" customWidth="1"/>
    <col min="1798" max="1798" width="7.1640625" style="134" bestFit="1" customWidth="1"/>
    <col min="1799" max="1799" width="4.5" style="134" bestFit="1" customWidth="1"/>
    <col min="1800" max="1800" width="5.5" style="134" bestFit="1" customWidth="1"/>
    <col min="1801" max="1803" width="6.1640625" style="134" bestFit="1" customWidth="1"/>
    <col min="1804" max="1804" width="7.1640625" style="134" bestFit="1" customWidth="1"/>
    <col min="1805" max="1814" width="8.83203125" style="134" customWidth="1"/>
    <col min="1815" max="1815" width="10" style="134" bestFit="1" customWidth="1"/>
    <col min="1816" max="2039" width="8.83203125" style="134" customWidth="1"/>
    <col min="2040" max="2040" width="7.83203125" style="134" customWidth="1"/>
    <col min="2041" max="2041" width="7.5" style="134" customWidth="1"/>
    <col min="2042" max="2042" width="9" style="134" customWidth="1"/>
    <col min="2043" max="2043" width="8.33203125" style="134" customWidth="1"/>
    <col min="2044" max="2046" width="8.5" style="134" bestFit="1" customWidth="1"/>
    <col min="2047" max="2047" width="10" style="134" bestFit="1" customWidth="1"/>
    <col min="2048" max="2048" width="8.1640625" style="134" bestFit="1" customWidth="1"/>
    <col min="2049" max="2050" width="8.5" style="134" bestFit="1" customWidth="1"/>
    <col min="2051" max="2051" width="6" style="134" bestFit="1" customWidth="1"/>
    <col min="2052" max="2052" width="8.83203125" style="134" customWidth="1"/>
    <col min="2053" max="2053" width="8.5" style="134" bestFit="1" customWidth="1"/>
    <col min="2054" max="2054" width="7.1640625" style="134" bestFit="1" customWidth="1"/>
    <col min="2055" max="2055" width="4.5" style="134" bestFit="1" customWidth="1"/>
    <col min="2056" max="2056" width="5.5" style="134" bestFit="1" customWidth="1"/>
    <col min="2057" max="2059" width="6.1640625" style="134" bestFit="1" customWidth="1"/>
    <col min="2060" max="2060" width="7.1640625" style="134" bestFit="1" customWidth="1"/>
    <col min="2061" max="2070" width="8.83203125" style="134" customWidth="1"/>
    <col min="2071" max="2071" width="10" style="134" bestFit="1" customWidth="1"/>
    <col min="2072" max="2295" width="8.83203125" style="134" customWidth="1"/>
    <col min="2296" max="2296" width="7.83203125" style="134" customWidth="1"/>
    <col min="2297" max="2297" width="7.5" style="134" customWidth="1"/>
    <col min="2298" max="2298" width="9" style="134" customWidth="1"/>
    <col min="2299" max="2299" width="8.33203125" style="134" customWidth="1"/>
    <col min="2300" max="2302" width="8.5" style="134" bestFit="1" customWidth="1"/>
    <col min="2303" max="2303" width="10" style="134" bestFit="1" customWidth="1"/>
    <col min="2304" max="2304" width="8.1640625" style="134" bestFit="1" customWidth="1"/>
    <col min="2305" max="2306" width="8.5" style="134" bestFit="1" customWidth="1"/>
    <col min="2307" max="2307" width="6" style="134" bestFit="1" customWidth="1"/>
    <col min="2308" max="2308" width="8.83203125" style="134" customWidth="1"/>
    <col min="2309" max="2309" width="8.5" style="134" bestFit="1" customWidth="1"/>
    <col min="2310" max="2310" width="7.1640625" style="134" bestFit="1" customWidth="1"/>
    <col min="2311" max="2311" width="4.5" style="134" bestFit="1" customWidth="1"/>
    <col min="2312" max="2312" width="5.5" style="134" bestFit="1" customWidth="1"/>
    <col min="2313" max="2315" width="6.1640625" style="134" bestFit="1" customWidth="1"/>
    <col min="2316" max="2316" width="7.1640625" style="134" bestFit="1" customWidth="1"/>
    <col min="2317" max="2326" width="8.83203125" style="134" customWidth="1"/>
    <col min="2327" max="2327" width="10" style="134" bestFit="1" customWidth="1"/>
    <col min="2328" max="2551" width="8.83203125" style="134" customWidth="1"/>
    <col min="2552" max="2552" width="7.83203125" style="134" customWidth="1"/>
    <col min="2553" max="2553" width="7.5" style="134" customWidth="1"/>
    <col min="2554" max="2554" width="9" style="134" customWidth="1"/>
    <col min="2555" max="2555" width="8.33203125" style="134" customWidth="1"/>
    <col min="2556" max="2558" width="8.5" style="134" bestFit="1" customWidth="1"/>
    <col min="2559" max="2559" width="10" style="134" bestFit="1" customWidth="1"/>
    <col min="2560" max="2560" width="8.1640625" style="134" bestFit="1" customWidth="1"/>
    <col min="2561" max="2562" width="8.5" style="134" bestFit="1" customWidth="1"/>
    <col min="2563" max="2563" width="6" style="134" bestFit="1" customWidth="1"/>
    <col min="2564" max="2564" width="8.83203125" style="134" customWidth="1"/>
    <col min="2565" max="2565" width="8.5" style="134" bestFit="1" customWidth="1"/>
    <col min="2566" max="2566" width="7.1640625" style="134" bestFit="1" customWidth="1"/>
    <col min="2567" max="2567" width="4.5" style="134" bestFit="1" customWidth="1"/>
    <col min="2568" max="2568" width="5.5" style="134" bestFit="1" customWidth="1"/>
    <col min="2569" max="2571" width="6.1640625" style="134" bestFit="1" customWidth="1"/>
    <col min="2572" max="2572" width="7.1640625" style="134" bestFit="1" customWidth="1"/>
    <col min="2573" max="2582" width="8.83203125" style="134" customWidth="1"/>
    <col min="2583" max="2583" width="10" style="134" bestFit="1" customWidth="1"/>
    <col min="2584" max="2807" width="8.83203125" style="134" customWidth="1"/>
    <col min="2808" max="2808" width="7.83203125" style="134" customWidth="1"/>
    <col min="2809" max="2809" width="7.5" style="134" customWidth="1"/>
    <col min="2810" max="2810" width="9" style="134" customWidth="1"/>
    <col min="2811" max="2811" width="8.33203125" style="134" customWidth="1"/>
    <col min="2812" max="2814" width="8.5" style="134" bestFit="1" customWidth="1"/>
    <col min="2815" max="2815" width="10" style="134" bestFit="1" customWidth="1"/>
    <col min="2816" max="2816" width="8.1640625" style="134" bestFit="1" customWidth="1"/>
    <col min="2817" max="2818" width="8.5" style="134" bestFit="1" customWidth="1"/>
    <col min="2819" max="2819" width="6" style="134" bestFit="1" customWidth="1"/>
    <col min="2820" max="2820" width="8.83203125" style="134" customWidth="1"/>
    <col min="2821" max="2821" width="8.5" style="134" bestFit="1" customWidth="1"/>
    <col min="2822" max="2822" width="7.1640625" style="134" bestFit="1" customWidth="1"/>
    <col min="2823" max="2823" width="4.5" style="134" bestFit="1" customWidth="1"/>
    <col min="2824" max="2824" width="5.5" style="134" bestFit="1" customWidth="1"/>
    <col min="2825" max="2827" width="6.1640625" style="134" bestFit="1" customWidth="1"/>
    <col min="2828" max="2828" width="7.1640625" style="134" bestFit="1" customWidth="1"/>
    <col min="2829" max="2838" width="8.83203125" style="134" customWidth="1"/>
    <col min="2839" max="2839" width="10" style="134" bestFit="1" customWidth="1"/>
    <col min="2840" max="3063" width="8.83203125" style="134" customWidth="1"/>
    <col min="3064" max="3064" width="7.83203125" style="134" customWidth="1"/>
    <col min="3065" max="3065" width="7.5" style="134" customWidth="1"/>
    <col min="3066" max="3066" width="9" style="134" customWidth="1"/>
    <col min="3067" max="3067" width="8.33203125" style="134" customWidth="1"/>
    <col min="3068" max="3070" width="8.5" style="134" bestFit="1" customWidth="1"/>
    <col min="3071" max="3071" width="10" style="134" bestFit="1" customWidth="1"/>
    <col min="3072" max="3072" width="8.1640625" style="134" bestFit="1" customWidth="1"/>
    <col min="3073" max="3074" width="8.5" style="134" bestFit="1" customWidth="1"/>
    <col min="3075" max="3075" width="6" style="134" bestFit="1" customWidth="1"/>
    <col min="3076" max="3076" width="8.83203125" style="134" customWidth="1"/>
    <col min="3077" max="3077" width="8.5" style="134" bestFit="1" customWidth="1"/>
    <col min="3078" max="3078" width="7.1640625" style="134" bestFit="1" customWidth="1"/>
    <col min="3079" max="3079" width="4.5" style="134" bestFit="1" customWidth="1"/>
    <col min="3080" max="3080" width="5.5" style="134" bestFit="1" customWidth="1"/>
    <col min="3081" max="3083" width="6.1640625" style="134" bestFit="1" customWidth="1"/>
    <col min="3084" max="3084" width="7.1640625" style="134" bestFit="1" customWidth="1"/>
    <col min="3085" max="3094" width="8.83203125" style="134" customWidth="1"/>
    <col min="3095" max="3095" width="10" style="134" bestFit="1" customWidth="1"/>
    <col min="3096" max="3319" width="8.83203125" style="134" customWidth="1"/>
    <col min="3320" max="3320" width="7.83203125" style="134" customWidth="1"/>
    <col min="3321" max="3321" width="7.5" style="134" customWidth="1"/>
    <col min="3322" max="3322" width="9" style="134" customWidth="1"/>
    <col min="3323" max="3323" width="8.33203125" style="134" customWidth="1"/>
    <col min="3324" max="3326" width="8.5" style="134" bestFit="1" customWidth="1"/>
    <col min="3327" max="3327" width="10" style="134" bestFit="1" customWidth="1"/>
    <col min="3328" max="3328" width="8.1640625" style="134" bestFit="1" customWidth="1"/>
    <col min="3329" max="3330" width="8.5" style="134" bestFit="1" customWidth="1"/>
    <col min="3331" max="3331" width="6" style="134" bestFit="1" customWidth="1"/>
    <col min="3332" max="3332" width="8.83203125" style="134" customWidth="1"/>
    <col min="3333" max="3333" width="8.5" style="134" bestFit="1" customWidth="1"/>
    <col min="3334" max="3334" width="7.1640625" style="134" bestFit="1" customWidth="1"/>
    <col min="3335" max="3335" width="4.5" style="134" bestFit="1" customWidth="1"/>
    <col min="3336" max="3336" width="5.5" style="134" bestFit="1" customWidth="1"/>
    <col min="3337" max="3339" width="6.1640625" style="134" bestFit="1" customWidth="1"/>
    <col min="3340" max="3340" width="7.1640625" style="134" bestFit="1" customWidth="1"/>
    <col min="3341" max="3350" width="8.83203125" style="134" customWidth="1"/>
    <col min="3351" max="3351" width="10" style="134" bestFit="1" customWidth="1"/>
    <col min="3352" max="3575" width="8.83203125" style="134" customWidth="1"/>
    <col min="3576" max="3576" width="7.83203125" style="134" customWidth="1"/>
    <col min="3577" max="3577" width="7.5" style="134" customWidth="1"/>
    <col min="3578" max="3578" width="9" style="134" customWidth="1"/>
    <col min="3579" max="3579" width="8.33203125" style="134" customWidth="1"/>
    <col min="3580" max="3582" width="8.5" style="134" bestFit="1" customWidth="1"/>
    <col min="3583" max="3583" width="10" style="134" bestFit="1" customWidth="1"/>
    <col min="3584" max="3584" width="8.1640625" style="134" bestFit="1" customWidth="1"/>
    <col min="3585" max="3586" width="8.5" style="134" bestFit="1" customWidth="1"/>
    <col min="3587" max="3587" width="6" style="134" bestFit="1" customWidth="1"/>
    <col min="3588" max="3588" width="8.83203125" style="134" customWidth="1"/>
    <col min="3589" max="3589" width="8.5" style="134" bestFit="1" customWidth="1"/>
    <col min="3590" max="3590" width="7.1640625" style="134" bestFit="1" customWidth="1"/>
    <col min="3591" max="3591" width="4.5" style="134" bestFit="1" customWidth="1"/>
    <col min="3592" max="3592" width="5.5" style="134" bestFit="1" customWidth="1"/>
    <col min="3593" max="3595" width="6.1640625" style="134" bestFit="1" customWidth="1"/>
    <col min="3596" max="3596" width="7.1640625" style="134" bestFit="1" customWidth="1"/>
    <col min="3597" max="3606" width="8.83203125" style="134" customWidth="1"/>
    <col min="3607" max="3607" width="10" style="134" bestFit="1" customWidth="1"/>
    <col min="3608" max="3831" width="8.83203125" style="134" customWidth="1"/>
    <col min="3832" max="3832" width="7.83203125" style="134" customWidth="1"/>
    <col min="3833" max="3833" width="7.5" style="134" customWidth="1"/>
    <col min="3834" max="3834" width="9" style="134" customWidth="1"/>
    <col min="3835" max="3835" width="8.33203125" style="134" customWidth="1"/>
    <col min="3836" max="3838" width="8.5" style="134" bestFit="1" customWidth="1"/>
    <col min="3839" max="3839" width="10" style="134" bestFit="1" customWidth="1"/>
    <col min="3840" max="3840" width="8.1640625" style="134" bestFit="1" customWidth="1"/>
    <col min="3841" max="3842" width="8.5" style="134" bestFit="1" customWidth="1"/>
    <col min="3843" max="3843" width="6" style="134" bestFit="1" customWidth="1"/>
    <col min="3844" max="3844" width="8.83203125" style="134" customWidth="1"/>
    <col min="3845" max="3845" width="8.5" style="134" bestFit="1" customWidth="1"/>
    <col min="3846" max="3846" width="7.1640625" style="134" bestFit="1" customWidth="1"/>
    <col min="3847" max="3847" width="4.5" style="134" bestFit="1" customWidth="1"/>
    <col min="3848" max="3848" width="5.5" style="134" bestFit="1" customWidth="1"/>
    <col min="3849" max="3851" width="6.1640625" style="134" bestFit="1" customWidth="1"/>
    <col min="3852" max="3852" width="7.1640625" style="134" bestFit="1" customWidth="1"/>
    <col min="3853" max="3862" width="8.83203125" style="134" customWidth="1"/>
    <col min="3863" max="3863" width="10" style="134" bestFit="1" customWidth="1"/>
    <col min="3864" max="4087" width="8.83203125" style="134" customWidth="1"/>
    <col min="4088" max="4088" width="7.83203125" style="134" customWidth="1"/>
    <col min="4089" max="4089" width="7.5" style="134" customWidth="1"/>
    <col min="4090" max="4090" width="9" style="134" customWidth="1"/>
    <col min="4091" max="4091" width="8.33203125" style="134" customWidth="1"/>
    <col min="4092" max="4094" width="8.5" style="134" bestFit="1" customWidth="1"/>
    <col min="4095" max="4095" width="10" style="134" bestFit="1" customWidth="1"/>
    <col min="4096" max="4096" width="8.1640625" style="134" bestFit="1" customWidth="1"/>
    <col min="4097" max="4098" width="8.5" style="134" bestFit="1" customWidth="1"/>
    <col min="4099" max="4099" width="6" style="134" bestFit="1" customWidth="1"/>
    <col min="4100" max="4100" width="8.83203125" style="134" customWidth="1"/>
    <col min="4101" max="4101" width="8.5" style="134" bestFit="1" customWidth="1"/>
    <col min="4102" max="4102" width="7.1640625" style="134" bestFit="1" customWidth="1"/>
    <col min="4103" max="4103" width="4.5" style="134" bestFit="1" customWidth="1"/>
    <col min="4104" max="4104" width="5.5" style="134" bestFit="1" customWidth="1"/>
    <col min="4105" max="4107" width="6.1640625" style="134" bestFit="1" customWidth="1"/>
    <col min="4108" max="4108" width="7.1640625" style="134" bestFit="1" customWidth="1"/>
    <col min="4109" max="4118" width="8.83203125" style="134" customWidth="1"/>
    <col min="4119" max="4119" width="10" style="134" bestFit="1" customWidth="1"/>
    <col min="4120" max="4343" width="8.83203125" style="134" customWidth="1"/>
    <col min="4344" max="4344" width="7.83203125" style="134" customWidth="1"/>
    <col min="4345" max="4345" width="7.5" style="134" customWidth="1"/>
    <col min="4346" max="4346" width="9" style="134" customWidth="1"/>
    <col min="4347" max="4347" width="8.33203125" style="134" customWidth="1"/>
    <col min="4348" max="4350" width="8.5" style="134" bestFit="1" customWidth="1"/>
    <col min="4351" max="4351" width="10" style="134" bestFit="1" customWidth="1"/>
    <col min="4352" max="4352" width="8.1640625" style="134" bestFit="1" customWidth="1"/>
    <col min="4353" max="4354" width="8.5" style="134" bestFit="1" customWidth="1"/>
    <col min="4355" max="4355" width="6" style="134" bestFit="1" customWidth="1"/>
    <col min="4356" max="4356" width="8.83203125" style="134" customWidth="1"/>
    <col min="4357" max="4357" width="8.5" style="134" bestFit="1" customWidth="1"/>
    <col min="4358" max="4358" width="7.1640625" style="134" bestFit="1" customWidth="1"/>
    <col min="4359" max="4359" width="4.5" style="134" bestFit="1" customWidth="1"/>
    <col min="4360" max="4360" width="5.5" style="134" bestFit="1" customWidth="1"/>
    <col min="4361" max="4363" width="6.1640625" style="134" bestFit="1" customWidth="1"/>
    <col min="4364" max="4364" width="7.1640625" style="134" bestFit="1" customWidth="1"/>
    <col min="4365" max="4374" width="8.83203125" style="134" customWidth="1"/>
    <col min="4375" max="4375" width="10" style="134" bestFit="1" customWidth="1"/>
    <col min="4376" max="4599" width="8.83203125" style="134" customWidth="1"/>
    <col min="4600" max="4600" width="7.83203125" style="134" customWidth="1"/>
    <col min="4601" max="4601" width="7.5" style="134" customWidth="1"/>
    <col min="4602" max="4602" width="9" style="134" customWidth="1"/>
    <col min="4603" max="4603" width="8.33203125" style="134" customWidth="1"/>
    <col min="4604" max="4606" width="8.5" style="134" bestFit="1" customWidth="1"/>
    <col min="4607" max="4607" width="10" style="134" bestFit="1" customWidth="1"/>
    <col min="4608" max="4608" width="8.1640625" style="134" bestFit="1" customWidth="1"/>
    <col min="4609" max="4610" width="8.5" style="134" bestFit="1" customWidth="1"/>
    <col min="4611" max="4611" width="6" style="134" bestFit="1" customWidth="1"/>
    <col min="4612" max="4612" width="8.83203125" style="134" customWidth="1"/>
    <col min="4613" max="4613" width="8.5" style="134" bestFit="1" customWidth="1"/>
    <col min="4614" max="4614" width="7.1640625" style="134" bestFit="1" customWidth="1"/>
    <col min="4615" max="4615" width="4.5" style="134" bestFit="1" customWidth="1"/>
    <col min="4616" max="4616" width="5.5" style="134" bestFit="1" customWidth="1"/>
    <col min="4617" max="4619" width="6.1640625" style="134" bestFit="1" customWidth="1"/>
    <col min="4620" max="4620" width="7.1640625" style="134" bestFit="1" customWidth="1"/>
    <col min="4621" max="4630" width="8.83203125" style="134" customWidth="1"/>
    <col min="4631" max="4631" width="10" style="134" bestFit="1" customWidth="1"/>
    <col min="4632" max="4855" width="8.83203125" style="134" customWidth="1"/>
    <col min="4856" max="4856" width="7.83203125" style="134" customWidth="1"/>
    <col min="4857" max="4857" width="7.5" style="134" customWidth="1"/>
    <col min="4858" max="4858" width="9" style="134" customWidth="1"/>
    <col min="4859" max="4859" width="8.33203125" style="134" customWidth="1"/>
    <col min="4860" max="4862" width="8.5" style="134" bestFit="1" customWidth="1"/>
    <col min="4863" max="4863" width="10" style="134" bestFit="1" customWidth="1"/>
    <col min="4864" max="4864" width="8.1640625" style="134" bestFit="1" customWidth="1"/>
    <col min="4865" max="4866" width="8.5" style="134" bestFit="1" customWidth="1"/>
    <col min="4867" max="4867" width="6" style="134" bestFit="1" customWidth="1"/>
    <col min="4868" max="4868" width="8.83203125" style="134" customWidth="1"/>
    <col min="4869" max="4869" width="8.5" style="134" bestFit="1" customWidth="1"/>
    <col min="4870" max="4870" width="7.1640625" style="134" bestFit="1" customWidth="1"/>
    <col min="4871" max="4871" width="4.5" style="134" bestFit="1" customWidth="1"/>
    <col min="4872" max="4872" width="5.5" style="134" bestFit="1" customWidth="1"/>
    <col min="4873" max="4875" width="6.1640625" style="134" bestFit="1" customWidth="1"/>
    <col min="4876" max="4876" width="7.1640625" style="134" bestFit="1" customWidth="1"/>
    <col min="4877" max="4886" width="8.83203125" style="134" customWidth="1"/>
    <col min="4887" max="4887" width="10" style="134" bestFit="1" customWidth="1"/>
    <col min="4888" max="5111" width="8.83203125" style="134" customWidth="1"/>
    <col min="5112" max="5112" width="7.83203125" style="134" customWidth="1"/>
    <col min="5113" max="5113" width="7.5" style="134" customWidth="1"/>
    <col min="5114" max="5114" width="9" style="134" customWidth="1"/>
    <col min="5115" max="5115" width="8.33203125" style="134" customWidth="1"/>
    <col min="5116" max="5118" width="8.5" style="134" bestFit="1" customWidth="1"/>
    <col min="5119" max="5119" width="10" style="134" bestFit="1" customWidth="1"/>
    <col min="5120" max="5120" width="8.1640625" style="134" bestFit="1" customWidth="1"/>
    <col min="5121" max="5122" width="8.5" style="134" bestFit="1" customWidth="1"/>
    <col min="5123" max="5123" width="6" style="134" bestFit="1" customWidth="1"/>
    <col min="5124" max="5124" width="8.83203125" style="134" customWidth="1"/>
    <col min="5125" max="5125" width="8.5" style="134" bestFit="1" customWidth="1"/>
    <col min="5126" max="5126" width="7.1640625" style="134" bestFit="1" customWidth="1"/>
    <col min="5127" max="5127" width="4.5" style="134" bestFit="1" customWidth="1"/>
    <col min="5128" max="5128" width="5.5" style="134" bestFit="1" customWidth="1"/>
    <col min="5129" max="5131" width="6.1640625" style="134" bestFit="1" customWidth="1"/>
    <col min="5132" max="5132" width="7.1640625" style="134" bestFit="1" customWidth="1"/>
    <col min="5133" max="5142" width="8.83203125" style="134" customWidth="1"/>
    <col min="5143" max="5143" width="10" style="134" bestFit="1" customWidth="1"/>
    <col min="5144" max="5367" width="8.83203125" style="134" customWidth="1"/>
    <col min="5368" max="5368" width="7.83203125" style="134" customWidth="1"/>
    <col min="5369" max="5369" width="7.5" style="134" customWidth="1"/>
    <col min="5370" max="5370" width="9" style="134" customWidth="1"/>
    <col min="5371" max="5371" width="8.33203125" style="134" customWidth="1"/>
    <col min="5372" max="5374" width="8.5" style="134" bestFit="1" customWidth="1"/>
    <col min="5375" max="5375" width="10" style="134" bestFit="1" customWidth="1"/>
    <col min="5376" max="5376" width="8.1640625" style="134" bestFit="1" customWidth="1"/>
    <col min="5377" max="5378" width="8.5" style="134" bestFit="1" customWidth="1"/>
    <col min="5379" max="5379" width="6" style="134" bestFit="1" customWidth="1"/>
    <col min="5380" max="5380" width="8.83203125" style="134" customWidth="1"/>
    <col min="5381" max="5381" width="8.5" style="134" bestFit="1" customWidth="1"/>
    <col min="5382" max="5382" width="7.1640625" style="134" bestFit="1" customWidth="1"/>
    <col min="5383" max="5383" width="4.5" style="134" bestFit="1" customWidth="1"/>
    <col min="5384" max="5384" width="5.5" style="134" bestFit="1" customWidth="1"/>
    <col min="5385" max="5387" width="6.1640625" style="134" bestFit="1" customWidth="1"/>
    <col min="5388" max="5388" width="7.1640625" style="134" bestFit="1" customWidth="1"/>
    <col min="5389" max="5398" width="8.83203125" style="134" customWidth="1"/>
    <col min="5399" max="5399" width="10" style="134" bestFit="1" customWidth="1"/>
    <col min="5400" max="5623" width="8.83203125" style="134" customWidth="1"/>
    <col min="5624" max="5624" width="7.83203125" style="134" customWidth="1"/>
    <col min="5625" max="5625" width="7.5" style="134" customWidth="1"/>
    <col min="5626" max="5626" width="9" style="134" customWidth="1"/>
    <col min="5627" max="5627" width="8.33203125" style="134" customWidth="1"/>
    <col min="5628" max="5630" width="8.5" style="134" bestFit="1" customWidth="1"/>
    <col min="5631" max="5631" width="10" style="134" bestFit="1" customWidth="1"/>
    <col min="5632" max="5632" width="8.1640625" style="134" bestFit="1" customWidth="1"/>
    <col min="5633" max="5634" width="8.5" style="134" bestFit="1" customWidth="1"/>
    <col min="5635" max="5635" width="6" style="134" bestFit="1" customWidth="1"/>
    <col min="5636" max="5636" width="8.83203125" style="134" customWidth="1"/>
    <col min="5637" max="5637" width="8.5" style="134" bestFit="1" customWidth="1"/>
    <col min="5638" max="5638" width="7.1640625" style="134" bestFit="1" customWidth="1"/>
    <col min="5639" max="5639" width="4.5" style="134" bestFit="1" customWidth="1"/>
    <col min="5640" max="5640" width="5.5" style="134" bestFit="1" customWidth="1"/>
    <col min="5641" max="5643" width="6.1640625" style="134" bestFit="1" customWidth="1"/>
    <col min="5644" max="5644" width="7.1640625" style="134" bestFit="1" customWidth="1"/>
    <col min="5645" max="5654" width="8.83203125" style="134" customWidth="1"/>
    <col min="5655" max="5655" width="10" style="134" bestFit="1" customWidth="1"/>
    <col min="5656" max="5879" width="8.83203125" style="134" customWidth="1"/>
    <col min="5880" max="5880" width="7.83203125" style="134" customWidth="1"/>
    <col min="5881" max="5881" width="7.5" style="134" customWidth="1"/>
    <col min="5882" max="5882" width="9" style="134" customWidth="1"/>
    <col min="5883" max="5883" width="8.33203125" style="134" customWidth="1"/>
    <col min="5884" max="5886" width="8.5" style="134" bestFit="1" customWidth="1"/>
    <col min="5887" max="5887" width="10" style="134" bestFit="1" customWidth="1"/>
    <col min="5888" max="5888" width="8.1640625" style="134" bestFit="1" customWidth="1"/>
    <col min="5889" max="5890" width="8.5" style="134" bestFit="1" customWidth="1"/>
    <col min="5891" max="5891" width="6" style="134" bestFit="1" customWidth="1"/>
    <col min="5892" max="5892" width="8.83203125" style="134" customWidth="1"/>
    <col min="5893" max="5893" width="8.5" style="134" bestFit="1" customWidth="1"/>
    <col min="5894" max="5894" width="7.1640625" style="134" bestFit="1" customWidth="1"/>
    <col min="5895" max="5895" width="4.5" style="134" bestFit="1" customWidth="1"/>
    <col min="5896" max="5896" width="5.5" style="134" bestFit="1" customWidth="1"/>
    <col min="5897" max="5899" width="6.1640625" style="134" bestFit="1" customWidth="1"/>
    <col min="5900" max="5900" width="7.1640625" style="134" bestFit="1" customWidth="1"/>
    <col min="5901" max="5910" width="8.83203125" style="134" customWidth="1"/>
    <col min="5911" max="5911" width="10" style="134" bestFit="1" customWidth="1"/>
    <col min="5912" max="6135" width="8.83203125" style="134" customWidth="1"/>
    <col min="6136" max="6136" width="7.83203125" style="134" customWidth="1"/>
    <col min="6137" max="6137" width="7.5" style="134" customWidth="1"/>
    <col min="6138" max="6138" width="9" style="134" customWidth="1"/>
    <col min="6139" max="6139" width="8.33203125" style="134" customWidth="1"/>
    <col min="6140" max="6142" width="8.5" style="134" bestFit="1" customWidth="1"/>
    <col min="6143" max="6143" width="10" style="134" bestFit="1" customWidth="1"/>
    <col min="6144" max="6144" width="8.1640625" style="134" bestFit="1" customWidth="1"/>
    <col min="6145" max="6146" width="8.5" style="134" bestFit="1" customWidth="1"/>
    <col min="6147" max="6147" width="6" style="134" bestFit="1" customWidth="1"/>
    <col min="6148" max="6148" width="8.83203125" style="134" customWidth="1"/>
    <col min="6149" max="6149" width="8.5" style="134" bestFit="1" customWidth="1"/>
    <col min="6150" max="6150" width="7.1640625" style="134" bestFit="1" customWidth="1"/>
    <col min="6151" max="6151" width="4.5" style="134" bestFit="1" customWidth="1"/>
    <col min="6152" max="6152" width="5.5" style="134" bestFit="1" customWidth="1"/>
    <col min="6153" max="6155" width="6.1640625" style="134" bestFit="1" customWidth="1"/>
    <col min="6156" max="6156" width="7.1640625" style="134" bestFit="1" customWidth="1"/>
    <col min="6157" max="6166" width="8.83203125" style="134" customWidth="1"/>
    <col min="6167" max="6167" width="10" style="134" bestFit="1" customWidth="1"/>
    <col min="6168" max="6391" width="8.83203125" style="134" customWidth="1"/>
    <col min="6392" max="6392" width="7.83203125" style="134" customWidth="1"/>
    <col min="6393" max="6393" width="7.5" style="134" customWidth="1"/>
    <col min="6394" max="6394" width="9" style="134" customWidth="1"/>
    <col min="6395" max="6395" width="8.33203125" style="134" customWidth="1"/>
    <col min="6396" max="6398" width="8.5" style="134" bestFit="1" customWidth="1"/>
    <col min="6399" max="6399" width="10" style="134" bestFit="1" customWidth="1"/>
    <col min="6400" max="6400" width="8.1640625" style="134" bestFit="1" customWidth="1"/>
    <col min="6401" max="6402" width="8.5" style="134" bestFit="1" customWidth="1"/>
    <col min="6403" max="6403" width="6" style="134" bestFit="1" customWidth="1"/>
    <col min="6404" max="6404" width="8.83203125" style="134" customWidth="1"/>
    <col min="6405" max="6405" width="8.5" style="134" bestFit="1" customWidth="1"/>
    <col min="6406" max="6406" width="7.1640625" style="134" bestFit="1" customWidth="1"/>
    <col min="6407" max="6407" width="4.5" style="134" bestFit="1" customWidth="1"/>
    <col min="6408" max="6408" width="5.5" style="134" bestFit="1" customWidth="1"/>
    <col min="6409" max="6411" width="6.1640625" style="134" bestFit="1" customWidth="1"/>
    <col min="6412" max="6412" width="7.1640625" style="134" bestFit="1" customWidth="1"/>
    <col min="6413" max="6422" width="8.83203125" style="134" customWidth="1"/>
    <col min="6423" max="6423" width="10" style="134" bestFit="1" customWidth="1"/>
    <col min="6424" max="6647" width="8.83203125" style="134" customWidth="1"/>
    <col min="6648" max="6648" width="7.83203125" style="134" customWidth="1"/>
    <col min="6649" max="6649" width="7.5" style="134" customWidth="1"/>
    <col min="6650" max="6650" width="9" style="134" customWidth="1"/>
    <col min="6651" max="6651" width="8.33203125" style="134" customWidth="1"/>
    <col min="6652" max="6654" width="8.5" style="134" bestFit="1" customWidth="1"/>
    <col min="6655" max="6655" width="10" style="134" bestFit="1" customWidth="1"/>
    <col min="6656" max="6656" width="8.1640625" style="134" bestFit="1" customWidth="1"/>
    <col min="6657" max="6658" width="8.5" style="134" bestFit="1" customWidth="1"/>
    <col min="6659" max="6659" width="6" style="134" bestFit="1" customWidth="1"/>
    <col min="6660" max="6660" width="8.83203125" style="134" customWidth="1"/>
    <col min="6661" max="6661" width="8.5" style="134" bestFit="1" customWidth="1"/>
    <col min="6662" max="6662" width="7.1640625" style="134" bestFit="1" customWidth="1"/>
    <col min="6663" max="6663" width="4.5" style="134" bestFit="1" customWidth="1"/>
    <col min="6664" max="6664" width="5.5" style="134" bestFit="1" customWidth="1"/>
    <col min="6665" max="6667" width="6.1640625" style="134" bestFit="1" customWidth="1"/>
    <col min="6668" max="6668" width="7.1640625" style="134" bestFit="1" customWidth="1"/>
    <col min="6669" max="6678" width="8.83203125" style="134" customWidth="1"/>
    <col min="6679" max="6679" width="10" style="134" bestFit="1" customWidth="1"/>
    <col min="6680" max="6903" width="8.83203125" style="134" customWidth="1"/>
    <col min="6904" max="6904" width="7.83203125" style="134" customWidth="1"/>
    <col min="6905" max="6905" width="7.5" style="134" customWidth="1"/>
    <col min="6906" max="6906" width="9" style="134" customWidth="1"/>
    <col min="6907" max="6907" width="8.33203125" style="134" customWidth="1"/>
    <col min="6908" max="6910" width="8.5" style="134" bestFit="1" customWidth="1"/>
    <col min="6911" max="6911" width="10" style="134" bestFit="1" customWidth="1"/>
    <col min="6912" max="6912" width="8.1640625" style="134" bestFit="1" customWidth="1"/>
    <col min="6913" max="6914" width="8.5" style="134" bestFit="1" customWidth="1"/>
    <col min="6915" max="6915" width="6" style="134" bestFit="1" customWidth="1"/>
    <col min="6916" max="6916" width="8.83203125" style="134" customWidth="1"/>
    <col min="6917" max="6917" width="8.5" style="134" bestFit="1" customWidth="1"/>
    <col min="6918" max="6918" width="7.1640625" style="134" bestFit="1" customWidth="1"/>
    <col min="6919" max="6919" width="4.5" style="134" bestFit="1" customWidth="1"/>
    <col min="6920" max="6920" width="5.5" style="134" bestFit="1" customWidth="1"/>
    <col min="6921" max="6923" width="6.1640625" style="134" bestFit="1" customWidth="1"/>
    <col min="6924" max="6924" width="7.1640625" style="134" bestFit="1" customWidth="1"/>
    <col min="6925" max="6934" width="8.83203125" style="134" customWidth="1"/>
    <col min="6935" max="6935" width="10" style="134" bestFit="1" customWidth="1"/>
    <col min="6936" max="7159" width="8.83203125" style="134" customWidth="1"/>
    <col min="7160" max="7160" width="7.83203125" style="134" customWidth="1"/>
    <col min="7161" max="7161" width="7.5" style="134" customWidth="1"/>
    <col min="7162" max="7162" width="9" style="134" customWidth="1"/>
    <col min="7163" max="7163" width="8.33203125" style="134" customWidth="1"/>
    <col min="7164" max="7166" width="8.5" style="134" bestFit="1" customWidth="1"/>
    <col min="7167" max="7167" width="10" style="134" bestFit="1" customWidth="1"/>
    <col min="7168" max="7168" width="8.1640625" style="134" bestFit="1" customWidth="1"/>
    <col min="7169" max="7170" width="8.5" style="134" bestFit="1" customWidth="1"/>
    <col min="7171" max="7171" width="6" style="134" bestFit="1" customWidth="1"/>
    <col min="7172" max="7172" width="8.83203125" style="134" customWidth="1"/>
    <col min="7173" max="7173" width="8.5" style="134" bestFit="1" customWidth="1"/>
    <col min="7174" max="7174" width="7.1640625" style="134" bestFit="1" customWidth="1"/>
    <col min="7175" max="7175" width="4.5" style="134" bestFit="1" customWidth="1"/>
    <col min="7176" max="7176" width="5.5" style="134" bestFit="1" customWidth="1"/>
    <col min="7177" max="7179" width="6.1640625" style="134" bestFit="1" customWidth="1"/>
    <col min="7180" max="7180" width="7.1640625" style="134" bestFit="1" customWidth="1"/>
    <col min="7181" max="7190" width="8.83203125" style="134" customWidth="1"/>
    <col min="7191" max="7191" width="10" style="134" bestFit="1" customWidth="1"/>
    <col min="7192" max="7415" width="8.83203125" style="134" customWidth="1"/>
    <col min="7416" max="7416" width="7.83203125" style="134" customWidth="1"/>
    <col min="7417" max="7417" width="7.5" style="134" customWidth="1"/>
    <col min="7418" max="7418" width="9" style="134" customWidth="1"/>
    <col min="7419" max="7419" width="8.33203125" style="134" customWidth="1"/>
    <col min="7420" max="7422" width="8.5" style="134" bestFit="1" customWidth="1"/>
    <col min="7423" max="7423" width="10" style="134" bestFit="1" customWidth="1"/>
    <col min="7424" max="7424" width="8.1640625" style="134" bestFit="1" customWidth="1"/>
    <col min="7425" max="7426" width="8.5" style="134" bestFit="1" customWidth="1"/>
    <col min="7427" max="7427" width="6" style="134" bestFit="1" customWidth="1"/>
    <col min="7428" max="7428" width="8.83203125" style="134" customWidth="1"/>
    <col min="7429" max="7429" width="8.5" style="134" bestFit="1" customWidth="1"/>
    <col min="7430" max="7430" width="7.1640625" style="134" bestFit="1" customWidth="1"/>
    <col min="7431" max="7431" width="4.5" style="134" bestFit="1" customWidth="1"/>
    <col min="7432" max="7432" width="5.5" style="134" bestFit="1" customWidth="1"/>
    <col min="7433" max="7435" width="6.1640625" style="134" bestFit="1" customWidth="1"/>
    <col min="7436" max="7436" width="7.1640625" style="134" bestFit="1" customWidth="1"/>
    <col min="7437" max="7446" width="8.83203125" style="134" customWidth="1"/>
    <col min="7447" max="7447" width="10" style="134" bestFit="1" customWidth="1"/>
    <col min="7448" max="7671" width="8.83203125" style="134" customWidth="1"/>
    <col min="7672" max="7672" width="7.83203125" style="134" customWidth="1"/>
    <col min="7673" max="7673" width="7.5" style="134" customWidth="1"/>
    <col min="7674" max="7674" width="9" style="134" customWidth="1"/>
    <col min="7675" max="7675" width="8.33203125" style="134" customWidth="1"/>
    <col min="7676" max="7678" width="8.5" style="134" bestFit="1" customWidth="1"/>
    <col min="7679" max="7679" width="10" style="134" bestFit="1" customWidth="1"/>
    <col min="7680" max="7680" width="8.1640625" style="134" bestFit="1" customWidth="1"/>
    <col min="7681" max="7682" width="8.5" style="134" bestFit="1" customWidth="1"/>
    <col min="7683" max="7683" width="6" style="134" bestFit="1" customWidth="1"/>
    <col min="7684" max="7684" width="8.83203125" style="134" customWidth="1"/>
    <col min="7685" max="7685" width="8.5" style="134" bestFit="1" customWidth="1"/>
    <col min="7686" max="7686" width="7.1640625" style="134" bestFit="1" customWidth="1"/>
    <col min="7687" max="7687" width="4.5" style="134" bestFit="1" customWidth="1"/>
    <col min="7688" max="7688" width="5.5" style="134" bestFit="1" customWidth="1"/>
    <col min="7689" max="7691" width="6.1640625" style="134" bestFit="1" customWidth="1"/>
    <col min="7692" max="7692" width="7.1640625" style="134" bestFit="1" customWidth="1"/>
    <col min="7693" max="7702" width="8.83203125" style="134" customWidth="1"/>
    <col min="7703" max="7703" width="10" style="134" bestFit="1" customWidth="1"/>
    <col min="7704" max="7927" width="8.83203125" style="134" customWidth="1"/>
    <col min="7928" max="7928" width="7.83203125" style="134" customWidth="1"/>
    <col min="7929" max="7929" width="7.5" style="134" customWidth="1"/>
    <col min="7930" max="7930" width="9" style="134" customWidth="1"/>
    <col min="7931" max="7931" width="8.33203125" style="134" customWidth="1"/>
    <col min="7932" max="7934" width="8.5" style="134" bestFit="1" customWidth="1"/>
    <col min="7935" max="7935" width="10" style="134" bestFit="1" customWidth="1"/>
    <col min="7936" max="7936" width="8.1640625" style="134" bestFit="1" customWidth="1"/>
    <col min="7937" max="7938" width="8.5" style="134" bestFit="1" customWidth="1"/>
    <col min="7939" max="7939" width="6" style="134" bestFit="1" customWidth="1"/>
    <col min="7940" max="7940" width="8.83203125" style="134" customWidth="1"/>
    <col min="7941" max="7941" width="8.5" style="134" bestFit="1" customWidth="1"/>
    <col min="7942" max="7942" width="7.1640625" style="134" bestFit="1" customWidth="1"/>
    <col min="7943" max="7943" width="4.5" style="134" bestFit="1" customWidth="1"/>
    <col min="7944" max="7944" width="5.5" style="134" bestFit="1" customWidth="1"/>
    <col min="7945" max="7947" width="6.1640625" style="134" bestFit="1" customWidth="1"/>
    <col min="7948" max="7948" width="7.1640625" style="134" bestFit="1" customWidth="1"/>
    <col min="7949" max="7958" width="8.83203125" style="134" customWidth="1"/>
    <col min="7959" max="7959" width="10" style="134" bestFit="1" customWidth="1"/>
    <col min="7960" max="8183" width="8.83203125" style="134" customWidth="1"/>
    <col min="8184" max="8184" width="7.83203125" style="134" customWidth="1"/>
    <col min="8185" max="8185" width="7.5" style="134" customWidth="1"/>
    <col min="8186" max="8186" width="9" style="134" customWidth="1"/>
    <col min="8187" max="8187" width="8.33203125" style="134" customWidth="1"/>
    <col min="8188" max="8190" width="8.5" style="134" bestFit="1" customWidth="1"/>
    <col min="8191" max="8191" width="10" style="134" bestFit="1" customWidth="1"/>
    <col min="8192" max="8192" width="8.1640625" style="134" bestFit="1" customWidth="1"/>
    <col min="8193" max="8194" width="8.5" style="134" bestFit="1" customWidth="1"/>
    <col min="8195" max="8195" width="6" style="134" bestFit="1" customWidth="1"/>
    <col min="8196" max="8196" width="8.83203125" style="134" customWidth="1"/>
    <col min="8197" max="8197" width="8.5" style="134" bestFit="1" customWidth="1"/>
    <col min="8198" max="8198" width="7.1640625" style="134" bestFit="1" customWidth="1"/>
    <col min="8199" max="8199" width="4.5" style="134" bestFit="1" customWidth="1"/>
    <col min="8200" max="8200" width="5.5" style="134" bestFit="1" customWidth="1"/>
    <col min="8201" max="8203" width="6.1640625" style="134" bestFit="1" customWidth="1"/>
    <col min="8204" max="8204" width="7.1640625" style="134" bestFit="1" customWidth="1"/>
    <col min="8205" max="8214" width="8.83203125" style="134" customWidth="1"/>
    <col min="8215" max="8215" width="10" style="134" bestFit="1" customWidth="1"/>
    <col min="8216" max="8439" width="8.83203125" style="134" customWidth="1"/>
    <col min="8440" max="8440" width="7.83203125" style="134" customWidth="1"/>
    <col min="8441" max="8441" width="7.5" style="134" customWidth="1"/>
    <col min="8442" max="8442" width="9" style="134" customWidth="1"/>
    <col min="8443" max="8443" width="8.33203125" style="134" customWidth="1"/>
    <col min="8444" max="8446" width="8.5" style="134" bestFit="1" customWidth="1"/>
    <col min="8447" max="8447" width="10" style="134" bestFit="1" customWidth="1"/>
    <col min="8448" max="8448" width="8.1640625" style="134" bestFit="1" customWidth="1"/>
    <col min="8449" max="8450" width="8.5" style="134" bestFit="1" customWidth="1"/>
    <col min="8451" max="8451" width="6" style="134" bestFit="1" customWidth="1"/>
    <col min="8452" max="8452" width="8.83203125" style="134" customWidth="1"/>
    <col min="8453" max="8453" width="8.5" style="134" bestFit="1" customWidth="1"/>
    <col min="8454" max="8454" width="7.1640625" style="134" bestFit="1" customWidth="1"/>
    <col min="8455" max="8455" width="4.5" style="134" bestFit="1" customWidth="1"/>
    <col min="8456" max="8456" width="5.5" style="134" bestFit="1" customWidth="1"/>
    <col min="8457" max="8459" width="6.1640625" style="134" bestFit="1" customWidth="1"/>
    <col min="8460" max="8460" width="7.1640625" style="134" bestFit="1" customWidth="1"/>
    <col min="8461" max="8470" width="8.83203125" style="134" customWidth="1"/>
    <col min="8471" max="8471" width="10" style="134" bestFit="1" customWidth="1"/>
    <col min="8472" max="8695" width="8.83203125" style="134" customWidth="1"/>
    <col min="8696" max="8696" width="7.83203125" style="134" customWidth="1"/>
    <col min="8697" max="8697" width="7.5" style="134" customWidth="1"/>
    <col min="8698" max="8698" width="9" style="134" customWidth="1"/>
    <col min="8699" max="8699" width="8.33203125" style="134" customWidth="1"/>
    <col min="8700" max="8702" width="8.5" style="134" bestFit="1" customWidth="1"/>
    <col min="8703" max="8703" width="10" style="134" bestFit="1" customWidth="1"/>
    <col min="8704" max="8704" width="8.1640625" style="134" bestFit="1" customWidth="1"/>
    <col min="8705" max="8706" width="8.5" style="134" bestFit="1" customWidth="1"/>
    <col min="8707" max="8707" width="6" style="134" bestFit="1" customWidth="1"/>
    <col min="8708" max="8708" width="8.83203125" style="134" customWidth="1"/>
    <col min="8709" max="8709" width="8.5" style="134" bestFit="1" customWidth="1"/>
    <col min="8710" max="8710" width="7.1640625" style="134" bestFit="1" customWidth="1"/>
    <col min="8711" max="8711" width="4.5" style="134" bestFit="1" customWidth="1"/>
    <col min="8712" max="8712" width="5.5" style="134" bestFit="1" customWidth="1"/>
    <col min="8713" max="8715" width="6.1640625" style="134" bestFit="1" customWidth="1"/>
    <col min="8716" max="8716" width="7.1640625" style="134" bestFit="1" customWidth="1"/>
    <col min="8717" max="8726" width="8.83203125" style="134" customWidth="1"/>
    <col min="8727" max="8727" width="10" style="134" bestFit="1" customWidth="1"/>
    <col min="8728" max="8951" width="8.83203125" style="134" customWidth="1"/>
    <col min="8952" max="8952" width="7.83203125" style="134" customWidth="1"/>
    <col min="8953" max="8953" width="7.5" style="134" customWidth="1"/>
    <col min="8954" max="8954" width="9" style="134" customWidth="1"/>
    <col min="8955" max="8955" width="8.33203125" style="134" customWidth="1"/>
    <col min="8956" max="8958" width="8.5" style="134" bestFit="1" customWidth="1"/>
    <col min="8959" max="8959" width="10" style="134" bestFit="1" customWidth="1"/>
    <col min="8960" max="8960" width="8.1640625" style="134" bestFit="1" customWidth="1"/>
    <col min="8961" max="8962" width="8.5" style="134" bestFit="1" customWidth="1"/>
    <col min="8963" max="8963" width="6" style="134" bestFit="1" customWidth="1"/>
    <col min="8964" max="8964" width="8.83203125" style="134" customWidth="1"/>
    <col min="8965" max="8965" width="8.5" style="134" bestFit="1" customWidth="1"/>
    <col min="8966" max="8966" width="7.1640625" style="134" bestFit="1" customWidth="1"/>
    <col min="8967" max="8967" width="4.5" style="134" bestFit="1" customWidth="1"/>
    <col min="8968" max="8968" width="5.5" style="134" bestFit="1" customWidth="1"/>
    <col min="8969" max="8971" width="6.1640625" style="134" bestFit="1" customWidth="1"/>
    <col min="8972" max="8972" width="7.1640625" style="134" bestFit="1" customWidth="1"/>
    <col min="8973" max="8982" width="8.83203125" style="134" customWidth="1"/>
    <col min="8983" max="8983" width="10" style="134" bestFit="1" customWidth="1"/>
    <col min="8984" max="9207" width="8.83203125" style="134" customWidth="1"/>
    <col min="9208" max="9208" width="7.83203125" style="134" customWidth="1"/>
    <col min="9209" max="9209" width="7.5" style="134" customWidth="1"/>
    <col min="9210" max="9210" width="9" style="134" customWidth="1"/>
    <col min="9211" max="9211" width="8.33203125" style="134" customWidth="1"/>
    <col min="9212" max="9214" width="8.5" style="134" bestFit="1" customWidth="1"/>
    <col min="9215" max="9215" width="10" style="134" bestFit="1" customWidth="1"/>
    <col min="9216" max="9216" width="8.1640625" style="134" bestFit="1" customWidth="1"/>
    <col min="9217" max="9218" width="8.5" style="134" bestFit="1" customWidth="1"/>
    <col min="9219" max="9219" width="6" style="134" bestFit="1" customWidth="1"/>
    <col min="9220" max="9220" width="8.83203125" style="134" customWidth="1"/>
    <col min="9221" max="9221" width="8.5" style="134" bestFit="1" customWidth="1"/>
    <col min="9222" max="9222" width="7.1640625" style="134" bestFit="1" customWidth="1"/>
    <col min="9223" max="9223" width="4.5" style="134" bestFit="1" customWidth="1"/>
    <col min="9224" max="9224" width="5.5" style="134" bestFit="1" customWidth="1"/>
    <col min="9225" max="9227" width="6.1640625" style="134" bestFit="1" customWidth="1"/>
    <col min="9228" max="9228" width="7.1640625" style="134" bestFit="1" customWidth="1"/>
    <col min="9229" max="9238" width="8.83203125" style="134" customWidth="1"/>
    <col min="9239" max="9239" width="10" style="134" bestFit="1" customWidth="1"/>
    <col min="9240" max="9463" width="8.83203125" style="134" customWidth="1"/>
    <col min="9464" max="9464" width="7.83203125" style="134" customWidth="1"/>
    <col min="9465" max="9465" width="7.5" style="134" customWidth="1"/>
    <col min="9466" max="9466" width="9" style="134" customWidth="1"/>
    <col min="9467" max="9467" width="8.33203125" style="134" customWidth="1"/>
    <col min="9468" max="9470" width="8.5" style="134" bestFit="1" customWidth="1"/>
    <col min="9471" max="9471" width="10" style="134" bestFit="1" customWidth="1"/>
    <col min="9472" max="9472" width="8.1640625" style="134" bestFit="1" customWidth="1"/>
    <col min="9473" max="9474" width="8.5" style="134" bestFit="1" customWidth="1"/>
    <col min="9475" max="9475" width="6" style="134" bestFit="1" customWidth="1"/>
    <col min="9476" max="9476" width="8.83203125" style="134" customWidth="1"/>
    <col min="9477" max="9477" width="8.5" style="134" bestFit="1" customWidth="1"/>
    <col min="9478" max="9478" width="7.1640625" style="134" bestFit="1" customWidth="1"/>
    <col min="9479" max="9479" width="4.5" style="134" bestFit="1" customWidth="1"/>
    <col min="9480" max="9480" width="5.5" style="134" bestFit="1" customWidth="1"/>
    <col min="9481" max="9483" width="6.1640625" style="134" bestFit="1" customWidth="1"/>
    <col min="9484" max="9484" width="7.1640625" style="134" bestFit="1" customWidth="1"/>
    <col min="9485" max="9494" width="8.83203125" style="134" customWidth="1"/>
    <col min="9495" max="9495" width="10" style="134" bestFit="1" customWidth="1"/>
    <col min="9496" max="9719" width="8.83203125" style="134" customWidth="1"/>
    <col min="9720" max="9720" width="7.83203125" style="134" customWidth="1"/>
    <col min="9721" max="9721" width="7.5" style="134" customWidth="1"/>
    <col min="9722" max="9722" width="9" style="134" customWidth="1"/>
    <col min="9723" max="9723" width="8.33203125" style="134" customWidth="1"/>
    <col min="9724" max="9726" width="8.5" style="134" bestFit="1" customWidth="1"/>
    <col min="9727" max="9727" width="10" style="134" bestFit="1" customWidth="1"/>
    <col min="9728" max="9728" width="8.1640625" style="134" bestFit="1" customWidth="1"/>
    <col min="9729" max="9730" width="8.5" style="134" bestFit="1" customWidth="1"/>
    <col min="9731" max="9731" width="6" style="134" bestFit="1" customWidth="1"/>
    <col min="9732" max="9732" width="8.83203125" style="134" customWidth="1"/>
    <col min="9733" max="9733" width="8.5" style="134" bestFit="1" customWidth="1"/>
    <col min="9734" max="9734" width="7.1640625" style="134" bestFit="1" customWidth="1"/>
    <col min="9735" max="9735" width="4.5" style="134" bestFit="1" customWidth="1"/>
    <col min="9736" max="9736" width="5.5" style="134" bestFit="1" customWidth="1"/>
    <col min="9737" max="9739" width="6.1640625" style="134" bestFit="1" customWidth="1"/>
    <col min="9740" max="9740" width="7.1640625" style="134" bestFit="1" customWidth="1"/>
    <col min="9741" max="9750" width="8.83203125" style="134" customWidth="1"/>
    <col min="9751" max="9751" width="10" style="134" bestFit="1" customWidth="1"/>
    <col min="9752" max="9975" width="8.83203125" style="134" customWidth="1"/>
    <col min="9976" max="9976" width="7.83203125" style="134" customWidth="1"/>
    <col min="9977" max="9977" width="7.5" style="134" customWidth="1"/>
    <col min="9978" max="9978" width="9" style="134" customWidth="1"/>
    <col min="9979" max="9979" width="8.33203125" style="134" customWidth="1"/>
    <col min="9980" max="9982" width="8.5" style="134" bestFit="1" customWidth="1"/>
    <col min="9983" max="9983" width="10" style="134" bestFit="1" customWidth="1"/>
    <col min="9984" max="9984" width="8.1640625" style="134" bestFit="1" customWidth="1"/>
    <col min="9985" max="9986" width="8.5" style="134" bestFit="1" customWidth="1"/>
    <col min="9987" max="9987" width="6" style="134" bestFit="1" customWidth="1"/>
    <col min="9988" max="9988" width="8.83203125" style="134" customWidth="1"/>
    <col min="9989" max="9989" width="8.5" style="134" bestFit="1" customWidth="1"/>
    <col min="9990" max="9990" width="7.1640625" style="134" bestFit="1" customWidth="1"/>
    <col min="9991" max="9991" width="4.5" style="134" bestFit="1" customWidth="1"/>
    <col min="9992" max="9992" width="5.5" style="134" bestFit="1" customWidth="1"/>
    <col min="9993" max="9995" width="6.1640625" style="134" bestFit="1" customWidth="1"/>
    <col min="9996" max="9996" width="7.1640625" style="134" bestFit="1" customWidth="1"/>
    <col min="9997" max="10006" width="8.83203125" style="134" customWidth="1"/>
    <col min="10007" max="10007" width="10" style="134" bestFit="1" customWidth="1"/>
    <col min="10008" max="10231" width="8.83203125" style="134" customWidth="1"/>
    <col min="10232" max="10232" width="7.83203125" style="134" customWidth="1"/>
    <col min="10233" max="10233" width="7.5" style="134" customWidth="1"/>
    <col min="10234" max="10234" width="9" style="134" customWidth="1"/>
    <col min="10235" max="10235" width="8.33203125" style="134" customWidth="1"/>
    <col min="10236" max="10238" width="8.5" style="134" bestFit="1" customWidth="1"/>
    <col min="10239" max="10239" width="10" style="134" bestFit="1" customWidth="1"/>
    <col min="10240" max="10240" width="8.1640625" style="134" bestFit="1" customWidth="1"/>
    <col min="10241" max="10242" width="8.5" style="134" bestFit="1" customWidth="1"/>
    <col min="10243" max="10243" width="6" style="134" bestFit="1" customWidth="1"/>
    <col min="10244" max="10244" width="8.83203125" style="134" customWidth="1"/>
    <col min="10245" max="10245" width="8.5" style="134" bestFit="1" customWidth="1"/>
    <col min="10246" max="10246" width="7.1640625" style="134" bestFit="1" customWidth="1"/>
    <col min="10247" max="10247" width="4.5" style="134" bestFit="1" customWidth="1"/>
    <col min="10248" max="10248" width="5.5" style="134" bestFit="1" customWidth="1"/>
    <col min="10249" max="10251" width="6.1640625" style="134" bestFit="1" customWidth="1"/>
    <col min="10252" max="10252" width="7.1640625" style="134" bestFit="1" customWidth="1"/>
    <col min="10253" max="10262" width="8.83203125" style="134" customWidth="1"/>
    <col min="10263" max="10263" width="10" style="134" bestFit="1" customWidth="1"/>
    <col min="10264" max="10487" width="8.83203125" style="134" customWidth="1"/>
    <col min="10488" max="10488" width="7.83203125" style="134" customWidth="1"/>
    <col min="10489" max="10489" width="7.5" style="134" customWidth="1"/>
    <col min="10490" max="10490" width="9" style="134" customWidth="1"/>
    <col min="10491" max="10491" width="8.33203125" style="134" customWidth="1"/>
    <col min="10492" max="10494" width="8.5" style="134" bestFit="1" customWidth="1"/>
    <col min="10495" max="10495" width="10" style="134" bestFit="1" customWidth="1"/>
    <col min="10496" max="10496" width="8.1640625" style="134" bestFit="1" customWidth="1"/>
    <col min="10497" max="10498" width="8.5" style="134" bestFit="1" customWidth="1"/>
    <col min="10499" max="10499" width="6" style="134" bestFit="1" customWidth="1"/>
    <col min="10500" max="10500" width="8.83203125" style="134" customWidth="1"/>
    <col min="10501" max="10501" width="8.5" style="134" bestFit="1" customWidth="1"/>
    <col min="10502" max="10502" width="7.1640625" style="134" bestFit="1" customWidth="1"/>
    <col min="10503" max="10503" width="4.5" style="134" bestFit="1" customWidth="1"/>
    <col min="10504" max="10504" width="5.5" style="134" bestFit="1" customWidth="1"/>
    <col min="10505" max="10507" width="6.1640625" style="134" bestFit="1" customWidth="1"/>
    <col min="10508" max="10508" width="7.1640625" style="134" bestFit="1" customWidth="1"/>
    <col min="10509" max="10518" width="8.83203125" style="134" customWidth="1"/>
    <col min="10519" max="10519" width="10" style="134" bestFit="1" customWidth="1"/>
    <col min="10520" max="10743" width="8.83203125" style="134" customWidth="1"/>
    <col min="10744" max="10744" width="7.83203125" style="134" customWidth="1"/>
    <col min="10745" max="10745" width="7.5" style="134" customWidth="1"/>
    <col min="10746" max="10746" width="9" style="134" customWidth="1"/>
    <col min="10747" max="10747" width="8.33203125" style="134" customWidth="1"/>
    <col min="10748" max="10750" width="8.5" style="134" bestFit="1" customWidth="1"/>
    <col min="10751" max="10751" width="10" style="134" bestFit="1" customWidth="1"/>
    <col min="10752" max="10752" width="8.1640625" style="134" bestFit="1" customWidth="1"/>
    <col min="10753" max="10754" width="8.5" style="134" bestFit="1" customWidth="1"/>
    <col min="10755" max="10755" width="6" style="134" bestFit="1" customWidth="1"/>
    <col min="10756" max="10756" width="8.83203125" style="134" customWidth="1"/>
    <col min="10757" max="10757" width="8.5" style="134" bestFit="1" customWidth="1"/>
    <col min="10758" max="10758" width="7.1640625" style="134" bestFit="1" customWidth="1"/>
    <col min="10759" max="10759" width="4.5" style="134" bestFit="1" customWidth="1"/>
    <col min="10760" max="10760" width="5.5" style="134" bestFit="1" customWidth="1"/>
    <col min="10761" max="10763" width="6.1640625" style="134" bestFit="1" customWidth="1"/>
    <col min="10764" max="10764" width="7.1640625" style="134" bestFit="1" customWidth="1"/>
    <col min="10765" max="10774" width="8.83203125" style="134" customWidth="1"/>
    <col min="10775" max="10775" width="10" style="134" bestFit="1" customWidth="1"/>
    <col min="10776" max="10999" width="8.83203125" style="134" customWidth="1"/>
    <col min="11000" max="11000" width="7.83203125" style="134" customWidth="1"/>
    <col min="11001" max="11001" width="7.5" style="134" customWidth="1"/>
    <col min="11002" max="11002" width="9" style="134" customWidth="1"/>
    <col min="11003" max="11003" width="8.33203125" style="134" customWidth="1"/>
    <col min="11004" max="11006" width="8.5" style="134" bestFit="1" customWidth="1"/>
    <col min="11007" max="11007" width="10" style="134" bestFit="1" customWidth="1"/>
    <col min="11008" max="11008" width="8.1640625" style="134" bestFit="1" customWidth="1"/>
    <col min="11009" max="11010" width="8.5" style="134" bestFit="1" customWidth="1"/>
    <col min="11011" max="11011" width="6" style="134" bestFit="1" customWidth="1"/>
    <col min="11012" max="11012" width="8.83203125" style="134" customWidth="1"/>
    <col min="11013" max="11013" width="8.5" style="134" bestFit="1" customWidth="1"/>
    <col min="11014" max="11014" width="7.1640625" style="134" bestFit="1" customWidth="1"/>
    <col min="11015" max="11015" width="4.5" style="134" bestFit="1" customWidth="1"/>
    <col min="11016" max="11016" width="5.5" style="134" bestFit="1" customWidth="1"/>
    <col min="11017" max="11019" width="6.1640625" style="134" bestFit="1" customWidth="1"/>
    <col min="11020" max="11020" width="7.1640625" style="134" bestFit="1" customWidth="1"/>
    <col min="11021" max="11030" width="8.83203125" style="134" customWidth="1"/>
    <col min="11031" max="11031" width="10" style="134" bestFit="1" customWidth="1"/>
    <col min="11032" max="11255" width="8.83203125" style="134" customWidth="1"/>
    <col min="11256" max="11256" width="7.83203125" style="134" customWidth="1"/>
    <col min="11257" max="11257" width="7.5" style="134" customWidth="1"/>
    <col min="11258" max="11258" width="9" style="134" customWidth="1"/>
    <col min="11259" max="11259" width="8.33203125" style="134" customWidth="1"/>
    <col min="11260" max="11262" width="8.5" style="134" bestFit="1" customWidth="1"/>
    <col min="11263" max="11263" width="10" style="134" bestFit="1" customWidth="1"/>
    <col min="11264" max="11264" width="8.1640625" style="134" bestFit="1" customWidth="1"/>
    <col min="11265" max="11266" width="8.5" style="134" bestFit="1" customWidth="1"/>
    <col min="11267" max="11267" width="6" style="134" bestFit="1" customWidth="1"/>
    <col min="11268" max="11268" width="8.83203125" style="134" customWidth="1"/>
    <col min="11269" max="11269" width="8.5" style="134" bestFit="1" customWidth="1"/>
    <col min="11270" max="11270" width="7.1640625" style="134" bestFit="1" customWidth="1"/>
    <col min="11271" max="11271" width="4.5" style="134" bestFit="1" customWidth="1"/>
    <col min="11272" max="11272" width="5.5" style="134" bestFit="1" customWidth="1"/>
    <col min="11273" max="11275" width="6.1640625" style="134" bestFit="1" customWidth="1"/>
    <col min="11276" max="11276" width="7.1640625" style="134" bestFit="1" customWidth="1"/>
    <col min="11277" max="11286" width="8.83203125" style="134" customWidth="1"/>
    <col min="11287" max="11287" width="10" style="134" bestFit="1" customWidth="1"/>
    <col min="11288" max="11511" width="8.83203125" style="134" customWidth="1"/>
    <col min="11512" max="11512" width="7.83203125" style="134" customWidth="1"/>
    <col min="11513" max="11513" width="7.5" style="134" customWidth="1"/>
    <col min="11514" max="11514" width="9" style="134" customWidth="1"/>
    <col min="11515" max="11515" width="8.33203125" style="134" customWidth="1"/>
    <col min="11516" max="11518" width="8.5" style="134" bestFit="1" customWidth="1"/>
    <col min="11519" max="11519" width="10" style="134" bestFit="1" customWidth="1"/>
    <col min="11520" max="11520" width="8.1640625" style="134" bestFit="1" customWidth="1"/>
    <col min="11521" max="11522" width="8.5" style="134" bestFit="1" customWidth="1"/>
    <col min="11523" max="11523" width="6" style="134" bestFit="1" customWidth="1"/>
    <col min="11524" max="11524" width="8.83203125" style="134" customWidth="1"/>
    <col min="11525" max="11525" width="8.5" style="134" bestFit="1" customWidth="1"/>
    <col min="11526" max="11526" width="7.1640625" style="134" bestFit="1" customWidth="1"/>
    <col min="11527" max="11527" width="4.5" style="134" bestFit="1" customWidth="1"/>
    <col min="11528" max="11528" width="5.5" style="134" bestFit="1" customWidth="1"/>
    <col min="11529" max="11531" width="6.1640625" style="134" bestFit="1" customWidth="1"/>
    <col min="11532" max="11532" width="7.1640625" style="134" bestFit="1" customWidth="1"/>
    <col min="11533" max="11542" width="8.83203125" style="134" customWidth="1"/>
    <col min="11543" max="11543" width="10" style="134" bestFit="1" customWidth="1"/>
    <col min="11544" max="11767" width="8.83203125" style="134" customWidth="1"/>
    <col min="11768" max="11768" width="7.83203125" style="134" customWidth="1"/>
    <col min="11769" max="11769" width="7.5" style="134" customWidth="1"/>
    <col min="11770" max="11770" width="9" style="134" customWidth="1"/>
    <col min="11771" max="11771" width="8.33203125" style="134" customWidth="1"/>
    <col min="11772" max="11774" width="8.5" style="134" bestFit="1" customWidth="1"/>
    <col min="11775" max="11775" width="10" style="134" bestFit="1" customWidth="1"/>
    <col min="11776" max="11776" width="8.1640625" style="134" bestFit="1" customWidth="1"/>
    <col min="11777" max="11778" width="8.5" style="134" bestFit="1" customWidth="1"/>
    <col min="11779" max="11779" width="6" style="134" bestFit="1" customWidth="1"/>
    <col min="11780" max="11780" width="8.83203125" style="134" customWidth="1"/>
    <col min="11781" max="11781" width="8.5" style="134" bestFit="1" customWidth="1"/>
    <col min="11782" max="11782" width="7.1640625" style="134" bestFit="1" customWidth="1"/>
    <col min="11783" max="11783" width="4.5" style="134" bestFit="1" customWidth="1"/>
    <col min="11784" max="11784" width="5.5" style="134" bestFit="1" customWidth="1"/>
    <col min="11785" max="11787" width="6.1640625" style="134" bestFit="1" customWidth="1"/>
    <col min="11788" max="11788" width="7.1640625" style="134" bestFit="1" customWidth="1"/>
    <col min="11789" max="11798" width="8.83203125" style="134" customWidth="1"/>
    <col min="11799" max="11799" width="10" style="134" bestFit="1" customWidth="1"/>
    <col min="11800" max="12023" width="8.83203125" style="134" customWidth="1"/>
    <col min="12024" max="12024" width="7.83203125" style="134" customWidth="1"/>
    <col min="12025" max="12025" width="7.5" style="134" customWidth="1"/>
    <col min="12026" max="12026" width="9" style="134" customWidth="1"/>
    <col min="12027" max="12027" width="8.33203125" style="134" customWidth="1"/>
    <col min="12028" max="12030" width="8.5" style="134" bestFit="1" customWidth="1"/>
    <col min="12031" max="12031" width="10" style="134" bestFit="1" customWidth="1"/>
    <col min="12032" max="12032" width="8.1640625" style="134" bestFit="1" customWidth="1"/>
    <col min="12033" max="12034" width="8.5" style="134" bestFit="1" customWidth="1"/>
    <col min="12035" max="12035" width="6" style="134" bestFit="1" customWidth="1"/>
    <col min="12036" max="12036" width="8.83203125" style="134" customWidth="1"/>
    <col min="12037" max="12037" width="8.5" style="134" bestFit="1" customWidth="1"/>
    <col min="12038" max="12038" width="7.1640625" style="134" bestFit="1" customWidth="1"/>
    <col min="12039" max="12039" width="4.5" style="134" bestFit="1" customWidth="1"/>
    <col min="12040" max="12040" width="5.5" style="134" bestFit="1" customWidth="1"/>
    <col min="12041" max="12043" width="6.1640625" style="134" bestFit="1" customWidth="1"/>
    <col min="12044" max="12044" width="7.1640625" style="134" bestFit="1" customWidth="1"/>
    <col min="12045" max="12054" width="8.83203125" style="134" customWidth="1"/>
    <col min="12055" max="12055" width="10" style="134" bestFit="1" customWidth="1"/>
    <col min="12056" max="12279" width="8.83203125" style="134" customWidth="1"/>
    <col min="12280" max="12280" width="7.83203125" style="134" customWidth="1"/>
    <col min="12281" max="12281" width="7.5" style="134" customWidth="1"/>
    <col min="12282" max="12282" width="9" style="134" customWidth="1"/>
    <col min="12283" max="12283" width="8.33203125" style="134" customWidth="1"/>
    <col min="12284" max="12286" width="8.5" style="134" bestFit="1" customWidth="1"/>
    <col min="12287" max="12287" width="10" style="134" bestFit="1" customWidth="1"/>
    <col min="12288" max="12288" width="8.1640625" style="134" bestFit="1" customWidth="1"/>
    <col min="12289" max="12290" width="8.5" style="134" bestFit="1" customWidth="1"/>
    <col min="12291" max="12291" width="6" style="134" bestFit="1" customWidth="1"/>
    <col min="12292" max="12292" width="8.83203125" style="134" customWidth="1"/>
    <col min="12293" max="12293" width="8.5" style="134" bestFit="1" customWidth="1"/>
    <col min="12294" max="12294" width="7.1640625" style="134" bestFit="1" customWidth="1"/>
    <col min="12295" max="12295" width="4.5" style="134" bestFit="1" customWidth="1"/>
    <col min="12296" max="12296" width="5.5" style="134" bestFit="1" customWidth="1"/>
    <col min="12297" max="12299" width="6.1640625" style="134" bestFit="1" customWidth="1"/>
    <col min="12300" max="12300" width="7.1640625" style="134" bestFit="1" customWidth="1"/>
    <col min="12301" max="12310" width="8.83203125" style="134" customWidth="1"/>
    <col min="12311" max="12311" width="10" style="134" bestFit="1" customWidth="1"/>
    <col min="12312" max="12535" width="8.83203125" style="134" customWidth="1"/>
    <col min="12536" max="12536" width="7.83203125" style="134" customWidth="1"/>
    <col min="12537" max="12537" width="7.5" style="134" customWidth="1"/>
    <col min="12538" max="12538" width="9" style="134" customWidth="1"/>
    <col min="12539" max="12539" width="8.33203125" style="134" customWidth="1"/>
    <col min="12540" max="12542" width="8.5" style="134" bestFit="1" customWidth="1"/>
    <col min="12543" max="12543" width="10" style="134" bestFit="1" customWidth="1"/>
    <col min="12544" max="12544" width="8.1640625" style="134" bestFit="1" customWidth="1"/>
    <col min="12545" max="12546" width="8.5" style="134" bestFit="1" customWidth="1"/>
    <col min="12547" max="12547" width="6" style="134" bestFit="1" customWidth="1"/>
    <col min="12548" max="12548" width="8.83203125" style="134" customWidth="1"/>
    <col min="12549" max="12549" width="8.5" style="134" bestFit="1" customWidth="1"/>
    <col min="12550" max="12550" width="7.1640625" style="134" bestFit="1" customWidth="1"/>
    <col min="12551" max="12551" width="4.5" style="134" bestFit="1" customWidth="1"/>
    <col min="12552" max="12552" width="5.5" style="134" bestFit="1" customWidth="1"/>
    <col min="12553" max="12555" width="6.1640625" style="134" bestFit="1" customWidth="1"/>
    <col min="12556" max="12556" width="7.1640625" style="134" bestFit="1" customWidth="1"/>
    <col min="12557" max="12566" width="8.83203125" style="134" customWidth="1"/>
    <col min="12567" max="12567" width="10" style="134" bestFit="1" customWidth="1"/>
    <col min="12568" max="12791" width="8.83203125" style="134" customWidth="1"/>
    <col min="12792" max="12792" width="7.83203125" style="134" customWidth="1"/>
    <col min="12793" max="12793" width="7.5" style="134" customWidth="1"/>
    <col min="12794" max="12794" width="9" style="134" customWidth="1"/>
    <col min="12795" max="12795" width="8.33203125" style="134" customWidth="1"/>
    <col min="12796" max="12798" width="8.5" style="134" bestFit="1" customWidth="1"/>
    <col min="12799" max="12799" width="10" style="134" bestFit="1" customWidth="1"/>
    <col min="12800" max="12800" width="8.1640625" style="134" bestFit="1" customWidth="1"/>
    <col min="12801" max="12802" width="8.5" style="134" bestFit="1" customWidth="1"/>
    <col min="12803" max="12803" width="6" style="134" bestFit="1" customWidth="1"/>
    <col min="12804" max="12804" width="8.83203125" style="134" customWidth="1"/>
    <col min="12805" max="12805" width="8.5" style="134" bestFit="1" customWidth="1"/>
    <col min="12806" max="12806" width="7.1640625" style="134" bestFit="1" customWidth="1"/>
    <col min="12807" max="12807" width="4.5" style="134" bestFit="1" customWidth="1"/>
    <col min="12808" max="12808" width="5.5" style="134" bestFit="1" customWidth="1"/>
    <col min="12809" max="12811" width="6.1640625" style="134" bestFit="1" customWidth="1"/>
    <col min="12812" max="12812" width="7.1640625" style="134" bestFit="1" customWidth="1"/>
    <col min="12813" max="12822" width="8.83203125" style="134" customWidth="1"/>
    <col min="12823" max="12823" width="10" style="134" bestFit="1" customWidth="1"/>
    <col min="12824" max="13047" width="8.83203125" style="134" customWidth="1"/>
    <col min="13048" max="13048" width="7.83203125" style="134" customWidth="1"/>
    <col min="13049" max="13049" width="7.5" style="134" customWidth="1"/>
    <col min="13050" max="13050" width="9" style="134" customWidth="1"/>
    <col min="13051" max="13051" width="8.33203125" style="134" customWidth="1"/>
    <col min="13052" max="13054" width="8.5" style="134" bestFit="1" customWidth="1"/>
    <col min="13055" max="13055" width="10" style="134" bestFit="1" customWidth="1"/>
    <col min="13056" max="13056" width="8.1640625" style="134" bestFit="1" customWidth="1"/>
    <col min="13057" max="13058" width="8.5" style="134" bestFit="1" customWidth="1"/>
    <col min="13059" max="13059" width="6" style="134" bestFit="1" customWidth="1"/>
    <col min="13060" max="13060" width="8.83203125" style="134" customWidth="1"/>
    <col min="13061" max="13061" width="8.5" style="134" bestFit="1" customWidth="1"/>
    <col min="13062" max="13062" width="7.1640625" style="134" bestFit="1" customWidth="1"/>
    <col min="13063" max="13063" width="4.5" style="134" bestFit="1" customWidth="1"/>
    <col min="13064" max="13064" width="5.5" style="134" bestFit="1" customWidth="1"/>
    <col min="13065" max="13067" width="6.1640625" style="134" bestFit="1" customWidth="1"/>
    <col min="13068" max="13068" width="7.1640625" style="134" bestFit="1" customWidth="1"/>
    <col min="13069" max="13078" width="8.83203125" style="134" customWidth="1"/>
    <col min="13079" max="13079" width="10" style="134" bestFit="1" customWidth="1"/>
    <col min="13080" max="13303" width="8.83203125" style="134" customWidth="1"/>
    <col min="13304" max="13304" width="7.83203125" style="134" customWidth="1"/>
    <col min="13305" max="13305" width="7.5" style="134" customWidth="1"/>
    <col min="13306" max="13306" width="9" style="134" customWidth="1"/>
    <col min="13307" max="13307" width="8.33203125" style="134" customWidth="1"/>
    <col min="13308" max="13310" width="8.5" style="134" bestFit="1" customWidth="1"/>
    <col min="13311" max="13311" width="10" style="134" bestFit="1" customWidth="1"/>
    <col min="13312" max="13312" width="8.1640625" style="134" bestFit="1" customWidth="1"/>
    <col min="13313" max="13314" width="8.5" style="134" bestFit="1" customWidth="1"/>
    <col min="13315" max="13315" width="6" style="134" bestFit="1" customWidth="1"/>
    <col min="13316" max="13316" width="8.83203125" style="134" customWidth="1"/>
    <col min="13317" max="13317" width="8.5" style="134" bestFit="1" customWidth="1"/>
    <col min="13318" max="13318" width="7.1640625" style="134" bestFit="1" customWidth="1"/>
    <col min="13319" max="13319" width="4.5" style="134" bestFit="1" customWidth="1"/>
    <col min="13320" max="13320" width="5.5" style="134" bestFit="1" customWidth="1"/>
    <col min="13321" max="13323" width="6.1640625" style="134" bestFit="1" customWidth="1"/>
    <col min="13324" max="13324" width="7.1640625" style="134" bestFit="1" customWidth="1"/>
    <col min="13325" max="13334" width="8.83203125" style="134" customWidth="1"/>
    <col min="13335" max="13335" width="10" style="134" bestFit="1" customWidth="1"/>
    <col min="13336" max="13559" width="8.83203125" style="134" customWidth="1"/>
    <col min="13560" max="13560" width="7.83203125" style="134" customWidth="1"/>
    <col min="13561" max="13561" width="7.5" style="134" customWidth="1"/>
    <col min="13562" max="13562" width="9" style="134" customWidth="1"/>
    <col min="13563" max="13563" width="8.33203125" style="134" customWidth="1"/>
    <col min="13564" max="13566" width="8.5" style="134" bestFit="1" customWidth="1"/>
    <col min="13567" max="13567" width="10" style="134" bestFit="1" customWidth="1"/>
    <col min="13568" max="13568" width="8.1640625" style="134" bestFit="1" customWidth="1"/>
    <col min="13569" max="13570" width="8.5" style="134" bestFit="1" customWidth="1"/>
    <col min="13571" max="13571" width="6" style="134" bestFit="1" customWidth="1"/>
    <col min="13572" max="13572" width="8.83203125" style="134" customWidth="1"/>
    <col min="13573" max="13573" width="8.5" style="134" bestFit="1" customWidth="1"/>
    <col min="13574" max="13574" width="7.1640625" style="134" bestFit="1" customWidth="1"/>
    <col min="13575" max="13575" width="4.5" style="134" bestFit="1" customWidth="1"/>
    <col min="13576" max="13576" width="5.5" style="134" bestFit="1" customWidth="1"/>
    <col min="13577" max="13579" width="6.1640625" style="134" bestFit="1" customWidth="1"/>
    <col min="13580" max="13580" width="7.1640625" style="134" bestFit="1" customWidth="1"/>
    <col min="13581" max="13590" width="8.83203125" style="134" customWidth="1"/>
    <col min="13591" max="13591" width="10" style="134" bestFit="1" customWidth="1"/>
    <col min="13592" max="13815" width="8.83203125" style="134" customWidth="1"/>
    <col min="13816" max="13816" width="7.83203125" style="134" customWidth="1"/>
    <col min="13817" max="13817" width="7.5" style="134" customWidth="1"/>
    <col min="13818" max="13818" width="9" style="134" customWidth="1"/>
    <col min="13819" max="13819" width="8.33203125" style="134" customWidth="1"/>
    <col min="13820" max="13822" width="8.5" style="134" bestFit="1" customWidth="1"/>
    <col min="13823" max="13823" width="10" style="134" bestFit="1" customWidth="1"/>
    <col min="13824" max="13824" width="8.1640625" style="134" bestFit="1" customWidth="1"/>
    <col min="13825" max="13826" width="8.5" style="134" bestFit="1" customWidth="1"/>
    <col min="13827" max="13827" width="6" style="134" bestFit="1" customWidth="1"/>
    <col min="13828" max="13828" width="8.83203125" style="134" customWidth="1"/>
    <col min="13829" max="13829" width="8.5" style="134" bestFit="1" customWidth="1"/>
    <col min="13830" max="13830" width="7.1640625" style="134" bestFit="1" customWidth="1"/>
    <col min="13831" max="13831" width="4.5" style="134" bestFit="1" customWidth="1"/>
    <col min="13832" max="13832" width="5.5" style="134" bestFit="1" customWidth="1"/>
    <col min="13833" max="13835" width="6.1640625" style="134" bestFit="1" customWidth="1"/>
    <col min="13836" max="13836" width="7.1640625" style="134" bestFit="1" customWidth="1"/>
    <col min="13837" max="13846" width="8.83203125" style="134" customWidth="1"/>
    <col min="13847" max="13847" width="10" style="134" bestFit="1" customWidth="1"/>
    <col min="13848" max="14071" width="8.83203125" style="134" customWidth="1"/>
    <col min="14072" max="14072" width="7.83203125" style="134" customWidth="1"/>
    <col min="14073" max="14073" width="7.5" style="134" customWidth="1"/>
    <col min="14074" max="14074" width="9" style="134" customWidth="1"/>
    <col min="14075" max="14075" width="8.33203125" style="134" customWidth="1"/>
    <col min="14076" max="14078" width="8.5" style="134" bestFit="1" customWidth="1"/>
    <col min="14079" max="14079" width="10" style="134" bestFit="1" customWidth="1"/>
    <col min="14080" max="14080" width="8.1640625" style="134" bestFit="1" customWidth="1"/>
    <col min="14081" max="14082" width="8.5" style="134" bestFit="1" customWidth="1"/>
    <col min="14083" max="14083" width="6" style="134" bestFit="1" customWidth="1"/>
    <col min="14084" max="14084" width="8.83203125" style="134" customWidth="1"/>
    <col min="14085" max="14085" width="8.5" style="134" bestFit="1" customWidth="1"/>
    <col min="14086" max="14086" width="7.1640625" style="134" bestFit="1" customWidth="1"/>
    <col min="14087" max="14087" width="4.5" style="134" bestFit="1" customWidth="1"/>
    <col min="14088" max="14088" width="5.5" style="134" bestFit="1" customWidth="1"/>
    <col min="14089" max="14091" width="6.1640625" style="134" bestFit="1" customWidth="1"/>
    <col min="14092" max="14092" width="7.1640625" style="134" bestFit="1" customWidth="1"/>
    <col min="14093" max="14102" width="8.83203125" style="134" customWidth="1"/>
    <col min="14103" max="14103" width="10" style="134" bestFit="1" customWidth="1"/>
    <col min="14104" max="14327" width="8.83203125" style="134" customWidth="1"/>
    <col min="14328" max="14328" width="7.83203125" style="134" customWidth="1"/>
    <col min="14329" max="14329" width="7.5" style="134" customWidth="1"/>
    <col min="14330" max="14330" width="9" style="134" customWidth="1"/>
    <col min="14331" max="14331" width="8.33203125" style="134" customWidth="1"/>
    <col min="14332" max="14334" width="8.5" style="134" bestFit="1" customWidth="1"/>
    <col min="14335" max="14335" width="10" style="134" bestFit="1" customWidth="1"/>
    <col min="14336" max="14336" width="8.1640625" style="134" bestFit="1" customWidth="1"/>
    <col min="14337" max="14338" width="8.5" style="134" bestFit="1" customWidth="1"/>
    <col min="14339" max="14339" width="6" style="134" bestFit="1" customWidth="1"/>
    <col min="14340" max="14340" width="8.83203125" style="134" customWidth="1"/>
    <col min="14341" max="14341" width="8.5" style="134" bestFit="1" customWidth="1"/>
    <col min="14342" max="14342" width="7.1640625" style="134" bestFit="1" customWidth="1"/>
    <col min="14343" max="14343" width="4.5" style="134" bestFit="1" customWidth="1"/>
    <col min="14344" max="14344" width="5.5" style="134" bestFit="1" customWidth="1"/>
    <col min="14345" max="14347" width="6.1640625" style="134" bestFit="1" customWidth="1"/>
    <col min="14348" max="14348" width="7.1640625" style="134" bestFit="1" customWidth="1"/>
    <col min="14349" max="14358" width="8.83203125" style="134" customWidth="1"/>
    <col min="14359" max="14359" width="10" style="134" bestFit="1" customWidth="1"/>
    <col min="14360" max="14583" width="8.83203125" style="134" customWidth="1"/>
    <col min="14584" max="14584" width="7.83203125" style="134" customWidth="1"/>
    <col min="14585" max="14585" width="7.5" style="134" customWidth="1"/>
    <col min="14586" max="14586" width="9" style="134" customWidth="1"/>
    <col min="14587" max="14587" width="8.33203125" style="134" customWidth="1"/>
    <col min="14588" max="14590" width="8.5" style="134" bestFit="1" customWidth="1"/>
    <col min="14591" max="14591" width="10" style="134" bestFit="1" customWidth="1"/>
    <col min="14592" max="14592" width="8.1640625" style="134" bestFit="1" customWidth="1"/>
    <col min="14593" max="14594" width="8.5" style="134" bestFit="1" customWidth="1"/>
    <col min="14595" max="14595" width="6" style="134" bestFit="1" customWidth="1"/>
    <col min="14596" max="14596" width="8.83203125" style="134" customWidth="1"/>
    <col min="14597" max="14597" width="8.5" style="134" bestFit="1" customWidth="1"/>
    <col min="14598" max="14598" width="7.1640625" style="134" bestFit="1" customWidth="1"/>
    <col min="14599" max="14599" width="4.5" style="134" bestFit="1" customWidth="1"/>
    <col min="14600" max="14600" width="5.5" style="134" bestFit="1" customWidth="1"/>
    <col min="14601" max="14603" width="6.1640625" style="134" bestFit="1" customWidth="1"/>
    <col min="14604" max="14604" width="7.1640625" style="134" bestFit="1" customWidth="1"/>
    <col min="14605" max="14614" width="8.83203125" style="134" customWidth="1"/>
    <col min="14615" max="14615" width="10" style="134" bestFit="1" customWidth="1"/>
    <col min="14616" max="14839" width="8.83203125" style="134" customWidth="1"/>
    <col min="14840" max="14840" width="7.83203125" style="134" customWidth="1"/>
    <col min="14841" max="14841" width="7.5" style="134" customWidth="1"/>
    <col min="14842" max="14842" width="9" style="134" customWidth="1"/>
    <col min="14843" max="14843" width="8.33203125" style="134" customWidth="1"/>
    <col min="14844" max="14846" width="8.5" style="134" bestFit="1" customWidth="1"/>
    <col min="14847" max="14847" width="10" style="134" bestFit="1" customWidth="1"/>
    <col min="14848" max="14848" width="8.1640625" style="134" bestFit="1" customWidth="1"/>
    <col min="14849" max="14850" width="8.5" style="134" bestFit="1" customWidth="1"/>
    <col min="14851" max="14851" width="6" style="134" bestFit="1" customWidth="1"/>
    <col min="14852" max="14852" width="8.83203125" style="134" customWidth="1"/>
    <col min="14853" max="14853" width="8.5" style="134" bestFit="1" customWidth="1"/>
    <col min="14854" max="14854" width="7.1640625" style="134" bestFit="1" customWidth="1"/>
    <col min="14855" max="14855" width="4.5" style="134" bestFit="1" customWidth="1"/>
    <col min="14856" max="14856" width="5.5" style="134" bestFit="1" customWidth="1"/>
    <col min="14857" max="14859" width="6.1640625" style="134" bestFit="1" customWidth="1"/>
    <col min="14860" max="14860" width="7.1640625" style="134" bestFit="1" customWidth="1"/>
    <col min="14861" max="14870" width="8.83203125" style="134" customWidth="1"/>
    <col min="14871" max="14871" width="10" style="134" bestFit="1" customWidth="1"/>
    <col min="14872" max="15095" width="8.83203125" style="134" customWidth="1"/>
    <col min="15096" max="15096" width="7.83203125" style="134" customWidth="1"/>
    <col min="15097" max="15097" width="7.5" style="134" customWidth="1"/>
    <col min="15098" max="15098" width="9" style="134" customWidth="1"/>
    <col min="15099" max="15099" width="8.33203125" style="134" customWidth="1"/>
    <col min="15100" max="15102" width="8.5" style="134" bestFit="1" customWidth="1"/>
    <col min="15103" max="15103" width="10" style="134" bestFit="1" customWidth="1"/>
    <col min="15104" max="15104" width="8.1640625" style="134" bestFit="1" customWidth="1"/>
    <col min="15105" max="15106" width="8.5" style="134" bestFit="1" customWidth="1"/>
    <col min="15107" max="15107" width="6" style="134" bestFit="1" customWidth="1"/>
    <col min="15108" max="15108" width="8.83203125" style="134" customWidth="1"/>
    <col min="15109" max="15109" width="8.5" style="134" bestFit="1" customWidth="1"/>
    <col min="15110" max="15110" width="7.1640625" style="134" bestFit="1" customWidth="1"/>
    <col min="15111" max="15111" width="4.5" style="134" bestFit="1" customWidth="1"/>
    <col min="15112" max="15112" width="5.5" style="134" bestFit="1" customWidth="1"/>
    <col min="15113" max="15115" width="6.1640625" style="134" bestFit="1" customWidth="1"/>
    <col min="15116" max="15116" width="7.1640625" style="134" bestFit="1" customWidth="1"/>
    <col min="15117" max="15126" width="8.83203125" style="134" customWidth="1"/>
    <col min="15127" max="15127" width="10" style="134" bestFit="1" customWidth="1"/>
    <col min="15128" max="15351" width="8.83203125" style="134" customWidth="1"/>
    <col min="15352" max="15352" width="7.83203125" style="134" customWidth="1"/>
    <col min="15353" max="15353" width="7.5" style="134" customWidth="1"/>
    <col min="15354" max="15354" width="9" style="134" customWidth="1"/>
    <col min="15355" max="15355" width="8.33203125" style="134" customWidth="1"/>
    <col min="15356" max="15358" width="8.5" style="134" bestFit="1" customWidth="1"/>
    <col min="15359" max="15359" width="10" style="134" bestFit="1" customWidth="1"/>
    <col min="15360" max="15360" width="8.1640625" style="134" bestFit="1" customWidth="1"/>
    <col min="15361" max="15362" width="8.5" style="134" bestFit="1" customWidth="1"/>
    <col min="15363" max="15363" width="6" style="134" bestFit="1" customWidth="1"/>
    <col min="15364" max="15364" width="8.83203125" style="134" customWidth="1"/>
    <col min="15365" max="15365" width="8.5" style="134" bestFit="1" customWidth="1"/>
    <col min="15366" max="15366" width="7.1640625" style="134" bestFit="1" customWidth="1"/>
    <col min="15367" max="15367" width="4.5" style="134" bestFit="1" customWidth="1"/>
    <col min="15368" max="15368" width="5.5" style="134" bestFit="1" customWidth="1"/>
    <col min="15369" max="15371" width="6.1640625" style="134" bestFit="1" customWidth="1"/>
    <col min="15372" max="15372" width="7.1640625" style="134" bestFit="1" customWidth="1"/>
    <col min="15373" max="15382" width="8.83203125" style="134" customWidth="1"/>
    <col min="15383" max="15383" width="10" style="134" bestFit="1" customWidth="1"/>
    <col min="15384" max="15607" width="8.83203125" style="134" customWidth="1"/>
    <col min="15608" max="15608" width="7.83203125" style="134" customWidth="1"/>
    <col min="15609" max="15609" width="7.5" style="134" customWidth="1"/>
    <col min="15610" max="15610" width="9" style="134" customWidth="1"/>
    <col min="15611" max="15611" width="8.33203125" style="134" customWidth="1"/>
    <col min="15612" max="15614" width="8.5" style="134" bestFit="1" customWidth="1"/>
    <col min="15615" max="15615" width="10" style="134" bestFit="1" customWidth="1"/>
    <col min="15616" max="15616" width="8.1640625" style="134" bestFit="1" customWidth="1"/>
    <col min="15617" max="15618" width="8.5" style="134" bestFit="1" customWidth="1"/>
    <col min="15619" max="15619" width="6" style="134" bestFit="1" customWidth="1"/>
    <col min="15620" max="15620" width="8.83203125" style="134" customWidth="1"/>
    <col min="15621" max="15621" width="8.5" style="134" bestFit="1" customWidth="1"/>
    <col min="15622" max="15622" width="7.1640625" style="134" bestFit="1" customWidth="1"/>
    <col min="15623" max="15623" width="4.5" style="134" bestFit="1" customWidth="1"/>
    <col min="15624" max="15624" width="5.5" style="134" bestFit="1" customWidth="1"/>
    <col min="15625" max="15627" width="6.1640625" style="134" bestFit="1" customWidth="1"/>
    <col min="15628" max="15628" width="7.1640625" style="134" bestFit="1" customWidth="1"/>
    <col min="15629" max="15638" width="8.83203125" style="134" customWidth="1"/>
    <col min="15639" max="15639" width="10" style="134" bestFit="1" customWidth="1"/>
    <col min="15640" max="15863" width="8.83203125" style="134" customWidth="1"/>
    <col min="15864" max="15864" width="7.83203125" style="134" customWidth="1"/>
    <col min="15865" max="15865" width="7.5" style="134" customWidth="1"/>
    <col min="15866" max="15866" width="9" style="134" customWidth="1"/>
    <col min="15867" max="15867" width="8.33203125" style="134" customWidth="1"/>
    <col min="15868" max="15870" width="8.5" style="134" bestFit="1" customWidth="1"/>
    <col min="15871" max="15871" width="10" style="134" bestFit="1" customWidth="1"/>
    <col min="15872" max="15872" width="8.1640625" style="134" bestFit="1" customWidth="1"/>
    <col min="15873" max="15874" width="8.5" style="134" bestFit="1" customWidth="1"/>
    <col min="15875" max="15875" width="6" style="134" bestFit="1" customWidth="1"/>
    <col min="15876" max="15876" width="8.83203125" style="134" customWidth="1"/>
    <col min="15877" max="15877" width="8.5" style="134" bestFit="1" customWidth="1"/>
    <col min="15878" max="15878" width="7.1640625" style="134" bestFit="1" customWidth="1"/>
    <col min="15879" max="15879" width="4.5" style="134" bestFit="1" customWidth="1"/>
    <col min="15880" max="15880" width="5.5" style="134" bestFit="1" customWidth="1"/>
    <col min="15881" max="15883" width="6.1640625" style="134" bestFit="1" customWidth="1"/>
    <col min="15884" max="15884" width="7.1640625" style="134" bestFit="1" customWidth="1"/>
    <col min="15885" max="15894" width="8.83203125" style="134" customWidth="1"/>
    <col min="15895" max="15895" width="10" style="134" bestFit="1" customWidth="1"/>
    <col min="15896" max="16119" width="8.83203125" style="134" customWidth="1"/>
    <col min="16120" max="16120" width="7.83203125" style="134" customWidth="1"/>
    <col min="16121" max="16121" width="7.5" style="134" customWidth="1"/>
    <col min="16122" max="16122" width="9" style="134" customWidth="1"/>
    <col min="16123" max="16123" width="8.33203125" style="134" customWidth="1"/>
    <col min="16124" max="16126" width="8.5" style="134" bestFit="1" customWidth="1"/>
    <col min="16127" max="16127" width="10" style="134" bestFit="1" customWidth="1"/>
    <col min="16128" max="16128" width="8.1640625" style="134" bestFit="1" customWidth="1"/>
    <col min="16129" max="16130" width="8.5" style="134" bestFit="1" customWidth="1"/>
    <col min="16131" max="16131" width="6" style="134" bestFit="1" customWidth="1"/>
    <col min="16132" max="16132" width="8.83203125" style="134" customWidth="1"/>
    <col min="16133" max="16133" width="8.5" style="134" bestFit="1" customWidth="1"/>
    <col min="16134" max="16134" width="7.1640625" style="134" bestFit="1" customWidth="1"/>
    <col min="16135" max="16135" width="4.5" style="134" bestFit="1" customWidth="1"/>
    <col min="16136" max="16136" width="5.5" style="134" bestFit="1" customWidth="1"/>
    <col min="16137" max="16139" width="6.1640625" style="134" bestFit="1" customWidth="1"/>
    <col min="16140" max="16140" width="7.1640625" style="134" bestFit="1" customWidth="1"/>
    <col min="16141" max="16150" width="8.83203125" style="134" customWidth="1"/>
    <col min="16151" max="16151" width="10" style="134" bestFit="1" customWidth="1"/>
    <col min="16152" max="16384" width="8.83203125" style="134" customWidth="1"/>
  </cols>
  <sheetData>
    <row r="1" spans="2:10" s="94" customFormat="1" ht="14" customHeight="1"/>
    <row r="2" spans="2:10" s="94" customFormat="1" ht="14" customHeight="1">
      <c r="B2" s="95" t="s">
        <v>445</v>
      </c>
      <c r="C2" s="96">
        <f>PI()/180</f>
        <v>1.7453292519943295E-2</v>
      </c>
      <c r="F2" s="97" t="s">
        <v>447</v>
      </c>
      <c r="G2" s="98">
        <f>Illumination!C21</f>
        <v>46.227382966153137</v>
      </c>
      <c r="H2" s="99"/>
      <c r="I2" s="100"/>
      <c r="J2" s="101"/>
    </row>
    <row r="3" spans="2:10" s="94" customFormat="1" ht="14" customHeight="1">
      <c r="B3" s="102" t="s">
        <v>448</v>
      </c>
      <c r="C3" s="103">
        <f>(Visibility!C10-2451545)/36525</f>
        <v>0.24362537075062318</v>
      </c>
      <c r="F3" s="104" t="s">
        <v>449</v>
      </c>
      <c r="G3" s="105">
        <v>200</v>
      </c>
      <c r="H3" s="105"/>
      <c r="I3" s="105" t="s">
        <v>450</v>
      </c>
      <c r="J3" s="106">
        <f>MOD(360-Illumination!G2+180,360)</f>
        <v>133.77261703384687</v>
      </c>
    </row>
    <row r="4" spans="2:10" s="94" customFormat="1" ht="14" customHeight="1">
      <c r="B4" s="102" t="s">
        <v>451</v>
      </c>
      <c r="C4" s="103">
        <f>MOD(297.8502042+445267.1115168*$C$3-0.00163*POWER($C$3,2)+(POWER($C$3,3)/545868)-(POWER($C$3,4)/113065000),360)</f>
        <v>56.215233820024878</v>
      </c>
      <c r="F4" s="104" t="s">
        <v>452</v>
      </c>
      <c r="G4" s="105">
        <f>2/G3</f>
        <v>0.01</v>
      </c>
      <c r="H4" s="105"/>
      <c r="I4" s="105" t="s">
        <v>453</v>
      </c>
      <c r="J4" s="107">
        <f>COS(RADIANS(J3))</f>
        <v>-0.6917981490826689</v>
      </c>
    </row>
    <row r="5" spans="2:10" s="94" customFormat="1" ht="14" customHeight="1">
      <c r="B5" s="102" t="s">
        <v>454</v>
      </c>
      <c r="C5" s="103">
        <f>MOD(357.5291092+35999.0502909*$C$3-0.0001536*POWER($C$3,2)+(POWER($C$3,3)/24490000),360)</f>
        <v>127.81107387476368</v>
      </c>
      <c r="F5" s="104"/>
      <c r="G5" s="105"/>
      <c r="H5" s="105"/>
      <c r="I5" s="105" t="s">
        <v>455</v>
      </c>
      <c r="J5" s="108">
        <f>ABS(J4)</f>
        <v>0.6917981490826689</v>
      </c>
    </row>
    <row r="6" spans="2:10" s="94" customFormat="1" ht="14" customHeight="1">
      <c r="B6" s="102" t="s">
        <v>456</v>
      </c>
      <c r="C6" s="103">
        <f>MOD(134.9634114+477198.8676313*$C$3+0.008997*POWER($C$3,2)+(POWER($C$3,3)/69699)-(POWER($C$3,4)/14712000),360)</f>
        <v>112.71499406207295</v>
      </c>
      <c r="F6" s="109"/>
      <c r="G6" s="110"/>
      <c r="H6" s="110"/>
      <c r="I6" s="110" t="s">
        <v>457</v>
      </c>
      <c r="J6" s="111">
        <v>1</v>
      </c>
    </row>
    <row r="7" spans="2:10" s="94" customFormat="1" ht="14" customHeight="1">
      <c r="B7" s="102" t="s">
        <v>458</v>
      </c>
      <c r="C7" s="103">
        <f>180-C4-6.289*SIN($C$2*C6)+2.1*SIN($C$2*C5)-1.274*SIN($C$2*(2*C4-C6))-0.658*SIN($C$2*2*C4)-0.214*SIN($C$2*2*C6)-0.11*SIN($C$2*C4)</f>
        <v>119.10177252052557</v>
      </c>
      <c r="F7" s="104"/>
      <c r="G7" s="105"/>
      <c r="H7" s="105"/>
      <c r="I7" s="105"/>
      <c r="J7" s="108"/>
    </row>
    <row r="8" spans="2:10" s="94" customFormat="1" ht="14" customHeight="1">
      <c r="B8" s="112" t="s">
        <v>459</v>
      </c>
      <c r="C8" s="113">
        <f>(1+COS($C$2*C7))/2</f>
        <v>0.2568187942564063</v>
      </c>
      <c r="F8" s="114" t="s">
        <v>436</v>
      </c>
      <c r="G8" s="115" t="s">
        <v>460</v>
      </c>
      <c r="H8" s="115" t="s">
        <v>461</v>
      </c>
      <c r="I8" s="115" t="s">
        <v>462</v>
      </c>
      <c r="J8" s="116" t="s">
        <v>463</v>
      </c>
    </row>
    <row r="9" spans="2:10" s="94" customFormat="1" ht="14" customHeight="1">
      <c r="F9" s="117">
        <v>-1</v>
      </c>
      <c r="G9" s="118">
        <f t="shared" ref="G9:G72" si="0">IFERROR(IF(SQRT(1-(F9*F9)/($J$5*$J$5))&lt;0.05,0,SQRT(1-(F9*F9)/($J$5*$J$5))),0)</f>
        <v>0</v>
      </c>
      <c r="H9" s="118">
        <f t="shared" ref="H9:H72" si="1">CHOOSE(MATCH($J$3,degrees),IF(F9&lt;0,IFERROR(1-G9,1),0),0,0,IF(F9&gt;0,IFERROR(1-G9,1),0))</f>
        <v>0</v>
      </c>
      <c r="I9" s="118">
        <f t="shared" ref="I9:I72" si="2">CHOOSE(MATCH($J$3,degrees),IF(F9&lt;0,2*G9,2),IF(F9&lt;0,0,1-G9),IF(F9&gt;0,0,1-G9),IF(F9&gt;0,2*G9,2))</f>
        <v>0</v>
      </c>
      <c r="J9" s="107">
        <f t="shared" ref="J9:J72" si="3">CHOOSE(MATCH($J$3,degrees),IF(F9&lt;0,G9+1,2),IF(F9&lt;0,2,2*G9),IF(F9&gt;0,2,2*G9),IF(F9&gt;0,G9+1,2))</f>
        <v>2</v>
      </c>
    </row>
    <row r="10" spans="2:10" s="94" customFormat="1" ht="14" customHeight="1">
      <c r="F10" s="117">
        <f t="shared" ref="F10:F73" si="4">F9+$G$4</f>
        <v>-0.99</v>
      </c>
      <c r="G10" s="118">
        <f t="shared" si="0"/>
        <v>0</v>
      </c>
      <c r="H10" s="118">
        <f t="shared" si="1"/>
        <v>0</v>
      </c>
      <c r="I10" s="118">
        <f t="shared" si="2"/>
        <v>0</v>
      </c>
      <c r="J10" s="107">
        <f t="shared" si="3"/>
        <v>2</v>
      </c>
    </row>
    <row r="11" spans="2:10" s="94" customFormat="1" ht="16" customHeight="1">
      <c r="F11" s="117">
        <f t="shared" si="4"/>
        <v>-0.98</v>
      </c>
      <c r="G11" s="118">
        <f t="shared" si="0"/>
        <v>0</v>
      </c>
      <c r="H11" s="118">
        <f t="shared" si="1"/>
        <v>0</v>
      </c>
      <c r="I11" s="118">
        <f t="shared" si="2"/>
        <v>0</v>
      </c>
      <c r="J11" s="107">
        <f t="shared" si="3"/>
        <v>2</v>
      </c>
    </row>
    <row r="12" spans="2:10" s="94" customFormat="1" ht="16" customHeight="1">
      <c r="F12" s="117">
        <f t="shared" si="4"/>
        <v>-0.97</v>
      </c>
      <c r="G12" s="118">
        <f t="shared" si="0"/>
        <v>0</v>
      </c>
      <c r="H12" s="118">
        <f t="shared" si="1"/>
        <v>0</v>
      </c>
      <c r="I12" s="118">
        <f t="shared" si="2"/>
        <v>0</v>
      </c>
      <c r="J12" s="107">
        <f t="shared" si="3"/>
        <v>2</v>
      </c>
    </row>
    <row r="13" spans="2:10" s="94" customFormat="1" ht="16" customHeight="1">
      <c r="F13" s="117">
        <f t="shared" si="4"/>
        <v>-0.96</v>
      </c>
      <c r="G13" s="118">
        <f t="shared" si="0"/>
        <v>0</v>
      </c>
      <c r="H13" s="118">
        <f t="shared" si="1"/>
        <v>0</v>
      </c>
      <c r="I13" s="118">
        <f t="shared" si="2"/>
        <v>0</v>
      </c>
      <c r="J13" s="107">
        <f t="shared" si="3"/>
        <v>2</v>
      </c>
    </row>
    <row r="14" spans="2:10" s="94" customFormat="1" ht="16" customHeight="1">
      <c r="E14" s="119"/>
      <c r="F14" s="117">
        <f t="shared" si="4"/>
        <v>-0.95</v>
      </c>
      <c r="G14" s="118">
        <f t="shared" si="0"/>
        <v>0</v>
      </c>
      <c r="H14" s="118">
        <f t="shared" si="1"/>
        <v>0</v>
      </c>
      <c r="I14" s="118">
        <f t="shared" si="2"/>
        <v>0</v>
      </c>
      <c r="J14" s="107">
        <f t="shared" si="3"/>
        <v>2</v>
      </c>
    </row>
    <row r="15" spans="2:10" s="94" customFormat="1" ht="16" customHeight="1">
      <c r="E15" s="119"/>
      <c r="F15" s="117">
        <f t="shared" si="4"/>
        <v>-0.94</v>
      </c>
      <c r="G15" s="118">
        <f t="shared" si="0"/>
        <v>0</v>
      </c>
      <c r="H15" s="118">
        <f t="shared" si="1"/>
        <v>0</v>
      </c>
      <c r="I15" s="118">
        <f t="shared" si="2"/>
        <v>0</v>
      </c>
      <c r="J15" s="107">
        <f t="shared" si="3"/>
        <v>2</v>
      </c>
    </row>
    <row r="16" spans="2:10" s="94" customFormat="1" ht="16" customHeight="1">
      <c r="E16" s="119"/>
      <c r="F16" s="117">
        <f t="shared" si="4"/>
        <v>-0.92999999999999994</v>
      </c>
      <c r="G16" s="118">
        <f t="shared" si="0"/>
        <v>0</v>
      </c>
      <c r="H16" s="118">
        <f t="shared" si="1"/>
        <v>0</v>
      </c>
      <c r="I16" s="118">
        <f t="shared" si="2"/>
        <v>0</v>
      </c>
      <c r="J16" s="107">
        <f t="shared" si="3"/>
        <v>2</v>
      </c>
    </row>
    <row r="17" spans="2:10" s="94" customFormat="1" ht="16" customHeight="1">
      <c r="E17" s="119"/>
      <c r="F17" s="117">
        <f t="shared" si="4"/>
        <v>-0.91999999999999993</v>
      </c>
      <c r="G17" s="118">
        <f t="shared" si="0"/>
        <v>0</v>
      </c>
      <c r="H17" s="118">
        <f t="shared" si="1"/>
        <v>0</v>
      </c>
      <c r="I17" s="118">
        <f t="shared" si="2"/>
        <v>0</v>
      </c>
      <c r="J17" s="107">
        <f t="shared" si="3"/>
        <v>2</v>
      </c>
    </row>
    <row r="18" spans="2:10" s="94" customFormat="1" ht="16" customHeight="1">
      <c r="E18" s="119"/>
      <c r="F18" s="117">
        <f t="shared" si="4"/>
        <v>-0.90999999999999992</v>
      </c>
      <c r="G18" s="118">
        <f t="shared" si="0"/>
        <v>0</v>
      </c>
      <c r="H18" s="118">
        <f t="shared" si="1"/>
        <v>0</v>
      </c>
      <c r="I18" s="118">
        <f t="shared" si="2"/>
        <v>0</v>
      </c>
      <c r="J18" s="107">
        <f t="shared" si="3"/>
        <v>2</v>
      </c>
    </row>
    <row r="19" spans="2:10" s="94" customFormat="1" ht="16" customHeight="1">
      <c r="B19" s="120" t="s">
        <v>464</v>
      </c>
      <c r="C19" s="121">
        <v>2460438.64</v>
      </c>
      <c r="D19" s="94" t="s">
        <v>465</v>
      </c>
      <c r="E19" s="119"/>
      <c r="F19" s="117">
        <f t="shared" si="4"/>
        <v>-0.89999999999999991</v>
      </c>
      <c r="G19" s="118">
        <f t="shared" si="0"/>
        <v>0</v>
      </c>
      <c r="H19" s="118">
        <f t="shared" si="1"/>
        <v>0</v>
      </c>
      <c r="I19" s="118">
        <f t="shared" si="2"/>
        <v>0</v>
      </c>
      <c r="J19" s="107">
        <f t="shared" si="3"/>
        <v>2</v>
      </c>
    </row>
    <row r="20" spans="2:10" s="94" customFormat="1" ht="16" customHeight="1">
      <c r="B20" s="122" t="s">
        <v>466</v>
      </c>
      <c r="C20" s="123">
        <f>((Visibility!C10-C19)/29.530588853)-INT((Visibility!C10-C19)/29.530588853)</f>
        <v>0.16175318041095552</v>
      </c>
      <c r="D20" s="94" t="str">
        <f>IF(C20&lt;0.5,"(before FM)","(after FM)")</f>
        <v>(before FM)</v>
      </c>
      <c r="E20" s="119"/>
      <c r="F20" s="117">
        <f t="shared" si="4"/>
        <v>-0.8899999999999999</v>
      </c>
      <c r="G20" s="118">
        <f t="shared" si="0"/>
        <v>0</v>
      </c>
      <c r="H20" s="118">
        <f t="shared" si="1"/>
        <v>0</v>
      </c>
      <c r="I20" s="118">
        <f t="shared" si="2"/>
        <v>0</v>
      </c>
      <c r="J20" s="107">
        <f t="shared" si="3"/>
        <v>2</v>
      </c>
    </row>
    <row r="21" spans="2:10" s="94" customFormat="1" ht="16" customHeight="1">
      <c r="B21" s="112" t="s">
        <v>467</v>
      </c>
      <c r="C21" s="124">
        <f>IF(C20&lt;0.5,180*C8,360-180*C8)</f>
        <v>46.227382966153137</v>
      </c>
      <c r="E21" s="119"/>
      <c r="F21" s="117">
        <f t="shared" si="4"/>
        <v>-0.87999999999999989</v>
      </c>
      <c r="G21" s="118">
        <f t="shared" si="0"/>
        <v>0</v>
      </c>
      <c r="H21" s="118">
        <f t="shared" si="1"/>
        <v>0</v>
      </c>
      <c r="I21" s="118">
        <f t="shared" si="2"/>
        <v>0</v>
      </c>
      <c r="J21" s="107">
        <f t="shared" si="3"/>
        <v>2</v>
      </c>
    </row>
    <row r="22" spans="2:10" s="94" customFormat="1" ht="16" customHeight="1">
      <c r="E22" s="119"/>
      <c r="F22" s="117">
        <f t="shared" si="4"/>
        <v>-0.86999999999999988</v>
      </c>
      <c r="G22" s="118">
        <f t="shared" si="0"/>
        <v>0</v>
      </c>
      <c r="H22" s="118">
        <f t="shared" si="1"/>
        <v>0</v>
      </c>
      <c r="I22" s="118">
        <f t="shared" si="2"/>
        <v>0</v>
      </c>
      <c r="J22" s="107">
        <f t="shared" si="3"/>
        <v>2</v>
      </c>
    </row>
    <row r="23" spans="2:10" s="94" customFormat="1" ht="16" customHeight="1">
      <c r="B23" s="125">
        <v>0</v>
      </c>
      <c r="C23" s="126">
        <v>0</v>
      </c>
      <c r="D23" s="127" t="s">
        <v>468</v>
      </c>
      <c r="F23" s="117">
        <f t="shared" si="4"/>
        <v>-0.85999999999999988</v>
      </c>
      <c r="G23" s="118">
        <f t="shared" si="0"/>
        <v>0</v>
      </c>
      <c r="H23" s="118">
        <f t="shared" si="1"/>
        <v>0</v>
      </c>
      <c r="I23" s="118">
        <f t="shared" si="2"/>
        <v>0</v>
      </c>
      <c r="J23" s="107">
        <f t="shared" si="3"/>
        <v>2</v>
      </c>
    </row>
    <row r="24" spans="2:10" s="94" customFormat="1" ht="16" customHeight="1">
      <c r="B24" s="128">
        <f t="shared" ref="B24:B31" si="5">B23+45</f>
        <v>45</v>
      </c>
      <c r="C24" s="129">
        <f t="shared" ref="C24:C31" si="6">B24-22.5</f>
        <v>22.5</v>
      </c>
      <c r="D24" s="130" t="s">
        <v>469</v>
      </c>
      <c r="F24" s="117">
        <f t="shared" si="4"/>
        <v>-0.84999999999999987</v>
      </c>
      <c r="G24" s="118">
        <f t="shared" si="0"/>
        <v>0</v>
      </c>
      <c r="H24" s="118">
        <f t="shared" si="1"/>
        <v>0</v>
      </c>
      <c r="I24" s="118">
        <f t="shared" si="2"/>
        <v>0</v>
      </c>
      <c r="J24" s="107">
        <f t="shared" si="3"/>
        <v>2</v>
      </c>
    </row>
    <row r="25" spans="2:10" s="94" customFormat="1" ht="16" customHeight="1">
      <c r="B25" s="128">
        <f t="shared" si="5"/>
        <v>90</v>
      </c>
      <c r="C25" s="129">
        <f t="shared" si="6"/>
        <v>67.5</v>
      </c>
      <c r="D25" s="130" t="s">
        <v>470</v>
      </c>
      <c r="F25" s="117">
        <f t="shared" si="4"/>
        <v>-0.83999999999999986</v>
      </c>
      <c r="G25" s="118">
        <f t="shared" si="0"/>
        <v>0</v>
      </c>
      <c r="H25" s="118">
        <f t="shared" si="1"/>
        <v>0</v>
      </c>
      <c r="I25" s="118">
        <f t="shared" si="2"/>
        <v>0</v>
      </c>
      <c r="J25" s="107">
        <f t="shared" si="3"/>
        <v>2</v>
      </c>
    </row>
    <row r="26" spans="2:10" s="94" customFormat="1" ht="16" customHeight="1">
      <c r="B26" s="128">
        <f t="shared" si="5"/>
        <v>135</v>
      </c>
      <c r="C26" s="129">
        <f t="shared" si="6"/>
        <v>112.5</v>
      </c>
      <c r="D26" s="130" t="s">
        <v>471</v>
      </c>
      <c r="F26" s="117">
        <f t="shared" si="4"/>
        <v>-0.82999999999999985</v>
      </c>
      <c r="G26" s="118">
        <f t="shared" si="0"/>
        <v>0</v>
      </c>
      <c r="H26" s="118">
        <f t="shared" si="1"/>
        <v>0</v>
      </c>
      <c r="I26" s="118">
        <f t="shared" si="2"/>
        <v>0</v>
      </c>
      <c r="J26" s="107">
        <f t="shared" si="3"/>
        <v>2</v>
      </c>
    </row>
    <row r="27" spans="2:10" s="94" customFormat="1" ht="16" customHeight="1">
      <c r="B27" s="128">
        <f t="shared" si="5"/>
        <v>180</v>
      </c>
      <c r="C27" s="129">
        <f t="shared" si="6"/>
        <v>157.5</v>
      </c>
      <c r="D27" s="130" t="s">
        <v>472</v>
      </c>
      <c r="F27" s="117">
        <f t="shared" si="4"/>
        <v>-0.81999999999999984</v>
      </c>
      <c r="G27" s="118">
        <f t="shared" si="0"/>
        <v>0</v>
      </c>
      <c r="H27" s="118">
        <f t="shared" si="1"/>
        <v>0</v>
      </c>
      <c r="I27" s="118">
        <f t="shared" si="2"/>
        <v>0</v>
      </c>
      <c r="J27" s="107">
        <f t="shared" si="3"/>
        <v>2</v>
      </c>
    </row>
    <row r="28" spans="2:10" s="94" customFormat="1" ht="16" customHeight="1">
      <c r="B28" s="128">
        <f t="shared" si="5"/>
        <v>225</v>
      </c>
      <c r="C28" s="129">
        <f t="shared" si="6"/>
        <v>202.5</v>
      </c>
      <c r="D28" s="130" t="s">
        <v>473</v>
      </c>
      <c r="F28" s="117">
        <f t="shared" si="4"/>
        <v>-0.80999999999999983</v>
      </c>
      <c r="G28" s="118">
        <f t="shared" si="0"/>
        <v>0</v>
      </c>
      <c r="H28" s="118">
        <f t="shared" si="1"/>
        <v>0</v>
      </c>
      <c r="I28" s="118">
        <f t="shared" si="2"/>
        <v>0</v>
      </c>
      <c r="J28" s="107">
        <f t="shared" si="3"/>
        <v>2</v>
      </c>
    </row>
    <row r="29" spans="2:10" s="94" customFormat="1" ht="16" customHeight="1">
      <c r="B29" s="128">
        <f t="shared" si="5"/>
        <v>270</v>
      </c>
      <c r="C29" s="129">
        <f t="shared" si="6"/>
        <v>247.5</v>
      </c>
      <c r="D29" s="130" t="s">
        <v>474</v>
      </c>
      <c r="F29" s="117">
        <f t="shared" si="4"/>
        <v>-0.79999999999999982</v>
      </c>
      <c r="G29" s="118">
        <f t="shared" si="0"/>
        <v>0</v>
      </c>
      <c r="H29" s="118">
        <f t="shared" si="1"/>
        <v>0</v>
      </c>
      <c r="I29" s="118">
        <f t="shared" si="2"/>
        <v>0</v>
      </c>
      <c r="J29" s="107">
        <f t="shared" si="3"/>
        <v>2</v>
      </c>
    </row>
    <row r="30" spans="2:10" s="94" customFormat="1" ht="16" customHeight="1">
      <c r="B30" s="128">
        <f t="shared" si="5"/>
        <v>315</v>
      </c>
      <c r="C30" s="129">
        <f t="shared" si="6"/>
        <v>292.5</v>
      </c>
      <c r="D30" s="130" t="s">
        <v>475</v>
      </c>
      <c r="F30" s="117">
        <f t="shared" si="4"/>
        <v>-0.78999999999999981</v>
      </c>
      <c r="G30" s="118">
        <f t="shared" si="0"/>
        <v>0</v>
      </c>
      <c r="H30" s="118">
        <f t="shared" si="1"/>
        <v>0</v>
      </c>
      <c r="I30" s="118">
        <f t="shared" si="2"/>
        <v>0</v>
      </c>
      <c r="J30" s="107">
        <f t="shared" si="3"/>
        <v>2</v>
      </c>
    </row>
    <row r="31" spans="2:10" s="94" customFormat="1" ht="16" customHeight="1">
      <c r="B31" s="131">
        <f t="shared" si="5"/>
        <v>360</v>
      </c>
      <c r="C31" s="132">
        <f t="shared" si="6"/>
        <v>337.5</v>
      </c>
      <c r="D31" s="133" t="s">
        <v>468</v>
      </c>
      <c r="F31" s="117">
        <f t="shared" si="4"/>
        <v>-0.7799999999999998</v>
      </c>
      <c r="G31" s="118">
        <f t="shared" si="0"/>
        <v>0</v>
      </c>
      <c r="H31" s="118">
        <f t="shared" si="1"/>
        <v>0</v>
      </c>
      <c r="I31" s="118">
        <f t="shared" si="2"/>
        <v>0</v>
      </c>
      <c r="J31" s="107">
        <f t="shared" si="3"/>
        <v>2</v>
      </c>
    </row>
    <row r="32" spans="2:10" s="94" customFormat="1" ht="16" customHeight="1">
      <c r="F32" s="117">
        <f t="shared" si="4"/>
        <v>-0.7699999999999998</v>
      </c>
      <c r="G32" s="118">
        <f t="shared" si="0"/>
        <v>0</v>
      </c>
      <c r="H32" s="118">
        <f t="shared" si="1"/>
        <v>0</v>
      </c>
      <c r="I32" s="118">
        <f t="shared" si="2"/>
        <v>0</v>
      </c>
      <c r="J32" s="107">
        <f t="shared" si="3"/>
        <v>2</v>
      </c>
    </row>
    <row r="33" spans="6:10" s="94" customFormat="1" ht="16" customHeight="1">
      <c r="F33" s="117">
        <f t="shared" si="4"/>
        <v>-0.75999999999999979</v>
      </c>
      <c r="G33" s="118">
        <f t="shared" si="0"/>
        <v>0</v>
      </c>
      <c r="H33" s="118">
        <f t="shared" si="1"/>
        <v>0</v>
      </c>
      <c r="I33" s="118">
        <f t="shared" si="2"/>
        <v>0</v>
      </c>
      <c r="J33" s="107">
        <f t="shared" si="3"/>
        <v>2</v>
      </c>
    </row>
    <row r="34" spans="6:10" s="94" customFormat="1" ht="16" customHeight="1">
      <c r="F34" s="117">
        <f t="shared" si="4"/>
        <v>-0.74999999999999978</v>
      </c>
      <c r="G34" s="118">
        <f t="shared" si="0"/>
        <v>0</v>
      </c>
      <c r="H34" s="118">
        <f t="shared" si="1"/>
        <v>0</v>
      </c>
      <c r="I34" s="118">
        <f t="shared" si="2"/>
        <v>0</v>
      </c>
      <c r="J34" s="107">
        <f t="shared" si="3"/>
        <v>2</v>
      </c>
    </row>
    <row r="35" spans="6:10" s="94" customFormat="1" ht="16" customHeight="1">
      <c r="F35" s="117">
        <f t="shared" si="4"/>
        <v>-0.73999999999999977</v>
      </c>
      <c r="G35" s="118">
        <f t="shared" si="0"/>
        <v>0</v>
      </c>
      <c r="H35" s="118">
        <f t="shared" si="1"/>
        <v>0</v>
      </c>
      <c r="I35" s="118">
        <f t="shared" si="2"/>
        <v>0</v>
      </c>
      <c r="J35" s="107">
        <f t="shared" si="3"/>
        <v>2</v>
      </c>
    </row>
    <row r="36" spans="6:10" s="94" customFormat="1" ht="16" customHeight="1">
      <c r="F36" s="117">
        <f t="shared" si="4"/>
        <v>-0.72999999999999976</v>
      </c>
      <c r="G36" s="118">
        <f t="shared" si="0"/>
        <v>0</v>
      </c>
      <c r="H36" s="118">
        <f t="shared" si="1"/>
        <v>0</v>
      </c>
      <c r="I36" s="118">
        <f t="shared" si="2"/>
        <v>0</v>
      </c>
      <c r="J36" s="107">
        <f t="shared" si="3"/>
        <v>2</v>
      </c>
    </row>
    <row r="37" spans="6:10" s="94" customFormat="1" ht="16" customHeight="1">
      <c r="F37" s="117">
        <f t="shared" si="4"/>
        <v>-0.71999999999999975</v>
      </c>
      <c r="G37" s="118">
        <f t="shared" si="0"/>
        <v>0</v>
      </c>
      <c r="H37" s="118">
        <f t="shared" si="1"/>
        <v>0</v>
      </c>
      <c r="I37" s="118">
        <f t="shared" si="2"/>
        <v>0</v>
      </c>
      <c r="J37" s="107">
        <f t="shared" si="3"/>
        <v>2</v>
      </c>
    </row>
    <row r="38" spans="6:10" s="94" customFormat="1" ht="16" customHeight="1">
      <c r="F38" s="117">
        <f t="shared" si="4"/>
        <v>-0.70999999999999974</v>
      </c>
      <c r="G38" s="118">
        <f t="shared" si="0"/>
        <v>0</v>
      </c>
      <c r="H38" s="118">
        <f t="shared" si="1"/>
        <v>0</v>
      </c>
      <c r="I38" s="118">
        <f t="shared" si="2"/>
        <v>0</v>
      </c>
      <c r="J38" s="107">
        <f t="shared" si="3"/>
        <v>2</v>
      </c>
    </row>
    <row r="39" spans="6:10" s="94" customFormat="1" ht="16" customHeight="1">
      <c r="F39" s="117">
        <f t="shared" si="4"/>
        <v>-0.69999999999999973</v>
      </c>
      <c r="G39" s="118">
        <f t="shared" si="0"/>
        <v>0</v>
      </c>
      <c r="H39" s="118">
        <f t="shared" si="1"/>
        <v>0</v>
      </c>
      <c r="I39" s="118">
        <f t="shared" si="2"/>
        <v>0</v>
      </c>
      <c r="J39" s="107">
        <f t="shared" si="3"/>
        <v>2</v>
      </c>
    </row>
    <row r="40" spans="6:10" s="94" customFormat="1" ht="16" customHeight="1">
      <c r="F40" s="117">
        <f t="shared" si="4"/>
        <v>-0.68999999999999972</v>
      </c>
      <c r="G40" s="118">
        <f t="shared" si="0"/>
        <v>7.2053611816357263E-2</v>
      </c>
      <c r="H40" s="118">
        <f t="shared" si="1"/>
        <v>0</v>
      </c>
      <c r="I40" s="118">
        <f t="shared" si="2"/>
        <v>0</v>
      </c>
      <c r="J40" s="107">
        <f t="shared" si="3"/>
        <v>2</v>
      </c>
    </row>
    <row r="41" spans="6:10" s="94" customFormat="1" ht="16" customHeight="1">
      <c r="F41" s="117">
        <f t="shared" si="4"/>
        <v>-0.67999999999999972</v>
      </c>
      <c r="G41" s="118">
        <f t="shared" si="0"/>
        <v>0.18389615564131587</v>
      </c>
      <c r="H41" s="118">
        <f t="shared" si="1"/>
        <v>0</v>
      </c>
      <c r="I41" s="118">
        <f t="shared" si="2"/>
        <v>0</v>
      </c>
      <c r="J41" s="107">
        <f t="shared" si="3"/>
        <v>2</v>
      </c>
    </row>
    <row r="42" spans="6:10" s="94" customFormat="1" ht="16" customHeight="1">
      <c r="F42" s="117">
        <f t="shared" si="4"/>
        <v>-0.66999999999999971</v>
      </c>
      <c r="G42" s="118">
        <f t="shared" si="0"/>
        <v>0.24905013604973375</v>
      </c>
      <c r="H42" s="118">
        <f t="shared" si="1"/>
        <v>0</v>
      </c>
      <c r="I42" s="118">
        <f t="shared" si="2"/>
        <v>0</v>
      </c>
      <c r="J42" s="107">
        <f t="shared" si="3"/>
        <v>2</v>
      </c>
    </row>
    <row r="43" spans="6:10" s="94" customFormat="1" ht="16" customHeight="1">
      <c r="F43" s="117">
        <f t="shared" si="4"/>
        <v>-0.6599999999999997</v>
      </c>
      <c r="G43" s="118">
        <f t="shared" si="0"/>
        <v>0.29969358617759906</v>
      </c>
      <c r="H43" s="118">
        <f t="shared" si="1"/>
        <v>0</v>
      </c>
      <c r="I43" s="118">
        <f t="shared" si="2"/>
        <v>0</v>
      </c>
      <c r="J43" s="107">
        <f t="shared" si="3"/>
        <v>2</v>
      </c>
    </row>
    <row r="44" spans="6:10" s="94" customFormat="1" ht="16" customHeight="1">
      <c r="F44" s="117">
        <f t="shared" si="4"/>
        <v>-0.64999999999999969</v>
      </c>
      <c r="G44" s="118">
        <f t="shared" si="0"/>
        <v>0.34232823729346701</v>
      </c>
      <c r="H44" s="118">
        <f t="shared" si="1"/>
        <v>0</v>
      </c>
      <c r="I44" s="118">
        <f t="shared" si="2"/>
        <v>0</v>
      </c>
      <c r="J44" s="107">
        <f t="shared" si="3"/>
        <v>2</v>
      </c>
    </row>
    <row r="45" spans="6:10" s="94" customFormat="1" ht="16" customHeight="1">
      <c r="F45" s="117">
        <f t="shared" si="4"/>
        <v>-0.63999999999999968</v>
      </c>
      <c r="G45" s="118">
        <f t="shared" si="0"/>
        <v>0.37966182271039273</v>
      </c>
      <c r="H45" s="118">
        <f t="shared" si="1"/>
        <v>0</v>
      </c>
      <c r="I45" s="118">
        <f t="shared" si="2"/>
        <v>0</v>
      </c>
      <c r="J45" s="107">
        <f t="shared" si="3"/>
        <v>2</v>
      </c>
    </row>
    <row r="46" spans="6:10" s="94" customFormat="1" ht="16" customHeight="1">
      <c r="F46" s="117">
        <f t="shared" si="4"/>
        <v>-0.62999999999999967</v>
      </c>
      <c r="G46" s="118">
        <f t="shared" si="0"/>
        <v>0.41313397139664776</v>
      </c>
      <c r="H46" s="118">
        <f t="shared" si="1"/>
        <v>0</v>
      </c>
      <c r="I46" s="118">
        <f t="shared" si="2"/>
        <v>0</v>
      </c>
      <c r="J46" s="107">
        <f t="shared" si="3"/>
        <v>2</v>
      </c>
    </row>
    <row r="47" spans="6:10" s="94" customFormat="1" ht="16" customHeight="1">
      <c r="F47" s="117">
        <f t="shared" si="4"/>
        <v>-0.61999999999999966</v>
      </c>
      <c r="G47" s="118">
        <f t="shared" si="0"/>
        <v>0.44361960973678555</v>
      </c>
      <c r="H47" s="118">
        <f t="shared" si="1"/>
        <v>0</v>
      </c>
      <c r="I47" s="118">
        <f t="shared" si="2"/>
        <v>0</v>
      </c>
      <c r="J47" s="107">
        <f t="shared" si="3"/>
        <v>2</v>
      </c>
    </row>
    <row r="48" spans="6:10" s="94" customFormat="1" ht="16" customHeight="1">
      <c r="F48" s="117">
        <f t="shared" si="4"/>
        <v>-0.60999999999999965</v>
      </c>
      <c r="G48" s="118">
        <f t="shared" si="0"/>
        <v>0.47169814403592142</v>
      </c>
      <c r="H48" s="118">
        <f t="shared" si="1"/>
        <v>0</v>
      </c>
      <c r="I48" s="118">
        <f t="shared" si="2"/>
        <v>0</v>
      </c>
      <c r="J48" s="107">
        <f t="shared" si="3"/>
        <v>2</v>
      </c>
    </row>
    <row r="49" spans="6:10" s="94" customFormat="1" ht="16" customHeight="1">
      <c r="F49" s="117">
        <f t="shared" si="4"/>
        <v>-0.59999999999999964</v>
      </c>
      <c r="G49" s="118">
        <f t="shared" si="0"/>
        <v>0.49777707977940383</v>
      </c>
      <c r="H49" s="118">
        <f t="shared" si="1"/>
        <v>0</v>
      </c>
      <c r="I49" s="118">
        <f t="shared" si="2"/>
        <v>0</v>
      </c>
      <c r="J49" s="107">
        <f t="shared" si="3"/>
        <v>2</v>
      </c>
    </row>
    <row r="50" spans="6:10" s="94" customFormat="1" ht="16" customHeight="1">
      <c r="F50" s="117">
        <f t="shared" si="4"/>
        <v>-0.58999999999999964</v>
      </c>
      <c r="G50" s="118">
        <f t="shared" si="0"/>
        <v>0.52215611108494386</v>
      </c>
      <c r="H50" s="118">
        <f t="shared" si="1"/>
        <v>0</v>
      </c>
      <c r="I50" s="118">
        <f t="shared" si="2"/>
        <v>0</v>
      </c>
      <c r="J50" s="107">
        <f t="shared" si="3"/>
        <v>2</v>
      </c>
    </row>
    <row r="51" spans="6:10" s="94" customFormat="1" ht="16" customHeight="1">
      <c r="F51" s="117">
        <f t="shared" si="4"/>
        <v>-0.57999999999999963</v>
      </c>
      <c r="G51" s="118">
        <f t="shared" si="0"/>
        <v>0.54506338040255153</v>
      </c>
      <c r="H51" s="118">
        <f t="shared" si="1"/>
        <v>0</v>
      </c>
      <c r="I51" s="118">
        <f t="shared" si="2"/>
        <v>0</v>
      </c>
      <c r="J51" s="107">
        <f t="shared" si="3"/>
        <v>2</v>
      </c>
    </row>
    <row r="52" spans="6:10" s="94" customFormat="1" ht="16" customHeight="1">
      <c r="F52" s="117">
        <f t="shared" si="4"/>
        <v>-0.56999999999999962</v>
      </c>
      <c r="G52" s="118">
        <f t="shared" si="0"/>
        <v>0.56667739860631838</v>
      </c>
      <c r="H52" s="118">
        <f t="shared" si="1"/>
        <v>0</v>
      </c>
      <c r="I52" s="118">
        <f t="shared" si="2"/>
        <v>0</v>
      </c>
      <c r="J52" s="107">
        <f t="shared" si="3"/>
        <v>2</v>
      </c>
    </row>
    <row r="53" spans="6:10" s="94" customFormat="1" ht="16" customHeight="1">
      <c r="F53" s="117">
        <f t="shared" si="4"/>
        <v>-0.55999999999999961</v>
      </c>
      <c r="G53" s="118">
        <f t="shared" si="0"/>
        <v>0.58714100576390937</v>
      </c>
      <c r="H53" s="118">
        <f t="shared" si="1"/>
        <v>0</v>
      </c>
      <c r="I53" s="118">
        <f t="shared" si="2"/>
        <v>0</v>
      </c>
      <c r="J53" s="107">
        <f t="shared" si="3"/>
        <v>2</v>
      </c>
    </row>
    <row r="54" spans="6:10" s="94" customFormat="1" ht="16" customHeight="1">
      <c r="F54" s="117">
        <f t="shared" si="4"/>
        <v>-0.5499999999999996</v>
      </c>
      <c r="G54" s="118">
        <f t="shared" si="0"/>
        <v>0.60657064578707487</v>
      </c>
      <c r="H54" s="118">
        <f t="shared" si="1"/>
        <v>0</v>
      </c>
      <c r="I54" s="118">
        <f t="shared" si="2"/>
        <v>0</v>
      </c>
      <c r="J54" s="107">
        <f t="shared" si="3"/>
        <v>2</v>
      </c>
    </row>
    <row r="55" spans="6:10" s="94" customFormat="1" ht="16" customHeight="1">
      <c r="F55" s="117">
        <f t="shared" si="4"/>
        <v>-0.53999999999999959</v>
      </c>
      <c r="G55" s="118">
        <f t="shared" si="0"/>
        <v>0.62506274655790039</v>
      </c>
      <c r="H55" s="118">
        <f t="shared" si="1"/>
        <v>0</v>
      </c>
      <c r="I55" s="118">
        <f t="shared" si="2"/>
        <v>0</v>
      </c>
      <c r="J55" s="107">
        <f t="shared" si="3"/>
        <v>2</v>
      </c>
    </row>
    <row r="56" spans="6:10" s="94" customFormat="1" ht="16" customHeight="1">
      <c r="F56" s="117">
        <f t="shared" si="4"/>
        <v>-0.52999999999999958</v>
      </c>
      <c r="G56" s="118">
        <f t="shared" si="0"/>
        <v>0.64269823950383309</v>
      </c>
      <c r="H56" s="118">
        <f t="shared" si="1"/>
        <v>0</v>
      </c>
      <c r="I56" s="118">
        <f t="shared" si="2"/>
        <v>0</v>
      </c>
      <c r="J56" s="107">
        <f t="shared" si="3"/>
        <v>2</v>
      </c>
    </row>
    <row r="57" spans="6:10" s="94" customFormat="1" ht="16" customHeight="1">
      <c r="F57" s="117">
        <f t="shared" si="4"/>
        <v>-0.51999999999999957</v>
      </c>
      <c r="G57" s="118">
        <f t="shared" si="0"/>
        <v>0.65954584231197289</v>
      </c>
      <c r="H57" s="118">
        <f t="shared" si="1"/>
        <v>0</v>
      </c>
      <c r="I57" s="118">
        <f t="shared" si="2"/>
        <v>0</v>
      </c>
      <c r="J57" s="107">
        <f t="shared" si="3"/>
        <v>2</v>
      </c>
    </row>
    <row r="58" spans="6:10" s="94" customFormat="1" ht="16" customHeight="1">
      <c r="F58" s="117">
        <f t="shared" si="4"/>
        <v>-0.50999999999999956</v>
      </c>
      <c r="G58" s="118">
        <f t="shared" si="0"/>
        <v>0.67566449535516993</v>
      </c>
      <c r="H58" s="118">
        <f t="shared" si="1"/>
        <v>0</v>
      </c>
      <c r="I58" s="118">
        <f t="shared" si="2"/>
        <v>0</v>
      </c>
      <c r="J58" s="107">
        <f t="shared" si="3"/>
        <v>2</v>
      </c>
    </row>
    <row r="59" spans="6:10" s="94" customFormat="1" ht="16" customHeight="1">
      <c r="F59" s="117">
        <f t="shared" si="4"/>
        <v>-0.49999999999999956</v>
      </c>
      <c r="G59" s="118">
        <f t="shared" si="0"/>
        <v>0.69110520442184942</v>
      </c>
      <c r="H59" s="118">
        <f t="shared" si="1"/>
        <v>0</v>
      </c>
      <c r="I59" s="118">
        <f t="shared" si="2"/>
        <v>0</v>
      </c>
      <c r="J59" s="107">
        <f t="shared" si="3"/>
        <v>2</v>
      </c>
    </row>
    <row r="60" spans="6:10" s="94" customFormat="1" ht="16" customHeight="1">
      <c r="F60" s="117">
        <f t="shared" si="4"/>
        <v>-0.48999999999999955</v>
      </c>
      <c r="G60" s="118">
        <f t="shared" si="0"/>
        <v>0.70591245774333755</v>
      </c>
      <c r="H60" s="118">
        <f t="shared" si="1"/>
        <v>0</v>
      </c>
      <c r="I60" s="118">
        <f t="shared" si="2"/>
        <v>0</v>
      </c>
      <c r="J60" s="107">
        <f t="shared" si="3"/>
        <v>2</v>
      </c>
    </row>
    <row r="61" spans="6:10" s="94" customFormat="1" ht="16" customHeight="1">
      <c r="F61" s="117">
        <f t="shared" si="4"/>
        <v>-0.47999999999999954</v>
      </c>
      <c r="G61" s="118">
        <f t="shared" si="0"/>
        <v>0.72012533182660321</v>
      </c>
      <c r="H61" s="118">
        <f t="shared" si="1"/>
        <v>0</v>
      </c>
      <c r="I61" s="118">
        <f t="shared" si="2"/>
        <v>0</v>
      </c>
      <c r="J61" s="107">
        <f t="shared" si="3"/>
        <v>2</v>
      </c>
    </row>
    <row r="62" spans="6:10" s="94" customFormat="1" ht="16" customHeight="1">
      <c r="F62" s="117">
        <f t="shared" si="4"/>
        <v>-0.46999999999999953</v>
      </c>
      <c r="G62" s="118">
        <f t="shared" si="0"/>
        <v>0.73377836585877532</v>
      </c>
      <c r="H62" s="118">
        <f t="shared" si="1"/>
        <v>0</v>
      </c>
      <c r="I62" s="118">
        <f t="shared" si="2"/>
        <v>0</v>
      </c>
      <c r="J62" s="107">
        <f t="shared" si="3"/>
        <v>2</v>
      </c>
    </row>
    <row r="63" spans="6:10" s="94" customFormat="1" ht="16" customHeight="1">
      <c r="F63" s="117">
        <f t="shared" si="4"/>
        <v>-0.45999999999999952</v>
      </c>
      <c r="G63" s="118">
        <f t="shared" si="0"/>
        <v>0.74690226133627224</v>
      </c>
      <c r="H63" s="118">
        <f t="shared" si="1"/>
        <v>0</v>
      </c>
      <c r="I63" s="118">
        <f t="shared" si="2"/>
        <v>0</v>
      </c>
      <c r="J63" s="107">
        <f t="shared" si="3"/>
        <v>2</v>
      </c>
    </row>
    <row r="64" spans="6:10" ht="16">
      <c r="F64" s="117">
        <f t="shared" si="4"/>
        <v>-0.44999999999999951</v>
      </c>
      <c r="G64" s="118">
        <f t="shared" si="0"/>
        <v>0.75952444786126716</v>
      </c>
      <c r="H64" s="118">
        <f t="shared" si="1"/>
        <v>0</v>
      </c>
      <c r="I64" s="118">
        <f t="shared" si="2"/>
        <v>0</v>
      </c>
      <c r="J64" s="107">
        <f t="shared" si="3"/>
        <v>2</v>
      </c>
    </row>
    <row r="65" spans="6:10" ht="16">
      <c r="F65" s="117">
        <f t="shared" si="4"/>
        <v>-0.4399999999999995</v>
      </c>
      <c r="G65" s="118">
        <f t="shared" si="0"/>
        <v>0.77166954516266328</v>
      </c>
      <c r="H65" s="118">
        <f t="shared" si="1"/>
        <v>0</v>
      </c>
      <c r="I65" s="118">
        <f t="shared" si="2"/>
        <v>0</v>
      </c>
      <c r="J65" s="107">
        <f t="shared" si="3"/>
        <v>2</v>
      </c>
    </row>
    <row r="66" spans="6:10" ht="16">
      <c r="F66" s="117">
        <f t="shared" si="4"/>
        <v>-0.42999999999999949</v>
      </c>
      <c r="G66" s="118">
        <f t="shared" si="0"/>
        <v>0.78335974372379114</v>
      </c>
      <c r="H66" s="118">
        <f t="shared" si="1"/>
        <v>0</v>
      </c>
      <c r="I66" s="118">
        <f t="shared" si="2"/>
        <v>0</v>
      </c>
      <c r="J66" s="107">
        <f t="shared" si="3"/>
        <v>2</v>
      </c>
    </row>
    <row r="67" spans="6:10" ht="16">
      <c r="F67" s="117">
        <f t="shared" si="4"/>
        <v>-0.41999999999999948</v>
      </c>
      <c r="G67" s="118">
        <f t="shared" si="0"/>
        <v>0.79461512090150843</v>
      </c>
      <c r="H67" s="118">
        <f t="shared" si="1"/>
        <v>0</v>
      </c>
      <c r="I67" s="118">
        <f t="shared" si="2"/>
        <v>0</v>
      </c>
      <c r="J67" s="107">
        <f t="shared" si="3"/>
        <v>2</v>
      </c>
    </row>
    <row r="68" spans="6:10" ht="16">
      <c r="F68" s="117">
        <f t="shared" si="4"/>
        <v>-0.40999999999999948</v>
      </c>
      <c r="G68" s="118">
        <f t="shared" si="0"/>
        <v>0.80545390542631123</v>
      </c>
      <c r="H68" s="118">
        <f t="shared" si="1"/>
        <v>0</v>
      </c>
      <c r="I68" s="118">
        <f t="shared" si="2"/>
        <v>0</v>
      </c>
      <c r="J68" s="107">
        <f t="shared" si="3"/>
        <v>2</v>
      </c>
    </row>
    <row r="69" spans="6:10" ht="16">
      <c r="F69" s="117">
        <f t="shared" si="4"/>
        <v>-0.39999999999999947</v>
      </c>
      <c r="G69" s="118">
        <f t="shared" si="0"/>
        <v>0.81589270023118765</v>
      </c>
      <c r="H69" s="118">
        <f t="shared" si="1"/>
        <v>0</v>
      </c>
      <c r="I69" s="118">
        <f t="shared" si="2"/>
        <v>0</v>
      </c>
      <c r="J69" s="107">
        <f t="shared" si="3"/>
        <v>2</v>
      </c>
    </row>
    <row r="70" spans="6:10" ht="16">
      <c r="F70" s="117">
        <f t="shared" si="4"/>
        <v>-0.38999999999999946</v>
      </c>
      <c r="G70" s="118">
        <f t="shared" si="0"/>
        <v>0.82594667136410416</v>
      </c>
      <c r="H70" s="118">
        <f t="shared" si="1"/>
        <v>0</v>
      </c>
      <c r="I70" s="118">
        <f t="shared" si="2"/>
        <v>0</v>
      </c>
      <c r="J70" s="107">
        <f t="shared" si="3"/>
        <v>2</v>
      </c>
    </row>
    <row r="71" spans="6:10" ht="16">
      <c r="F71" s="117">
        <f t="shared" si="4"/>
        <v>-0.37999999999999945</v>
      </c>
      <c r="G71" s="118">
        <f t="shared" si="0"/>
        <v>0.83562970908603484</v>
      </c>
      <c r="H71" s="118">
        <f t="shared" si="1"/>
        <v>0</v>
      </c>
      <c r="I71" s="118">
        <f t="shared" si="2"/>
        <v>0</v>
      </c>
      <c r="J71" s="107">
        <f t="shared" si="3"/>
        <v>2</v>
      </c>
    </row>
    <row r="72" spans="6:10" ht="16">
      <c r="F72" s="117">
        <f t="shared" si="4"/>
        <v>-0.36999999999999944</v>
      </c>
      <c r="G72" s="118">
        <f t="shared" si="0"/>
        <v>0.84495456599739271</v>
      </c>
      <c r="H72" s="118">
        <f t="shared" si="1"/>
        <v>0</v>
      </c>
      <c r="I72" s="118">
        <f t="shared" si="2"/>
        <v>0</v>
      </c>
      <c r="J72" s="107">
        <f t="shared" si="3"/>
        <v>2</v>
      </c>
    </row>
    <row r="73" spans="6:10" ht="16">
      <c r="F73" s="117">
        <f t="shared" si="4"/>
        <v>-0.35999999999999943</v>
      </c>
      <c r="G73" s="118">
        <f t="shared" ref="G73:G136" si="7">IFERROR(IF(SQRT(1-(F73*F73)/($J$5*$J$5))&lt;0.05,0,SQRT(1-(F73*F73)/($J$5*$J$5))),0)</f>
        <v>0.8539329760674057</v>
      </c>
      <c r="H73" s="118">
        <f t="shared" ref="H73:H136" si="8">CHOOSE(MATCH($J$3,degrees),IF(F73&lt;0,IFERROR(1-G73,1),0),0,0,IF(F73&gt;0,IFERROR(1-G73,1),0))</f>
        <v>0</v>
      </c>
      <c r="I73" s="118">
        <f t="shared" ref="I73:I136" si="9">CHOOSE(MATCH($J$3,degrees),IF(F73&lt;0,2*G73,2),IF(F73&lt;0,0,1-G73),IF(F73&gt;0,0,1-G73),IF(F73&gt;0,2*G73,2))</f>
        <v>0</v>
      </c>
      <c r="J73" s="107">
        <f t="shared" ref="J73:J136" si="10">CHOOSE(MATCH($J$3,degrees),IF(F73&lt;0,G73+1,2),IF(F73&lt;0,2,2*G73),IF(F73&gt;0,2,2*G73),IF(F73&gt;0,G73+1,2))</f>
        <v>2</v>
      </c>
    </row>
    <row r="74" spans="6:10" ht="16">
      <c r="F74" s="117">
        <f t="shared" ref="F74:F137" si="11">F73+$G$4</f>
        <v>-0.34999999999999942</v>
      </c>
      <c r="G74" s="118">
        <f t="shared" si="7"/>
        <v>0.86257575768954564</v>
      </c>
      <c r="H74" s="118">
        <f t="shared" si="8"/>
        <v>0</v>
      </c>
      <c r="I74" s="118">
        <f t="shared" si="9"/>
        <v>0</v>
      </c>
      <c r="J74" s="107">
        <f t="shared" si="10"/>
        <v>2</v>
      </c>
    </row>
    <row r="75" spans="6:10" ht="16">
      <c r="F75" s="117">
        <f t="shared" si="11"/>
        <v>-0.33999999999999941</v>
      </c>
      <c r="G75" s="118">
        <f t="shared" si="7"/>
        <v>0.87089290329805435</v>
      </c>
      <c r="H75" s="118">
        <f t="shared" si="8"/>
        <v>0</v>
      </c>
      <c r="I75" s="118">
        <f t="shared" si="9"/>
        <v>0</v>
      </c>
      <c r="J75" s="107">
        <f t="shared" si="10"/>
        <v>2</v>
      </c>
    </row>
    <row r="76" spans="6:10" ht="16">
      <c r="F76" s="117">
        <f t="shared" si="11"/>
        <v>-0.3299999999999994</v>
      </c>
      <c r="G76" s="118">
        <f t="shared" si="7"/>
        <v>0.87889365761677796</v>
      </c>
      <c r="H76" s="118">
        <f t="shared" si="8"/>
        <v>0</v>
      </c>
      <c r="I76" s="118">
        <f t="shared" si="9"/>
        <v>0</v>
      </c>
      <c r="J76" s="107">
        <f t="shared" si="10"/>
        <v>2</v>
      </c>
    </row>
    <row r="77" spans="6:10" ht="16">
      <c r="F77" s="117">
        <f t="shared" si="11"/>
        <v>-0.3199999999999994</v>
      </c>
      <c r="G77" s="118">
        <f t="shared" si="7"/>
        <v>0.88658658624295972</v>
      </c>
      <c r="H77" s="118">
        <f t="shared" si="8"/>
        <v>0</v>
      </c>
      <c r="I77" s="118">
        <f t="shared" si="9"/>
        <v>0</v>
      </c>
      <c r="J77" s="107">
        <f t="shared" si="10"/>
        <v>2</v>
      </c>
    </row>
    <row r="78" spans="6:10" ht="16">
      <c r="F78" s="117">
        <f t="shared" si="11"/>
        <v>-0.30999999999999939</v>
      </c>
      <c r="G78" s="118">
        <f t="shared" si="7"/>
        <v>0.89397963597374808</v>
      </c>
      <c r="H78" s="118">
        <f t="shared" si="8"/>
        <v>0</v>
      </c>
      <c r="I78" s="118">
        <f t="shared" si="9"/>
        <v>0</v>
      </c>
      <c r="J78" s="107">
        <f t="shared" si="10"/>
        <v>2</v>
      </c>
    </row>
    <row r="79" spans="6:10" ht="16">
      <c r="F79" s="117">
        <f t="shared" si="11"/>
        <v>-0.29999999999999938</v>
      </c>
      <c r="G79" s="118">
        <f t="shared" si="7"/>
        <v>0.90108018804567458</v>
      </c>
      <c r="H79" s="118">
        <f t="shared" si="8"/>
        <v>0</v>
      </c>
      <c r="I79" s="118">
        <f t="shared" si="9"/>
        <v>0</v>
      </c>
      <c r="J79" s="107">
        <f t="shared" si="10"/>
        <v>2</v>
      </c>
    </row>
    <row r="80" spans="6:10" ht="16">
      <c r="F80" s="117">
        <f t="shared" si="11"/>
        <v>-0.28999999999999937</v>
      </c>
      <c r="G80" s="118">
        <f t="shared" si="7"/>
        <v>0.90789510526490047</v>
      </c>
      <c r="H80" s="118">
        <f t="shared" si="8"/>
        <v>0</v>
      </c>
      <c r="I80" s="118">
        <f t="shared" si="9"/>
        <v>0</v>
      </c>
      <c r="J80" s="107">
        <f t="shared" si="10"/>
        <v>2</v>
      </c>
    </row>
    <row r="81" spans="6:10" ht="16">
      <c r="F81" s="117">
        <f t="shared" si="11"/>
        <v>-0.27999999999999936</v>
      </c>
      <c r="G81" s="118">
        <f t="shared" si="7"/>
        <v>0.91443077384915494</v>
      </c>
      <c r="H81" s="118">
        <f t="shared" si="8"/>
        <v>0</v>
      </c>
      <c r="I81" s="118">
        <f t="shared" si="9"/>
        <v>0</v>
      </c>
      <c r="J81" s="107">
        <f t="shared" si="10"/>
        <v>2</v>
      </c>
    </row>
    <row r="82" spans="6:10" ht="16">
      <c r="F82" s="117">
        <f t="shared" si="11"/>
        <v>-0.26999999999999935</v>
      </c>
      <c r="G82" s="118">
        <f t="shared" si="7"/>
        <v>0.92069314067371377</v>
      </c>
      <c r="H82" s="118">
        <f t="shared" si="8"/>
        <v>0</v>
      </c>
      <c r="I82" s="118">
        <f t="shared" si="9"/>
        <v>0</v>
      </c>
      <c r="J82" s="107">
        <f t="shared" si="10"/>
        <v>2</v>
      </c>
    </row>
    <row r="83" spans="6:10" ht="16">
      <c r="F83" s="117">
        <f t="shared" si="11"/>
        <v>-0.25999999999999934</v>
      </c>
      <c r="G83" s="118">
        <f t="shared" si="7"/>
        <v>0.92668774650782604</v>
      </c>
      <c r="H83" s="118">
        <f t="shared" si="8"/>
        <v>0</v>
      </c>
      <c r="I83" s="118">
        <f t="shared" si="9"/>
        <v>0</v>
      </c>
      <c r="J83" s="107">
        <f t="shared" si="10"/>
        <v>2</v>
      </c>
    </row>
    <row r="84" spans="6:10" ht="16">
      <c r="F84" s="117">
        <f t="shared" si="11"/>
        <v>-0.24999999999999933</v>
      </c>
      <c r="G84" s="118">
        <f t="shared" si="7"/>
        <v>0.93241975574026859</v>
      </c>
      <c r="H84" s="118">
        <f t="shared" si="8"/>
        <v>0</v>
      </c>
      <c r="I84" s="118">
        <f t="shared" si="9"/>
        <v>0</v>
      </c>
      <c r="J84" s="107">
        <f t="shared" si="10"/>
        <v>2</v>
      </c>
    </row>
    <row r="85" spans="6:10" ht="16">
      <c r="F85" s="117">
        <f t="shared" si="11"/>
        <v>-0.23999999999999932</v>
      </c>
      <c r="G85" s="118">
        <f t="shared" si="7"/>
        <v>0.93789398301971971</v>
      </c>
      <c r="H85" s="118">
        <f t="shared" si="8"/>
        <v>0</v>
      </c>
      <c r="I85" s="118">
        <f t="shared" si="9"/>
        <v>0</v>
      </c>
      <c r="J85" s="107">
        <f t="shared" si="10"/>
        <v>2</v>
      </c>
    </row>
    <row r="86" spans="6:10" ht="16">
      <c r="F86" s="117">
        <f t="shared" si="11"/>
        <v>-0.22999999999999932</v>
      </c>
      <c r="G86" s="118">
        <f t="shared" si="7"/>
        <v>0.94311491717463025</v>
      </c>
      <c r="H86" s="118">
        <f t="shared" si="8"/>
        <v>0</v>
      </c>
      <c r="I86" s="118">
        <f t="shared" si="9"/>
        <v>0</v>
      </c>
      <c r="J86" s="107">
        <f t="shared" si="10"/>
        <v>2</v>
      </c>
    </row>
    <row r="87" spans="6:10" ht="16">
      <c r="F87" s="117">
        <f t="shared" si="11"/>
        <v>-0.21999999999999931</v>
      </c>
      <c r="G87" s="118">
        <f t="shared" si="7"/>
        <v>0.94808674272604843</v>
      </c>
      <c r="H87" s="118">
        <f t="shared" si="8"/>
        <v>0</v>
      </c>
      <c r="I87" s="118">
        <f t="shared" si="9"/>
        <v>0</v>
      </c>
      <c r="J87" s="107">
        <f t="shared" si="10"/>
        <v>2</v>
      </c>
    </row>
    <row r="88" spans="6:10" ht="16">
      <c r="F88" s="117">
        <f t="shared" si="11"/>
        <v>-0.2099999999999993</v>
      </c>
      <c r="G88" s="118">
        <f t="shared" si="7"/>
        <v>0.9528133592636755</v>
      </c>
      <c r="H88" s="118">
        <f t="shared" si="8"/>
        <v>0</v>
      </c>
      <c r="I88" s="118">
        <f t="shared" si="9"/>
        <v>0</v>
      </c>
      <c r="J88" s="107">
        <f t="shared" si="10"/>
        <v>2</v>
      </c>
    </row>
    <row r="89" spans="6:10" ht="16">
      <c r="F89" s="117">
        <f t="shared" si="11"/>
        <v>-0.19999999999999929</v>
      </c>
      <c r="G89" s="118">
        <f t="shared" si="7"/>
        <v>0.95729839891887158</v>
      </c>
      <c r="H89" s="118">
        <f t="shared" si="8"/>
        <v>0</v>
      </c>
      <c r="I89" s="118">
        <f t="shared" si="9"/>
        <v>0</v>
      </c>
      <c r="J89" s="107">
        <f t="shared" si="10"/>
        <v>2</v>
      </c>
    </row>
    <row r="90" spans="6:10" ht="16">
      <c r="F90" s="117">
        <f t="shared" si="11"/>
        <v>-0.18999999999999928</v>
      </c>
      <c r="G90" s="118">
        <f t="shared" si="7"/>
        <v>0.96154524213726056</v>
      </c>
      <c r="H90" s="118">
        <f t="shared" si="8"/>
        <v>0</v>
      </c>
      <c r="I90" s="118">
        <f t="shared" si="9"/>
        <v>0</v>
      </c>
      <c r="J90" s="107">
        <f t="shared" si="10"/>
        <v>2</v>
      </c>
    </row>
    <row r="91" spans="6:10" ht="16">
      <c r="F91" s="117">
        <f t="shared" si="11"/>
        <v>-0.17999999999999927</v>
      </c>
      <c r="G91" s="118">
        <f t="shared" si="7"/>
        <v>0.9655570319270812</v>
      </c>
      <c r="H91" s="118">
        <f t="shared" si="8"/>
        <v>0</v>
      </c>
      <c r="I91" s="118">
        <f t="shared" si="9"/>
        <v>0</v>
      </c>
      <c r="J91" s="107">
        <f t="shared" si="10"/>
        <v>2</v>
      </c>
    </row>
    <row r="92" spans="6:10" ht="16">
      <c r="F92" s="117">
        <f t="shared" si="11"/>
        <v>-0.16999999999999926</v>
      </c>
      <c r="G92" s="118">
        <f t="shared" si="7"/>
        <v>0.96933668673672346</v>
      </c>
      <c r="H92" s="118">
        <f t="shared" si="8"/>
        <v>0</v>
      </c>
      <c r="I92" s="118">
        <f t="shared" si="9"/>
        <v>0</v>
      </c>
      <c r="J92" s="107">
        <f t="shared" si="10"/>
        <v>2</v>
      </c>
    </row>
    <row r="93" spans="6:10" ht="16">
      <c r="F93" s="117">
        <f t="shared" si="11"/>
        <v>-0.15999999999999925</v>
      </c>
      <c r="G93" s="118">
        <f t="shared" si="7"/>
        <v>0.97288691209538147</v>
      </c>
      <c r="H93" s="118">
        <f t="shared" si="8"/>
        <v>0</v>
      </c>
      <c r="I93" s="118">
        <f t="shared" si="9"/>
        <v>0</v>
      </c>
      <c r="J93" s="107">
        <f t="shared" si="10"/>
        <v>2</v>
      </c>
    </row>
    <row r="94" spans="6:10" ht="16">
      <c r="F94" s="117">
        <f t="shared" si="11"/>
        <v>-0.14999999999999925</v>
      </c>
      <c r="G94" s="118">
        <f t="shared" si="7"/>
        <v>0.97621021113390705</v>
      </c>
      <c r="H94" s="118">
        <f t="shared" si="8"/>
        <v>0</v>
      </c>
      <c r="I94" s="118">
        <f t="shared" si="9"/>
        <v>0</v>
      </c>
      <c r="J94" s="107">
        <f t="shared" si="10"/>
        <v>2</v>
      </c>
    </row>
    <row r="95" spans="6:10" ht="16">
      <c r="F95" s="117">
        <f t="shared" si="11"/>
        <v>-0.13999999999999924</v>
      </c>
      <c r="G95" s="118">
        <f t="shared" si="7"/>
        <v>0.97930889408837263</v>
      </c>
      <c r="H95" s="118">
        <f t="shared" si="8"/>
        <v>0</v>
      </c>
      <c r="I95" s="118">
        <f t="shared" si="9"/>
        <v>0</v>
      </c>
      <c r="J95" s="107">
        <f t="shared" si="10"/>
        <v>2</v>
      </c>
    </row>
    <row r="96" spans="6:10" ht="16">
      <c r="F96" s="117">
        <f t="shared" si="11"/>
        <v>-0.12999999999999923</v>
      </c>
      <c r="G96" s="118">
        <f t="shared" si="7"/>
        <v>0.98218508687616435</v>
      </c>
      <c r="H96" s="118">
        <f t="shared" si="8"/>
        <v>0</v>
      </c>
      <c r="I96" s="118">
        <f t="shared" si="9"/>
        <v>0</v>
      </c>
      <c r="J96" s="107">
        <f t="shared" si="10"/>
        <v>2</v>
      </c>
    </row>
    <row r="97" spans="6:10" ht="16">
      <c r="F97" s="117">
        <f t="shared" si="11"/>
        <v>-0.11999999999999923</v>
      </c>
      <c r="G97" s="118">
        <f t="shared" si="7"/>
        <v>0.98484073882336365</v>
      </c>
      <c r="H97" s="118">
        <f t="shared" si="8"/>
        <v>0</v>
      </c>
      <c r="I97" s="118">
        <f t="shared" si="9"/>
        <v>0</v>
      </c>
      <c r="J97" s="107">
        <f t="shared" si="10"/>
        <v>2</v>
      </c>
    </row>
    <row r="98" spans="6:10" ht="16">
      <c r="F98" s="117">
        <f t="shared" si="11"/>
        <v>-0.10999999999999924</v>
      </c>
      <c r="G98" s="118">
        <f t="shared" si="7"/>
        <v>0.98727762961247245</v>
      </c>
      <c r="H98" s="118">
        <f t="shared" si="8"/>
        <v>0</v>
      </c>
      <c r="I98" s="118">
        <f t="shared" si="9"/>
        <v>0</v>
      </c>
      <c r="J98" s="107">
        <f t="shared" si="10"/>
        <v>2</v>
      </c>
    </row>
    <row r="99" spans="6:10" ht="16">
      <c r="F99" s="117">
        <f t="shared" si="11"/>
        <v>-9.9999999999999242E-2</v>
      </c>
      <c r="G99" s="118">
        <f t="shared" si="7"/>
        <v>0.98949737551100103</v>
      </c>
      <c r="H99" s="118">
        <f t="shared" si="8"/>
        <v>0</v>
      </c>
      <c r="I99" s="118">
        <f t="shared" si="9"/>
        <v>0</v>
      </c>
      <c r="J99" s="107">
        <f t="shared" si="10"/>
        <v>2</v>
      </c>
    </row>
    <row r="100" spans="6:10" ht="16">
      <c r="F100" s="117">
        <f t="shared" si="11"/>
        <v>-8.9999999999999247E-2</v>
      </c>
      <c r="G100" s="118">
        <f t="shared" si="7"/>
        <v>0.99150143493388787</v>
      </c>
      <c r="H100" s="118">
        <f t="shared" si="8"/>
        <v>0</v>
      </c>
      <c r="I100" s="118">
        <f t="shared" si="9"/>
        <v>0</v>
      </c>
      <c r="J100" s="107">
        <f t="shared" si="10"/>
        <v>2</v>
      </c>
    </row>
    <row r="101" spans="6:10" ht="16">
      <c r="F101" s="117">
        <f t="shared" si="11"/>
        <v>-7.9999999999999252E-2</v>
      </c>
      <c r="G101" s="118">
        <f t="shared" si="7"/>
        <v>0.99329111338601117</v>
      </c>
      <c r="H101" s="118">
        <f t="shared" si="8"/>
        <v>0</v>
      </c>
      <c r="I101" s="118">
        <f t="shared" si="9"/>
        <v>0</v>
      </c>
      <c r="J101" s="107">
        <f t="shared" si="10"/>
        <v>2</v>
      </c>
    </row>
    <row r="102" spans="6:10" ht="16">
      <c r="F102" s="117">
        <f t="shared" si="11"/>
        <v>-6.9999999999999257E-2</v>
      </c>
      <c r="G102" s="118">
        <f t="shared" si="7"/>
        <v>0.99486756782505881</v>
      </c>
      <c r="H102" s="118">
        <f t="shared" si="8"/>
        <v>0</v>
      </c>
      <c r="I102" s="118">
        <f t="shared" si="9"/>
        <v>0</v>
      </c>
      <c r="J102" s="107">
        <f t="shared" si="10"/>
        <v>2</v>
      </c>
    </row>
    <row r="103" spans="6:10" ht="16">
      <c r="F103" s="117">
        <f t="shared" si="11"/>
        <v>-5.9999999999999255E-2</v>
      </c>
      <c r="G103" s="118">
        <f t="shared" si="7"/>
        <v>0.99623181047963794</v>
      </c>
      <c r="H103" s="118">
        <f t="shared" si="8"/>
        <v>0</v>
      </c>
      <c r="I103" s="118">
        <f t="shared" si="9"/>
        <v>0</v>
      </c>
      <c r="J103" s="107">
        <f t="shared" si="10"/>
        <v>2</v>
      </c>
    </row>
    <row r="104" spans="6:10" ht="16">
      <c r="F104" s="117">
        <f t="shared" si="11"/>
        <v>-4.9999999999999253E-2</v>
      </c>
      <c r="G104" s="118">
        <f t="shared" si="7"/>
        <v>0.99738471215263258</v>
      </c>
      <c r="H104" s="118">
        <f t="shared" si="8"/>
        <v>0</v>
      </c>
      <c r="I104" s="118">
        <f t="shared" si="9"/>
        <v>0</v>
      </c>
      <c r="J104" s="107">
        <f t="shared" si="10"/>
        <v>2</v>
      </c>
    </row>
    <row r="105" spans="6:10" ht="16">
      <c r="F105" s="117">
        <f t="shared" si="11"/>
        <v>-3.9999999999999251E-2</v>
      </c>
      <c r="G105" s="118">
        <f t="shared" si="7"/>
        <v>0.99832700503537697</v>
      </c>
      <c r="H105" s="118">
        <f t="shared" si="8"/>
        <v>0</v>
      </c>
      <c r="I105" s="118">
        <f t="shared" si="9"/>
        <v>0</v>
      </c>
      <c r="J105" s="107">
        <f t="shared" si="10"/>
        <v>2</v>
      </c>
    </row>
    <row r="106" spans="6:10" ht="16">
      <c r="F106" s="117">
        <f t="shared" si="11"/>
        <v>-2.9999999999999249E-2</v>
      </c>
      <c r="G106" s="118">
        <f t="shared" si="7"/>
        <v>0.99905928505413755</v>
      </c>
      <c r="H106" s="118">
        <f t="shared" si="8"/>
        <v>0</v>
      </c>
      <c r="I106" s="118">
        <f t="shared" si="9"/>
        <v>0</v>
      </c>
      <c r="J106" s="107">
        <f t="shared" si="10"/>
        <v>2</v>
      </c>
    </row>
    <row r="107" spans="6:10" ht="16">
      <c r="F107" s="117">
        <f t="shared" si="11"/>
        <v>-1.9999999999999248E-2</v>
      </c>
      <c r="G107" s="118">
        <f t="shared" si="7"/>
        <v>0.99958201376661759</v>
      </c>
      <c r="H107" s="118">
        <f t="shared" si="8"/>
        <v>0</v>
      </c>
      <c r="I107" s="118">
        <f t="shared" si="9"/>
        <v>0</v>
      </c>
      <c r="J107" s="107">
        <f t="shared" si="10"/>
        <v>2</v>
      </c>
    </row>
    <row r="108" spans="6:10" ht="16">
      <c r="F108" s="117">
        <f t="shared" si="11"/>
        <v>-9.9999999999992473E-3</v>
      </c>
      <c r="G108" s="118">
        <f t="shared" si="7"/>
        <v>0.99989551982266212</v>
      </c>
      <c r="H108" s="118">
        <f t="shared" si="8"/>
        <v>0</v>
      </c>
      <c r="I108" s="118">
        <f t="shared" si="9"/>
        <v>0</v>
      </c>
      <c r="J108" s="107">
        <f t="shared" si="10"/>
        <v>2</v>
      </c>
    </row>
    <row r="109" spans="6:10" ht="16">
      <c r="F109" s="117">
        <f t="shared" si="11"/>
        <v>7.5286998857393428E-16</v>
      </c>
      <c r="G109" s="118">
        <f t="shared" si="7"/>
        <v>1</v>
      </c>
      <c r="H109" s="118">
        <f t="shared" si="8"/>
        <v>0</v>
      </c>
      <c r="I109" s="118">
        <f t="shared" si="9"/>
        <v>0</v>
      </c>
      <c r="J109" s="107">
        <f t="shared" si="10"/>
        <v>2</v>
      </c>
    </row>
    <row r="110" spans="6:10" ht="16">
      <c r="F110" s="117">
        <f t="shared" si="11"/>
        <v>1.0000000000000753E-2</v>
      </c>
      <c r="G110" s="118">
        <f t="shared" si="7"/>
        <v>0.99989551982266212</v>
      </c>
      <c r="H110" s="118">
        <f t="shared" si="8"/>
        <v>0</v>
      </c>
      <c r="I110" s="118">
        <f t="shared" si="9"/>
        <v>1.0448017733788451E-4</v>
      </c>
      <c r="J110" s="107">
        <f t="shared" si="10"/>
        <v>1.9997910396453242</v>
      </c>
    </row>
    <row r="111" spans="6:10" ht="16">
      <c r="F111" s="117">
        <f t="shared" si="11"/>
        <v>2.0000000000000753E-2</v>
      </c>
      <c r="G111" s="118">
        <f t="shared" si="7"/>
        <v>0.99958201376661748</v>
      </c>
      <c r="H111" s="118">
        <f t="shared" si="8"/>
        <v>0</v>
      </c>
      <c r="I111" s="118">
        <f t="shared" si="9"/>
        <v>4.1798623338251684E-4</v>
      </c>
      <c r="J111" s="107">
        <f t="shared" si="10"/>
        <v>1.999164027533235</v>
      </c>
    </row>
    <row r="112" spans="6:10" ht="16">
      <c r="F112" s="117">
        <f t="shared" si="11"/>
        <v>3.0000000000000755E-2</v>
      </c>
      <c r="G112" s="118">
        <f t="shared" si="7"/>
        <v>0.99905928505413744</v>
      </c>
      <c r="H112" s="118">
        <f t="shared" si="8"/>
        <v>0</v>
      </c>
      <c r="I112" s="118">
        <f t="shared" si="9"/>
        <v>9.407149458625641E-4</v>
      </c>
      <c r="J112" s="107">
        <f t="shared" si="10"/>
        <v>1.9981185701082749</v>
      </c>
    </row>
    <row r="113" spans="6:10" ht="16">
      <c r="F113" s="117">
        <f t="shared" si="11"/>
        <v>4.0000000000000757E-2</v>
      </c>
      <c r="G113" s="118">
        <f t="shared" si="7"/>
        <v>0.99832700503537675</v>
      </c>
      <c r="H113" s="118">
        <f t="shared" si="8"/>
        <v>0</v>
      </c>
      <c r="I113" s="118">
        <f t="shared" si="9"/>
        <v>1.6729949646232534E-3</v>
      </c>
      <c r="J113" s="107">
        <f t="shared" si="10"/>
        <v>1.9966540100707535</v>
      </c>
    </row>
    <row r="114" spans="6:10" ht="16">
      <c r="F114" s="117">
        <f t="shared" si="11"/>
        <v>5.0000000000000759E-2</v>
      </c>
      <c r="G114" s="118">
        <f t="shared" si="7"/>
        <v>0.99738471215263247</v>
      </c>
      <c r="H114" s="118">
        <f t="shared" si="8"/>
        <v>0</v>
      </c>
      <c r="I114" s="118">
        <f t="shared" si="9"/>
        <v>2.6152878473675312E-3</v>
      </c>
      <c r="J114" s="107">
        <f t="shared" si="10"/>
        <v>1.9947694243052649</v>
      </c>
    </row>
    <row r="115" spans="6:10" ht="16">
      <c r="F115" s="117">
        <f t="shared" si="11"/>
        <v>6.0000000000000761E-2</v>
      </c>
      <c r="G115" s="118">
        <f t="shared" si="7"/>
        <v>0.99623181047963782</v>
      </c>
      <c r="H115" s="118">
        <f t="shared" si="8"/>
        <v>0</v>
      </c>
      <c r="I115" s="118">
        <f t="shared" si="9"/>
        <v>3.7681895203621751E-3</v>
      </c>
      <c r="J115" s="107">
        <f t="shared" si="10"/>
        <v>1.9924636209592756</v>
      </c>
    </row>
    <row r="116" spans="6:10" ht="16">
      <c r="F116" s="117">
        <f t="shared" si="11"/>
        <v>7.0000000000000756E-2</v>
      </c>
      <c r="G116" s="118">
        <f t="shared" si="7"/>
        <v>0.99486756782505859</v>
      </c>
      <c r="H116" s="118">
        <f t="shared" si="8"/>
        <v>0</v>
      </c>
      <c r="I116" s="118">
        <f t="shared" si="9"/>
        <v>5.1324321749414148E-3</v>
      </c>
      <c r="J116" s="107">
        <f t="shared" si="10"/>
        <v>1.9897351356501172</v>
      </c>
    </row>
    <row r="117" spans="6:10" ht="16">
      <c r="F117" s="117">
        <f t="shared" si="11"/>
        <v>8.0000000000000751E-2</v>
      </c>
      <c r="G117" s="118">
        <f t="shared" si="7"/>
        <v>0.99329111338601095</v>
      </c>
      <c r="H117" s="118">
        <f t="shared" si="8"/>
        <v>0</v>
      </c>
      <c r="I117" s="118">
        <f t="shared" si="9"/>
        <v>6.7088866139890513E-3</v>
      </c>
      <c r="J117" s="107">
        <f t="shared" si="10"/>
        <v>1.9865822267720219</v>
      </c>
    </row>
    <row r="118" spans="6:10" ht="16">
      <c r="F118" s="117">
        <f t="shared" si="11"/>
        <v>9.0000000000000746E-2</v>
      </c>
      <c r="G118" s="118">
        <f t="shared" si="7"/>
        <v>0.99150143493388765</v>
      </c>
      <c r="H118" s="118">
        <f t="shared" si="8"/>
        <v>0</v>
      </c>
      <c r="I118" s="118">
        <f t="shared" si="9"/>
        <v>8.4985650661123513E-3</v>
      </c>
      <c r="J118" s="107">
        <f t="shared" si="10"/>
        <v>1.9830028698677753</v>
      </c>
    </row>
    <row r="119" spans="6:10" ht="16">
      <c r="F119" s="117">
        <f t="shared" si="11"/>
        <v>0.10000000000000074</v>
      </c>
      <c r="G119" s="118">
        <f t="shared" si="7"/>
        <v>0.9894973755110007</v>
      </c>
      <c r="H119" s="118">
        <f t="shared" si="8"/>
        <v>0</v>
      </c>
      <c r="I119" s="118">
        <f t="shared" si="9"/>
        <v>1.0502624488999301E-2</v>
      </c>
      <c r="J119" s="107">
        <f t="shared" si="10"/>
        <v>1.9789947510220014</v>
      </c>
    </row>
    <row r="120" spans="6:10" ht="16">
      <c r="F120" s="117">
        <f t="shared" si="11"/>
        <v>0.11000000000000074</v>
      </c>
      <c r="G120" s="118">
        <f t="shared" si="7"/>
        <v>0.98727762961247212</v>
      </c>
      <c r="H120" s="118">
        <f t="shared" si="8"/>
        <v>0</v>
      </c>
      <c r="I120" s="118">
        <f t="shared" si="9"/>
        <v>1.2722370387527882E-2</v>
      </c>
      <c r="J120" s="107">
        <f t="shared" si="10"/>
        <v>1.9745552592249442</v>
      </c>
    </row>
    <row r="121" spans="6:10" ht="16">
      <c r="F121" s="117">
        <f t="shared" si="11"/>
        <v>0.12000000000000073</v>
      </c>
      <c r="G121" s="118">
        <f t="shared" si="7"/>
        <v>0.98484073882336332</v>
      </c>
      <c r="H121" s="118">
        <f t="shared" si="8"/>
        <v>0</v>
      </c>
      <c r="I121" s="118">
        <f t="shared" si="9"/>
        <v>1.5159261176636685E-2</v>
      </c>
      <c r="J121" s="107">
        <f t="shared" si="10"/>
        <v>1.9696814776467266</v>
      </c>
    </row>
    <row r="122" spans="6:10" ht="16">
      <c r="F122" s="117">
        <f t="shared" si="11"/>
        <v>0.13000000000000073</v>
      </c>
      <c r="G122" s="118">
        <f t="shared" si="7"/>
        <v>0.9821850868761639</v>
      </c>
      <c r="H122" s="118">
        <f t="shared" si="8"/>
        <v>0</v>
      </c>
      <c r="I122" s="118">
        <f t="shared" si="9"/>
        <v>1.7814913123836096E-2</v>
      </c>
      <c r="J122" s="107">
        <f t="shared" si="10"/>
        <v>1.9643701737523278</v>
      </c>
    </row>
    <row r="123" spans="6:10" ht="16">
      <c r="F123" s="117">
        <f t="shared" si="11"/>
        <v>0.14000000000000073</v>
      </c>
      <c r="G123" s="118">
        <f t="shared" si="7"/>
        <v>0.97930889408837218</v>
      </c>
      <c r="H123" s="118">
        <f t="shared" si="8"/>
        <v>0</v>
      </c>
      <c r="I123" s="118">
        <f t="shared" si="9"/>
        <v>2.0691105911627816E-2</v>
      </c>
      <c r="J123" s="107">
        <f t="shared" si="10"/>
        <v>1.9586177881767444</v>
      </c>
    </row>
    <row r="124" spans="6:10" ht="16">
      <c r="F124" s="117">
        <f t="shared" si="11"/>
        <v>0.15000000000000074</v>
      </c>
      <c r="G124" s="118">
        <f t="shared" si="7"/>
        <v>0.97621021113390649</v>
      </c>
      <c r="H124" s="118">
        <f t="shared" si="8"/>
        <v>0</v>
      </c>
      <c r="I124" s="118">
        <f t="shared" si="9"/>
        <v>2.3789788866093509E-2</v>
      </c>
      <c r="J124" s="107">
        <f t="shared" si="10"/>
        <v>1.952420422267813</v>
      </c>
    </row>
    <row r="125" spans="6:10" ht="16">
      <c r="F125" s="117">
        <f t="shared" si="11"/>
        <v>0.16000000000000075</v>
      </c>
      <c r="G125" s="118">
        <f t="shared" si="7"/>
        <v>0.97288691209538092</v>
      </c>
      <c r="H125" s="118">
        <f t="shared" si="8"/>
        <v>0</v>
      </c>
      <c r="I125" s="118">
        <f t="shared" si="9"/>
        <v>2.7113087904619082E-2</v>
      </c>
      <c r="J125" s="107">
        <f t="shared" si="10"/>
        <v>1.9457738241907618</v>
      </c>
    </row>
    <row r="126" spans="6:10" ht="16">
      <c r="F126" s="117">
        <f t="shared" si="11"/>
        <v>0.17000000000000076</v>
      </c>
      <c r="G126" s="118">
        <f t="shared" si="7"/>
        <v>0.96933668673672302</v>
      </c>
      <c r="H126" s="118">
        <f t="shared" si="8"/>
        <v>0</v>
      </c>
      <c r="I126" s="118">
        <f t="shared" si="9"/>
        <v>3.0663313263276981E-2</v>
      </c>
      <c r="J126" s="107">
        <f t="shared" si="10"/>
        <v>1.938673373473446</v>
      </c>
    </row>
    <row r="127" spans="6:10" ht="16">
      <c r="F127" s="117">
        <f t="shared" si="11"/>
        <v>0.18000000000000077</v>
      </c>
      <c r="G127" s="118">
        <f t="shared" si="7"/>
        <v>0.96555703192708064</v>
      </c>
      <c r="H127" s="118">
        <f t="shared" si="8"/>
        <v>0</v>
      </c>
      <c r="I127" s="118">
        <f t="shared" si="9"/>
        <v>3.4442968072919355E-2</v>
      </c>
      <c r="J127" s="107">
        <f t="shared" si="10"/>
        <v>1.9311140638541613</v>
      </c>
    </row>
    <row r="128" spans="6:10" ht="16">
      <c r="F128" s="117">
        <f t="shared" si="11"/>
        <v>0.19000000000000078</v>
      </c>
      <c r="G128" s="118">
        <f t="shared" si="7"/>
        <v>0.96154524213726</v>
      </c>
      <c r="H128" s="118">
        <f t="shared" si="8"/>
        <v>0</v>
      </c>
      <c r="I128" s="118">
        <f t="shared" si="9"/>
        <v>3.8454757862739997E-2</v>
      </c>
      <c r="J128" s="107">
        <f t="shared" si="10"/>
        <v>1.92309048427452</v>
      </c>
    </row>
    <row r="129" spans="6:10" ht="16">
      <c r="F129" s="117">
        <f t="shared" si="11"/>
        <v>0.20000000000000079</v>
      </c>
      <c r="G129" s="118">
        <f t="shared" si="7"/>
        <v>0.95729839891887103</v>
      </c>
      <c r="H129" s="118">
        <f t="shared" si="8"/>
        <v>0</v>
      </c>
      <c r="I129" s="118">
        <f t="shared" si="9"/>
        <v>4.270160108112897E-2</v>
      </c>
      <c r="J129" s="107">
        <f t="shared" si="10"/>
        <v>1.9145967978377421</v>
      </c>
    </row>
    <row r="130" spans="6:10" ht="16">
      <c r="F130" s="117">
        <f t="shared" si="11"/>
        <v>0.2100000000000008</v>
      </c>
      <c r="G130" s="118">
        <f t="shared" si="7"/>
        <v>0.95281335926367494</v>
      </c>
      <c r="H130" s="118">
        <f t="shared" si="8"/>
        <v>0</v>
      </c>
      <c r="I130" s="118">
        <f t="shared" si="9"/>
        <v>4.7186640736325058E-2</v>
      </c>
      <c r="J130" s="107">
        <f t="shared" si="10"/>
        <v>1.9056267185273499</v>
      </c>
    </row>
    <row r="131" spans="6:10" ht="16">
      <c r="F131" s="117">
        <f t="shared" si="11"/>
        <v>0.22000000000000081</v>
      </c>
      <c r="G131" s="118">
        <f t="shared" si="7"/>
        <v>0.94808674272604776</v>
      </c>
      <c r="H131" s="118">
        <f t="shared" si="8"/>
        <v>0</v>
      </c>
      <c r="I131" s="118">
        <f t="shared" si="9"/>
        <v>5.191325727395224E-2</v>
      </c>
      <c r="J131" s="107">
        <f t="shared" si="10"/>
        <v>1.8961734854520955</v>
      </c>
    </row>
    <row r="132" spans="6:10" ht="16">
      <c r="F132" s="117">
        <f t="shared" si="11"/>
        <v>0.23000000000000081</v>
      </c>
      <c r="G132" s="118">
        <f t="shared" si="7"/>
        <v>0.94311491717462947</v>
      </c>
      <c r="H132" s="118">
        <f t="shared" si="8"/>
        <v>0</v>
      </c>
      <c r="I132" s="118">
        <f t="shared" si="9"/>
        <v>5.6885082825370525E-2</v>
      </c>
      <c r="J132" s="107">
        <f t="shared" si="10"/>
        <v>1.8862298343492589</v>
      </c>
    </row>
    <row r="133" spans="6:10" ht="16">
      <c r="F133" s="117">
        <f t="shared" si="11"/>
        <v>0.24000000000000082</v>
      </c>
      <c r="G133" s="118">
        <f t="shared" si="7"/>
        <v>0.93789398301971894</v>
      </c>
      <c r="H133" s="118">
        <f t="shared" si="8"/>
        <v>0</v>
      </c>
      <c r="I133" s="118">
        <f t="shared" si="9"/>
        <v>6.2106016980281065E-2</v>
      </c>
      <c r="J133" s="107">
        <f t="shared" si="10"/>
        <v>1.8757879660394379</v>
      </c>
    </row>
    <row r="134" spans="6:10" ht="16">
      <c r="F134" s="117">
        <f t="shared" si="11"/>
        <v>0.25000000000000083</v>
      </c>
      <c r="G134" s="118">
        <f t="shared" si="7"/>
        <v>0.9324197557402677</v>
      </c>
      <c r="H134" s="118">
        <f t="shared" si="8"/>
        <v>0</v>
      </c>
      <c r="I134" s="118">
        <f t="shared" si="9"/>
        <v>6.7580244259732303E-2</v>
      </c>
      <c r="J134" s="107">
        <f t="shared" si="10"/>
        <v>1.8648395114805354</v>
      </c>
    </row>
    <row r="135" spans="6:10" ht="16">
      <c r="F135" s="117">
        <f t="shared" si="11"/>
        <v>0.26000000000000084</v>
      </c>
      <c r="G135" s="118">
        <f t="shared" si="7"/>
        <v>0.92668774650782526</v>
      </c>
      <c r="H135" s="118">
        <f t="shared" si="8"/>
        <v>0</v>
      </c>
      <c r="I135" s="118">
        <f t="shared" si="9"/>
        <v>7.3312253492174739E-2</v>
      </c>
      <c r="J135" s="107">
        <f t="shared" si="10"/>
        <v>1.8533754930156505</v>
      </c>
    </row>
    <row r="136" spans="6:10" ht="16">
      <c r="F136" s="117">
        <f t="shared" si="11"/>
        <v>0.27000000000000085</v>
      </c>
      <c r="G136" s="118">
        <f t="shared" si="7"/>
        <v>0.92069314067371288</v>
      </c>
      <c r="H136" s="118">
        <f t="shared" si="8"/>
        <v>0</v>
      </c>
      <c r="I136" s="118">
        <f t="shared" si="9"/>
        <v>7.9306859326287116E-2</v>
      </c>
      <c r="J136" s="107">
        <f t="shared" si="10"/>
        <v>1.8413862813474258</v>
      </c>
    </row>
    <row r="137" spans="6:10" ht="16">
      <c r="F137" s="117">
        <f t="shared" si="11"/>
        <v>0.28000000000000086</v>
      </c>
      <c r="G137" s="118">
        <f t="shared" ref="G137:G200" si="12">IFERROR(IF(SQRT(1-(F137*F137)/($J$5*$J$5))&lt;0.05,0,SQRT(1-(F137*F137)/($J$5*$J$5))),0)</f>
        <v>0.91443077384915394</v>
      </c>
      <c r="H137" s="118">
        <f t="shared" ref="H137:H200" si="13">CHOOSE(MATCH($J$3,degrees),IF(F137&lt;0,IFERROR(1-G137,1),0),0,0,IF(F137&gt;0,IFERROR(1-G137,1),0))</f>
        <v>0</v>
      </c>
      <c r="I137" s="118">
        <f t="shared" ref="I137:I200" si="14">CHOOSE(MATCH($J$3,degrees),IF(F137&lt;0,2*G137,2),IF(F137&lt;0,0,1-G137),IF(F137&gt;0,0,1-G137),IF(F137&gt;0,2*G137,2))</f>
        <v>8.5569226150846056E-2</v>
      </c>
      <c r="J137" s="107">
        <f t="shared" ref="J137:J200" si="15">CHOOSE(MATCH($J$3,degrees),IF(F137&lt;0,G137+1,2),IF(F137&lt;0,2,2*G137),IF(F137&gt;0,2,2*G137),IF(F137&gt;0,G137+1,2))</f>
        <v>1.8288615476983079</v>
      </c>
    </row>
    <row r="138" spans="6:10" ht="16">
      <c r="F138" s="117">
        <f t="shared" ref="F138:F201" si="16">F137+$G$4</f>
        <v>0.29000000000000087</v>
      </c>
      <c r="G138" s="118">
        <f t="shared" si="12"/>
        <v>0.90789510526489947</v>
      </c>
      <c r="H138" s="118">
        <f t="shared" si="13"/>
        <v>0</v>
      </c>
      <c r="I138" s="118">
        <f t="shared" si="14"/>
        <v>9.2104894735100529E-2</v>
      </c>
      <c r="J138" s="107">
        <f t="shared" si="15"/>
        <v>1.8157902105297989</v>
      </c>
    </row>
    <row r="139" spans="6:10" ht="16">
      <c r="F139" s="117">
        <f t="shared" si="16"/>
        <v>0.30000000000000088</v>
      </c>
      <c r="G139" s="118">
        <f t="shared" si="12"/>
        <v>0.90108018804567347</v>
      </c>
      <c r="H139" s="118">
        <f t="shared" si="13"/>
        <v>0</v>
      </c>
      <c r="I139" s="118">
        <f t="shared" si="14"/>
        <v>9.8919811954326531E-2</v>
      </c>
      <c r="J139" s="107">
        <f t="shared" si="15"/>
        <v>1.8021603760913469</v>
      </c>
    </row>
    <row r="140" spans="6:10" ht="16">
      <c r="F140" s="117">
        <f t="shared" si="16"/>
        <v>0.31000000000000089</v>
      </c>
      <c r="G140" s="118">
        <f t="shared" si="12"/>
        <v>0.89397963597374697</v>
      </c>
      <c r="H140" s="118">
        <f t="shared" si="13"/>
        <v>0</v>
      </c>
      <c r="I140" s="118">
        <f t="shared" si="14"/>
        <v>0.10602036402625303</v>
      </c>
      <c r="J140" s="107">
        <f t="shared" si="15"/>
        <v>1.7879592719474939</v>
      </c>
    </row>
    <row r="141" spans="6:10" ht="16">
      <c r="F141" s="117">
        <f t="shared" si="16"/>
        <v>0.32000000000000089</v>
      </c>
      <c r="G141" s="118">
        <f t="shared" si="12"/>
        <v>0.88658658624295861</v>
      </c>
      <c r="H141" s="118">
        <f t="shared" si="13"/>
        <v>0</v>
      </c>
      <c r="I141" s="118">
        <f t="shared" si="14"/>
        <v>0.11341341375704139</v>
      </c>
      <c r="J141" s="107">
        <f t="shared" si="15"/>
        <v>1.7731731724859172</v>
      </c>
    </row>
    <row r="142" spans="6:10" ht="16">
      <c r="F142" s="117">
        <f t="shared" si="16"/>
        <v>0.3300000000000009</v>
      </c>
      <c r="G142" s="118">
        <f t="shared" si="12"/>
        <v>0.87889365761677685</v>
      </c>
      <c r="H142" s="118">
        <f t="shared" si="13"/>
        <v>0</v>
      </c>
      <c r="I142" s="118">
        <f t="shared" si="14"/>
        <v>0.12110634238322315</v>
      </c>
      <c r="J142" s="107">
        <f t="shared" si="15"/>
        <v>1.7577873152335537</v>
      </c>
    </row>
    <row r="143" spans="6:10" ht="16">
      <c r="F143" s="117">
        <f t="shared" si="16"/>
        <v>0.34000000000000091</v>
      </c>
      <c r="G143" s="118">
        <f t="shared" si="12"/>
        <v>0.87089290329805324</v>
      </c>
      <c r="H143" s="118">
        <f t="shared" si="13"/>
        <v>0</v>
      </c>
      <c r="I143" s="118">
        <f t="shared" si="14"/>
        <v>0.12910709670194676</v>
      </c>
      <c r="J143" s="107">
        <f t="shared" si="15"/>
        <v>1.7417858065961065</v>
      </c>
    </row>
    <row r="144" spans="6:10" ht="16">
      <c r="F144" s="117">
        <f t="shared" si="16"/>
        <v>0.35000000000000092</v>
      </c>
      <c r="G144" s="118">
        <f t="shared" si="12"/>
        <v>0.86257575768954442</v>
      </c>
      <c r="H144" s="118">
        <f t="shared" si="13"/>
        <v>0</v>
      </c>
      <c r="I144" s="118">
        <f t="shared" si="14"/>
        <v>0.13742424231045558</v>
      </c>
      <c r="J144" s="107">
        <f t="shared" si="15"/>
        <v>1.7251515153790888</v>
      </c>
    </row>
    <row r="145" spans="6:10" ht="16">
      <c r="F145" s="117">
        <f t="shared" si="16"/>
        <v>0.36000000000000093</v>
      </c>
      <c r="G145" s="118">
        <f t="shared" si="12"/>
        <v>0.85393297606740437</v>
      </c>
      <c r="H145" s="118">
        <f t="shared" si="13"/>
        <v>0</v>
      </c>
      <c r="I145" s="118">
        <f t="shared" si="14"/>
        <v>0.14606702393259563</v>
      </c>
      <c r="J145" s="107">
        <f t="shared" si="15"/>
        <v>1.7078659521348087</v>
      </c>
    </row>
    <row r="146" spans="6:10" ht="16">
      <c r="F146" s="117">
        <f t="shared" si="16"/>
        <v>0.37000000000000094</v>
      </c>
      <c r="G146" s="118">
        <f t="shared" si="12"/>
        <v>0.84495456599739138</v>
      </c>
      <c r="H146" s="118">
        <f t="shared" si="13"/>
        <v>0</v>
      </c>
      <c r="I146" s="118">
        <f t="shared" si="14"/>
        <v>0.15504543400260862</v>
      </c>
      <c r="J146" s="107">
        <f t="shared" si="15"/>
        <v>1.6899091319947828</v>
      </c>
    </row>
    <row r="147" spans="6:10" ht="16">
      <c r="F147" s="117">
        <f t="shared" si="16"/>
        <v>0.38000000000000095</v>
      </c>
      <c r="G147" s="118">
        <f t="shared" si="12"/>
        <v>0.83562970908603351</v>
      </c>
      <c r="H147" s="118">
        <f t="shared" si="13"/>
        <v>0</v>
      </c>
      <c r="I147" s="118">
        <f t="shared" si="14"/>
        <v>0.16437029091396649</v>
      </c>
      <c r="J147" s="107">
        <f t="shared" si="15"/>
        <v>1.671259418172067</v>
      </c>
    </row>
    <row r="148" spans="6:10" ht="16">
      <c r="F148" s="117">
        <f t="shared" si="16"/>
        <v>0.39000000000000096</v>
      </c>
      <c r="G148" s="118">
        <f t="shared" si="12"/>
        <v>0.82594667136410271</v>
      </c>
      <c r="H148" s="118">
        <f t="shared" si="13"/>
        <v>0</v>
      </c>
      <c r="I148" s="118">
        <f t="shared" si="14"/>
        <v>0.17405332863589729</v>
      </c>
      <c r="J148" s="107">
        <f t="shared" si="15"/>
        <v>1.6518933427282054</v>
      </c>
    </row>
    <row r="149" spans="6:10" ht="16">
      <c r="F149" s="117">
        <f t="shared" si="16"/>
        <v>0.40000000000000097</v>
      </c>
      <c r="G149" s="118">
        <f t="shared" si="12"/>
        <v>0.81589270023118621</v>
      </c>
      <c r="H149" s="118">
        <f t="shared" si="13"/>
        <v>0</v>
      </c>
      <c r="I149" s="118">
        <f t="shared" si="14"/>
        <v>0.18410729976881379</v>
      </c>
      <c r="J149" s="107">
        <f t="shared" si="15"/>
        <v>1.6317854004623724</v>
      </c>
    </row>
    <row r="150" spans="6:10" ht="16">
      <c r="F150" s="117">
        <f t="shared" si="16"/>
        <v>0.41000000000000097</v>
      </c>
      <c r="G150" s="118">
        <f t="shared" si="12"/>
        <v>0.80545390542630968</v>
      </c>
      <c r="H150" s="118">
        <f t="shared" si="13"/>
        <v>0</v>
      </c>
      <c r="I150" s="118">
        <f t="shared" si="14"/>
        <v>0.19454609457369032</v>
      </c>
      <c r="J150" s="107">
        <f t="shared" si="15"/>
        <v>1.6109078108526194</v>
      </c>
    </row>
    <row r="151" spans="6:10" ht="16">
      <c r="F151" s="117">
        <f t="shared" si="16"/>
        <v>0.42000000000000098</v>
      </c>
      <c r="G151" s="118">
        <f t="shared" si="12"/>
        <v>0.79461512090150677</v>
      </c>
      <c r="H151" s="118">
        <f t="shared" si="13"/>
        <v>0</v>
      </c>
      <c r="I151" s="118">
        <f t="shared" si="14"/>
        <v>0.20538487909849323</v>
      </c>
      <c r="J151" s="107">
        <f t="shared" si="15"/>
        <v>1.5892302418030135</v>
      </c>
    </row>
    <row r="152" spans="6:10" ht="16">
      <c r="F152" s="117">
        <f t="shared" si="16"/>
        <v>0.43000000000000099</v>
      </c>
      <c r="G152" s="118">
        <f t="shared" si="12"/>
        <v>0.78335974372378936</v>
      </c>
      <c r="H152" s="118">
        <f t="shared" si="13"/>
        <v>0</v>
      </c>
      <c r="I152" s="118">
        <f t="shared" si="14"/>
        <v>0.21664025627621064</v>
      </c>
      <c r="J152" s="107">
        <f t="shared" si="15"/>
        <v>1.5667194874475787</v>
      </c>
    </row>
    <row r="153" spans="6:10" ht="16">
      <c r="F153" s="117">
        <f t="shared" si="16"/>
        <v>0.440000000000001</v>
      </c>
      <c r="G153" s="118">
        <f t="shared" si="12"/>
        <v>0.77166954516266151</v>
      </c>
      <c r="H153" s="118">
        <f t="shared" si="13"/>
        <v>0</v>
      </c>
      <c r="I153" s="118">
        <f t="shared" si="14"/>
        <v>0.22833045483733849</v>
      </c>
      <c r="J153" s="107">
        <f t="shared" si="15"/>
        <v>1.543339090325323</v>
      </c>
    </row>
    <row r="154" spans="6:10" ht="16">
      <c r="F154" s="117">
        <f t="shared" si="16"/>
        <v>0.45000000000000101</v>
      </c>
      <c r="G154" s="118">
        <f t="shared" si="12"/>
        <v>0.75952444786126538</v>
      </c>
      <c r="H154" s="118">
        <f t="shared" si="13"/>
        <v>0</v>
      </c>
      <c r="I154" s="118">
        <f t="shared" si="14"/>
        <v>0.24047555213873462</v>
      </c>
      <c r="J154" s="107">
        <f t="shared" si="15"/>
        <v>1.5190488957225308</v>
      </c>
    </row>
    <row r="155" spans="6:10" ht="16">
      <c r="F155" s="117">
        <f t="shared" si="16"/>
        <v>0.46000000000000102</v>
      </c>
      <c r="G155" s="118">
        <f t="shared" si="12"/>
        <v>0.74690226133627036</v>
      </c>
      <c r="H155" s="118">
        <f t="shared" si="13"/>
        <v>0</v>
      </c>
      <c r="I155" s="118">
        <f t="shared" si="14"/>
        <v>0.25309773866372964</v>
      </c>
      <c r="J155" s="107">
        <f t="shared" si="15"/>
        <v>1.4938045226725407</v>
      </c>
    </row>
    <row r="156" spans="6:10" ht="16">
      <c r="F156" s="117">
        <f t="shared" si="16"/>
        <v>0.47000000000000103</v>
      </c>
      <c r="G156" s="118">
        <f t="shared" si="12"/>
        <v>0.73377836585877332</v>
      </c>
      <c r="H156" s="118">
        <f t="shared" si="13"/>
        <v>0</v>
      </c>
      <c r="I156" s="118">
        <f t="shared" si="14"/>
        <v>0.26622163414122668</v>
      </c>
      <c r="J156" s="107">
        <f t="shared" si="15"/>
        <v>1.4675567317175466</v>
      </c>
    </row>
    <row r="157" spans="6:10" ht="16">
      <c r="F157" s="117">
        <f t="shared" si="16"/>
        <v>0.48000000000000104</v>
      </c>
      <c r="G157" s="118">
        <f t="shared" si="12"/>
        <v>0.72012533182660121</v>
      </c>
      <c r="H157" s="118">
        <f t="shared" si="13"/>
        <v>0</v>
      </c>
      <c r="I157" s="118">
        <f t="shared" si="14"/>
        <v>0.27987466817339879</v>
      </c>
      <c r="J157" s="107">
        <f t="shared" si="15"/>
        <v>1.4402506636532024</v>
      </c>
    </row>
    <row r="158" spans="6:10" ht="16">
      <c r="F158" s="117">
        <f t="shared" si="16"/>
        <v>0.49000000000000105</v>
      </c>
      <c r="G158" s="118">
        <f t="shared" si="12"/>
        <v>0.70591245774333533</v>
      </c>
      <c r="H158" s="118">
        <f t="shared" si="13"/>
        <v>0</v>
      </c>
      <c r="I158" s="118">
        <f t="shared" si="14"/>
        <v>0.29408754225666467</v>
      </c>
      <c r="J158" s="107">
        <f t="shared" si="15"/>
        <v>1.4118249154866707</v>
      </c>
    </row>
    <row r="159" spans="6:10" ht="16">
      <c r="F159" s="117">
        <f t="shared" si="16"/>
        <v>0.500000000000001</v>
      </c>
      <c r="G159" s="118">
        <f t="shared" si="12"/>
        <v>0.6911052044218472</v>
      </c>
      <c r="H159" s="118">
        <f t="shared" si="13"/>
        <v>0</v>
      </c>
      <c r="I159" s="118">
        <f t="shared" si="14"/>
        <v>0.3088947955781528</v>
      </c>
      <c r="J159" s="107">
        <f t="shared" si="15"/>
        <v>1.3822104088436944</v>
      </c>
    </row>
    <row r="160" spans="6:10" ht="16">
      <c r="F160" s="117">
        <f t="shared" si="16"/>
        <v>0.51000000000000101</v>
      </c>
      <c r="G160" s="118">
        <f t="shared" si="12"/>
        <v>0.67566449535516759</v>
      </c>
      <c r="H160" s="118">
        <f t="shared" si="13"/>
        <v>0</v>
      </c>
      <c r="I160" s="118">
        <f t="shared" si="14"/>
        <v>0.32433550464483241</v>
      </c>
      <c r="J160" s="107">
        <f t="shared" si="15"/>
        <v>1.3513289907103352</v>
      </c>
    </row>
    <row r="161" spans="6:10" ht="16">
      <c r="F161" s="117">
        <f t="shared" si="16"/>
        <v>0.52000000000000102</v>
      </c>
      <c r="G161" s="118">
        <f t="shared" si="12"/>
        <v>0.65954584231197044</v>
      </c>
      <c r="H161" s="118">
        <f t="shared" si="13"/>
        <v>0</v>
      </c>
      <c r="I161" s="118">
        <f t="shared" si="14"/>
        <v>0.34045415768802956</v>
      </c>
      <c r="J161" s="107">
        <f t="shared" si="15"/>
        <v>1.3190916846239409</v>
      </c>
    </row>
    <row r="162" spans="6:10" ht="16">
      <c r="F162" s="117">
        <f t="shared" si="16"/>
        <v>0.53000000000000103</v>
      </c>
      <c r="G162" s="118">
        <f t="shared" si="12"/>
        <v>0.64269823950383065</v>
      </c>
      <c r="H162" s="118">
        <f t="shared" si="13"/>
        <v>0</v>
      </c>
      <c r="I162" s="118">
        <f t="shared" si="14"/>
        <v>0.35730176049616935</v>
      </c>
      <c r="J162" s="107">
        <f t="shared" si="15"/>
        <v>1.2853964790076613</v>
      </c>
    </row>
    <row r="163" spans="6:10" ht="16">
      <c r="F163" s="117">
        <f t="shared" si="16"/>
        <v>0.54000000000000103</v>
      </c>
      <c r="G163" s="118">
        <f t="shared" si="12"/>
        <v>0.62506274655789773</v>
      </c>
      <c r="H163" s="118">
        <f t="shared" si="13"/>
        <v>0</v>
      </c>
      <c r="I163" s="118">
        <f t="shared" si="14"/>
        <v>0.37493725344210227</v>
      </c>
      <c r="J163" s="107">
        <f t="shared" si="15"/>
        <v>1.2501254931157955</v>
      </c>
    </row>
    <row r="164" spans="6:10" ht="16">
      <c r="F164" s="117">
        <f t="shared" si="16"/>
        <v>0.55000000000000104</v>
      </c>
      <c r="G164" s="118">
        <f t="shared" si="12"/>
        <v>0.60657064578707209</v>
      </c>
      <c r="H164" s="118">
        <f t="shared" si="13"/>
        <v>0</v>
      </c>
      <c r="I164" s="118">
        <f t="shared" si="14"/>
        <v>0.39342935421292791</v>
      </c>
      <c r="J164" s="107">
        <f t="shared" si="15"/>
        <v>1.2131412915741442</v>
      </c>
    </row>
    <row r="165" spans="6:10" ht="16">
      <c r="F165" s="117">
        <f t="shared" si="16"/>
        <v>0.56000000000000105</v>
      </c>
      <c r="G165" s="118">
        <f t="shared" si="12"/>
        <v>0.58714100576390649</v>
      </c>
      <c r="H165" s="118">
        <f t="shared" si="13"/>
        <v>0</v>
      </c>
      <c r="I165" s="118">
        <f t="shared" si="14"/>
        <v>0.41285899423609351</v>
      </c>
      <c r="J165" s="107">
        <f t="shared" si="15"/>
        <v>1.174282011527813</v>
      </c>
    </row>
    <row r="166" spans="6:10" ht="16">
      <c r="F166" s="117">
        <f t="shared" si="16"/>
        <v>0.57000000000000106</v>
      </c>
      <c r="G166" s="118">
        <f t="shared" si="12"/>
        <v>0.56667739860631539</v>
      </c>
      <c r="H166" s="118">
        <f t="shared" si="13"/>
        <v>0</v>
      </c>
      <c r="I166" s="118">
        <f t="shared" si="14"/>
        <v>0.43332260139368461</v>
      </c>
      <c r="J166" s="107">
        <f t="shared" si="15"/>
        <v>1.1333547972126308</v>
      </c>
    </row>
    <row r="167" spans="6:10" ht="16">
      <c r="F167" s="117">
        <f t="shared" si="16"/>
        <v>0.58000000000000107</v>
      </c>
      <c r="G167" s="118">
        <f t="shared" si="12"/>
        <v>0.54506338040254831</v>
      </c>
      <c r="H167" s="118">
        <f t="shared" si="13"/>
        <v>0</v>
      </c>
      <c r="I167" s="118">
        <f t="shared" si="14"/>
        <v>0.45493661959745169</v>
      </c>
      <c r="J167" s="107">
        <f t="shared" si="15"/>
        <v>1.0901267608050966</v>
      </c>
    </row>
    <row r="168" spans="6:10" ht="16">
      <c r="F168" s="117">
        <f t="shared" si="16"/>
        <v>0.59000000000000108</v>
      </c>
      <c r="G168" s="118">
        <f t="shared" si="12"/>
        <v>0.52215611108494031</v>
      </c>
      <c r="H168" s="118">
        <f t="shared" si="13"/>
        <v>0</v>
      </c>
      <c r="I168" s="118">
        <f t="shared" si="14"/>
        <v>0.47784388891505969</v>
      </c>
      <c r="J168" s="107">
        <f t="shared" si="15"/>
        <v>1.0443122221698806</v>
      </c>
    </row>
    <row r="169" spans="6:10" ht="16">
      <c r="F169" s="117">
        <f t="shared" si="16"/>
        <v>0.60000000000000109</v>
      </c>
      <c r="G169" s="118">
        <f t="shared" si="12"/>
        <v>0.49777707977940011</v>
      </c>
      <c r="H169" s="118">
        <f t="shared" si="13"/>
        <v>0</v>
      </c>
      <c r="I169" s="118">
        <f t="shared" si="14"/>
        <v>0.50222292022059989</v>
      </c>
      <c r="J169" s="107">
        <f t="shared" si="15"/>
        <v>0.99555415955880022</v>
      </c>
    </row>
    <row r="170" spans="6:10" ht="16">
      <c r="F170" s="117">
        <f t="shared" si="16"/>
        <v>0.6100000000000011</v>
      </c>
      <c r="G170" s="118">
        <f t="shared" si="12"/>
        <v>0.47169814403591753</v>
      </c>
      <c r="H170" s="118">
        <f t="shared" si="13"/>
        <v>0</v>
      </c>
      <c r="I170" s="118">
        <f t="shared" si="14"/>
        <v>0.52830185596408241</v>
      </c>
      <c r="J170" s="107">
        <f t="shared" si="15"/>
        <v>0.94339628807183507</v>
      </c>
    </row>
    <row r="171" spans="6:10" ht="16">
      <c r="F171" s="117">
        <f t="shared" si="16"/>
        <v>0.62000000000000111</v>
      </c>
      <c r="G171" s="118">
        <f t="shared" si="12"/>
        <v>0.44361960973678144</v>
      </c>
      <c r="H171" s="118">
        <f t="shared" si="13"/>
        <v>0</v>
      </c>
      <c r="I171" s="118">
        <f t="shared" si="14"/>
        <v>0.5563803902632185</v>
      </c>
      <c r="J171" s="107">
        <f t="shared" si="15"/>
        <v>0.88723921947356288</v>
      </c>
    </row>
    <row r="172" spans="6:10" ht="16">
      <c r="F172" s="117">
        <f t="shared" si="16"/>
        <v>0.63000000000000111</v>
      </c>
      <c r="G172" s="118">
        <f t="shared" si="12"/>
        <v>0.41313397139664321</v>
      </c>
      <c r="H172" s="118">
        <f t="shared" si="13"/>
        <v>0</v>
      </c>
      <c r="I172" s="118">
        <f t="shared" si="14"/>
        <v>0.58686602860335679</v>
      </c>
      <c r="J172" s="107">
        <f t="shared" si="15"/>
        <v>0.82626794279328641</v>
      </c>
    </row>
    <row r="173" spans="6:10" ht="16">
      <c r="F173" s="117">
        <f t="shared" si="16"/>
        <v>0.64000000000000112</v>
      </c>
      <c r="G173" s="118">
        <f t="shared" si="12"/>
        <v>0.37966182271038751</v>
      </c>
      <c r="H173" s="118">
        <f t="shared" si="13"/>
        <v>0</v>
      </c>
      <c r="I173" s="118">
        <f t="shared" si="14"/>
        <v>0.62033817728961249</v>
      </c>
      <c r="J173" s="107">
        <f t="shared" si="15"/>
        <v>0.75932364542077502</v>
      </c>
    </row>
    <row r="174" spans="6:10" ht="16">
      <c r="F174" s="117">
        <f t="shared" si="16"/>
        <v>0.65000000000000113</v>
      </c>
      <c r="G174" s="118">
        <f t="shared" si="12"/>
        <v>0.34232823729346118</v>
      </c>
      <c r="H174" s="118">
        <f t="shared" si="13"/>
        <v>0</v>
      </c>
      <c r="I174" s="118">
        <f t="shared" si="14"/>
        <v>0.65767176270653882</v>
      </c>
      <c r="J174" s="107">
        <f t="shared" si="15"/>
        <v>0.68465647458692236</v>
      </c>
    </row>
    <row r="175" spans="6:10" ht="16">
      <c r="F175" s="117">
        <f t="shared" si="16"/>
        <v>0.66000000000000114</v>
      </c>
      <c r="G175" s="118">
        <f t="shared" si="12"/>
        <v>0.29969358617759256</v>
      </c>
      <c r="H175" s="118">
        <f t="shared" si="13"/>
        <v>0</v>
      </c>
      <c r="I175" s="118">
        <f t="shared" si="14"/>
        <v>0.70030641382240744</v>
      </c>
      <c r="J175" s="107">
        <f t="shared" si="15"/>
        <v>0.59938717235518513</v>
      </c>
    </row>
    <row r="176" spans="6:10" ht="16">
      <c r="F176" s="117">
        <f t="shared" si="16"/>
        <v>0.67000000000000115</v>
      </c>
      <c r="G176" s="118">
        <f t="shared" si="12"/>
        <v>0.24905013604972573</v>
      </c>
      <c r="H176" s="118">
        <f t="shared" si="13"/>
        <v>0</v>
      </c>
      <c r="I176" s="118">
        <f t="shared" si="14"/>
        <v>0.7509498639502743</v>
      </c>
      <c r="J176" s="107">
        <f t="shared" si="15"/>
        <v>0.49810027209945146</v>
      </c>
    </row>
    <row r="177" spans="6:10" ht="16">
      <c r="F177" s="117">
        <f t="shared" si="16"/>
        <v>0.68000000000000116</v>
      </c>
      <c r="G177" s="118">
        <f t="shared" si="12"/>
        <v>0.18389615564130471</v>
      </c>
      <c r="H177" s="118">
        <f t="shared" si="13"/>
        <v>0</v>
      </c>
      <c r="I177" s="118">
        <f t="shared" si="14"/>
        <v>0.81610384435869532</v>
      </c>
      <c r="J177" s="107">
        <f t="shared" si="15"/>
        <v>0.36779231128260942</v>
      </c>
    </row>
    <row r="178" spans="6:10" ht="16">
      <c r="F178" s="117">
        <f t="shared" si="16"/>
        <v>0.69000000000000117</v>
      </c>
      <c r="G178" s="118">
        <f t="shared" si="12"/>
        <v>7.2053611816328744E-2</v>
      </c>
      <c r="H178" s="118">
        <f t="shared" si="13"/>
        <v>0</v>
      </c>
      <c r="I178" s="118">
        <f t="shared" si="14"/>
        <v>0.92794638818367126</v>
      </c>
      <c r="J178" s="107">
        <f t="shared" si="15"/>
        <v>0.14410722363265749</v>
      </c>
    </row>
    <row r="179" spans="6:10" ht="16">
      <c r="F179" s="117">
        <f t="shared" si="16"/>
        <v>0.70000000000000118</v>
      </c>
      <c r="G179" s="118">
        <f t="shared" si="12"/>
        <v>0</v>
      </c>
      <c r="H179" s="118">
        <f t="shared" si="13"/>
        <v>0</v>
      </c>
      <c r="I179" s="118">
        <f t="shared" si="14"/>
        <v>1</v>
      </c>
      <c r="J179" s="107">
        <f t="shared" si="15"/>
        <v>0</v>
      </c>
    </row>
    <row r="180" spans="6:10" ht="16">
      <c r="F180" s="117">
        <f t="shared" si="16"/>
        <v>0.71000000000000119</v>
      </c>
      <c r="G180" s="118">
        <f t="shared" si="12"/>
        <v>0</v>
      </c>
      <c r="H180" s="118">
        <f t="shared" si="13"/>
        <v>0</v>
      </c>
      <c r="I180" s="118">
        <f t="shared" si="14"/>
        <v>1</v>
      </c>
      <c r="J180" s="107">
        <f t="shared" si="15"/>
        <v>0</v>
      </c>
    </row>
    <row r="181" spans="6:10" ht="16">
      <c r="F181" s="117">
        <f t="shared" si="16"/>
        <v>0.72000000000000119</v>
      </c>
      <c r="G181" s="118">
        <f t="shared" si="12"/>
        <v>0</v>
      </c>
      <c r="H181" s="118">
        <f t="shared" si="13"/>
        <v>0</v>
      </c>
      <c r="I181" s="118">
        <f t="shared" si="14"/>
        <v>1</v>
      </c>
      <c r="J181" s="107">
        <f t="shared" si="15"/>
        <v>0</v>
      </c>
    </row>
    <row r="182" spans="6:10" ht="16">
      <c r="F182" s="117">
        <f t="shared" si="16"/>
        <v>0.7300000000000012</v>
      </c>
      <c r="G182" s="118">
        <f t="shared" si="12"/>
        <v>0</v>
      </c>
      <c r="H182" s="118">
        <f t="shared" si="13"/>
        <v>0</v>
      </c>
      <c r="I182" s="118">
        <f t="shared" si="14"/>
        <v>1</v>
      </c>
      <c r="J182" s="107">
        <f t="shared" si="15"/>
        <v>0</v>
      </c>
    </row>
    <row r="183" spans="6:10" ht="16">
      <c r="F183" s="117">
        <f t="shared" si="16"/>
        <v>0.74000000000000121</v>
      </c>
      <c r="G183" s="118">
        <f t="shared" si="12"/>
        <v>0</v>
      </c>
      <c r="H183" s="118">
        <f t="shared" si="13"/>
        <v>0</v>
      </c>
      <c r="I183" s="118">
        <f t="shared" si="14"/>
        <v>1</v>
      </c>
      <c r="J183" s="107">
        <f t="shared" si="15"/>
        <v>0</v>
      </c>
    </row>
    <row r="184" spans="6:10" ht="16">
      <c r="F184" s="117">
        <f t="shared" si="16"/>
        <v>0.75000000000000122</v>
      </c>
      <c r="G184" s="118">
        <f t="shared" si="12"/>
        <v>0</v>
      </c>
      <c r="H184" s="118">
        <f t="shared" si="13"/>
        <v>0</v>
      </c>
      <c r="I184" s="118">
        <f t="shared" si="14"/>
        <v>1</v>
      </c>
      <c r="J184" s="107">
        <f t="shared" si="15"/>
        <v>0</v>
      </c>
    </row>
    <row r="185" spans="6:10" ht="16">
      <c r="F185" s="117">
        <f t="shared" si="16"/>
        <v>0.76000000000000123</v>
      </c>
      <c r="G185" s="118">
        <f t="shared" si="12"/>
        <v>0</v>
      </c>
      <c r="H185" s="118">
        <f t="shared" si="13"/>
        <v>0</v>
      </c>
      <c r="I185" s="118">
        <f t="shared" si="14"/>
        <v>1</v>
      </c>
      <c r="J185" s="107">
        <f t="shared" si="15"/>
        <v>0</v>
      </c>
    </row>
    <row r="186" spans="6:10" ht="16">
      <c r="F186" s="117">
        <f t="shared" si="16"/>
        <v>0.77000000000000124</v>
      </c>
      <c r="G186" s="118">
        <f t="shared" si="12"/>
        <v>0</v>
      </c>
      <c r="H186" s="118">
        <f t="shared" si="13"/>
        <v>0</v>
      </c>
      <c r="I186" s="118">
        <f t="shared" si="14"/>
        <v>1</v>
      </c>
      <c r="J186" s="107">
        <f t="shared" si="15"/>
        <v>0</v>
      </c>
    </row>
    <row r="187" spans="6:10" ht="16">
      <c r="F187" s="117">
        <f t="shared" si="16"/>
        <v>0.78000000000000125</v>
      </c>
      <c r="G187" s="118">
        <f t="shared" si="12"/>
        <v>0</v>
      </c>
      <c r="H187" s="118">
        <f t="shared" si="13"/>
        <v>0</v>
      </c>
      <c r="I187" s="118">
        <f t="shared" si="14"/>
        <v>1</v>
      </c>
      <c r="J187" s="107">
        <f t="shared" si="15"/>
        <v>0</v>
      </c>
    </row>
    <row r="188" spans="6:10" ht="16">
      <c r="F188" s="117">
        <f t="shared" si="16"/>
        <v>0.79000000000000126</v>
      </c>
      <c r="G188" s="118">
        <f t="shared" si="12"/>
        <v>0</v>
      </c>
      <c r="H188" s="118">
        <f t="shared" si="13"/>
        <v>0</v>
      </c>
      <c r="I188" s="118">
        <f t="shared" si="14"/>
        <v>1</v>
      </c>
      <c r="J188" s="107">
        <f t="shared" si="15"/>
        <v>0</v>
      </c>
    </row>
    <row r="189" spans="6:10" ht="16">
      <c r="F189" s="117">
        <f t="shared" si="16"/>
        <v>0.80000000000000127</v>
      </c>
      <c r="G189" s="118">
        <f t="shared" si="12"/>
        <v>0</v>
      </c>
      <c r="H189" s="118">
        <f t="shared" si="13"/>
        <v>0</v>
      </c>
      <c r="I189" s="118">
        <f t="shared" si="14"/>
        <v>1</v>
      </c>
      <c r="J189" s="107">
        <f t="shared" si="15"/>
        <v>0</v>
      </c>
    </row>
    <row r="190" spans="6:10" ht="16">
      <c r="F190" s="117">
        <f t="shared" si="16"/>
        <v>0.81000000000000127</v>
      </c>
      <c r="G190" s="118">
        <f t="shared" si="12"/>
        <v>0</v>
      </c>
      <c r="H190" s="118">
        <f t="shared" si="13"/>
        <v>0</v>
      </c>
      <c r="I190" s="118">
        <f t="shared" si="14"/>
        <v>1</v>
      </c>
      <c r="J190" s="107">
        <f t="shared" si="15"/>
        <v>0</v>
      </c>
    </row>
    <row r="191" spans="6:10" ht="16">
      <c r="F191" s="117">
        <f t="shared" si="16"/>
        <v>0.82000000000000128</v>
      </c>
      <c r="G191" s="118">
        <f t="shared" si="12"/>
        <v>0</v>
      </c>
      <c r="H191" s="118">
        <f t="shared" si="13"/>
        <v>0</v>
      </c>
      <c r="I191" s="118">
        <f t="shared" si="14"/>
        <v>1</v>
      </c>
      <c r="J191" s="107">
        <f t="shared" si="15"/>
        <v>0</v>
      </c>
    </row>
    <row r="192" spans="6:10" ht="16">
      <c r="F192" s="117">
        <f t="shared" si="16"/>
        <v>0.83000000000000129</v>
      </c>
      <c r="G192" s="118">
        <f t="shared" si="12"/>
        <v>0</v>
      </c>
      <c r="H192" s="118">
        <f t="shared" si="13"/>
        <v>0</v>
      </c>
      <c r="I192" s="118">
        <f t="shared" si="14"/>
        <v>1</v>
      </c>
      <c r="J192" s="107">
        <f t="shared" si="15"/>
        <v>0</v>
      </c>
    </row>
    <row r="193" spans="6:10" ht="16">
      <c r="F193" s="117">
        <f t="shared" si="16"/>
        <v>0.8400000000000013</v>
      </c>
      <c r="G193" s="118">
        <f t="shared" si="12"/>
        <v>0</v>
      </c>
      <c r="H193" s="118">
        <f t="shared" si="13"/>
        <v>0</v>
      </c>
      <c r="I193" s="118">
        <f t="shared" si="14"/>
        <v>1</v>
      </c>
      <c r="J193" s="107">
        <f t="shared" si="15"/>
        <v>0</v>
      </c>
    </row>
    <row r="194" spans="6:10" ht="16">
      <c r="F194" s="117">
        <f t="shared" si="16"/>
        <v>0.85000000000000131</v>
      </c>
      <c r="G194" s="118">
        <f t="shared" si="12"/>
        <v>0</v>
      </c>
      <c r="H194" s="118">
        <f t="shared" si="13"/>
        <v>0</v>
      </c>
      <c r="I194" s="118">
        <f t="shared" si="14"/>
        <v>1</v>
      </c>
      <c r="J194" s="107">
        <f t="shared" si="15"/>
        <v>0</v>
      </c>
    </row>
    <row r="195" spans="6:10" ht="16">
      <c r="F195" s="117">
        <f t="shared" si="16"/>
        <v>0.86000000000000132</v>
      </c>
      <c r="G195" s="118">
        <f t="shared" si="12"/>
        <v>0</v>
      </c>
      <c r="H195" s="118">
        <f t="shared" si="13"/>
        <v>0</v>
      </c>
      <c r="I195" s="118">
        <f t="shared" si="14"/>
        <v>1</v>
      </c>
      <c r="J195" s="107">
        <f t="shared" si="15"/>
        <v>0</v>
      </c>
    </row>
    <row r="196" spans="6:10" ht="16">
      <c r="F196" s="117">
        <f t="shared" si="16"/>
        <v>0.87000000000000133</v>
      </c>
      <c r="G196" s="118">
        <f t="shared" si="12"/>
        <v>0</v>
      </c>
      <c r="H196" s="118">
        <f t="shared" si="13"/>
        <v>0</v>
      </c>
      <c r="I196" s="118">
        <f t="shared" si="14"/>
        <v>1</v>
      </c>
      <c r="J196" s="107">
        <f t="shared" si="15"/>
        <v>0</v>
      </c>
    </row>
    <row r="197" spans="6:10" ht="16">
      <c r="F197" s="117">
        <f t="shared" si="16"/>
        <v>0.88000000000000134</v>
      </c>
      <c r="G197" s="118">
        <f t="shared" si="12"/>
        <v>0</v>
      </c>
      <c r="H197" s="118">
        <f t="shared" si="13"/>
        <v>0</v>
      </c>
      <c r="I197" s="118">
        <f t="shared" si="14"/>
        <v>1</v>
      </c>
      <c r="J197" s="107">
        <f t="shared" si="15"/>
        <v>0</v>
      </c>
    </row>
    <row r="198" spans="6:10" ht="16">
      <c r="F198" s="117">
        <f t="shared" si="16"/>
        <v>0.89000000000000135</v>
      </c>
      <c r="G198" s="118">
        <f t="shared" si="12"/>
        <v>0</v>
      </c>
      <c r="H198" s="118">
        <f t="shared" si="13"/>
        <v>0</v>
      </c>
      <c r="I198" s="118">
        <f t="shared" si="14"/>
        <v>1</v>
      </c>
      <c r="J198" s="107">
        <f t="shared" si="15"/>
        <v>0</v>
      </c>
    </row>
    <row r="199" spans="6:10" ht="16">
      <c r="F199" s="117">
        <f t="shared" si="16"/>
        <v>0.90000000000000135</v>
      </c>
      <c r="G199" s="118">
        <f t="shared" si="12"/>
        <v>0</v>
      </c>
      <c r="H199" s="118">
        <f t="shared" si="13"/>
        <v>0</v>
      </c>
      <c r="I199" s="118">
        <f t="shared" si="14"/>
        <v>1</v>
      </c>
      <c r="J199" s="107">
        <f t="shared" si="15"/>
        <v>0</v>
      </c>
    </row>
    <row r="200" spans="6:10" ht="16">
      <c r="F200" s="117">
        <f t="shared" si="16"/>
        <v>0.91000000000000136</v>
      </c>
      <c r="G200" s="118">
        <f t="shared" si="12"/>
        <v>0</v>
      </c>
      <c r="H200" s="118">
        <f t="shared" si="13"/>
        <v>0</v>
      </c>
      <c r="I200" s="118">
        <f t="shared" si="14"/>
        <v>1</v>
      </c>
      <c r="J200" s="107">
        <f t="shared" si="15"/>
        <v>0</v>
      </c>
    </row>
    <row r="201" spans="6:10" ht="16">
      <c r="F201" s="117">
        <f t="shared" si="16"/>
        <v>0.92000000000000137</v>
      </c>
      <c r="G201" s="118">
        <f t="shared" ref="G201:G209" si="17">IFERROR(IF(SQRT(1-(F201*F201)/($J$5*$J$5))&lt;0.05,0,SQRT(1-(F201*F201)/($J$5*$J$5))),0)</f>
        <v>0</v>
      </c>
      <c r="H201" s="118">
        <f t="shared" ref="H201:H209" si="18">CHOOSE(MATCH($J$3,degrees),IF(F201&lt;0,IFERROR(1-G201,1),0),0,0,IF(F201&gt;0,IFERROR(1-G201,1),0))</f>
        <v>0</v>
      </c>
      <c r="I201" s="118">
        <f t="shared" ref="I201:I209" si="19">CHOOSE(MATCH($J$3,degrees),IF(F201&lt;0,2*G201,2),IF(F201&lt;0,0,1-G201),IF(F201&gt;0,0,1-G201),IF(F201&gt;0,2*G201,2))</f>
        <v>1</v>
      </c>
      <c r="J201" s="107">
        <f t="shared" ref="J201:J209" si="20">CHOOSE(MATCH($J$3,degrees),IF(F201&lt;0,G201+1,2),IF(F201&lt;0,2,2*G201),IF(F201&gt;0,2,2*G201),IF(F201&gt;0,G201+1,2))</f>
        <v>0</v>
      </c>
    </row>
    <row r="202" spans="6:10" ht="16">
      <c r="F202" s="117">
        <f t="shared" ref="F202:F209" si="21">F201+$G$4</f>
        <v>0.93000000000000138</v>
      </c>
      <c r="G202" s="118">
        <f t="shared" si="17"/>
        <v>0</v>
      </c>
      <c r="H202" s="118">
        <f t="shared" si="18"/>
        <v>0</v>
      </c>
      <c r="I202" s="118">
        <f t="shared" si="19"/>
        <v>1</v>
      </c>
      <c r="J202" s="107">
        <f t="shared" si="20"/>
        <v>0</v>
      </c>
    </row>
    <row r="203" spans="6:10" ht="16">
      <c r="F203" s="117">
        <f t="shared" si="21"/>
        <v>0.94000000000000139</v>
      </c>
      <c r="G203" s="118">
        <f t="shared" si="17"/>
        <v>0</v>
      </c>
      <c r="H203" s="118">
        <f t="shared" si="18"/>
        <v>0</v>
      </c>
      <c r="I203" s="118">
        <f t="shared" si="19"/>
        <v>1</v>
      </c>
      <c r="J203" s="107">
        <f t="shared" si="20"/>
        <v>0</v>
      </c>
    </row>
    <row r="204" spans="6:10" ht="16">
      <c r="F204" s="117">
        <f t="shared" si="21"/>
        <v>0.9500000000000014</v>
      </c>
      <c r="G204" s="118">
        <f t="shared" si="17"/>
        <v>0</v>
      </c>
      <c r="H204" s="118">
        <f t="shared" si="18"/>
        <v>0</v>
      </c>
      <c r="I204" s="118">
        <f t="shared" si="19"/>
        <v>1</v>
      </c>
      <c r="J204" s="107">
        <f t="shared" si="20"/>
        <v>0</v>
      </c>
    </row>
    <row r="205" spans="6:10" ht="16">
      <c r="F205" s="117">
        <f t="shared" si="21"/>
        <v>0.96000000000000141</v>
      </c>
      <c r="G205" s="118">
        <f t="shared" si="17"/>
        <v>0</v>
      </c>
      <c r="H205" s="118">
        <f t="shared" si="18"/>
        <v>0</v>
      </c>
      <c r="I205" s="118">
        <f t="shared" si="19"/>
        <v>1</v>
      </c>
      <c r="J205" s="107">
        <f t="shared" si="20"/>
        <v>0</v>
      </c>
    </row>
    <row r="206" spans="6:10" ht="16">
      <c r="F206" s="117">
        <f t="shared" si="21"/>
        <v>0.97000000000000142</v>
      </c>
      <c r="G206" s="118">
        <f t="shared" si="17"/>
        <v>0</v>
      </c>
      <c r="H206" s="118">
        <f t="shared" si="18"/>
        <v>0</v>
      </c>
      <c r="I206" s="118">
        <f t="shared" si="19"/>
        <v>1</v>
      </c>
      <c r="J206" s="107">
        <f t="shared" si="20"/>
        <v>0</v>
      </c>
    </row>
    <row r="207" spans="6:10" ht="16">
      <c r="F207" s="117">
        <f t="shared" si="21"/>
        <v>0.98000000000000143</v>
      </c>
      <c r="G207" s="118">
        <f t="shared" si="17"/>
        <v>0</v>
      </c>
      <c r="H207" s="118">
        <f t="shared" si="18"/>
        <v>0</v>
      </c>
      <c r="I207" s="118">
        <f t="shared" si="19"/>
        <v>1</v>
      </c>
      <c r="J207" s="107">
        <f t="shared" si="20"/>
        <v>0</v>
      </c>
    </row>
    <row r="208" spans="6:10" ht="16">
      <c r="F208" s="117">
        <f t="shared" si="21"/>
        <v>0.99000000000000143</v>
      </c>
      <c r="G208" s="118">
        <f t="shared" si="17"/>
        <v>0</v>
      </c>
      <c r="H208" s="118">
        <f t="shared" si="18"/>
        <v>0</v>
      </c>
      <c r="I208" s="118">
        <f t="shared" si="19"/>
        <v>1</v>
      </c>
      <c r="J208" s="107">
        <f t="shared" si="20"/>
        <v>0</v>
      </c>
    </row>
    <row r="209" spans="6:10" ht="16">
      <c r="F209" s="135">
        <f t="shared" si="21"/>
        <v>1.0000000000000013</v>
      </c>
      <c r="G209" s="136">
        <f t="shared" si="17"/>
        <v>0</v>
      </c>
      <c r="H209" s="136">
        <f t="shared" si="18"/>
        <v>0</v>
      </c>
      <c r="I209" s="136">
        <f t="shared" si="19"/>
        <v>1</v>
      </c>
      <c r="J209" s="137">
        <f t="shared" si="20"/>
        <v>0</v>
      </c>
    </row>
  </sheetData>
  <sheetProtection sheet="1" objects="1" scenarios="1"/>
  <pageMargins left="0.75" right="0.75" top="1" bottom="1" header="0.5" footer="0.5"/>
  <pageSetup paperSize="8" scale="150" orientation="landscape" horizontalDpi="300" verticalDpi="0" copies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482BD-B13F-8148-8DCA-4C54BBD5EA04}">
  <dimension ref="B2:B54"/>
  <sheetViews>
    <sheetView showGridLines="0" topLeftCell="A21" workbookViewId="0">
      <selection activeCell="B54" sqref="B54"/>
    </sheetView>
  </sheetViews>
  <sheetFormatPr baseColWidth="10" defaultRowHeight="15"/>
  <sheetData>
    <row r="2" spans="2:2" ht="16">
      <c r="B2" s="35" t="s">
        <v>428</v>
      </c>
    </row>
    <row r="54" spans="2:2">
      <c r="B54" s="36" t="s">
        <v>429</v>
      </c>
    </row>
  </sheetData>
  <sheetProtection sheet="1" objects="1" scenarios="1"/>
  <hyperlinks>
    <hyperlink ref="B2" r:id="rId1" xr:uid="{49183C56-2E11-C448-A24E-4B6CBD9D3956}"/>
    <hyperlink ref="B54" r:id="rId2" xr:uid="{14C1BCBB-4171-A643-B963-28CB4375010D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Introduction</vt:lpstr>
      <vt:lpstr>Visibility</vt:lpstr>
      <vt:lpstr>Illumination</vt:lpstr>
      <vt:lpstr>Catalogue</vt:lpstr>
    </vt:vector>
  </TitlesOfParts>
  <Manager/>
  <Company>Astronomy Morsels</Company>
  <LinksUpToDate>false</LinksUpToDate>
  <SharedDoc>false</SharedDoc>
  <HyperlinkBase>www.astronomy-morsels.ch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Herschel 400 Objects</dc:title>
  <dc:subject/>
  <dc:creator>Anton Viola</dc:creator>
  <cp:keywords/>
  <dc:description/>
  <cp:lastModifiedBy>Anton Viola</cp:lastModifiedBy>
  <dcterms:created xsi:type="dcterms:W3CDTF">2009-01-01T15:24:05Z</dcterms:created>
  <dcterms:modified xsi:type="dcterms:W3CDTF">2024-08-09T07:40:47Z</dcterms:modified>
  <cp:category/>
</cp:coreProperties>
</file>