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7D442F09-846D-F540-A026-818EF8C350DF}" xr6:coauthVersionLast="47" xr6:coauthVersionMax="47" xr10:uidLastSave="{00000000-0000-0000-0000-000000000000}"/>
  <bookViews>
    <workbookView xWindow="12500" yWindow="4140" windowWidth="35800" windowHeight="21040" xr2:uid="{B913BBAC-6589-824A-AB46-35163C5B13B1}"/>
  </bookViews>
  <sheets>
    <sheet name="Introduction" sheetId="3" r:id="rId1"/>
    <sheet name="Fraction, Deg, Time, Dec" sheetId="10" r:id="rId2"/>
    <sheet name="Gregorian - JDE" sheetId="2" r:id="rId3"/>
    <sheet name="Days since J2000" sheetId="7" r:id="rId4"/>
    <sheet name="Date Difference" sheetId="14" r:id="rId5"/>
    <sheet name="LT - UT" sheetId="1" r:id="rId6"/>
    <sheet name="Leap Year" sheetId="12" r:id="rId7"/>
    <sheet name="Day number" sheetId="5" r:id="rId8"/>
    <sheet name="Angular Separation" sheetId="13" r:id="rId9"/>
    <sheet name="RA DEC - ALT AZ" sheetId="6" r:id="rId10"/>
    <sheet name="Kepler's equation" sheetId="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7" l="1"/>
  <c r="C11" i="7"/>
  <c r="C22" i="10"/>
  <c r="C23" i="10" s="1"/>
  <c r="F24" i="10"/>
  <c r="C56" i="9"/>
  <c r="E22" i="14"/>
  <c r="C22" i="14"/>
  <c r="C10" i="14"/>
  <c r="E10" i="14"/>
  <c r="C11" i="14"/>
  <c r="E11" i="14"/>
  <c r="C12" i="14"/>
  <c r="C18" i="14" s="1"/>
  <c r="E12" i="14"/>
  <c r="E18" i="14" s="1"/>
  <c r="C13" i="14"/>
  <c r="E13" i="14"/>
  <c r="C14" i="14"/>
  <c r="E14" i="14"/>
  <c r="C15" i="14"/>
  <c r="E15" i="14"/>
  <c r="C16" i="14"/>
  <c r="E16" i="14"/>
  <c r="C17" i="14"/>
  <c r="E17" i="14"/>
  <c r="C10" i="13"/>
  <c r="C10" i="7"/>
  <c r="C6" i="12"/>
  <c r="C5" i="12"/>
  <c r="C7" i="12"/>
  <c r="C4" i="12"/>
  <c r="C24" i="10" l="1"/>
  <c r="E19" i="14"/>
  <c r="C19" i="14"/>
  <c r="E20" i="14" s="1"/>
  <c r="E23" i="14"/>
  <c r="C6" i="10"/>
  <c r="F10" i="2"/>
  <c r="F14" i="10"/>
  <c r="C14" i="10"/>
  <c r="F6" i="10" l="1"/>
  <c r="C6" i="9"/>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9" i="7" l="1"/>
  <c r="C8" i="7"/>
  <c r="C5" i="7"/>
  <c r="C6" i="7" s="1"/>
  <c r="C7" i="7" l="1"/>
  <c r="C13" i="2" l="1"/>
  <c r="C11" i="6" l="1"/>
  <c r="D21" i="6"/>
  <c r="D20" i="6"/>
  <c r="C7" i="5"/>
  <c r="C6" i="5"/>
  <c r="C5" i="5"/>
  <c r="C8" i="5" s="1"/>
  <c r="D17" i="6"/>
  <c r="D16" i="6"/>
  <c r="D15" i="6"/>
  <c r="D18" i="6" s="1"/>
  <c r="C15" i="5"/>
  <c r="C16" i="5" s="1"/>
  <c r="C17" i="5" s="1"/>
  <c r="C18" i="5" s="1"/>
  <c r="C19" i="5" s="1"/>
  <c r="C20" i="5" s="1"/>
  <c r="C21" i="5" s="1"/>
  <c r="C22" i="5" s="1"/>
  <c r="C23" i="5" s="1"/>
  <c r="C24" i="5" s="1"/>
  <c r="C25" i="5" s="1"/>
  <c r="C26" i="5" s="1"/>
  <c r="C27" i="5" s="1"/>
  <c r="C28" i="5" s="1"/>
  <c r="C29" i="5" s="1"/>
  <c r="C30" i="5" s="1"/>
  <c r="C31" i="5" s="1"/>
  <c r="C32" i="5" s="1"/>
  <c r="C33" i="5" s="1"/>
  <c r="C34" i="5" s="1"/>
  <c r="C35" i="5" s="1"/>
  <c r="C36" i="5" s="1"/>
  <c r="C37" i="5" s="1"/>
  <c r="C38" i="5" s="1"/>
  <c r="C39" i="5" s="1"/>
  <c r="C40" i="5" s="1"/>
  <c r="C41" i="5" s="1"/>
  <c r="C42" i="5" s="1"/>
  <c r="C43" i="5" s="1"/>
  <c r="C44" i="5" s="1"/>
  <c r="D14" i="5" s="1"/>
  <c r="D15" i="5" s="1"/>
  <c r="D16" i="5" s="1"/>
  <c r="D17" i="5" s="1"/>
  <c r="D18" i="5" s="1"/>
  <c r="D19" i="5" s="1"/>
  <c r="D20" i="5" s="1"/>
  <c r="D21" i="5" s="1"/>
  <c r="D22" i="5" s="1"/>
  <c r="D23" i="5" s="1"/>
  <c r="D24" i="5" s="1"/>
  <c r="D25" i="5" s="1"/>
  <c r="D26" i="5" s="1"/>
  <c r="D27" i="5" s="1"/>
  <c r="D28" i="5" s="1"/>
  <c r="D29" i="5" s="1"/>
  <c r="D30" i="5" s="1"/>
  <c r="D31" i="5" s="1"/>
  <c r="D32" i="5" s="1"/>
  <c r="D33" i="5" s="1"/>
  <c r="D34" i="5" s="1"/>
  <c r="D35" i="5" s="1"/>
  <c r="D36" i="5" s="1"/>
  <c r="D37" i="5" s="1"/>
  <c r="D38" i="5" s="1"/>
  <c r="D39" i="5" s="1"/>
  <c r="D40" i="5" s="1"/>
  <c r="D41" i="5" s="1"/>
  <c r="C15" i="2"/>
  <c r="C17" i="2" s="1"/>
  <c r="C20" i="2"/>
  <c r="C16" i="2"/>
  <c r="C22" i="2" s="1"/>
  <c r="F31" i="1"/>
  <c r="C31" i="1"/>
  <c r="C27" i="1"/>
  <c r="F25" i="1"/>
  <c r="C26" i="1"/>
  <c r="F12" i="1"/>
  <c r="F13" i="1" s="1"/>
  <c r="C12" i="1"/>
  <c r="C13" i="1" s="1"/>
  <c r="F8" i="1"/>
  <c r="C8" i="1"/>
  <c r="E14" i="5" l="1"/>
  <c r="C9" i="5"/>
  <c r="D42" i="5"/>
  <c r="B12" i="5"/>
  <c r="D19" i="6"/>
  <c r="C18" i="2"/>
  <c r="C19" i="2" s="1"/>
  <c r="C21" i="2"/>
  <c r="F26" i="1"/>
  <c r="F27" i="1"/>
  <c r="C6" i="1"/>
  <c r="F6" i="1"/>
  <c r="C7" i="1"/>
  <c r="F7" i="1"/>
  <c r="C25" i="1"/>
  <c r="C28" i="1" s="1"/>
  <c r="C33" i="1" s="1"/>
  <c r="E15" i="5" l="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G36" i="5" s="1"/>
  <c r="G37" i="5" s="1"/>
  <c r="G38" i="5" s="1"/>
  <c r="G39" i="5" s="1"/>
  <c r="G40" i="5" s="1"/>
  <c r="G41" i="5" s="1"/>
  <c r="G42" i="5" s="1"/>
  <c r="G43" i="5" s="1"/>
  <c r="G44"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s="1"/>
  <c r="J42" i="5" s="1"/>
  <c r="J43" i="5" s="1"/>
  <c r="J44" i="5" s="1"/>
  <c r="K14" i="5" s="1"/>
  <c r="K15" i="5" s="1"/>
  <c r="K16" i="5" s="1"/>
  <c r="K17" i="5" s="1"/>
  <c r="K18" i="5" s="1"/>
  <c r="K19" i="5" s="1"/>
  <c r="K20" i="5" s="1"/>
  <c r="K21" i="5" s="1"/>
  <c r="K22" i="5" s="1"/>
  <c r="K23" i="5" s="1"/>
  <c r="K24" i="5" s="1"/>
  <c r="K25" i="5" s="1"/>
  <c r="K26" i="5" s="1"/>
  <c r="K27" i="5" s="1"/>
  <c r="K28" i="5" s="1"/>
  <c r="K29" i="5" s="1"/>
  <c r="K30" i="5" s="1"/>
  <c r="K31" i="5" s="1"/>
  <c r="K32" i="5" s="1"/>
  <c r="K33" i="5" s="1"/>
  <c r="K34" i="5" s="1"/>
  <c r="K35" i="5" s="1"/>
  <c r="K36" i="5" s="1"/>
  <c r="K37" i="5" s="1"/>
  <c r="K38" i="5" s="1"/>
  <c r="K39" i="5" s="1"/>
  <c r="K40" i="5" s="1"/>
  <c r="K41" i="5" s="1"/>
  <c r="K42" i="5" s="1"/>
  <c r="K43" i="5" s="1"/>
  <c r="L14" i="5" s="1"/>
  <c r="L15" i="5" s="1"/>
  <c r="L16" i="5" s="1"/>
  <c r="L17" i="5" s="1"/>
  <c r="L18" i="5" s="1"/>
  <c r="L19" i="5" s="1"/>
  <c r="L20" i="5" s="1"/>
  <c r="L21" i="5" s="1"/>
  <c r="L22" i="5" s="1"/>
  <c r="L23" i="5" s="1"/>
  <c r="L24" i="5" s="1"/>
  <c r="L25" i="5" s="1"/>
  <c r="L26" i="5" s="1"/>
  <c r="L27" i="5" s="1"/>
  <c r="L28" i="5" s="1"/>
  <c r="L29" i="5" s="1"/>
  <c r="L30" i="5" s="1"/>
  <c r="L31" i="5" s="1"/>
  <c r="L32" i="5" s="1"/>
  <c r="L33" i="5" s="1"/>
  <c r="L34" i="5" s="1"/>
  <c r="L35" i="5" s="1"/>
  <c r="L36" i="5" s="1"/>
  <c r="L37" i="5" s="1"/>
  <c r="L38" i="5" s="1"/>
  <c r="L39" i="5" s="1"/>
  <c r="L40" i="5" s="1"/>
  <c r="L41" i="5" s="1"/>
  <c r="L42" i="5" s="1"/>
  <c r="L43" i="5" s="1"/>
  <c r="L44" i="5" s="1"/>
  <c r="M14" i="5" s="1"/>
  <c r="M15" i="5" s="1"/>
  <c r="M16" i="5" s="1"/>
  <c r="M17" i="5" s="1"/>
  <c r="M18" i="5" s="1"/>
  <c r="M19" i="5" s="1"/>
  <c r="M20" i="5" s="1"/>
  <c r="M21" i="5" s="1"/>
  <c r="M22" i="5" s="1"/>
  <c r="M23" i="5" s="1"/>
  <c r="M24" i="5" s="1"/>
  <c r="M25" i="5" s="1"/>
  <c r="M26" i="5" s="1"/>
  <c r="M27" i="5" s="1"/>
  <c r="M28" i="5" s="1"/>
  <c r="M29" i="5" s="1"/>
  <c r="M30" i="5" s="1"/>
  <c r="M31" i="5" s="1"/>
  <c r="M32" i="5" s="1"/>
  <c r="M33" i="5" s="1"/>
  <c r="M34" i="5" s="1"/>
  <c r="M35" i="5" s="1"/>
  <c r="M36" i="5" s="1"/>
  <c r="M37" i="5" s="1"/>
  <c r="M38" i="5" s="1"/>
  <c r="M39" i="5" s="1"/>
  <c r="M40" i="5" s="1"/>
  <c r="M41" i="5" s="1"/>
  <c r="M42" i="5" s="1"/>
  <c r="M43" i="5" s="1"/>
  <c r="N14" i="5" s="1"/>
  <c r="N15" i="5" s="1"/>
  <c r="N16" i="5" s="1"/>
  <c r="N17" i="5" s="1"/>
  <c r="N18" i="5" s="1"/>
  <c r="N19" i="5" s="1"/>
  <c r="N20" i="5" s="1"/>
  <c r="N21" i="5" s="1"/>
  <c r="N22" i="5" s="1"/>
  <c r="N23" i="5" s="1"/>
  <c r="N24" i="5" s="1"/>
  <c r="N25" i="5" s="1"/>
  <c r="N26" i="5" s="1"/>
  <c r="N27" i="5" s="1"/>
  <c r="N28" i="5" s="1"/>
  <c r="N29" i="5" s="1"/>
  <c r="N30" i="5" s="1"/>
  <c r="N31" i="5" s="1"/>
  <c r="N32" i="5" s="1"/>
  <c r="N33" i="5" s="1"/>
  <c r="N34" i="5" s="1"/>
  <c r="N35" i="5" s="1"/>
  <c r="N36" i="5" s="1"/>
  <c r="N37" i="5" s="1"/>
  <c r="N38" i="5" s="1"/>
  <c r="N39" i="5" s="1"/>
  <c r="N40" i="5" s="1"/>
  <c r="N41" i="5" s="1"/>
  <c r="N42" i="5" s="1"/>
  <c r="N43" i="5" s="1"/>
  <c r="N44" i="5" s="1"/>
  <c r="C23" i="2"/>
  <c r="F29" i="2" s="1"/>
  <c r="F28" i="1"/>
  <c r="F33" i="1" s="1"/>
  <c r="F9" i="1"/>
  <c r="C34" i="1"/>
  <c r="C9" i="1"/>
  <c r="C15" i="1" s="1"/>
  <c r="F12" i="2" l="1"/>
  <c r="D22" i="6"/>
  <c r="D25" i="6" s="1"/>
  <c r="D30" i="6" s="1"/>
  <c r="C10" i="5"/>
  <c r="F6" i="2"/>
  <c r="F13" i="2" s="1"/>
  <c r="F14" i="2" s="1"/>
  <c r="F15" i="2" s="1"/>
  <c r="F16" i="2" s="1"/>
  <c r="F11" i="2"/>
  <c r="F34" i="1"/>
  <c r="F35" i="1"/>
  <c r="F36" i="1" s="1"/>
  <c r="C16" i="1"/>
  <c r="C35" i="1"/>
  <c r="F16" i="1"/>
  <c r="F17" i="1" s="1"/>
  <c r="F18" i="1" s="1"/>
  <c r="D35" i="6" l="1"/>
  <c r="D31" i="6"/>
  <c r="D40" i="6"/>
  <c r="D42" i="6" s="1"/>
  <c r="D47" i="6" s="1"/>
  <c r="D48" i="6" s="1"/>
  <c r="D49" i="6" s="1"/>
  <c r="D36" i="6"/>
  <c r="F8" i="2"/>
  <c r="F7" i="2" s="1"/>
  <c r="F9" i="2"/>
  <c r="F37" i="1"/>
  <c r="F19" i="1"/>
  <c r="C17" i="1"/>
  <c r="C18" i="1" s="1"/>
  <c r="C36" i="1"/>
  <c r="C37" i="1" s="1"/>
  <c r="D43" i="6" l="1"/>
  <c r="D51" i="6"/>
  <c r="C19" i="1"/>
</calcChain>
</file>

<file path=xl/sharedStrings.xml><?xml version="1.0" encoding="utf-8"?>
<sst xmlns="http://schemas.openxmlformats.org/spreadsheetml/2006/main" count="334" uniqueCount="183">
  <si>
    <t>Local time</t>
  </si>
  <si>
    <t>Universal time</t>
  </si>
  <si>
    <t>hours</t>
  </si>
  <si>
    <t>minutes</t>
  </si>
  <si>
    <t>seconds</t>
  </si>
  <si>
    <t>Total seconds</t>
  </si>
  <si>
    <t>longitude</t>
  </si>
  <si>
    <t>degrees</t>
  </si>
  <si>
    <t>delta</t>
  </si>
  <si>
    <t>timezone</t>
  </si>
  <si>
    <t>Year</t>
  </si>
  <si>
    <t>Month</t>
  </si>
  <si>
    <t>Day</t>
  </si>
  <si>
    <t>Hour</t>
  </si>
  <si>
    <t xml:space="preserve">Day </t>
  </si>
  <si>
    <t>Minute</t>
  </si>
  <si>
    <t>Second</t>
  </si>
  <si>
    <t>fraction</t>
  </si>
  <si>
    <t>f</t>
  </si>
  <si>
    <t>e</t>
  </si>
  <si>
    <t>Y'</t>
  </si>
  <si>
    <t>g</t>
  </si>
  <si>
    <t>M'</t>
  </si>
  <si>
    <t xml:space="preserve">h  </t>
  </si>
  <si>
    <t>A</t>
  </si>
  <si>
    <t>B</t>
  </si>
  <si>
    <t>j</t>
  </si>
  <si>
    <t>C</t>
  </si>
  <si>
    <t>D</t>
  </si>
  <si>
    <t>E</t>
  </si>
  <si>
    <t>r</t>
  </si>
  <si>
    <t>F</t>
  </si>
  <si>
    <t>v</t>
  </si>
  <si>
    <t>p</t>
  </si>
  <si>
    <t>u</t>
  </si>
  <si>
    <t>w</t>
  </si>
  <si>
    <t xml:space="preserve">s </t>
  </si>
  <si>
    <t>m</t>
  </si>
  <si>
    <t>n</t>
  </si>
  <si>
    <t>Gregorian Date -&gt; JDE</t>
  </si>
  <si>
    <t>JDE -&gt; Gregorian date</t>
  </si>
  <si>
    <t>JDE</t>
  </si>
  <si>
    <t>Email</t>
  </si>
  <si>
    <t>same day</t>
  </si>
  <si>
    <t>Input</t>
  </si>
  <si>
    <t>Date</t>
  </si>
  <si>
    <t>Leap year?</t>
  </si>
  <si>
    <t>Day number</t>
  </si>
  <si>
    <t>Jan</t>
  </si>
  <si>
    <t>Feb</t>
  </si>
  <si>
    <t>Mar</t>
  </si>
  <si>
    <t>Apr</t>
  </si>
  <si>
    <t>May</t>
  </si>
  <si>
    <t>Jun</t>
  </si>
  <si>
    <t>Jul</t>
  </si>
  <si>
    <t>Aug</t>
  </si>
  <si>
    <t>Sep</t>
  </si>
  <si>
    <t>Oct</t>
  </si>
  <si>
    <t>Nov</t>
  </si>
  <si>
    <t>Dec</t>
  </si>
  <si>
    <t>Inputs</t>
  </si>
  <si>
    <t>All Rights Reserved:  © Astronomy Morsels.</t>
  </si>
  <si>
    <t>I'm solely responsible for the input and express no warranty.  Use at your own risk.</t>
  </si>
  <si>
    <t>Nonetheless, this spreadsheet has been carefully reviewed, and calculation results have been compared with other applications.</t>
  </si>
  <si>
    <t>RA</t>
  </si>
  <si>
    <t>Time</t>
  </si>
  <si>
    <t>DEC</t>
  </si>
  <si>
    <t>Leap Year?</t>
  </si>
  <si>
    <t>Step 1: Calculate d wrt. J2000</t>
  </si>
  <si>
    <t>d</t>
  </si>
  <si>
    <t>J2000</t>
  </si>
  <si>
    <t>Step 2: Calculate Local Sideral Time (LST)</t>
  </si>
  <si>
    <t>LST</t>
  </si>
  <si>
    <t># days</t>
  </si>
  <si>
    <t>Step 3: Calculate Hour Angle (HA)</t>
  </si>
  <si>
    <t>HA</t>
  </si>
  <si>
    <t>Step 4: Derive ALT</t>
  </si>
  <si>
    <t>sin(ALT)</t>
  </si>
  <si>
    <t>ALT</t>
  </si>
  <si>
    <t>latitude</t>
  </si>
  <si>
    <t>(North: +, South: -)</t>
  </si>
  <si>
    <t>(East:   +, West:  -)</t>
  </si>
  <si>
    <t>radians</t>
  </si>
  <si>
    <t>degrees to radians</t>
  </si>
  <si>
    <t>Step 5: Derive AZ</t>
  </si>
  <si>
    <t>cos(A)</t>
  </si>
  <si>
    <t>AZ</t>
  </si>
  <si>
    <t>sin(HA)</t>
  </si>
  <si>
    <t>Day nr.</t>
  </si>
  <si>
    <t>days since Epoch</t>
  </si>
  <si>
    <t>M</t>
  </si>
  <si>
    <r>
      <t>E</t>
    </r>
    <r>
      <rPr>
        <vertAlign val="subscript"/>
        <sz val="12"/>
        <rFont val="Calibri"/>
        <family val="2"/>
      </rPr>
      <t>1</t>
    </r>
  </si>
  <si>
    <r>
      <t>E</t>
    </r>
    <r>
      <rPr>
        <vertAlign val="subscript"/>
        <sz val="12"/>
        <rFont val="Calibri"/>
        <family val="2"/>
      </rPr>
      <t>2</t>
    </r>
    <r>
      <rPr>
        <b/>
        <sz val="10"/>
        <rFont val="Arial"/>
        <family val="2"/>
      </rPr>
      <t/>
    </r>
  </si>
  <si>
    <r>
      <t>E</t>
    </r>
    <r>
      <rPr>
        <vertAlign val="subscript"/>
        <sz val="12"/>
        <rFont val="Calibri"/>
        <family val="2"/>
      </rPr>
      <t>3</t>
    </r>
    <r>
      <rPr>
        <b/>
        <sz val="10"/>
        <rFont val="Arial"/>
        <family val="2"/>
      </rPr>
      <t/>
    </r>
  </si>
  <si>
    <r>
      <t>E</t>
    </r>
    <r>
      <rPr>
        <vertAlign val="subscript"/>
        <sz val="12"/>
        <rFont val="Calibri"/>
        <family val="2"/>
      </rPr>
      <t>4</t>
    </r>
    <r>
      <rPr>
        <b/>
        <sz val="10"/>
        <rFont val="Arial"/>
        <family val="2"/>
      </rPr>
      <t/>
    </r>
  </si>
  <si>
    <r>
      <t>E</t>
    </r>
    <r>
      <rPr>
        <vertAlign val="subscript"/>
        <sz val="12"/>
        <rFont val="Calibri"/>
        <family val="2"/>
      </rPr>
      <t>5</t>
    </r>
    <r>
      <rPr>
        <b/>
        <sz val="10"/>
        <rFont val="Arial"/>
        <family val="2"/>
      </rPr>
      <t/>
    </r>
  </si>
  <si>
    <r>
      <t>E</t>
    </r>
    <r>
      <rPr>
        <vertAlign val="subscript"/>
        <sz val="12"/>
        <rFont val="Calibri"/>
        <family val="2"/>
      </rPr>
      <t>6</t>
    </r>
    <r>
      <rPr>
        <b/>
        <sz val="10"/>
        <rFont val="Arial"/>
        <family val="2"/>
      </rPr>
      <t/>
    </r>
  </si>
  <si>
    <r>
      <t>E</t>
    </r>
    <r>
      <rPr>
        <vertAlign val="subscript"/>
        <sz val="12"/>
        <rFont val="Calibri"/>
        <family val="2"/>
      </rPr>
      <t>7</t>
    </r>
    <r>
      <rPr>
        <b/>
        <sz val="10"/>
        <rFont val="Arial"/>
        <family val="2"/>
      </rPr>
      <t/>
    </r>
  </si>
  <si>
    <r>
      <t>E</t>
    </r>
    <r>
      <rPr>
        <vertAlign val="subscript"/>
        <sz val="12"/>
        <rFont val="Calibri"/>
        <family val="2"/>
      </rPr>
      <t>8</t>
    </r>
    <r>
      <rPr>
        <b/>
        <sz val="10"/>
        <rFont val="Arial"/>
        <family val="2"/>
      </rPr>
      <t/>
    </r>
  </si>
  <si>
    <r>
      <t>E</t>
    </r>
    <r>
      <rPr>
        <vertAlign val="subscript"/>
        <sz val="12"/>
        <rFont val="Calibri"/>
        <family val="2"/>
      </rPr>
      <t>9</t>
    </r>
    <r>
      <rPr>
        <b/>
        <sz val="10"/>
        <rFont val="Arial"/>
        <family val="2"/>
      </rPr>
      <t/>
    </r>
  </si>
  <si>
    <r>
      <t>E</t>
    </r>
    <r>
      <rPr>
        <vertAlign val="subscript"/>
        <sz val="12"/>
        <rFont val="Calibri"/>
        <family val="2"/>
      </rPr>
      <t>10</t>
    </r>
    <r>
      <rPr>
        <b/>
        <sz val="10"/>
        <rFont val="Arial"/>
        <family val="2"/>
      </rPr>
      <t/>
    </r>
  </si>
  <si>
    <r>
      <t>E</t>
    </r>
    <r>
      <rPr>
        <vertAlign val="subscript"/>
        <sz val="12"/>
        <rFont val="Calibri"/>
        <family val="2"/>
      </rPr>
      <t>11</t>
    </r>
    <r>
      <rPr>
        <b/>
        <sz val="10"/>
        <rFont val="Arial"/>
        <family val="2"/>
      </rPr>
      <t/>
    </r>
  </si>
  <si>
    <r>
      <t>E</t>
    </r>
    <r>
      <rPr>
        <vertAlign val="subscript"/>
        <sz val="12"/>
        <rFont val="Calibri"/>
        <family val="2"/>
      </rPr>
      <t>12</t>
    </r>
    <r>
      <rPr>
        <b/>
        <sz val="10"/>
        <rFont val="Arial"/>
        <family val="2"/>
      </rPr>
      <t/>
    </r>
  </si>
  <si>
    <r>
      <t>E</t>
    </r>
    <r>
      <rPr>
        <vertAlign val="subscript"/>
        <sz val="12"/>
        <rFont val="Calibri"/>
        <family val="2"/>
      </rPr>
      <t>13</t>
    </r>
    <r>
      <rPr>
        <b/>
        <sz val="10"/>
        <rFont val="Arial"/>
        <family val="2"/>
      </rPr>
      <t/>
    </r>
  </si>
  <si>
    <r>
      <t>E</t>
    </r>
    <r>
      <rPr>
        <vertAlign val="subscript"/>
        <sz val="12"/>
        <rFont val="Calibri"/>
        <family val="2"/>
      </rPr>
      <t>14</t>
    </r>
    <r>
      <rPr>
        <b/>
        <sz val="10"/>
        <rFont val="Arial"/>
        <family val="2"/>
      </rPr>
      <t/>
    </r>
  </si>
  <si>
    <r>
      <t>E</t>
    </r>
    <r>
      <rPr>
        <vertAlign val="subscript"/>
        <sz val="12"/>
        <rFont val="Calibri"/>
        <family val="2"/>
      </rPr>
      <t>15</t>
    </r>
    <r>
      <rPr>
        <b/>
        <sz val="10"/>
        <rFont val="Arial"/>
        <family val="2"/>
      </rPr>
      <t/>
    </r>
  </si>
  <si>
    <r>
      <t>E</t>
    </r>
    <r>
      <rPr>
        <vertAlign val="subscript"/>
        <sz val="12"/>
        <rFont val="Calibri"/>
        <family val="2"/>
      </rPr>
      <t>16</t>
    </r>
    <r>
      <rPr>
        <b/>
        <sz val="10"/>
        <rFont val="Arial"/>
        <family val="2"/>
      </rPr>
      <t/>
    </r>
  </si>
  <si>
    <r>
      <t>E</t>
    </r>
    <r>
      <rPr>
        <vertAlign val="subscript"/>
        <sz val="12"/>
        <rFont val="Calibri"/>
        <family val="2"/>
      </rPr>
      <t>17</t>
    </r>
    <r>
      <rPr>
        <b/>
        <sz val="10"/>
        <rFont val="Arial"/>
        <family val="2"/>
      </rPr>
      <t/>
    </r>
  </si>
  <si>
    <r>
      <t>E</t>
    </r>
    <r>
      <rPr>
        <vertAlign val="subscript"/>
        <sz val="12"/>
        <rFont val="Calibri"/>
        <family val="2"/>
      </rPr>
      <t>18</t>
    </r>
    <r>
      <rPr>
        <b/>
        <sz val="10"/>
        <rFont val="Arial"/>
        <family val="2"/>
      </rPr>
      <t/>
    </r>
  </si>
  <si>
    <r>
      <t>E</t>
    </r>
    <r>
      <rPr>
        <vertAlign val="subscript"/>
        <sz val="12"/>
        <rFont val="Calibri"/>
        <family val="2"/>
      </rPr>
      <t>19</t>
    </r>
    <r>
      <rPr>
        <b/>
        <sz val="10"/>
        <rFont val="Arial"/>
        <family val="2"/>
      </rPr>
      <t/>
    </r>
  </si>
  <si>
    <r>
      <t>E</t>
    </r>
    <r>
      <rPr>
        <vertAlign val="subscript"/>
        <sz val="12"/>
        <rFont val="Calibri"/>
        <family val="2"/>
      </rPr>
      <t>20</t>
    </r>
    <r>
      <rPr>
        <b/>
        <sz val="10"/>
        <rFont val="Arial"/>
        <family val="2"/>
      </rPr>
      <t/>
    </r>
  </si>
  <si>
    <r>
      <t>E</t>
    </r>
    <r>
      <rPr>
        <vertAlign val="subscript"/>
        <sz val="12"/>
        <rFont val="Calibri"/>
        <family val="2"/>
      </rPr>
      <t>21</t>
    </r>
    <r>
      <rPr>
        <b/>
        <sz val="10"/>
        <rFont val="Arial"/>
        <family val="2"/>
      </rPr>
      <t/>
    </r>
  </si>
  <si>
    <r>
      <t>E</t>
    </r>
    <r>
      <rPr>
        <vertAlign val="subscript"/>
        <sz val="12"/>
        <rFont val="Calibri"/>
        <family val="2"/>
      </rPr>
      <t>22</t>
    </r>
    <r>
      <rPr>
        <b/>
        <sz val="10"/>
        <rFont val="Arial"/>
        <family val="2"/>
      </rPr>
      <t/>
    </r>
  </si>
  <si>
    <r>
      <t>E</t>
    </r>
    <r>
      <rPr>
        <vertAlign val="subscript"/>
        <sz val="12"/>
        <rFont val="Calibri"/>
        <family val="2"/>
      </rPr>
      <t>23</t>
    </r>
    <r>
      <rPr>
        <b/>
        <sz val="10"/>
        <rFont val="Arial"/>
        <family val="2"/>
      </rPr>
      <t/>
    </r>
  </si>
  <si>
    <t>eccentricity</t>
  </si>
  <si>
    <r>
      <t>E</t>
    </r>
    <r>
      <rPr>
        <vertAlign val="subscript"/>
        <sz val="12"/>
        <rFont val="Aptos Narrow"/>
        <family val="2"/>
        <scheme val="minor"/>
      </rPr>
      <t>24</t>
    </r>
  </si>
  <si>
    <r>
      <t>E</t>
    </r>
    <r>
      <rPr>
        <vertAlign val="subscript"/>
        <sz val="12"/>
        <rFont val="Aptos Narrow"/>
        <family val="2"/>
        <scheme val="minor"/>
      </rPr>
      <t>25</t>
    </r>
  </si>
  <si>
    <t>threshold</t>
  </si>
  <si>
    <r>
      <t>E</t>
    </r>
    <r>
      <rPr>
        <vertAlign val="subscript"/>
        <sz val="12"/>
        <rFont val="Aptos Narrow"/>
        <family val="2"/>
        <scheme val="minor"/>
      </rPr>
      <t>26</t>
    </r>
    <r>
      <rPr>
        <sz val="12"/>
        <color theme="1"/>
        <rFont val="Aptos Narrow"/>
        <family val="2"/>
        <scheme val="minor"/>
      </rPr>
      <t/>
    </r>
  </si>
  <si>
    <r>
      <t>E</t>
    </r>
    <r>
      <rPr>
        <vertAlign val="subscript"/>
        <sz val="12"/>
        <rFont val="Aptos Narrow"/>
        <family val="2"/>
        <scheme val="minor"/>
      </rPr>
      <t>27</t>
    </r>
    <r>
      <rPr>
        <sz val="12"/>
        <color theme="1"/>
        <rFont val="Aptos Narrow"/>
        <family val="2"/>
        <scheme val="minor"/>
      </rPr>
      <t/>
    </r>
  </si>
  <si>
    <r>
      <t>E</t>
    </r>
    <r>
      <rPr>
        <vertAlign val="subscript"/>
        <sz val="12"/>
        <rFont val="Aptos Narrow"/>
        <family val="2"/>
        <scheme val="minor"/>
      </rPr>
      <t>28</t>
    </r>
    <r>
      <rPr>
        <sz val="12"/>
        <color theme="1"/>
        <rFont val="Aptos Narrow"/>
        <family val="2"/>
        <scheme val="minor"/>
      </rPr>
      <t/>
    </r>
  </si>
  <si>
    <r>
      <t>E</t>
    </r>
    <r>
      <rPr>
        <vertAlign val="subscript"/>
        <sz val="12"/>
        <rFont val="Aptos Narrow"/>
        <family val="2"/>
        <scheme val="minor"/>
      </rPr>
      <t>29</t>
    </r>
    <r>
      <rPr>
        <sz val="12"/>
        <color theme="1"/>
        <rFont val="Aptos Narrow"/>
        <family val="2"/>
        <scheme val="minor"/>
      </rPr>
      <t/>
    </r>
  </si>
  <si>
    <r>
      <t>E</t>
    </r>
    <r>
      <rPr>
        <vertAlign val="subscript"/>
        <sz val="12"/>
        <rFont val="Aptos Narrow"/>
        <family val="2"/>
        <scheme val="minor"/>
      </rPr>
      <t>30</t>
    </r>
    <r>
      <rPr>
        <sz val="12"/>
        <color theme="1"/>
        <rFont val="Aptos Narrow"/>
        <family val="2"/>
        <scheme val="minor"/>
      </rPr>
      <t/>
    </r>
  </si>
  <si>
    <r>
      <t>E</t>
    </r>
    <r>
      <rPr>
        <vertAlign val="subscript"/>
        <sz val="12"/>
        <rFont val="Aptos Narrow"/>
        <family val="2"/>
        <scheme val="minor"/>
      </rPr>
      <t>31</t>
    </r>
    <r>
      <rPr>
        <sz val="12"/>
        <color theme="1"/>
        <rFont val="Aptos Narrow"/>
        <family val="2"/>
        <scheme val="minor"/>
      </rPr>
      <t/>
    </r>
  </si>
  <si>
    <r>
      <t>E</t>
    </r>
    <r>
      <rPr>
        <vertAlign val="subscript"/>
        <sz val="12"/>
        <rFont val="Aptos Narrow"/>
        <family val="2"/>
        <scheme val="minor"/>
      </rPr>
      <t>32</t>
    </r>
    <r>
      <rPr>
        <sz val="12"/>
        <color theme="1"/>
        <rFont val="Aptos Narrow"/>
        <family val="2"/>
        <scheme val="minor"/>
      </rPr>
      <t/>
    </r>
  </si>
  <si>
    <r>
      <t>E</t>
    </r>
    <r>
      <rPr>
        <vertAlign val="subscript"/>
        <sz val="12"/>
        <rFont val="Aptos Narrow"/>
        <family val="2"/>
        <scheme val="minor"/>
      </rPr>
      <t>33</t>
    </r>
    <r>
      <rPr>
        <sz val="12"/>
        <color theme="1"/>
        <rFont val="Aptos Narrow"/>
        <family val="2"/>
        <scheme val="minor"/>
      </rPr>
      <t/>
    </r>
  </si>
  <si>
    <r>
      <t>E</t>
    </r>
    <r>
      <rPr>
        <vertAlign val="subscript"/>
        <sz val="12"/>
        <rFont val="Aptos Narrow"/>
        <family val="2"/>
        <scheme val="minor"/>
      </rPr>
      <t>34</t>
    </r>
    <r>
      <rPr>
        <sz val="12"/>
        <color theme="1"/>
        <rFont val="Aptos Narrow"/>
        <family val="2"/>
        <scheme val="minor"/>
      </rPr>
      <t/>
    </r>
  </si>
  <si>
    <r>
      <t>E</t>
    </r>
    <r>
      <rPr>
        <vertAlign val="subscript"/>
        <sz val="12"/>
        <rFont val="Aptos Narrow"/>
        <family val="2"/>
        <scheme val="minor"/>
      </rPr>
      <t>35</t>
    </r>
    <r>
      <rPr>
        <sz val="12"/>
        <color theme="1"/>
        <rFont val="Aptos Narrow"/>
        <family val="2"/>
        <scheme val="minor"/>
      </rPr>
      <t/>
    </r>
  </si>
  <si>
    <r>
      <t>E</t>
    </r>
    <r>
      <rPr>
        <vertAlign val="subscript"/>
        <sz val="12"/>
        <rFont val="Aptos Narrow"/>
        <family val="2"/>
        <scheme val="minor"/>
      </rPr>
      <t>36</t>
    </r>
    <r>
      <rPr>
        <sz val="12"/>
        <color theme="1"/>
        <rFont val="Aptos Narrow"/>
        <family val="2"/>
        <scheme val="minor"/>
      </rPr>
      <t/>
    </r>
  </si>
  <si>
    <r>
      <t>E</t>
    </r>
    <r>
      <rPr>
        <vertAlign val="subscript"/>
        <sz val="12"/>
        <rFont val="Aptos Narrow"/>
        <family val="2"/>
        <scheme val="minor"/>
      </rPr>
      <t>37</t>
    </r>
    <r>
      <rPr>
        <sz val="12"/>
        <color theme="1"/>
        <rFont val="Aptos Narrow"/>
        <family val="2"/>
        <scheme val="minor"/>
      </rPr>
      <t/>
    </r>
  </si>
  <si>
    <r>
      <t>E</t>
    </r>
    <r>
      <rPr>
        <vertAlign val="subscript"/>
        <sz val="12"/>
        <rFont val="Aptos Narrow"/>
        <family val="2"/>
        <scheme val="minor"/>
      </rPr>
      <t>38</t>
    </r>
    <r>
      <rPr>
        <sz val="12"/>
        <color theme="1"/>
        <rFont val="Aptos Narrow"/>
        <family val="2"/>
        <scheme val="minor"/>
      </rPr>
      <t/>
    </r>
  </si>
  <si>
    <r>
      <t>E</t>
    </r>
    <r>
      <rPr>
        <vertAlign val="subscript"/>
        <sz val="12"/>
        <rFont val="Aptos Narrow"/>
        <family val="2"/>
        <scheme val="minor"/>
      </rPr>
      <t>39</t>
    </r>
    <r>
      <rPr>
        <sz val="12"/>
        <color theme="1"/>
        <rFont val="Aptos Narrow"/>
        <family val="2"/>
        <scheme val="minor"/>
      </rPr>
      <t/>
    </r>
  </si>
  <si>
    <r>
      <t>E</t>
    </r>
    <r>
      <rPr>
        <vertAlign val="subscript"/>
        <sz val="12"/>
        <rFont val="Aptos Narrow"/>
        <family val="2"/>
        <scheme val="minor"/>
      </rPr>
      <t>40</t>
    </r>
    <r>
      <rPr>
        <sz val="12"/>
        <color theme="1"/>
        <rFont val="Aptos Narrow"/>
        <family val="2"/>
        <scheme val="minor"/>
      </rPr>
      <t/>
    </r>
  </si>
  <si>
    <r>
      <t>E</t>
    </r>
    <r>
      <rPr>
        <vertAlign val="subscript"/>
        <sz val="12"/>
        <rFont val="Aptos Narrow"/>
        <family val="2"/>
        <scheme val="minor"/>
      </rPr>
      <t>41</t>
    </r>
    <r>
      <rPr>
        <sz val="12"/>
        <color theme="1"/>
        <rFont val="Aptos Narrow"/>
        <family val="2"/>
        <scheme val="minor"/>
      </rPr>
      <t/>
    </r>
  </si>
  <si>
    <r>
      <t>E</t>
    </r>
    <r>
      <rPr>
        <vertAlign val="subscript"/>
        <sz val="12"/>
        <rFont val="Aptos Narrow"/>
        <family val="2"/>
        <scheme val="minor"/>
      </rPr>
      <t>42</t>
    </r>
    <r>
      <rPr>
        <sz val="12"/>
        <color theme="1"/>
        <rFont val="Aptos Narrow"/>
        <family val="2"/>
        <scheme val="minor"/>
      </rPr>
      <t/>
    </r>
  </si>
  <si>
    <r>
      <t>E</t>
    </r>
    <r>
      <rPr>
        <vertAlign val="subscript"/>
        <sz val="12"/>
        <rFont val="Aptos Narrow"/>
        <family val="2"/>
        <scheme val="minor"/>
      </rPr>
      <t>43</t>
    </r>
    <r>
      <rPr>
        <sz val="12"/>
        <color theme="1"/>
        <rFont val="Aptos Narrow"/>
        <family val="2"/>
        <scheme val="minor"/>
      </rPr>
      <t/>
    </r>
  </si>
  <si>
    <r>
      <t>E</t>
    </r>
    <r>
      <rPr>
        <vertAlign val="subscript"/>
        <sz val="12"/>
        <rFont val="Aptos Narrow"/>
        <family val="2"/>
        <scheme val="minor"/>
      </rPr>
      <t>44</t>
    </r>
    <r>
      <rPr>
        <sz val="12"/>
        <color theme="1"/>
        <rFont val="Aptos Narrow"/>
        <family val="2"/>
        <scheme val="minor"/>
      </rPr>
      <t/>
    </r>
  </si>
  <si>
    <r>
      <t>E</t>
    </r>
    <r>
      <rPr>
        <vertAlign val="subscript"/>
        <sz val="12"/>
        <rFont val="Aptos Narrow"/>
        <family val="2"/>
        <scheme val="minor"/>
      </rPr>
      <t>45</t>
    </r>
    <r>
      <rPr>
        <sz val="12"/>
        <color theme="1"/>
        <rFont val="Aptos Narrow"/>
        <family val="2"/>
        <scheme val="minor"/>
      </rPr>
      <t/>
    </r>
  </si>
  <si>
    <r>
      <t>E</t>
    </r>
    <r>
      <rPr>
        <vertAlign val="subscript"/>
        <sz val="12"/>
        <rFont val="Aptos Narrow"/>
        <family val="2"/>
        <scheme val="minor"/>
      </rPr>
      <t>46</t>
    </r>
    <r>
      <rPr>
        <sz val="12"/>
        <color theme="1"/>
        <rFont val="Aptos Narrow"/>
        <family val="2"/>
        <scheme val="minor"/>
      </rPr>
      <t/>
    </r>
  </si>
  <si>
    <r>
      <t>E</t>
    </r>
    <r>
      <rPr>
        <vertAlign val="subscript"/>
        <sz val="12"/>
        <rFont val="Aptos Narrow"/>
        <family val="2"/>
        <scheme val="minor"/>
      </rPr>
      <t>47</t>
    </r>
    <r>
      <rPr>
        <sz val="12"/>
        <color theme="1"/>
        <rFont val="Aptos Narrow"/>
        <family val="2"/>
        <scheme val="minor"/>
      </rPr>
      <t/>
    </r>
  </si>
  <si>
    <r>
      <t>E</t>
    </r>
    <r>
      <rPr>
        <vertAlign val="subscript"/>
        <sz val="12"/>
        <rFont val="Aptos Narrow"/>
        <family val="2"/>
        <scheme val="minor"/>
      </rPr>
      <t>48</t>
    </r>
    <r>
      <rPr>
        <sz val="12"/>
        <color theme="1"/>
        <rFont val="Aptos Narrow"/>
        <family val="2"/>
        <scheme val="minor"/>
      </rPr>
      <t/>
    </r>
  </si>
  <si>
    <r>
      <t>E</t>
    </r>
    <r>
      <rPr>
        <vertAlign val="subscript"/>
        <sz val="12"/>
        <rFont val="Aptos Narrow"/>
        <family val="2"/>
        <scheme val="minor"/>
      </rPr>
      <t>49</t>
    </r>
    <r>
      <rPr>
        <sz val="12"/>
        <color theme="1"/>
        <rFont val="Aptos Narrow"/>
        <family val="2"/>
        <scheme val="minor"/>
      </rPr>
      <t/>
    </r>
  </si>
  <si>
    <t>Based on longitude</t>
  </si>
  <si>
    <t xml:space="preserve">Local Time -&gt; Universal Time </t>
  </si>
  <si>
    <t>Universal Time -&gt; Local Time</t>
  </si>
  <si>
    <t>Based on timezone</t>
  </si>
  <si>
    <t>Local Time -&gt; Universal Time</t>
  </si>
  <si>
    <t xml:space="preserve">Universal Time -&gt; Local Time </t>
  </si>
  <si>
    <t>(at 00:00)</t>
  </si>
  <si>
    <r>
      <t>JDE</t>
    </r>
    <r>
      <rPr>
        <vertAlign val="subscript"/>
        <sz val="12"/>
        <color theme="1"/>
        <rFont val="Calibri"/>
        <family val="2"/>
      </rPr>
      <t>corrected</t>
    </r>
  </si>
  <si>
    <r>
      <rPr>
        <b/>
        <sz val="14"/>
        <color theme="0"/>
        <rFont val="Calibri"/>
        <family val="2"/>
      </rPr>
      <t>Compiled by</t>
    </r>
    <r>
      <rPr>
        <sz val="14"/>
        <color theme="0"/>
        <rFont val="Calibri"/>
        <family val="2"/>
      </rPr>
      <t>: Anton Viola (Astronomy Morsels).</t>
    </r>
  </si>
  <si>
    <r>
      <rPr>
        <b/>
        <sz val="14"/>
        <color theme="0"/>
        <rFont val="Calibri"/>
        <family val="2"/>
      </rPr>
      <t>Latest update</t>
    </r>
    <r>
      <rPr>
        <sz val="14"/>
        <color theme="0"/>
        <rFont val="Calibri"/>
        <family val="2"/>
      </rPr>
      <t>: 11th May, 2021.</t>
    </r>
  </si>
  <si>
    <t>Fraction</t>
  </si>
  <si>
    <t>V1.1</t>
  </si>
  <si>
    <t>1a. Calculate time from day fraction</t>
  </si>
  <si>
    <t>1b. Calculate day fraction from time</t>
  </si>
  <si>
    <t>2a. Calculate time from degrees</t>
  </si>
  <si>
    <t>2b. Calculate degrees from time</t>
  </si>
  <si>
    <t>Decimal value</t>
  </si>
  <si>
    <t>Minutes</t>
  </si>
  <si>
    <t>Seconds</t>
  </si>
  <si>
    <t>Degrees</t>
  </si>
  <si>
    <t>Weekday</t>
  </si>
  <si>
    <t>deg</t>
  </si>
  <si>
    <t>angular separation</t>
  </si>
  <si>
    <r>
      <t>δ</t>
    </r>
    <r>
      <rPr>
        <vertAlign val="subscript"/>
        <sz val="12"/>
        <rFont val="Calibri"/>
        <family val="2"/>
      </rPr>
      <t>2</t>
    </r>
  </si>
  <si>
    <r>
      <t>α</t>
    </r>
    <r>
      <rPr>
        <vertAlign val="subscript"/>
        <sz val="12"/>
        <rFont val="Calibri"/>
        <family val="2"/>
      </rPr>
      <t>2</t>
    </r>
  </si>
  <si>
    <r>
      <t>δ</t>
    </r>
    <r>
      <rPr>
        <vertAlign val="subscript"/>
        <sz val="12"/>
        <rFont val="Calibri"/>
        <family val="2"/>
      </rPr>
      <t>1</t>
    </r>
  </si>
  <si>
    <r>
      <t>α</t>
    </r>
    <r>
      <rPr>
        <vertAlign val="subscript"/>
        <sz val="12"/>
        <rFont val="Calibri"/>
        <family val="2"/>
      </rPr>
      <t>1</t>
    </r>
  </si>
  <si>
    <t>Astronomical Algorithms, First Edition, J. Meeus, pp. 105-111 (havoc).</t>
  </si>
  <si>
    <t>Difference</t>
  </si>
  <si>
    <r>
      <t>JDE</t>
    </r>
    <r>
      <rPr>
        <vertAlign val="subscript"/>
        <sz val="12"/>
        <color theme="1"/>
        <rFont val="Calibri"/>
        <family val="2"/>
      </rPr>
      <t>2</t>
    </r>
  </si>
  <si>
    <r>
      <t>JDE</t>
    </r>
    <r>
      <rPr>
        <vertAlign val="subscript"/>
        <sz val="12"/>
        <color theme="1"/>
        <rFont val="Calibri"/>
        <family val="2"/>
      </rPr>
      <t>1</t>
    </r>
  </si>
  <si>
    <t>Faster:</t>
  </si>
  <si>
    <r>
      <t>JDE</t>
    </r>
    <r>
      <rPr>
        <b/>
        <vertAlign val="subscript"/>
        <sz val="12"/>
        <color theme="1"/>
        <rFont val="Calibri"/>
        <family val="2"/>
      </rPr>
      <t>2</t>
    </r>
  </si>
  <si>
    <r>
      <t>JDE</t>
    </r>
    <r>
      <rPr>
        <b/>
        <vertAlign val="subscript"/>
        <sz val="12"/>
        <color theme="1"/>
        <rFont val="Calibri"/>
        <family val="2"/>
      </rPr>
      <t>1</t>
    </r>
  </si>
  <si>
    <t>Input Date 2</t>
  </si>
  <si>
    <t>Input Date 1</t>
  </si>
  <si>
    <t>This spreadsheet provides utilities, that are used in various morsels. Utilities include some basic transformations between for instance universal and local time, and Gregorian date and Julian Ephemeris Day (JDE), days since J2000 epoch, angular separation, Kepler's equation, etc.</t>
  </si>
  <si>
    <r>
      <t>E</t>
    </r>
    <r>
      <rPr>
        <vertAlign val="subscript"/>
        <sz val="12"/>
        <rFont val="Calibri"/>
        <family val="2"/>
      </rPr>
      <t>50</t>
    </r>
    <r>
      <rPr>
        <sz val="12"/>
        <color theme="1"/>
        <rFont val="Aptos Narrow"/>
        <family val="2"/>
        <scheme val="minor"/>
      </rPr>
      <t/>
    </r>
  </si>
  <si>
    <t>J2000 Epoch</t>
  </si>
  <si>
    <t>3a. Calculate degrees from decimal value</t>
  </si>
  <si>
    <t>3b. Calculate degrees from decimal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</si>
</sst>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F400]h:mm:ss\ AM/PM"/>
    <numFmt numFmtId="165" formatCode="0.0000"/>
    <numFmt numFmtId="166" formatCode="0.00000000"/>
    <numFmt numFmtId="167" formatCode="#,##0.000000"/>
    <numFmt numFmtId="168" formatCode="[$]dd/mm/yyyy;@" x16r2:formatCode16="[$-en-CH,1]dd/mm/yyyy;@"/>
    <numFmt numFmtId="169" formatCode="[$]hh:mm;@" x16r2:formatCode16="[$-en-CH,1]hh:mm;@"/>
    <numFmt numFmtId="170" formatCode="#,##0.0000"/>
    <numFmt numFmtId="171" formatCode="dd/mm/yyyy;@"/>
    <numFmt numFmtId="172" formatCode="[$]hh:mm:ss;@" x16r2:formatCode16="[$-en-CH,1]hh:mm:ss;@"/>
    <numFmt numFmtId="173" formatCode="0.000000"/>
    <numFmt numFmtId="174" formatCode="#,##0.00000"/>
    <numFmt numFmtId="175" formatCode="0.000"/>
    <numFmt numFmtId="176" formatCode="0.00000"/>
  </numFmts>
  <fonts count="37">
    <font>
      <sz val="12"/>
      <color theme="1"/>
      <name val="Aptos Narrow"/>
      <family val="2"/>
      <scheme val="minor"/>
    </font>
    <font>
      <sz val="12"/>
      <color theme="1"/>
      <name val="Calibri"/>
      <family val="2"/>
    </font>
    <font>
      <b/>
      <u/>
      <sz val="12"/>
      <color theme="1"/>
      <name val="Calibri"/>
      <family val="2"/>
    </font>
    <font>
      <sz val="10"/>
      <color theme="1"/>
      <name val="Calibri"/>
      <family val="2"/>
    </font>
    <font>
      <b/>
      <sz val="11"/>
      <color theme="1"/>
      <name val="Calibri"/>
      <family val="2"/>
    </font>
    <font>
      <b/>
      <sz val="10"/>
      <color theme="1"/>
      <name val="Calibri"/>
      <family val="2"/>
    </font>
    <font>
      <u/>
      <sz val="12"/>
      <color theme="10"/>
      <name val="Aptos Narrow"/>
      <family val="2"/>
      <scheme val="minor"/>
    </font>
    <font>
      <u/>
      <sz val="12"/>
      <color theme="1"/>
      <name val="Calibri"/>
      <family val="2"/>
    </font>
    <font>
      <b/>
      <i/>
      <sz val="11"/>
      <color theme="1"/>
      <name val="Calibri"/>
      <family val="2"/>
    </font>
    <font>
      <i/>
      <sz val="14"/>
      <color theme="0"/>
      <name val="Calibri"/>
      <family val="2"/>
    </font>
    <font>
      <sz val="11"/>
      <color theme="1"/>
      <name val="Aptos Narrow"/>
      <family val="2"/>
      <scheme val="minor"/>
    </font>
    <font>
      <b/>
      <sz val="10"/>
      <name val="Arial"/>
      <family val="2"/>
    </font>
    <font>
      <sz val="11"/>
      <color theme="1"/>
      <name val="Calibri"/>
      <family val="2"/>
    </font>
    <font>
      <sz val="11"/>
      <color rgb="FF000000"/>
      <name val="Calibri"/>
      <family val="2"/>
    </font>
    <font>
      <b/>
      <sz val="12"/>
      <color theme="1"/>
      <name val="Calibri"/>
      <family val="2"/>
    </font>
    <font>
      <sz val="11"/>
      <color rgb="FFFF0000"/>
      <name val="Calibri"/>
      <family val="2"/>
    </font>
    <font>
      <sz val="11"/>
      <color rgb="FFFF0000"/>
      <name val="Aptos Narrow"/>
      <family val="2"/>
      <scheme val="minor"/>
    </font>
    <font>
      <i/>
      <sz val="12"/>
      <color theme="1"/>
      <name val="Calibri"/>
      <family val="2"/>
    </font>
    <font>
      <sz val="12"/>
      <name val="Calibri"/>
      <family val="2"/>
    </font>
    <font>
      <sz val="9"/>
      <color theme="1"/>
      <name val="Aptos Narrow"/>
      <family val="2"/>
      <scheme val="minor"/>
    </font>
    <font>
      <vertAlign val="subscript"/>
      <sz val="12"/>
      <name val="Calibri"/>
      <family val="2"/>
    </font>
    <font>
      <b/>
      <sz val="12"/>
      <name val="Calibri"/>
      <family val="2"/>
    </font>
    <font>
      <sz val="12"/>
      <color theme="0"/>
      <name val="Calibri"/>
      <family val="2"/>
    </font>
    <font>
      <sz val="12"/>
      <color rgb="FF000000"/>
      <name val="Calibri"/>
      <family val="2"/>
    </font>
    <font>
      <i/>
      <sz val="12"/>
      <name val="Calibri"/>
      <family val="2"/>
    </font>
    <font>
      <sz val="12"/>
      <name val="Aptos Narrow"/>
      <family val="2"/>
      <scheme val="minor"/>
    </font>
    <font>
      <vertAlign val="subscript"/>
      <sz val="12"/>
      <name val="Aptos Narrow"/>
      <family val="2"/>
      <scheme val="minor"/>
    </font>
    <font>
      <sz val="8"/>
      <name val="Aptos Narrow"/>
      <family val="2"/>
      <scheme val="minor"/>
    </font>
    <font>
      <vertAlign val="subscript"/>
      <sz val="12"/>
      <color theme="1"/>
      <name val="Calibri"/>
      <family val="2"/>
    </font>
    <font>
      <sz val="14"/>
      <color theme="0"/>
      <name val="Calibri"/>
      <family val="2"/>
    </font>
    <font>
      <b/>
      <sz val="14"/>
      <color theme="0"/>
      <name val="Calibri"/>
      <family val="2"/>
    </font>
    <font>
      <u/>
      <sz val="14"/>
      <color theme="0"/>
      <name val="Calibri"/>
      <family val="2"/>
    </font>
    <font>
      <u/>
      <sz val="12"/>
      <color theme="0"/>
      <name val="Calibri"/>
      <family val="2"/>
    </font>
    <font>
      <sz val="9"/>
      <color theme="0"/>
      <name val="Calibri"/>
      <family val="2"/>
    </font>
    <font>
      <sz val="12"/>
      <color theme="1"/>
      <name val="Aptos Narrow"/>
      <family val="2"/>
      <scheme val="minor"/>
    </font>
    <font>
      <b/>
      <vertAlign val="subscript"/>
      <sz val="12"/>
      <color theme="1"/>
      <name val="Calibri"/>
      <family val="2"/>
    </font>
    <font>
      <sz val="11"/>
      <name val="ＭＳ Ｐゴシック"/>
      <family val="2"/>
      <charset val="128"/>
    </font>
  </fonts>
  <fills count="11">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0"/>
        <bgColor rgb="FF000000"/>
      </patternFill>
    </fill>
    <fill>
      <patternFill patternType="solid">
        <fgColor indexed="47"/>
        <bgColor indexed="64"/>
      </patternFill>
    </fill>
    <fill>
      <patternFill patternType="solid">
        <fgColor indexed="2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55"/>
      </right>
      <top/>
      <bottom/>
      <diagonal/>
    </border>
    <border>
      <left style="thin">
        <color indexed="55"/>
      </left>
      <right style="thin">
        <color indexed="55"/>
      </right>
      <top/>
      <bottom/>
      <diagonal/>
    </border>
    <border>
      <left style="thin">
        <color indexed="55"/>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s>
  <cellStyleXfs count="6">
    <xf numFmtId="0" fontId="0" fillId="0" borderId="0"/>
    <xf numFmtId="0" fontId="6" fillId="0" borderId="0" applyNumberFormat="0" applyFill="0" applyBorder="0" applyAlignment="0" applyProtection="0"/>
    <xf numFmtId="0" fontId="10" fillId="0" borderId="0"/>
    <xf numFmtId="0" fontId="19" fillId="0" borderId="0"/>
    <xf numFmtId="0" fontId="34" fillId="0" borderId="0"/>
    <xf numFmtId="0" fontId="36" fillId="0" borderId="0"/>
  </cellStyleXfs>
  <cellXfs count="197">
    <xf numFmtId="0" fontId="0" fillId="0" borderId="0" xfId="0"/>
    <xf numFmtId="0" fontId="1" fillId="0" borderId="0" xfId="0" applyFont="1"/>
    <xf numFmtId="164" fontId="4" fillId="2" borderId="0" xfId="0" applyNumberFormat="1" applyFont="1" applyFill="1" applyProtection="1">
      <protection locked="0"/>
    </xf>
    <xf numFmtId="2" fontId="5" fillId="2" borderId="0" xfId="0" applyNumberFormat="1" applyFont="1" applyFill="1" applyProtection="1">
      <protection locked="0"/>
    </xf>
    <xf numFmtId="1" fontId="5" fillId="2" borderId="0" xfId="0" applyNumberFormat="1" applyFont="1" applyFill="1" applyProtection="1">
      <protection locked="0"/>
    </xf>
    <xf numFmtId="0" fontId="10" fillId="0" borderId="0" xfId="2"/>
    <xf numFmtId="0" fontId="12" fillId="4" borderId="0" xfId="2" applyFont="1" applyFill="1"/>
    <xf numFmtId="0" fontId="12" fillId="0" borderId="0" xfId="2" applyFont="1"/>
    <xf numFmtId="0" fontId="13" fillId="5" borderId="0" xfId="2" applyFont="1" applyFill="1"/>
    <xf numFmtId="0" fontId="14" fillId="2" borderId="0" xfId="0" applyFont="1" applyFill="1" applyAlignment="1">
      <alignment horizontal="right"/>
    </xf>
    <xf numFmtId="0" fontId="15" fillId="0" borderId="0" xfId="2" applyFont="1"/>
    <xf numFmtId="0" fontId="16" fillId="0" borderId="0" xfId="2" applyFont="1"/>
    <xf numFmtId="0" fontId="2" fillId="8" borderId="0" xfId="0" applyFont="1" applyFill="1"/>
    <xf numFmtId="0" fontId="1" fillId="8" borderId="0" xfId="0" applyFont="1" applyFill="1"/>
    <xf numFmtId="0" fontId="1" fillId="8" borderId="25" xfId="0" applyFont="1" applyFill="1" applyBorder="1"/>
    <xf numFmtId="0" fontId="1" fillId="8" borderId="25" xfId="0" applyFont="1" applyFill="1" applyBorder="1" applyAlignment="1">
      <alignment horizontal="right"/>
    </xf>
    <xf numFmtId="0" fontId="14" fillId="8" borderId="0" xfId="0" applyFont="1" applyFill="1"/>
    <xf numFmtId="170" fontId="14" fillId="8" borderId="0" xfId="0" applyNumberFormat="1" applyFont="1" applyFill="1"/>
    <xf numFmtId="167" fontId="1" fillId="8" borderId="0" xfId="0" applyNumberFormat="1" applyFont="1" applyFill="1"/>
    <xf numFmtId="0" fontId="1" fillId="0" borderId="1" xfId="0" applyFont="1" applyBorder="1"/>
    <xf numFmtId="0" fontId="1" fillId="0" borderId="3" xfId="0" applyFont="1" applyBorder="1"/>
    <xf numFmtId="0" fontId="1" fillId="0" borderId="24" xfId="0" applyFont="1" applyBorder="1"/>
    <xf numFmtId="0" fontId="1" fillId="0" borderId="8" xfId="0" applyFont="1" applyBorder="1"/>
    <xf numFmtId="0" fontId="1" fillId="0" borderId="4" xfId="0" applyFont="1" applyBorder="1"/>
    <xf numFmtId="0" fontId="3" fillId="0" borderId="0" xfId="0" applyFont="1"/>
    <xf numFmtId="0" fontId="17" fillId="0" borderId="0" xfId="0" applyFont="1"/>
    <xf numFmtId="167" fontId="17" fillId="0" borderId="0" xfId="0" applyNumberFormat="1" applyFont="1"/>
    <xf numFmtId="0" fontId="1" fillId="8" borderId="25" xfId="2" applyFont="1" applyFill="1" applyBorder="1" applyAlignment="1">
      <alignment horizontal="right"/>
    </xf>
    <xf numFmtId="170" fontId="18" fillId="8" borderId="25" xfId="2" applyNumberFormat="1" applyFont="1" applyFill="1" applyBorder="1" applyAlignment="1">
      <alignment horizontal="right"/>
    </xf>
    <xf numFmtId="168" fontId="14" fillId="2" borderId="3" xfId="0" applyNumberFormat="1" applyFont="1" applyFill="1" applyBorder="1" applyAlignment="1" applyProtection="1">
      <alignment horizontal="right"/>
      <protection locked="0"/>
    </xf>
    <xf numFmtId="169" fontId="14" fillId="2" borderId="5" xfId="0" applyNumberFormat="1" applyFont="1" applyFill="1" applyBorder="1" applyAlignment="1" applyProtection="1">
      <alignment horizontal="right"/>
      <protection locked="0"/>
    </xf>
    <xf numFmtId="167" fontId="14" fillId="2" borderId="5" xfId="0" applyNumberFormat="1" applyFont="1" applyFill="1" applyBorder="1" applyAlignment="1" applyProtection="1">
      <alignment horizontal="right"/>
      <protection locked="0"/>
    </xf>
    <xf numFmtId="167" fontId="14" fillId="2" borderId="8" xfId="0" applyNumberFormat="1" applyFont="1" applyFill="1" applyBorder="1" applyAlignment="1" applyProtection="1">
      <alignment horizontal="right"/>
      <protection locked="0"/>
    </xf>
    <xf numFmtId="0" fontId="14" fillId="2" borderId="2" xfId="0" applyFont="1" applyFill="1" applyBorder="1" applyAlignment="1" applyProtection="1">
      <alignment horizontal="right"/>
      <protection locked="0"/>
    </xf>
    <xf numFmtId="0" fontId="14" fillId="2" borderId="7" xfId="0" applyFont="1" applyFill="1" applyBorder="1" applyAlignment="1" applyProtection="1">
      <alignment horizontal="right"/>
      <protection locked="0"/>
    </xf>
    <xf numFmtId="169" fontId="14" fillId="8" borderId="0" xfId="0" applyNumberFormat="1" applyFont="1" applyFill="1" applyAlignment="1" applyProtection="1">
      <alignment horizontal="right"/>
      <protection locked="0"/>
    </xf>
    <xf numFmtId="168" fontId="14" fillId="2" borderId="25" xfId="3" applyNumberFormat="1" applyFont="1" applyFill="1" applyBorder="1" applyAlignment="1" applyProtection="1">
      <alignment horizontal="center"/>
      <protection locked="0"/>
    </xf>
    <xf numFmtId="1" fontId="1" fillId="4" borderId="25" xfId="0" applyNumberFormat="1" applyFont="1" applyFill="1" applyBorder="1" applyAlignment="1">
      <alignment horizontal="center"/>
    </xf>
    <xf numFmtId="0" fontId="1" fillId="4" borderId="25" xfId="0" applyFont="1" applyFill="1" applyBorder="1" applyAlignment="1">
      <alignment horizontal="center"/>
    </xf>
    <xf numFmtId="4" fontId="1" fillId="0" borderId="25" xfId="0" applyNumberFormat="1" applyFont="1" applyBorder="1" applyAlignment="1">
      <alignment horizontal="center"/>
    </xf>
    <xf numFmtId="2" fontId="14" fillId="0" borderId="0" xfId="0" applyNumberFormat="1" applyFont="1" applyAlignment="1">
      <alignment horizontal="center"/>
    </xf>
    <xf numFmtId="0" fontId="1" fillId="0" borderId="2" xfId="0" applyFont="1" applyBorder="1" applyAlignment="1">
      <alignment horizontal="center"/>
    </xf>
    <xf numFmtId="0" fontId="1" fillId="0" borderId="25" xfId="0" applyFont="1" applyBorder="1"/>
    <xf numFmtId="0" fontId="14" fillId="2" borderId="0" xfId="0" applyFont="1" applyFill="1" applyAlignment="1">
      <alignment horizontal="center"/>
    </xf>
    <xf numFmtId="165" fontId="18" fillId="0" borderId="3" xfId="2" applyNumberFormat="1" applyFont="1" applyBorder="1"/>
    <xf numFmtId="165" fontId="18" fillId="0" borderId="5" xfId="2" applyNumberFormat="1" applyFont="1" applyBorder="1"/>
    <xf numFmtId="0" fontId="1" fillId="0" borderId="26" xfId="0" applyFont="1" applyBorder="1"/>
    <xf numFmtId="0" fontId="14" fillId="2" borderId="27" xfId="0" applyFont="1" applyFill="1" applyBorder="1" applyProtection="1">
      <protection locked="0"/>
    </xf>
    <xf numFmtId="165" fontId="21" fillId="2" borderId="3" xfId="2" applyNumberFormat="1" applyFont="1" applyFill="1" applyBorder="1" applyProtection="1">
      <protection locked="0"/>
    </xf>
    <xf numFmtId="0" fontId="1" fillId="0" borderId="0" xfId="2" applyFont="1"/>
    <xf numFmtId="0" fontId="14" fillId="2" borderId="0" xfId="2" applyFont="1" applyFill="1" applyAlignment="1">
      <alignment horizontal="center"/>
    </xf>
    <xf numFmtId="0" fontId="1" fillId="4" borderId="0" xfId="2" applyFont="1" applyFill="1"/>
    <xf numFmtId="0" fontId="21" fillId="4" borderId="0" xfId="2" applyFont="1" applyFill="1" applyAlignment="1">
      <alignment horizontal="center"/>
    </xf>
    <xf numFmtId="0" fontId="21" fillId="4" borderId="0" xfId="2" applyFont="1" applyFill="1" applyAlignment="1">
      <alignment horizontal="right" vertical="center"/>
    </xf>
    <xf numFmtId="0" fontId="1" fillId="0" borderId="9" xfId="2" applyFont="1" applyBorder="1" applyAlignment="1">
      <alignment horizontal="center"/>
    </xf>
    <xf numFmtId="0" fontId="18" fillId="5" borderId="9" xfId="2" applyFont="1" applyFill="1" applyBorder="1" applyAlignment="1">
      <alignment horizontal="center"/>
    </xf>
    <xf numFmtId="0" fontId="21" fillId="5" borderId="0" xfId="2" applyFont="1" applyFill="1" applyAlignment="1">
      <alignment horizontal="right" vertical="center"/>
    </xf>
    <xf numFmtId="0" fontId="23" fillId="5" borderId="9" xfId="2" applyFont="1" applyFill="1" applyBorder="1" applyAlignment="1">
      <alignment horizontal="center"/>
    </xf>
    <xf numFmtId="0" fontId="1" fillId="4" borderId="9" xfId="2" applyFont="1" applyFill="1" applyBorder="1" applyAlignment="1">
      <alignment horizontal="center"/>
    </xf>
    <xf numFmtId="14" fontId="24" fillId="4" borderId="0" xfId="2" applyNumberFormat="1" applyFont="1" applyFill="1"/>
    <xf numFmtId="0" fontId="21" fillId="4" borderId="0" xfId="2" applyFont="1" applyFill="1" applyAlignment="1">
      <alignment horizontal="left"/>
    </xf>
    <xf numFmtId="0" fontId="21" fillId="4" borderId="0" xfId="2" applyFont="1" applyFill="1"/>
    <xf numFmtId="0" fontId="18" fillId="5" borderId="0" xfId="2" applyFont="1" applyFill="1" applyAlignment="1">
      <alignment horizontal="center"/>
    </xf>
    <xf numFmtId="0" fontId="21" fillId="6" borderId="9" xfId="2" applyFont="1" applyFill="1" applyBorder="1" applyAlignment="1">
      <alignment horizontal="center"/>
    </xf>
    <xf numFmtId="0" fontId="21" fillId="6" borderId="10" xfId="2" applyFont="1" applyFill="1" applyBorder="1" applyAlignment="1">
      <alignment horizontal="center"/>
    </xf>
    <xf numFmtId="0" fontId="21" fillId="6" borderId="11" xfId="2" applyFont="1" applyFill="1" applyBorder="1" applyAlignment="1">
      <alignment horizontal="center"/>
    </xf>
    <xf numFmtId="0" fontId="21" fillId="6" borderId="12" xfId="2" applyFont="1" applyFill="1" applyBorder="1" applyAlignment="1">
      <alignment horizontal="center"/>
    </xf>
    <xf numFmtId="0" fontId="21" fillId="7" borderId="13" xfId="2" applyFont="1" applyFill="1" applyBorder="1" applyAlignment="1">
      <alignment horizontal="center"/>
    </xf>
    <xf numFmtId="0" fontId="1" fillId="7" borderId="14" xfId="2" applyFont="1" applyFill="1" applyBorder="1" applyAlignment="1">
      <alignment horizontal="center"/>
    </xf>
    <xf numFmtId="0" fontId="1" fillId="7" borderId="15" xfId="2" applyFont="1" applyFill="1" applyBorder="1" applyAlignment="1">
      <alignment horizontal="center"/>
    </xf>
    <xf numFmtId="0" fontId="1" fillId="7" borderId="16" xfId="2" applyFont="1" applyFill="1" applyBorder="1" applyAlignment="1">
      <alignment horizontal="center"/>
    </xf>
    <xf numFmtId="0" fontId="21" fillId="7" borderId="17" xfId="2" applyFont="1" applyFill="1" applyBorder="1" applyAlignment="1">
      <alignment horizontal="center"/>
    </xf>
    <xf numFmtId="0" fontId="1" fillId="7" borderId="18" xfId="2" applyFont="1" applyFill="1" applyBorder="1" applyAlignment="1">
      <alignment horizontal="center"/>
    </xf>
    <xf numFmtId="0" fontId="1" fillId="7" borderId="19" xfId="2" applyFont="1" applyFill="1" applyBorder="1" applyAlignment="1">
      <alignment horizontal="center"/>
    </xf>
    <xf numFmtId="0" fontId="1" fillId="7" borderId="20" xfId="2" applyFont="1" applyFill="1" applyBorder="1" applyAlignment="1">
      <alignment horizontal="center"/>
    </xf>
    <xf numFmtId="0" fontId="18" fillId="0" borderId="1" xfId="2" applyFont="1" applyBorder="1" applyAlignment="1">
      <alignment horizontal="center"/>
    </xf>
    <xf numFmtId="0" fontId="18" fillId="0" borderId="28" xfId="2" applyFont="1" applyBorder="1" applyAlignment="1">
      <alignment horizontal="center"/>
    </xf>
    <xf numFmtId="0" fontId="25" fillId="0" borderId="28" xfId="0" applyFont="1" applyBorder="1" applyAlignment="1">
      <alignment horizontal="center"/>
    </xf>
    <xf numFmtId="0" fontId="14" fillId="2" borderId="27" xfId="0" applyFont="1" applyFill="1" applyBorder="1" applyAlignment="1">
      <alignment horizontal="right"/>
    </xf>
    <xf numFmtId="0" fontId="3" fillId="0" borderId="4" xfId="0" applyFont="1" applyBorder="1"/>
    <xf numFmtId="0" fontId="3" fillId="0" borderId="5" xfId="0" applyFont="1" applyBorder="1"/>
    <xf numFmtId="0" fontId="4" fillId="0" borderId="4" xfId="0" applyFont="1" applyBorder="1"/>
    <xf numFmtId="0" fontId="1" fillId="0" borderId="5" xfId="0" applyFont="1" applyBorder="1"/>
    <xf numFmtId="0" fontId="1" fillId="0" borderId="2" xfId="0" applyFont="1" applyBorder="1"/>
    <xf numFmtId="0" fontId="3" fillId="0" borderId="2" xfId="0" applyFont="1" applyBorder="1"/>
    <xf numFmtId="0" fontId="3" fillId="0" borderId="3" xfId="0" applyFont="1" applyBorder="1"/>
    <xf numFmtId="0" fontId="2" fillId="0" borderId="4" xfId="0" applyFont="1" applyBorder="1"/>
    <xf numFmtId="0" fontId="2" fillId="0" borderId="0" xfId="0" applyFont="1"/>
    <xf numFmtId="164" fontId="4" fillId="0" borderId="0" xfId="0" applyNumberFormat="1" applyFont="1"/>
    <xf numFmtId="0" fontId="4" fillId="0" borderId="0" xfId="0" applyFont="1"/>
    <xf numFmtId="4" fontId="3" fillId="0" borderId="0" xfId="0" applyNumberFormat="1" applyFont="1"/>
    <xf numFmtId="0" fontId="5" fillId="0" borderId="4" xfId="0" applyFont="1" applyBorder="1"/>
    <xf numFmtId="2" fontId="3" fillId="0" borderId="0" xfId="0" applyNumberFormat="1" applyFont="1"/>
    <xf numFmtId="0" fontId="5" fillId="0" borderId="0" xfId="0" applyFont="1"/>
    <xf numFmtId="1" fontId="3" fillId="0" borderId="0" xfId="0" applyNumberFormat="1" applyFont="1"/>
    <xf numFmtId="0" fontId="4" fillId="0" borderId="6" xfId="0" applyFont="1" applyBorder="1"/>
    <xf numFmtId="164" fontId="4" fillId="0" borderId="7" xfId="0" applyNumberFormat="1" applyFont="1" applyBorder="1"/>
    <xf numFmtId="0" fontId="4" fillId="0" borderId="7" xfId="0" applyFont="1" applyBorder="1"/>
    <xf numFmtId="164" fontId="4" fillId="0" borderId="8" xfId="0" applyNumberFormat="1" applyFont="1" applyBorder="1"/>
    <xf numFmtId="171" fontId="21" fillId="2" borderId="9" xfId="2" applyNumberFormat="1" applyFont="1" applyFill="1" applyBorder="1" applyAlignment="1" applyProtection="1">
      <alignment horizontal="center"/>
      <protection locked="0"/>
    </xf>
    <xf numFmtId="0" fontId="14" fillId="0" borderId="1" xfId="0" applyFont="1" applyBorder="1"/>
    <xf numFmtId="0" fontId="14" fillId="0" borderId="2" xfId="0" applyFont="1" applyBorder="1"/>
    <xf numFmtId="0" fontId="3" fillId="0" borderId="5" xfId="0" applyFont="1" applyBorder="1" applyAlignment="1">
      <alignment horizontal="left"/>
    </xf>
    <xf numFmtId="0" fontId="1" fillId="4" borderId="0" xfId="0" applyFont="1" applyFill="1"/>
    <xf numFmtId="0" fontId="1" fillId="4" borderId="0" xfId="0" applyFont="1" applyFill="1" applyAlignment="1">
      <alignment horizontal="right"/>
    </xf>
    <xf numFmtId="1" fontId="1" fillId="4" borderId="0" xfId="0" applyNumberFormat="1" applyFont="1" applyFill="1"/>
    <xf numFmtId="0" fontId="14" fillId="2" borderId="3" xfId="0" applyFont="1" applyFill="1" applyBorder="1" applyAlignment="1">
      <alignment horizontal="right"/>
    </xf>
    <xf numFmtId="0" fontId="14" fillId="0" borderId="4" xfId="0" applyFont="1" applyBorder="1"/>
    <xf numFmtId="0" fontId="14" fillId="2" borderId="5" xfId="0" applyFont="1" applyFill="1" applyBorder="1" applyProtection="1">
      <protection locked="0"/>
    </xf>
    <xf numFmtId="4" fontId="14" fillId="2" borderId="5" xfId="0" applyNumberFormat="1" applyFont="1" applyFill="1" applyBorder="1" applyProtection="1">
      <protection locked="0"/>
    </xf>
    <xf numFmtId="4" fontId="1" fillId="0" borderId="5" xfId="0" applyNumberFormat="1" applyFont="1" applyBorder="1"/>
    <xf numFmtId="0" fontId="1" fillId="0" borderId="5" xfId="3" applyFont="1" applyBorder="1"/>
    <xf numFmtId="165" fontId="1" fillId="4" borderId="0" xfId="0" applyNumberFormat="1" applyFont="1" applyFill="1"/>
    <xf numFmtId="1" fontId="1" fillId="0" borderId="5" xfId="0" applyNumberFormat="1" applyFont="1" applyBorder="1"/>
    <xf numFmtId="2" fontId="1" fillId="4" borderId="0" xfId="0" applyNumberFormat="1" applyFont="1" applyFill="1"/>
    <xf numFmtId="0" fontId="14" fillId="0" borderId="24" xfId="0" applyFont="1" applyBorder="1"/>
    <xf numFmtId="166" fontId="1" fillId="4" borderId="0" xfId="0" applyNumberFormat="1" applyFont="1" applyFill="1"/>
    <xf numFmtId="167" fontId="1" fillId="0" borderId="8" xfId="0" applyNumberFormat="1" applyFont="1" applyBorder="1"/>
    <xf numFmtId="0" fontId="29" fillId="10" borderId="1" xfId="0" applyFont="1" applyFill="1" applyBorder="1" applyAlignment="1">
      <alignment horizontal="left"/>
    </xf>
    <xf numFmtId="0" fontId="29" fillId="10" borderId="2" xfId="0" applyFont="1" applyFill="1" applyBorder="1" applyAlignment="1">
      <alignment horizontal="center"/>
    </xf>
    <xf numFmtId="0" fontId="31" fillId="10" borderId="3" xfId="1" applyFont="1" applyFill="1" applyBorder="1" applyAlignment="1">
      <alignment horizontal="center"/>
    </xf>
    <xf numFmtId="0" fontId="31" fillId="10" borderId="4" xfId="1" applyFont="1" applyFill="1" applyBorder="1" applyAlignment="1">
      <alignment horizontal="left"/>
    </xf>
    <xf numFmtId="0" fontId="29" fillId="10" borderId="0" xfId="0" applyFont="1" applyFill="1" applyAlignment="1">
      <alignment horizontal="center"/>
    </xf>
    <xf numFmtId="0" fontId="29" fillId="10" borderId="5" xfId="0" applyFont="1" applyFill="1" applyBorder="1" applyAlignment="1">
      <alignment horizontal="center"/>
    </xf>
    <xf numFmtId="0" fontId="29" fillId="10" borderId="6" xfId="1" applyFont="1" applyFill="1" applyBorder="1" applyAlignment="1">
      <alignment horizontal="left"/>
    </xf>
    <xf numFmtId="0" fontId="29" fillId="10" borderId="7" xfId="1" applyFont="1" applyFill="1" applyBorder="1" applyAlignment="1">
      <alignment horizontal="left"/>
    </xf>
    <xf numFmtId="0" fontId="30" fillId="10" borderId="8" xfId="0" applyFont="1" applyFill="1" applyBorder="1" applyAlignment="1">
      <alignment horizontal="center"/>
    </xf>
    <xf numFmtId="0" fontId="14" fillId="0" borderId="0" xfId="0" applyFont="1"/>
    <xf numFmtId="172" fontId="14" fillId="2" borderId="25" xfId="3" applyNumberFormat="1" applyFont="1" applyFill="1" applyBorder="1" applyAlignment="1" applyProtection="1">
      <alignment horizontal="center"/>
      <protection locked="0"/>
    </xf>
    <xf numFmtId="165" fontId="1" fillId="0" borderId="0" xfId="0" applyNumberFormat="1" applyFont="1"/>
    <xf numFmtId="0" fontId="14" fillId="2" borderId="25" xfId="0" applyFont="1" applyFill="1" applyBorder="1" applyProtection="1">
      <protection locked="0"/>
    </xf>
    <xf numFmtId="167" fontId="14" fillId="2" borderId="3" xfId="0" applyNumberFormat="1" applyFont="1" applyFill="1" applyBorder="1" applyProtection="1">
      <protection locked="0"/>
    </xf>
    <xf numFmtId="172" fontId="14" fillId="2" borderId="3" xfId="0" applyNumberFormat="1" applyFont="1" applyFill="1" applyBorder="1" applyProtection="1">
      <protection locked="0"/>
    </xf>
    <xf numFmtId="173" fontId="14" fillId="2" borderId="3" xfId="0" applyNumberFormat="1" applyFont="1" applyFill="1" applyBorder="1" applyProtection="1">
      <protection locked="0"/>
    </xf>
    <xf numFmtId="164" fontId="1" fillId="9" borderId="8" xfId="0" applyNumberFormat="1" applyFont="1" applyFill="1" applyBorder="1"/>
    <xf numFmtId="173" fontId="1" fillId="9" borderId="8" xfId="0" applyNumberFormat="1" applyFont="1" applyFill="1" applyBorder="1"/>
    <xf numFmtId="0" fontId="1" fillId="9" borderId="25" xfId="0" applyFont="1" applyFill="1" applyBorder="1"/>
    <xf numFmtId="166" fontId="1" fillId="9" borderId="25" xfId="0" applyNumberFormat="1" applyFont="1" applyFill="1" applyBorder="1"/>
    <xf numFmtId="4" fontId="1" fillId="9" borderId="29" xfId="0" applyNumberFormat="1" applyFont="1" applyFill="1" applyBorder="1" applyAlignment="1">
      <alignment horizontal="center"/>
    </xf>
    <xf numFmtId="164" fontId="12" fillId="9" borderId="7" xfId="0" applyNumberFormat="1" applyFont="1" applyFill="1" applyBorder="1"/>
    <xf numFmtId="167" fontId="1" fillId="9" borderId="8" xfId="0" applyNumberFormat="1" applyFont="1" applyFill="1" applyBorder="1"/>
    <xf numFmtId="1" fontId="1" fillId="9" borderId="5" xfId="0" applyNumberFormat="1" applyFont="1" applyFill="1" applyBorder="1"/>
    <xf numFmtId="167" fontId="1" fillId="9" borderId="0" xfId="0" applyNumberFormat="1" applyFont="1" applyFill="1"/>
    <xf numFmtId="0" fontId="1" fillId="9" borderId="0" xfId="0" applyFont="1" applyFill="1"/>
    <xf numFmtId="165" fontId="1" fillId="9" borderId="8" xfId="2" applyNumberFormat="1" applyFont="1" applyFill="1" applyBorder="1"/>
    <xf numFmtId="0" fontId="18" fillId="4" borderId="0" xfId="2" applyFont="1" applyFill="1"/>
    <xf numFmtId="14" fontId="14" fillId="2" borderId="25" xfId="0" applyNumberFormat="1" applyFont="1" applyFill="1" applyBorder="1" applyAlignment="1">
      <alignment horizontal="center"/>
    </xf>
    <xf numFmtId="0" fontId="1" fillId="9" borderId="25" xfId="0" applyFont="1" applyFill="1" applyBorder="1" applyAlignment="1">
      <alignment horizontal="center"/>
    </xf>
    <xf numFmtId="175" fontId="1" fillId="9" borderId="25" xfId="0" applyNumberFormat="1" applyFont="1" applyFill="1" applyBorder="1"/>
    <xf numFmtId="175" fontId="14" fillId="2" borderId="25" xfId="0" applyNumberFormat="1" applyFont="1" applyFill="1" applyBorder="1" applyProtection="1">
      <protection locked="0"/>
    </xf>
    <xf numFmtId="176" fontId="14" fillId="2" borderId="25" xfId="0" applyNumberFormat="1" applyFont="1" applyFill="1" applyBorder="1" applyProtection="1">
      <protection locked="0"/>
    </xf>
    <xf numFmtId="0" fontId="34" fillId="0" borderId="0" xfId="4"/>
    <xf numFmtId="0" fontId="1" fillId="0" borderId="0" xfId="4" applyFont="1" applyAlignment="1">
      <alignment vertical="center"/>
    </xf>
    <xf numFmtId="0" fontId="1" fillId="9" borderId="27" xfId="4" applyFont="1" applyFill="1" applyBorder="1" applyAlignment="1">
      <alignment horizontal="right" vertical="center"/>
    </xf>
    <xf numFmtId="0" fontId="1" fillId="0" borderId="26" xfId="4" applyFont="1" applyBorder="1" applyAlignment="1">
      <alignment wrapText="1"/>
    </xf>
    <xf numFmtId="0" fontId="1" fillId="0" borderId="0" xfId="4" applyFont="1"/>
    <xf numFmtId="0" fontId="14" fillId="2" borderId="8" xfId="0" applyFont="1" applyFill="1" applyBorder="1"/>
    <xf numFmtId="0" fontId="18" fillId="0" borderId="24" xfId="4" applyFont="1" applyBorder="1" applyAlignment="1">
      <alignment vertical="center"/>
    </xf>
    <xf numFmtId="0" fontId="14" fillId="2" borderId="3" xfId="0" applyFont="1" applyFill="1" applyBorder="1"/>
    <xf numFmtId="0" fontId="18" fillId="0" borderId="1" xfId="4" applyFont="1" applyBorder="1" applyAlignment="1">
      <alignment vertical="center"/>
    </xf>
    <xf numFmtId="0" fontId="14" fillId="2" borderId="0" xfId="4" applyFont="1" applyFill="1" applyAlignment="1">
      <alignment horizontal="right"/>
    </xf>
    <xf numFmtId="173" fontId="1" fillId="9" borderId="2" xfId="0" applyNumberFormat="1" applyFont="1" applyFill="1" applyBorder="1"/>
    <xf numFmtId="0" fontId="1" fillId="0" borderId="28" xfId="0" applyFont="1" applyBorder="1"/>
    <xf numFmtId="174" fontId="14" fillId="4" borderId="5" xfId="0" applyNumberFormat="1" applyFont="1" applyFill="1" applyBorder="1"/>
    <xf numFmtId="174" fontId="14" fillId="4" borderId="28" xfId="0" applyNumberFormat="1" applyFont="1" applyFill="1" applyBorder="1"/>
    <xf numFmtId="0" fontId="14" fillId="4" borderId="28" xfId="0" applyFont="1" applyFill="1" applyBorder="1"/>
    <xf numFmtId="0" fontId="1" fillId="0" borderId="3" xfId="3" applyFont="1" applyBorder="1"/>
    <xf numFmtId="0" fontId="14" fillId="0" borderId="2" xfId="0" applyFont="1" applyBorder="1" applyProtection="1">
      <protection locked="0"/>
    </xf>
    <xf numFmtId="0" fontId="14" fillId="0" borderId="28" xfId="0" applyFont="1" applyBorder="1"/>
    <xf numFmtId="0" fontId="14" fillId="2" borderId="3" xfId="0" applyFont="1" applyFill="1" applyBorder="1" applyProtection="1">
      <protection locked="0"/>
    </xf>
    <xf numFmtId="174" fontId="1" fillId="0" borderId="27" xfId="0" applyNumberFormat="1" applyFont="1" applyBorder="1" applyAlignment="1">
      <alignment horizontal="right"/>
    </xf>
    <xf numFmtId="165" fontId="1" fillId="9" borderId="27" xfId="2" applyNumberFormat="1" applyFont="1" applyFill="1" applyBorder="1"/>
    <xf numFmtId="0" fontId="14" fillId="0" borderId="26" xfId="0" applyFont="1" applyBorder="1" applyAlignment="1">
      <alignment horizontal="center"/>
    </xf>
    <xf numFmtId="0" fontId="21" fillId="0" borderId="1" xfId="2" applyFont="1" applyBorder="1" applyAlignment="1">
      <alignment horizontal="center"/>
    </xf>
    <xf numFmtId="0" fontId="1" fillId="10" borderId="0" xfId="0" applyFont="1" applyFill="1"/>
    <xf numFmtId="0" fontId="29" fillId="10" borderId="2" xfId="0" applyFont="1" applyFill="1" applyBorder="1"/>
    <xf numFmtId="0" fontId="29" fillId="10" borderId="0" xfId="0" applyFont="1" applyFill="1"/>
    <xf numFmtId="0" fontId="29" fillId="10" borderId="7" xfId="0" applyFont="1" applyFill="1" applyBorder="1"/>
    <xf numFmtId="4" fontId="18" fillId="0" borderId="9" xfId="2" applyNumberFormat="1" applyFont="1" applyBorder="1" applyAlignment="1">
      <alignment horizontal="center"/>
    </xf>
    <xf numFmtId="1" fontId="1" fillId="9" borderId="9" xfId="2" applyNumberFormat="1" applyFont="1" applyFill="1" applyBorder="1" applyAlignment="1">
      <alignment horizontal="center"/>
    </xf>
    <xf numFmtId="1" fontId="1" fillId="0" borderId="25" xfId="0" applyNumberFormat="1" applyFont="1" applyBorder="1" applyAlignment="1">
      <alignment horizontal="center"/>
    </xf>
    <xf numFmtId="174" fontId="1" fillId="0" borderId="25" xfId="0" applyNumberFormat="1" applyFont="1" applyBorder="1" applyAlignment="1">
      <alignment horizontal="center"/>
    </xf>
    <xf numFmtId="0" fontId="9" fillId="10" borderId="0" xfId="0" applyFont="1" applyFill="1" applyAlignment="1">
      <alignment horizontal="center" vertical="center" wrapText="1"/>
    </xf>
    <xf numFmtId="0" fontId="32" fillId="10" borderId="1" xfId="1" applyFont="1" applyFill="1" applyBorder="1" applyAlignment="1">
      <alignment horizontal="center"/>
    </xf>
    <xf numFmtId="0" fontId="32" fillId="10" borderId="2" xfId="1" applyFont="1" applyFill="1" applyBorder="1" applyAlignment="1">
      <alignment horizontal="center"/>
    </xf>
    <xf numFmtId="0" fontId="32" fillId="10" borderId="21" xfId="1" applyFont="1" applyFill="1" applyBorder="1" applyAlignment="1">
      <alignment horizontal="center"/>
    </xf>
    <xf numFmtId="0" fontId="33" fillId="10" borderId="4" xfId="0" applyFont="1" applyFill="1" applyBorder="1" applyAlignment="1">
      <alignment horizontal="center"/>
    </xf>
    <xf numFmtId="0" fontId="33" fillId="10" borderId="0" xfId="0" applyFont="1" applyFill="1" applyAlignment="1">
      <alignment horizontal="center"/>
    </xf>
    <xf numFmtId="0" fontId="33" fillId="10" borderId="22" xfId="0" applyFont="1" applyFill="1" applyBorder="1" applyAlignment="1">
      <alignment horizontal="center"/>
    </xf>
    <xf numFmtId="0" fontId="33" fillId="10" borderId="24" xfId="0" applyFont="1" applyFill="1" applyBorder="1" applyAlignment="1">
      <alignment horizontal="center"/>
    </xf>
    <xf numFmtId="0" fontId="33" fillId="10" borderId="7" xfId="0" applyFont="1" applyFill="1" applyBorder="1" applyAlignment="1">
      <alignment horizontal="center"/>
    </xf>
    <xf numFmtId="0" fontId="33" fillId="10" borderId="23" xfId="0" applyFont="1" applyFill="1" applyBorder="1" applyAlignment="1">
      <alignment horizontal="center"/>
    </xf>
    <xf numFmtId="0" fontId="8" fillId="0" borderId="0" xfId="0" applyFont="1" applyAlignment="1">
      <alignment horizontal="left" vertical="center"/>
    </xf>
    <xf numFmtId="0" fontId="7" fillId="0" borderId="0" xfId="1" applyFont="1" applyFill="1" applyBorder="1" applyAlignment="1">
      <alignment horizontal="center"/>
    </xf>
    <xf numFmtId="0" fontId="22" fillId="3" borderId="7" xfId="2" applyFont="1" applyFill="1" applyBorder="1" applyAlignment="1">
      <alignment horizontal="center"/>
    </xf>
    <xf numFmtId="0" fontId="18" fillId="0" borderId="1" xfId="0" applyFont="1" applyBorder="1" applyAlignment="1">
      <alignment horizontal="center" vertical="center"/>
    </xf>
    <xf numFmtId="0" fontId="18" fillId="0" borderId="24" xfId="0" applyFont="1" applyBorder="1" applyAlignment="1">
      <alignment horizontal="center" vertical="center"/>
    </xf>
  </cellXfs>
  <cellStyles count="6">
    <cellStyle name="Hyperlink" xfId="1" builtinId="8"/>
    <cellStyle name="Normal" xfId="0" builtinId="0"/>
    <cellStyle name="Normal 2" xfId="2" xr:uid="{8289E544-7F34-3C4B-87FD-2AB0BCBE01A2}"/>
    <cellStyle name="Normal 3" xfId="4" xr:uid="{3316B784-14D7-E145-B7C0-3F327EBB5019}"/>
    <cellStyle name="Normal 3 2" xfId="5" xr:uid="{403B1E86-37B9-664E-8E27-A78F2875E1AB}"/>
    <cellStyle name="Normal 5" xfId="3" xr:uid="{F047DD19-D698-1E48-B937-3ADFE7F134E5}"/>
  </cellStyles>
  <dxfs count="3">
    <dxf>
      <font>
        <condense val="0"/>
        <extend val="0"/>
        <color indexed="47"/>
      </font>
    </dxf>
    <dxf>
      <fill>
        <patternFill>
          <bgColor rgb="FF00B050"/>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18</xdr:row>
      <xdr:rowOff>139700</xdr:rowOff>
    </xdr:from>
    <xdr:to>
      <xdr:col>11</xdr:col>
      <xdr:colOff>12700</xdr:colOff>
      <xdr:row>43</xdr:row>
      <xdr:rowOff>163513</xdr:rowOff>
    </xdr:to>
    <xdr:pic>
      <xdr:nvPicPr>
        <xdr:cNvPr id="2" name="Picture 1" descr="UNITS MASTER – Innovative Unit Conversion Calculator">
          <a:extLst>
            <a:ext uri="{FF2B5EF4-FFF2-40B4-BE49-F238E27FC236}">
              <a16:creationId xmlns:a16="http://schemas.microsoft.com/office/drawing/2014/main" id="{B9ACA06C-3EDE-39E4-5C30-F225DAEEE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100" y="3975100"/>
          <a:ext cx="8166100" cy="5103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622300</xdr:colOff>
      <xdr:row>50</xdr:row>
      <xdr:rowOff>101600</xdr:rowOff>
    </xdr:from>
    <xdr:to>
      <xdr:col>9</xdr:col>
      <xdr:colOff>241300</xdr:colOff>
      <xdr:row>60</xdr:row>
      <xdr:rowOff>12700</xdr:rowOff>
    </xdr:to>
    <xdr:pic>
      <xdr:nvPicPr>
        <xdr:cNvPr id="3" name="Picture 2">
          <a:hlinkClick xmlns:r="http://schemas.openxmlformats.org/officeDocument/2006/relationships" r:id="rId2"/>
          <a:extLst>
            <a:ext uri="{FF2B5EF4-FFF2-40B4-BE49-F238E27FC236}">
              <a16:creationId xmlns:a16="http://schemas.microsoft.com/office/drawing/2014/main" id="{83F20476-1515-7F11-1273-2CD2B283BD1C}"/>
            </a:ext>
          </a:extLst>
        </xdr:cNvPr>
        <xdr:cNvPicPr>
          <a:picLocks noChangeAspect="1"/>
        </xdr:cNvPicPr>
      </xdr:nvPicPr>
      <xdr:blipFill>
        <a:blip xmlns:r="http://schemas.openxmlformats.org/officeDocument/2006/relationships" r:embed="rId3"/>
        <a:stretch>
          <a:fillRect/>
        </a:stretch>
      </xdr:blipFill>
      <xdr:spPr>
        <a:xfrm>
          <a:off x="2273300" y="103632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101600</xdr:colOff>
      <xdr:row>0</xdr:row>
      <xdr:rowOff>165101</xdr:rowOff>
    </xdr:from>
    <xdr:to>
      <xdr:col>14</xdr:col>
      <xdr:colOff>76200</xdr:colOff>
      <xdr:row>28</xdr:row>
      <xdr:rowOff>195479</xdr:rowOff>
    </xdr:to>
    <xdr:pic>
      <xdr:nvPicPr>
        <xdr:cNvPr id="2" name="Picture 1">
          <a:extLst>
            <a:ext uri="{FF2B5EF4-FFF2-40B4-BE49-F238E27FC236}">
              <a16:creationId xmlns:a16="http://schemas.microsoft.com/office/drawing/2014/main" id="{0152ED1A-EB2B-E149-AF46-269B44B6B3D8}"/>
            </a:ext>
          </a:extLst>
        </xdr:cNvPr>
        <xdr:cNvPicPr>
          <a:picLocks noChangeAspect="1"/>
        </xdr:cNvPicPr>
      </xdr:nvPicPr>
      <xdr:blipFill>
        <a:blip xmlns:r="http://schemas.openxmlformats.org/officeDocument/2006/relationships" r:embed="rId1"/>
        <a:stretch>
          <a:fillRect/>
        </a:stretch>
      </xdr:blipFill>
      <xdr:spPr>
        <a:xfrm>
          <a:off x="6337300" y="165101"/>
          <a:ext cx="5753100" cy="5745378"/>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13</xdr:row>
      <xdr:rowOff>0</xdr:rowOff>
    </xdr:from>
    <xdr:to>
      <xdr:col>2</xdr:col>
      <xdr:colOff>644525</xdr:colOff>
      <xdr:row>15</xdr:row>
      <xdr:rowOff>32496</xdr:rowOff>
    </xdr:to>
    <xdr:pic>
      <xdr:nvPicPr>
        <xdr:cNvPr id="2" name="Picture 14" descr="http://upload.wikimedia.org/wikipedia/commons/thumb/a/aa/Sun920607.jpg/100px-Sun920607.jpg" hidden="1">
          <a:extLst>
            <a:ext uri="{FF2B5EF4-FFF2-40B4-BE49-F238E27FC236}">
              <a16:creationId xmlns:a16="http://schemas.microsoft.com/office/drawing/2014/main" id="{8A7A7749-9D3F-1846-810A-A7F92F251C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6025" y="2184400"/>
          <a:ext cx="635000" cy="438896"/>
        </a:xfrm>
        <a:prstGeom prst="rect">
          <a:avLst/>
        </a:prstGeom>
        <a:noFill/>
      </xdr:spPr>
    </xdr:pic>
    <xdr:clientData/>
  </xdr:twoCellAnchor>
  <xdr:twoCellAnchor editAs="oneCell">
    <xdr:from>
      <xdr:col>4</xdr:col>
      <xdr:colOff>0</xdr:colOff>
      <xdr:row>9</xdr:row>
      <xdr:rowOff>0</xdr:rowOff>
    </xdr:from>
    <xdr:to>
      <xdr:col>4</xdr:col>
      <xdr:colOff>622426</xdr:colOff>
      <xdr:row>11</xdr:row>
      <xdr:rowOff>158750</xdr:rowOff>
    </xdr:to>
    <xdr:pic>
      <xdr:nvPicPr>
        <xdr:cNvPr id="3" name="Picture 15" descr="http://upload.wikimedia.org/wikipedia/commons/thumb/d/dd/Full_Moon_Luc_Viatour.jpg/100px-Full_Moon_Luc_Viatour.jpg" hidden="1">
          <a:extLst>
            <a:ext uri="{FF2B5EF4-FFF2-40B4-BE49-F238E27FC236}">
              <a16:creationId xmlns:a16="http://schemas.microsoft.com/office/drawing/2014/main" id="{C8BA67B8-46D7-2741-985B-A693888217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29550" y="9410700"/>
          <a:ext cx="622426" cy="565150"/>
        </a:xfrm>
        <a:prstGeom prst="rect">
          <a:avLst/>
        </a:prstGeom>
        <a:noFill/>
      </xdr:spPr>
    </xdr:pic>
    <xdr:clientData/>
  </xdr:twoCellAnchor>
  <xdr:twoCellAnchor editAs="oneCell">
    <xdr:from>
      <xdr:col>4</xdr:col>
      <xdr:colOff>0</xdr:colOff>
      <xdr:row>9</xdr:row>
      <xdr:rowOff>0</xdr:rowOff>
    </xdr:from>
    <xdr:to>
      <xdr:col>4</xdr:col>
      <xdr:colOff>624417</xdr:colOff>
      <xdr:row>11</xdr:row>
      <xdr:rowOff>92075</xdr:rowOff>
    </xdr:to>
    <xdr:pic>
      <xdr:nvPicPr>
        <xdr:cNvPr id="4" name="Picture 18" descr="http://upload.wikimedia.org/wikipedia/commons/thumb/7/76/Mars_Hubble.jpg/100px-Mars_Hubble.jpg" hidden="1">
          <a:extLst>
            <a:ext uri="{FF2B5EF4-FFF2-40B4-BE49-F238E27FC236}">
              <a16:creationId xmlns:a16="http://schemas.microsoft.com/office/drawing/2014/main" id="{5B2F5A07-51A8-FD4E-AFF1-21B876F9E65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655050" y="9410700"/>
          <a:ext cx="624417" cy="498475"/>
        </a:xfrm>
        <a:prstGeom prst="rect">
          <a:avLst/>
        </a:prstGeom>
        <a:noFill/>
      </xdr:spPr>
    </xdr:pic>
    <xdr:clientData/>
  </xdr:twoCellAnchor>
  <xdr:twoCellAnchor editAs="oneCell">
    <xdr:from>
      <xdr:col>3</xdr:col>
      <xdr:colOff>457200</xdr:colOff>
      <xdr:row>9</xdr:row>
      <xdr:rowOff>0</xdr:rowOff>
    </xdr:from>
    <xdr:to>
      <xdr:col>5</xdr:col>
      <xdr:colOff>564029</xdr:colOff>
      <xdr:row>14</xdr:row>
      <xdr:rowOff>100106</xdr:rowOff>
    </xdr:to>
    <xdr:pic>
      <xdr:nvPicPr>
        <xdr:cNvPr id="5" name="Picture 4" descr="Jupiter.jpg" hidden="1">
          <a:extLst>
            <a:ext uri="{FF2B5EF4-FFF2-40B4-BE49-F238E27FC236}">
              <a16:creationId xmlns:a16="http://schemas.microsoft.com/office/drawing/2014/main" id="{693F5223-AAD2-A141-9F1B-F185FD640CC4}"/>
            </a:ext>
          </a:extLst>
        </xdr:cNvPr>
        <xdr:cNvPicPr>
          <a:picLocks noChangeAspect="1"/>
        </xdr:cNvPicPr>
      </xdr:nvPicPr>
      <xdr:blipFill>
        <a:blip xmlns:r="http://schemas.openxmlformats.org/officeDocument/2006/relationships" r:embed="rId4" cstate="print"/>
        <a:stretch>
          <a:fillRect/>
        </a:stretch>
      </xdr:blipFill>
      <xdr:spPr>
        <a:xfrm>
          <a:off x="7442200" y="9410700"/>
          <a:ext cx="1757829" cy="1116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11</xdr:col>
      <xdr:colOff>508000</xdr:colOff>
      <xdr:row>15</xdr:row>
      <xdr:rowOff>61563</xdr:rowOff>
    </xdr:to>
    <xdr:pic>
      <xdr:nvPicPr>
        <xdr:cNvPr id="2" name="Picture 1">
          <a:extLst>
            <a:ext uri="{FF2B5EF4-FFF2-40B4-BE49-F238E27FC236}">
              <a16:creationId xmlns:a16="http://schemas.microsoft.com/office/drawing/2014/main" id="{41E89EF1-DD2C-914A-ADFB-E2B12D4DBF48}"/>
            </a:ext>
          </a:extLst>
        </xdr:cNvPr>
        <xdr:cNvPicPr>
          <a:picLocks noChangeAspect="1"/>
        </xdr:cNvPicPr>
      </xdr:nvPicPr>
      <xdr:blipFill>
        <a:blip xmlns:r="http://schemas.openxmlformats.org/officeDocument/2006/relationships" r:embed="rId1"/>
        <a:stretch>
          <a:fillRect/>
        </a:stretch>
      </xdr:blipFill>
      <xdr:spPr>
        <a:xfrm>
          <a:off x="4419600" y="203200"/>
          <a:ext cx="5461000" cy="2906363"/>
        </a:xfrm>
        <a:prstGeom prst="rect">
          <a:avLst/>
        </a:prstGeom>
        <a:ln>
          <a:solidFill>
            <a:schemeClr val="tx1"/>
          </a:solidFill>
        </a:ln>
      </xdr:spPr>
    </xdr:pic>
    <xdr:clientData/>
  </xdr:twoCellAnchor>
  <xdr:twoCellAnchor editAs="oneCell">
    <xdr:from>
      <xdr:col>5</xdr:col>
      <xdr:colOff>0</xdr:colOff>
      <xdr:row>16</xdr:row>
      <xdr:rowOff>0</xdr:rowOff>
    </xdr:from>
    <xdr:to>
      <xdr:col>11</xdr:col>
      <xdr:colOff>518929</xdr:colOff>
      <xdr:row>31</xdr:row>
      <xdr:rowOff>25400</xdr:rowOff>
    </xdr:to>
    <xdr:pic>
      <xdr:nvPicPr>
        <xdr:cNvPr id="3" name="Picture 2" descr="Leap Year 2024">
          <a:extLst>
            <a:ext uri="{FF2B5EF4-FFF2-40B4-BE49-F238E27FC236}">
              <a16:creationId xmlns:a16="http://schemas.microsoft.com/office/drawing/2014/main" id="{9BBE195F-18B8-774C-A24E-3B7F506488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3251200"/>
          <a:ext cx="5471929" cy="307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15</xdr:col>
      <xdr:colOff>330818</xdr:colOff>
      <xdr:row>48</xdr:row>
      <xdr:rowOff>177800</xdr:rowOff>
    </xdr:to>
    <xdr:pic>
      <xdr:nvPicPr>
        <xdr:cNvPr id="2" name="Picture 1">
          <a:extLst>
            <a:ext uri="{FF2B5EF4-FFF2-40B4-BE49-F238E27FC236}">
              <a16:creationId xmlns:a16="http://schemas.microsoft.com/office/drawing/2014/main" id="{F7B2D185-E3E5-BB42-A6C4-5B71F36BB3BD}"/>
            </a:ext>
          </a:extLst>
        </xdr:cNvPr>
        <xdr:cNvPicPr>
          <a:picLocks noChangeAspect="1"/>
        </xdr:cNvPicPr>
      </xdr:nvPicPr>
      <xdr:blipFill>
        <a:blip xmlns:r="http://schemas.openxmlformats.org/officeDocument/2006/relationships" r:embed="rId1"/>
        <a:stretch>
          <a:fillRect/>
        </a:stretch>
      </xdr:blipFill>
      <xdr:spPr>
        <a:xfrm>
          <a:off x="5778500" y="203200"/>
          <a:ext cx="6934818" cy="10058400"/>
        </a:xfrm>
        <a:prstGeom prst="rect">
          <a:avLst/>
        </a:prstGeom>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19</xdr:row>
      <xdr:rowOff>0</xdr:rowOff>
    </xdr:from>
    <xdr:to>
      <xdr:col>6</xdr:col>
      <xdr:colOff>622426</xdr:colOff>
      <xdr:row>21</xdr:row>
      <xdr:rowOff>158750</xdr:rowOff>
    </xdr:to>
    <xdr:pic>
      <xdr:nvPicPr>
        <xdr:cNvPr id="2" name="Picture 15" descr="http://upload.wikimedia.org/wikipedia/commons/thumb/d/dd/Full_Moon_Luc_Viatour.jpg/100px-Full_Moon_Luc_Viatour.jpg" hidden="1">
          <a:extLst>
            <a:ext uri="{FF2B5EF4-FFF2-40B4-BE49-F238E27FC236}">
              <a16:creationId xmlns:a16="http://schemas.microsoft.com/office/drawing/2014/main" id="{8060FEDB-85E5-FD44-808A-91A6A016C9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41750" y="1625600"/>
          <a:ext cx="622426" cy="565150"/>
        </a:xfrm>
        <a:prstGeom prst="rect">
          <a:avLst/>
        </a:prstGeom>
        <a:noFill/>
      </xdr:spPr>
    </xdr:pic>
    <xdr:clientData/>
  </xdr:twoCellAnchor>
  <xdr:twoCellAnchor editAs="oneCell">
    <xdr:from>
      <xdr:col>6</xdr:col>
      <xdr:colOff>0</xdr:colOff>
      <xdr:row>19</xdr:row>
      <xdr:rowOff>0</xdr:rowOff>
    </xdr:from>
    <xdr:to>
      <xdr:col>6</xdr:col>
      <xdr:colOff>624417</xdr:colOff>
      <xdr:row>21</xdr:row>
      <xdr:rowOff>92075</xdr:rowOff>
    </xdr:to>
    <xdr:pic>
      <xdr:nvPicPr>
        <xdr:cNvPr id="3" name="Picture 18" descr="http://upload.wikimedia.org/wikipedia/commons/thumb/7/76/Mars_Hubble.jpg/100px-Mars_Hubble.jpg" hidden="1">
          <a:extLst>
            <a:ext uri="{FF2B5EF4-FFF2-40B4-BE49-F238E27FC236}">
              <a16:creationId xmlns:a16="http://schemas.microsoft.com/office/drawing/2014/main" id="{EEAB73F6-1252-D94C-A29F-969C889B8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0" y="1625600"/>
          <a:ext cx="624417" cy="498475"/>
        </a:xfrm>
        <a:prstGeom prst="rect">
          <a:avLst/>
        </a:prstGeom>
        <a:noFill/>
      </xdr:spPr>
    </xdr:pic>
    <xdr:clientData/>
  </xdr:twoCellAnchor>
  <xdr:twoCellAnchor editAs="oneCell">
    <xdr:from>
      <xdr:col>5</xdr:col>
      <xdr:colOff>457200</xdr:colOff>
      <xdr:row>19</xdr:row>
      <xdr:rowOff>0</xdr:rowOff>
    </xdr:from>
    <xdr:to>
      <xdr:col>7</xdr:col>
      <xdr:colOff>564029</xdr:colOff>
      <xdr:row>24</xdr:row>
      <xdr:rowOff>100106</xdr:rowOff>
    </xdr:to>
    <xdr:pic>
      <xdr:nvPicPr>
        <xdr:cNvPr id="4" name="Picture 3" descr="Jupiter.jpg" hidden="1">
          <a:extLst>
            <a:ext uri="{FF2B5EF4-FFF2-40B4-BE49-F238E27FC236}">
              <a16:creationId xmlns:a16="http://schemas.microsoft.com/office/drawing/2014/main" id="{0F8157D9-415E-384B-A5EF-E4B694FB65AD}"/>
            </a:ext>
          </a:extLst>
        </xdr:cNvPr>
        <xdr:cNvPicPr>
          <a:picLocks noChangeAspect="1"/>
        </xdr:cNvPicPr>
      </xdr:nvPicPr>
      <xdr:blipFill>
        <a:blip xmlns:r="http://schemas.openxmlformats.org/officeDocument/2006/relationships" r:embed="rId3" cstate="print"/>
        <a:stretch>
          <a:fillRect/>
        </a:stretch>
      </xdr:blipFill>
      <xdr:spPr>
        <a:xfrm>
          <a:off x="3454400" y="1625600"/>
          <a:ext cx="1757829" cy="11161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12700</xdr:colOff>
      <xdr:row>1</xdr:row>
      <xdr:rowOff>12700</xdr:rowOff>
    </xdr:from>
    <xdr:to>
      <xdr:col>12</xdr:col>
      <xdr:colOff>304800</xdr:colOff>
      <xdr:row>13</xdr:row>
      <xdr:rowOff>206101</xdr:rowOff>
    </xdr:to>
    <xdr:pic>
      <xdr:nvPicPr>
        <xdr:cNvPr id="2" name="Picture 1">
          <a:extLst>
            <a:ext uri="{FF2B5EF4-FFF2-40B4-BE49-F238E27FC236}">
              <a16:creationId xmlns:a16="http://schemas.microsoft.com/office/drawing/2014/main" id="{A11287D4-AAFC-874D-A88F-9CF85027FE6C}"/>
            </a:ext>
          </a:extLst>
        </xdr:cNvPr>
        <xdr:cNvPicPr>
          <a:picLocks noChangeAspect="1"/>
        </xdr:cNvPicPr>
      </xdr:nvPicPr>
      <xdr:blipFill>
        <a:blip xmlns:r="http://schemas.openxmlformats.org/officeDocument/2006/relationships" r:embed="rId1"/>
        <a:stretch>
          <a:fillRect/>
        </a:stretch>
      </xdr:blipFill>
      <xdr:spPr>
        <a:xfrm>
          <a:off x="4140200" y="215900"/>
          <a:ext cx="6070600" cy="2835001"/>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en.wikipedia.org/wiki/Julian_day" TargetMode="External"/><Relationship Id="rId1" Type="http://schemas.openxmlformats.org/officeDocument/2006/relationships/hyperlink" Target="https://quasar.as.utexas.edu/BillInfo/JulianDatesG.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3FEC-8E16-CF42-A717-5916E7640B41}">
  <dimension ref="B2:K49"/>
  <sheetViews>
    <sheetView showGridLines="0" tabSelected="1" workbookViewId="0">
      <selection activeCell="B10" sqref="A1:XFD1048576"/>
    </sheetView>
  </sheetViews>
  <sheetFormatPr baseColWidth="10" defaultRowHeight="16"/>
  <cols>
    <col min="1" max="16384" width="10.83203125" style="174"/>
  </cols>
  <sheetData>
    <row r="2" spans="2:11" ht="15" customHeight="1"/>
    <row r="3" spans="2:11" ht="16" customHeight="1">
      <c r="B3" s="182" t="s">
        <v>178</v>
      </c>
      <c r="C3" s="182"/>
      <c r="D3" s="182"/>
      <c r="E3" s="182"/>
      <c r="F3" s="182"/>
      <c r="G3" s="182"/>
      <c r="H3" s="182"/>
      <c r="I3" s="182"/>
      <c r="J3" s="182"/>
      <c r="K3" s="182"/>
    </row>
    <row r="4" spans="2:11" ht="16" customHeight="1">
      <c r="B4" s="182"/>
      <c r="C4" s="182"/>
      <c r="D4" s="182"/>
      <c r="E4" s="182"/>
      <c r="F4" s="182"/>
      <c r="G4" s="182"/>
      <c r="H4" s="182"/>
      <c r="I4" s="182"/>
      <c r="J4" s="182"/>
      <c r="K4" s="182"/>
    </row>
    <row r="5" spans="2:11" ht="16" customHeight="1">
      <c r="B5" s="182"/>
      <c r="C5" s="182"/>
      <c r="D5" s="182"/>
      <c r="E5" s="182"/>
      <c r="F5" s="182"/>
      <c r="G5" s="182"/>
      <c r="H5" s="182"/>
      <c r="I5" s="182"/>
      <c r="J5" s="182"/>
      <c r="K5" s="182"/>
    </row>
    <row r="6" spans="2:11" ht="16" customHeight="1">
      <c r="B6" s="182"/>
      <c r="C6" s="182"/>
      <c r="D6" s="182"/>
      <c r="E6" s="182"/>
      <c r="F6" s="182"/>
      <c r="G6" s="182"/>
      <c r="H6" s="182"/>
      <c r="I6" s="182"/>
      <c r="J6" s="182"/>
      <c r="K6" s="182"/>
    </row>
    <row r="7" spans="2:11" ht="16" customHeight="1">
      <c r="B7" s="182"/>
      <c r="C7" s="182"/>
      <c r="D7" s="182"/>
      <c r="E7" s="182"/>
      <c r="F7" s="182"/>
      <c r="G7" s="182"/>
      <c r="H7" s="182"/>
      <c r="I7" s="182"/>
      <c r="J7" s="182"/>
      <c r="K7" s="182"/>
    </row>
    <row r="8" spans="2:11" ht="16" customHeight="1">
      <c r="B8" s="182"/>
      <c r="C8" s="182"/>
      <c r="D8" s="182"/>
      <c r="E8" s="182"/>
      <c r="F8" s="182"/>
      <c r="G8" s="182"/>
      <c r="H8" s="182"/>
      <c r="I8" s="182"/>
      <c r="J8" s="182"/>
      <c r="K8" s="182"/>
    </row>
    <row r="9" spans="2:11" ht="16" customHeight="1">
      <c r="B9" s="182"/>
      <c r="C9" s="182"/>
      <c r="D9" s="182"/>
      <c r="E9" s="182"/>
      <c r="F9" s="182"/>
      <c r="G9" s="182"/>
      <c r="H9" s="182"/>
      <c r="I9" s="182"/>
      <c r="J9" s="182"/>
      <c r="K9" s="182"/>
    </row>
    <row r="13" spans="2:11" ht="19">
      <c r="D13" s="118" t="s">
        <v>150</v>
      </c>
      <c r="E13" s="119"/>
      <c r="F13" s="175"/>
      <c r="G13" s="175"/>
      <c r="H13" s="175"/>
      <c r="I13" s="120" t="s">
        <v>42</v>
      </c>
    </row>
    <row r="14" spans="2:11" ht="19">
      <c r="D14" s="121"/>
      <c r="E14" s="122"/>
      <c r="F14" s="176"/>
      <c r="G14" s="176"/>
      <c r="H14" s="176"/>
      <c r="I14" s="123"/>
    </row>
    <row r="15" spans="2:11" ht="19">
      <c r="D15" s="124" t="s">
        <v>151</v>
      </c>
      <c r="E15" s="125"/>
      <c r="F15" s="177"/>
      <c r="G15" s="177"/>
      <c r="H15" s="177"/>
      <c r="I15" s="126" t="s">
        <v>153</v>
      </c>
    </row>
    <row r="47" spans="2:11">
      <c r="B47" s="183" t="s">
        <v>61</v>
      </c>
      <c r="C47" s="184"/>
      <c r="D47" s="184"/>
      <c r="E47" s="184"/>
      <c r="F47" s="184"/>
      <c r="G47" s="184"/>
      <c r="H47" s="184"/>
      <c r="I47" s="184"/>
      <c r="J47" s="184"/>
      <c r="K47" s="185"/>
    </row>
    <row r="48" spans="2:11">
      <c r="B48" s="186" t="s">
        <v>62</v>
      </c>
      <c r="C48" s="187"/>
      <c r="D48" s="187"/>
      <c r="E48" s="187"/>
      <c r="F48" s="187"/>
      <c r="G48" s="187"/>
      <c r="H48" s="187"/>
      <c r="I48" s="187"/>
      <c r="J48" s="187"/>
      <c r="K48" s="188"/>
    </row>
    <row r="49" spans="2:11">
      <c r="B49" s="189" t="s">
        <v>63</v>
      </c>
      <c r="C49" s="190"/>
      <c r="D49" s="190"/>
      <c r="E49" s="190"/>
      <c r="F49" s="190"/>
      <c r="G49" s="190"/>
      <c r="H49" s="190"/>
      <c r="I49" s="190"/>
      <c r="J49" s="190"/>
      <c r="K49" s="191"/>
    </row>
  </sheetData>
  <sheetProtection sheet="1" objects="1" scenarios="1"/>
  <mergeCells count="4">
    <mergeCell ref="B3:K9"/>
    <mergeCell ref="B47:K47"/>
    <mergeCell ref="B48:K48"/>
    <mergeCell ref="B49:K49"/>
  </mergeCells>
  <hyperlinks>
    <hyperlink ref="I13" r:id="rId1" xr:uid="{0CC50EEF-51CE-BC4D-94C5-36740D3EE976}"/>
    <hyperlink ref="B47" r:id="rId2" display="http://www.astronomy-morsels.ch/" xr:uid="{5B41A017-AA14-F245-AA93-DBEC2DF0AFC1}"/>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8728-0F0A-5945-BF32-F52AEAAAE8F6}">
  <dimension ref="A2:AU51"/>
  <sheetViews>
    <sheetView showGridLines="0" topLeftCell="A5" workbookViewId="0">
      <selection activeCell="I18" sqref="I18"/>
    </sheetView>
  </sheetViews>
  <sheetFormatPr baseColWidth="10" defaultRowHeight="16"/>
  <cols>
    <col min="1" max="2" width="10.83203125" style="1"/>
    <col min="3" max="3" width="10.83203125" style="1" customWidth="1"/>
    <col min="4" max="4" width="13.6640625" style="1" bestFit="1" customWidth="1"/>
    <col min="5" max="47" width="10.83203125" style="1"/>
  </cols>
  <sheetData>
    <row r="2" spans="2:4">
      <c r="C2" s="9" t="s">
        <v>60</v>
      </c>
    </row>
    <row r="3" spans="2:4">
      <c r="B3" s="19" t="s">
        <v>45</v>
      </c>
      <c r="C3" s="29">
        <v>45315</v>
      </c>
    </row>
    <row r="4" spans="2:4">
      <c r="B4" s="23" t="s">
        <v>65</v>
      </c>
      <c r="C4" s="30">
        <v>0.75</v>
      </c>
    </row>
    <row r="5" spans="2:4">
      <c r="B5" s="23" t="s">
        <v>6</v>
      </c>
      <c r="C5" s="31">
        <v>7.4428999999999998</v>
      </c>
      <c r="D5" s="24" t="s">
        <v>81</v>
      </c>
    </row>
    <row r="6" spans="2:4">
      <c r="B6" s="21" t="s">
        <v>79</v>
      </c>
      <c r="C6" s="32">
        <v>46.4572</v>
      </c>
      <c r="D6" s="24" t="s">
        <v>80</v>
      </c>
    </row>
    <row r="8" spans="2:4">
      <c r="B8" s="19" t="s">
        <v>64</v>
      </c>
      <c r="C8" s="33">
        <v>34.647320000000001</v>
      </c>
      <c r="D8" s="20" t="s">
        <v>7</v>
      </c>
    </row>
    <row r="9" spans="2:4">
      <c r="B9" s="21" t="s">
        <v>66</v>
      </c>
      <c r="C9" s="34">
        <v>12.71686</v>
      </c>
      <c r="D9" s="22" t="s">
        <v>7</v>
      </c>
    </row>
    <row r="11" spans="2:4">
      <c r="B11" s="25"/>
      <c r="C11" s="26">
        <f>PI()/180</f>
        <v>1.7453292519943295E-2</v>
      </c>
      <c r="D11" s="25" t="s">
        <v>83</v>
      </c>
    </row>
    <row r="13" spans="2:4">
      <c r="B13" s="12" t="s">
        <v>68</v>
      </c>
      <c r="C13" s="13"/>
      <c r="D13" s="13"/>
    </row>
    <row r="14" spans="2:4">
      <c r="B14" s="13"/>
      <c r="C14" s="13"/>
      <c r="D14" s="13"/>
    </row>
    <row r="15" spans="2:4">
      <c r="B15" s="13"/>
      <c r="C15" s="14" t="s">
        <v>10</v>
      </c>
      <c r="D15" s="15">
        <f>YEAR(C3)</f>
        <v>2024</v>
      </c>
    </row>
    <row r="16" spans="2:4">
      <c r="B16" s="13"/>
      <c r="C16" s="14" t="s">
        <v>11</v>
      </c>
      <c r="D16" s="15">
        <f>MONTH(C3)</f>
        <v>1</v>
      </c>
    </row>
    <row r="17" spans="2:5">
      <c r="B17" s="13"/>
      <c r="C17" s="14" t="s">
        <v>12</v>
      </c>
      <c r="D17" s="15">
        <f>DAY(C3)</f>
        <v>24</v>
      </c>
    </row>
    <row r="18" spans="2:5">
      <c r="B18" s="13"/>
      <c r="C18" s="14" t="s">
        <v>67</v>
      </c>
      <c r="D18" s="27" t="str">
        <f>IF(OR(MOD(D15,400)=0,AND(MOD(D15,4)=0,MOD(D15,100)&lt;&gt;0)),"Y", "N")</f>
        <v>Y</v>
      </c>
    </row>
    <row r="19" spans="2:5">
      <c r="B19" s="13"/>
      <c r="C19" s="14" t="s">
        <v>47</v>
      </c>
      <c r="D19" s="15">
        <f>IF(D16=1,0,IF(D16=2,31,IF(D16=3,59,IF(D16=4,90,IF(D16=5,120,IF(D16=6,151,IF(D16=7,181,IF(D16=8,212,IF(D16=9,243,IF(D16=10,273,IF(D16=11,304,334)))))))))))+D17+IF(AND(D16&gt;2,D18)="Y",1,0)</f>
        <v>24</v>
      </c>
    </row>
    <row r="20" spans="2:5">
      <c r="B20" s="13"/>
      <c r="C20" s="14" t="s">
        <v>13</v>
      </c>
      <c r="D20" s="15">
        <f>HOUR(C4)</f>
        <v>18</v>
      </c>
    </row>
    <row r="21" spans="2:5">
      <c r="B21" s="13"/>
      <c r="C21" s="14" t="s">
        <v>15</v>
      </c>
      <c r="D21" s="15">
        <f>MINUTE(C4)</f>
        <v>0</v>
      </c>
    </row>
    <row r="22" spans="2:5">
      <c r="B22" s="13"/>
      <c r="C22" s="14" t="s">
        <v>41</v>
      </c>
      <c r="D22" s="28">
        <f>367*D15-INT(7/4*D15)-INT(3*(INT((D15-8/7)/100)+1)/4)+1721059.5-1+D19+((D20+(D21/60))/24)</f>
        <v>2460334.25</v>
      </c>
    </row>
    <row r="23" spans="2:5">
      <c r="B23" s="13"/>
      <c r="C23" s="14" t="s">
        <v>70</v>
      </c>
      <c r="D23" s="28">
        <v>2451545</v>
      </c>
    </row>
    <row r="24" spans="2:5">
      <c r="B24" s="13"/>
      <c r="C24" s="13"/>
      <c r="D24" s="13"/>
    </row>
    <row r="25" spans="2:5">
      <c r="B25" s="13"/>
      <c r="C25" s="16" t="s">
        <v>69</v>
      </c>
      <c r="D25" s="17">
        <f>D22-D23</f>
        <v>8789.25</v>
      </c>
    </row>
    <row r="28" spans="2:5">
      <c r="B28" s="12" t="s">
        <v>71</v>
      </c>
      <c r="C28" s="13"/>
      <c r="D28" s="13"/>
      <c r="E28" s="13"/>
    </row>
    <row r="29" spans="2:5">
      <c r="B29" s="13"/>
      <c r="C29" s="13"/>
      <c r="D29" s="13"/>
      <c r="E29" s="13"/>
    </row>
    <row r="30" spans="2:5">
      <c r="B30" s="13"/>
      <c r="C30" s="16" t="s">
        <v>72</v>
      </c>
      <c r="D30" s="16">
        <f>MOD(100.46+0.985647*D25+C5+15*(D20+(D21/60)),360)</f>
        <v>41.000794749999841</v>
      </c>
      <c r="E30" s="13" t="s">
        <v>7</v>
      </c>
    </row>
    <row r="31" spans="2:5">
      <c r="B31" s="13"/>
      <c r="C31" s="16"/>
      <c r="D31" s="35">
        <f>TIME(INT(D30/15),60*((D30-15*INT(D30/15))/15),0)</f>
        <v>0.11388888888888889</v>
      </c>
      <c r="E31" s="13"/>
    </row>
    <row r="33" spans="2:5">
      <c r="B33" s="12" t="s">
        <v>74</v>
      </c>
      <c r="C33" s="13"/>
      <c r="D33" s="13"/>
      <c r="E33" s="13"/>
    </row>
    <row r="34" spans="2:5">
      <c r="B34" s="13"/>
      <c r="C34" s="13"/>
      <c r="D34" s="13"/>
      <c r="E34" s="13"/>
    </row>
    <row r="35" spans="2:5">
      <c r="B35" s="13"/>
      <c r="C35" s="16" t="s">
        <v>75</v>
      </c>
      <c r="D35" s="16">
        <f>D30-C8</f>
        <v>6.3534747499998403</v>
      </c>
      <c r="E35" s="13" t="s">
        <v>7</v>
      </c>
    </row>
    <row r="36" spans="2:5">
      <c r="B36" s="13"/>
      <c r="C36" s="13" t="s">
        <v>87</v>
      </c>
      <c r="D36" s="13">
        <f>SIN(C11*D35)</f>
        <v>0.11066193731409632</v>
      </c>
      <c r="E36" s="13"/>
    </row>
    <row r="38" spans="2:5">
      <c r="B38" s="12" t="s">
        <v>76</v>
      </c>
      <c r="C38" s="13"/>
      <c r="D38" s="13"/>
      <c r="E38" s="13"/>
    </row>
    <row r="39" spans="2:5">
      <c r="B39" s="13"/>
      <c r="C39" s="13"/>
      <c r="D39" s="13"/>
      <c r="E39" s="13"/>
    </row>
    <row r="40" spans="2:5">
      <c r="B40" s="13"/>
      <c r="C40" s="13" t="s">
        <v>77</v>
      </c>
      <c r="D40" s="18">
        <f>SIN(C11*C9)*SIN(C11*C6)+COS(C11*C9)*COS(C11*C6)*COS(C11*D35)</f>
        <v>0.82743593191478559</v>
      </c>
      <c r="E40" s="13"/>
    </row>
    <row r="41" spans="2:5">
      <c r="B41" s="13"/>
      <c r="C41" s="13"/>
      <c r="D41" s="18"/>
      <c r="E41" s="13"/>
    </row>
    <row r="42" spans="2:5">
      <c r="B42" s="13"/>
      <c r="C42" s="16" t="s">
        <v>78</v>
      </c>
      <c r="D42" s="142">
        <f>ASIN(D40)</f>
        <v>0.97452623216979595</v>
      </c>
      <c r="E42" s="13" t="s">
        <v>82</v>
      </c>
    </row>
    <row r="43" spans="2:5">
      <c r="B43" s="13"/>
      <c r="C43" s="16"/>
      <c r="D43" s="142">
        <f>D42/C11</f>
        <v>55.836240128115499</v>
      </c>
      <c r="E43" s="13" t="s">
        <v>7</v>
      </c>
    </row>
    <row r="45" spans="2:5">
      <c r="B45" s="12" t="s">
        <v>84</v>
      </c>
      <c r="C45" s="13"/>
      <c r="D45" s="13"/>
      <c r="E45" s="13"/>
    </row>
    <row r="46" spans="2:5">
      <c r="B46" s="13"/>
      <c r="C46" s="13"/>
      <c r="D46" s="13"/>
      <c r="E46" s="13"/>
    </row>
    <row r="47" spans="2:5">
      <c r="B47" s="13"/>
      <c r="C47" s="13" t="s">
        <v>85</v>
      </c>
      <c r="D47" s="18">
        <f>(SIN(C11*C9)-SIN(D42)*SIN(C11*C6))/(COS(D42)*COS(C11*C6))</f>
        <v>-0.98135036253387176</v>
      </c>
      <c r="E47" s="13"/>
    </row>
    <row r="48" spans="2:5">
      <c r="B48" s="13"/>
      <c r="C48" s="13" t="s">
        <v>24</v>
      </c>
      <c r="D48" s="18">
        <f>ACOS(D47)</f>
        <v>2.9481610343639968</v>
      </c>
      <c r="E48" s="13" t="s">
        <v>82</v>
      </c>
    </row>
    <row r="49" spans="2:5">
      <c r="B49" s="13"/>
      <c r="C49" s="13"/>
      <c r="D49" s="13">
        <f>D48/C11</f>
        <v>168.91718459398027</v>
      </c>
      <c r="E49" s="13" t="s">
        <v>7</v>
      </c>
    </row>
    <row r="50" spans="2:5">
      <c r="B50" s="13"/>
      <c r="C50" s="13"/>
      <c r="D50" s="13"/>
      <c r="E50" s="13"/>
    </row>
    <row r="51" spans="2:5">
      <c r="B51" s="13"/>
      <c r="C51" s="16" t="s">
        <v>86</v>
      </c>
      <c r="D51" s="143">
        <f>IF(D36&gt;0,360-D49,D49)</f>
        <v>191.08281540601973</v>
      </c>
      <c r="E51" s="13" t="s">
        <v>7</v>
      </c>
    </row>
  </sheetData>
  <sheetProtection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9247-0982-1149-8FBD-369BE220694A}">
  <dimension ref="A2:D56"/>
  <sheetViews>
    <sheetView showGridLines="0" workbookViewId="0">
      <selection activeCell="H24" sqref="H24"/>
    </sheetView>
  </sheetViews>
  <sheetFormatPr baseColWidth="10" defaultRowHeight="16"/>
  <cols>
    <col min="1" max="4" width="10.83203125" style="1"/>
  </cols>
  <sheetData>
    <row r="2" spans="2:4">
      <c r="C2" s="9" t="s">
        <v>60</v>
      </c>
    </row>
    <row r="3" spans="2:4">
      <c r="B3" s="172" t="s">
        <v>117</v>
      </c>
      <c r="C3" s="78">
        <v>1E-4</v>
      </c>
    </row>
    <row r="4" spans="2:4">
      <c r="B4" s="172" t="s">
        <v>114</v>
      </c>
      <c r="C4" s="47">
        <v>0.6</v>
      </c>
    </row>
    <row r="5" spans="2:4">
      <c r="B5" s="173" t="s">
        <v>90</v>
      </c>
      <c r="C5" s="48">
        <v>4.9916</v>
      </c>
      <c r="D5" s="1" t="s">
        <v>82</v>
      </c>
    </row>
    <row r="6" spans="2:4" ht="18">
      <c r="B6" s="75" t="s">
        <v>91</v>
      </c>
      <c r="C6" s="44">
        <f>C$5+C$4*SIN(C5)</f>
        <v>4.414836092989785</v>
      </c>
    </row>
    <row r="7" spans="2:4" ht="18">
      <c r="B7" s="76" t="s">
        <v>92</v>
      </c>
      <c r="C7" s="45">
        <f>C$5+C$4*SIN(C6)</f>
        <v>4.417965920492847</v>
      </c>
    </row>
    <row r="8" spans="2:4" ht="18">
      <c r="B8" s="76" t="s">
        <v>93</v>
      </c>
      <c r="C8" s="45">
        <f t="shared" ref="C8:C55" si="0">C$5+C$4*SIN(C7)</f>
        <v>4.4174181664689431</v>
      </c>
    </row>
    <row r="9" spans="2:4" ht="18">
      <c r="B9" s="76" t="s">
        <v>94</v>
      </c>
      <c r="C9" s="45">
        <f t="shared" si="0"/>
        <v>4.4175136235172445</v>
      </c>
    </row>
    <row r="10" spans="2:4" ht="18">
      <c r="B10" s="76" t="s">
        <v>95</v>
      </c>
      <c r="C10" s="45">
        <f t="shared" si="0"/>
        <v>4.4174969758314795</v>
      </c>
    </row>
    <row r="11" spans="2:4" ht="18">
      <c r="B11" s="76" t="s">
        <v>96</v>
      </c>
      <c r="C11" s="45">
        <f t="shared" si="0"/>
        <v>4.4174998788071802</v>
      </c>
    </row>
    <row r="12" spans="2:4" ht="18">
      <c r="B12" s="76" t="s">
        <v>97</v>
      </c>
      <c r="C12" s="45">
        <f t="shared" si="0"/>
        <v>4.4174993725831486</v>
      </c>
    </row>
    <row r="13" spans="2:4" ht="18">
      <c r="B13" s="76" t="s">
        <v>98</v>
      </c>
      <c r="C13" s="45">
        <f t="shared" si="0"/>
        <v>4.4174994608586928</v>
      </c>
    </row>
    <row r="14" spans="2:4" ht="18">
      <c r="B14" s="76" t="s">
        <v>99</v>
      </c>
      <c r="C14" s="45">
        <f t="shared" si="0"/>
        <v>4.4174994454651584</v>
      </c>
    </row>
    <row r="15" spans="2:4" ht="18">
      <c r="B15" s="76" t="s">
        <v>100</v>
      </c>
      <c r="C15" s="45">
        <f t="shared" si="0"/>
        <v>4.4174994481494902</v>
      </c>
    </row>
    <row r="16" spans="2:4" ht="18">
      <c r="B16" s="76" t="s">
        <v>101</v>
      </c>
      <c r="C16" s="45">
        <f t="shared" si="0"/>
        <v>4.4174994476813954</v>
      </c>
    </row>
    <row r="17" spans="2:3" ht="18">
      <c r="B17" s="76" t="s">
        <v>102</v>
      </c>
      <c r="C17" s="45">
        <f t="shared" si="0"/>
        <v>4.4174994477630216</v>
      </c>
    </row>
    <row r="18" spans="2:3" ht="18">
      <c r="B18" s="76" t="s">
        <v>103</v>
      </c>
      <c r="C18" s="45">
        <f t="shared" si="0"/>
        <v>4.4174994477487877</v>
      </c>
    </row>
    <row r="19" spans="2:3" ht="18">
      <c r="B19" s="76" t="s">
        <v>104</v>
      </c>
      <c r="C19" s="45">
        <f t="shared" si="0"/>
        <v>4.4174994477512701</v>
      </c>
    </row>
    <row r="20" spans="2:3" ht="18">
      <c r="B20" s="76" t="s">
        <v>105</v>
      </c>
      <c r="C20" s="45">
        <f t="shared" si="0"/>
        <v>4.4174994477508376</v>
      </c>
    </row>
    <row r="21" spans="2:3" ht="18">
      <c r="B21" s="76" t="s">
        <v>106</v>
      </c>
      <c r="C21" s="45">
        <f t="shared" si="0"/>
        <v>4.4174994477509131</v>
      </c>
    </row>
    <row r="22" spans="2:3" ht="18">
      <c r="B22" s="76" t="s">
        <v>107</v>
      </c>
      <c r="C22" s="45">
        <f t="shared" si="0"/>
        <v>4.4174994477508998</v>
      </c>
    </row>
    <row r="23" spans="2:3" ht="18">
      <c r="B23" s="76" t="s">
        <v>108</v>
      </c>
      <c r="C23" s="45">
        <f t="shared" si="0"/>
        <v>4.4174994477509015</v>
      </c>
    </row>
    <row r="24" spans="2:3" ht="18">
      <c r="B24" s="76" t="s">
        <v>109</v>
      </c>
      <c r="C24" s="45">
        <f t="shared" si="0"/>
        <v>4.4174994477509015</v>
      </c>
    </row>
    <row r="25" spans="2:3" ht="18">
      <c r="B25" s="76" t="s">
        <v>110</v>
      </c>
      <c r="C25" s="45">
        <f t="shared" si="0"/>
        <v>4.4174994477509015</v>
      </c>
    </row>
    <row r="26" spans="2:3" ht="18">
      <c r="B26" s="76" t="s">
        <v>111</v>
      </c>
      <c r="C26" s="45">
        <f t="shared" si="0"/>
        <v>4.4174994477509015</v>
      </c>
    </row>
    <row r="27" spans="2:3" ht="18">
      <c r="B27" s="76" t="s">
        <v>112</v>
      </c>
      <c r="C27" s="45">
        <f t="shared" si="0"/>
        <v>4.4174994477509015</v>
      </c>
    </row>
    <row r="28" spans="2:3" ht="18">
      <c r="B28" s="76" t="s">
        <v>113</v>
      </c>
      <c r="C28" s="45">
        <f t="shared" si="0"/>
        <v>4.4174994477509015</v>
      </c>
    </row>
    <row r="29" spans="2:3" ht="18">
      <c r="B29" s="77" t="s">
        <v>115</v>
      </c>
      <c r="C29" s="45">
        <f t="shared" si="0"/>
        <v>4.4174994477509015</v>
      </c>
    </row>
    <row r="30" spans="2:3" ht="18">
      <c r="B30" s="77" t="s">
        <v>116</v>
      </c>
      <c r="C30" s="45">
        <f t="shared" si="0"/>
        <v>4.4174994477509015</v>
      </c>
    </row>
    <row r="31" spans="2:3" ht="18">
      <c r="B31" s="77" t="s">
        <v>118</v>
      </c>
      <c r="C31" s="45">
        <f t="shared" si="0"/>
        <v>4.4174994477509015</v>
      </c>
    </row>
    <row r="32" spans="2:3" ht="18">
      <c r="B32" s="77" t="s">
        <v>119</v>
      </c>
      <c r="C32" s="45">
        <f t="shared" si="0"/>
        <v>4.4174994477509015</v>
      </c>
    </row>
    <row r="33" spans="2:3" ht="18">
      <c r="B33" s="77" t="s">
        <v>120</v>
      </c>
      <c r="C33" s="45">
        <f t="shared" si="0"/>
        <v>4.4174994477509015</v>
      </c>
    </row>
    <row r="34" spans="2:3" ht="18">
      <c r="B34" s="77" t="s">
        <v>121</v>
      </c>
      <c r="C34" s="45">
        <f t="shared" si="0"/>
        <v>4.4174994477509015</v>
      </c>
    </row>
    <row r="35" spans="2:3" ht="18">
      <c r="B35" s="77" t="s">
        <v>122</v>
      </c>
      <c r="C35" s="45">
        <f t="shared" si="0"/>
        <v>4.4174994477509015</v>
      </c>
    </row>
    <row r="36" spans="2:3" ht="18">
      <c r="B36" s="77" t="s">
        <v>123</v>
      </c>
      <c r="C36" s="45">
        <f t="shared" si="0"/>
        <v>4.4174994477509015</v>
      </c>
    </row>
    <row r="37" spans="2:3" ht="18">
      <c r="B37" s="77" t="s">
        <v>124</v>
      </c>
      <c r="C37" s="45">
        <f t="shared" si="0"/>
        <v>4.4174994477509015</v>
      </c>
    </row>
    <row r="38" spans="2:3" ht="18">
      <c r="B38" s="77" t="s">
        <v>125</v>
      </c>
      <c r="C38" s="45">
        <f t="shared" si="0"/>
        <v>4.4174994477509015</v>
      </c>
    </row>
    <row r="39" spans="2:3" ht="18">
      <c r="B39" s="77" t="s">
        <v>126</v>
      </c>
      <c r="C39" s="45">
        <f t="shared" si="0"/>
        <v>4.4174994477509015</v>
      </c>
    </row>
    <row r="40" spans="2:3" ht="18">
      <c r="B40" s="77" t="s">
        <v>127</v>
      </c>
      <c r="C40" s="45">
        <f t="shared" si="0"/>
        <v>4.4174994477509015</v>
      </c>
    </row>
    <row r="41" spans="2:3" ht="18">
      <c r="B41" s="77" t="s">
        <v>128</v>
      </c>
      <c r="C41" s="45">
        <f t="shared" si="0"/>
        <v>4.4174994477509015</v>
      </c>
    </row>
    <row r="42" spans="2:3" ht="18">
      <c r="B42" s="77" t="s">
        <v>129</v>
      </c>
      <c r="C42" s="45">
        <f t="shared" si="0"/>
        <v>4.4174994477509015</v>
      </c>
    </row>
    <row r="43" spans="2:3" ht="18">
      <c r="B43" s="77" t="s">
        <v>130</v>
      </c>
      <c r="C43" s="45">
        <f t="shared" si="0"/>
        <v>4.4174994477509015</v>
      </c>
    </row>
    <row r="44" spans="2:3" ht="18">
      <c r="B44" s="77" t="s">
        <v>131</v>
      </c>
      <c r="C44" s="45">
        <f t="shared" si="0"/>
        <v>4.4174994477509015</v>
      </c>
    </row>
    <row r="45" spans="2:3" ht="18">
      <c r="B45" s="77" t="s">
        <v>132</v>
      </c>
      <c r="C45" s="45">
        <f t="shared" si="0"/>
        <v>4.4174994477509015</v>
      </c>
    </row>
    <row r="46" spans="2:3" ht="18">
      <c r="B46" s="77" t="s">
        <v>133</v>
      </c>
      <c r="C46" s="45">
        <f t="shared" si="0"/>
        <v>4.4174994477509015</v>
      </c>
    </row>
    <row r="47" spans="2:3" ht="18">
      <c r="B47" s="77" t="s">
        <v>134</v>
      </c>
      <c r="C47" s="45">
        <f t="shared" si="0"/>
        <v>4.4174994477509015</v>
      </c>
    </row>
    <row r="48" spans="2:3" ht="18">
      <c r="B48" s="77" t="s">
        <v>135</v>
      </c>
      <c r="C48" s="45">
        <f t="shared" si="0"/>
        <v>4.4174994477509015</v>
      </c>
    </row>
    <row r="49" spans="2:4" ht="18">
      <c r="B49" s="77" t="s">
        <v>136</v>
      </c>
      <c r="C49" s="45">
        <f t="shared" si="0"/>
        <v>4.4174994477509015</v>
      </c>
    </row>
    <row r="50" spans="2:4" ht="18">
      <c r="B50" s="77" t="s">
        <v>137</v>
      </c>
      <c r="C50" s="45">
        <f t="shared" si="0"/>
        <v>4.4174994477509015</v>
      </c>
    </row>
    <row r="51" spans="2:4" ht="18">
      <c r="B51" s="77" t="s">
        <v>138</v>
      </c>
      <c r="C51" s="45">
        <f t="shared" si="0"/>
        <v>4.4174994477509015</v>
      </c>
    </row>
    <row r="52" spans="2:4" ht="18">
      <c r="B52" s="77" t="s">
        <v>139</v>
      </c>
      <c r="C52" s="45">
        <f t="shared" si="0"/>
        <v>4.4174994477509015</v>
      </c>
    </row>
    <row r="53" spans="2:4" ht="18">
      <c r="B53" s="77" t="s">
        <v>140</v>
      </c>
      <c r="C53" s="45">
        <f t="shared" si="0"/>
        <v>4.4174994477509015</v>
      </c>
    </row>
    <row r="54" spans="2:4" ht="18">
      <c r="B54" s="77" t="s">
        <v>141</v>
      </c>
      <c r="C54" s="45">
        <f t="shared" si="0"/>
        <v>4.4174994477509015</v>
      </c>
    </row>
    <row r="55" spans="2:4" ht="18" customHeight="1">
      <c r="B55" s="195" t="s">
        <v>179</v>
      </c>
      <c r="C55" s="171">
        <f t="shared" si="0"/>
        <v>4.4174994477509015</v>
      </c>
      <c r="D55" s="1" t="s">
        <v>82</v>
      </c>
    </row>
    <row r="56" spans="2:4">
      <c r="B56" s="196"/>
      <c r="C56" s="144">
        <f>C55/(PI()/180)</f>
        <v>253.10407435749858</v>
      </c>
      <c r="D56" s="1" t="s">
        <v>7</v>
      </c>
    </row>
  </sheetData>
  <sheetProtection sheet="1" objects="1" scenarios="1"/>
  <mergeCells count="1">
    <mergeCell ref="B55:B56"/>
  </mergeCells>
  <phoneticPr fontId="27" type="noConversion"/>
  <conditionalFormatting sqref="C6:C54">
    <cfRule type="expression" dxfId="0" priority="1" stopIfTrue="1">
      <formula>ABS($C6-$C5)&lt;$C$3</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15EC-4503-674A-8DDA-0108B27633C0}">
  <dimension ref="A2:S25"/>
  <sheetViews>
    <sheetView showGridLines="0" workbookViewId="0">
      <selection activeCell="C42" sqref="C42"/>
    </sheetView>
  </sheetViews>
  <sheetFormatPr baseColWidth="10" defaultRowHeight="16"/>
  <cols>
    <col min="1" max="1" width="10.83203125" style="1"/>
    <col min="2" max="3" width="13.33203125" style="1" customWidth="1"/>
    <col min="4" max="4" width="10.83203125" style="1"/>
    <col min="5" max="6" width="13.33203125" style="1" customWidth="1"/>
    <col min="7" max="19" width="10.83203125" style="1"/>
  </cols>
  <sheetData>
    <row r="2" spans="2:6">
      <c r="B2" s="127" t="s">
        <v>154</v>
      </c>
      <c r="E2" s="127" t="s">
        <v>155</v>
      </c>
    </row>
    <row r="4" spans="2:6">
      <c r="C4" s="9" t="s">
        <v>44</v>
      </c>
      <c r="F4" s="9" t="s">
        <v>44</v>
      </c>
    </row>
    <row r="5" spans="2:6">
      <c r="B5" s="19" t="s">
        <v>152</v>
      </c>
      <c r="C5" s="133">
        <v>0.16666600000000001</v>
      </c>
      <c r="E5" s="19" t="s">
        <v>65</v>
      </c>
      <c r="F5" s="132">
        <v>0.19047453703703704</v>
      </c>
    </row>
    <row r="6" spans="2:6">
      <c r="B6" s="21" t="s">
        <v>65</v>
      </c>
      <c r="C6" s="134">
        <f>TIME(INT(C5*24),INT(3600*(24*C5-INT(C5*24))/60),INT(MOD(C5*3600*24,60)))</f>
        <v>0.16665509259259259</v>
      </c>
      <c r="E6" s="21" t="s">
        <v>152</v>
      </c>
      <c r="F6" s="135">
        <f>(3600*HOUR(F5)+60*MINUTE(F5)+SECOND(F5))/(24*3600)</f>
        <v>0.19047453703703704</v>
      </c>
    </row>
    <row r="10" spans="2:6">
      <c r="B10" s="127" t="s">
        <v>156</v>
      </c>
      <c r="E10" s="127" t="s">
        <v>157</v>
      </c>
    </row>
    <row r="12" spans="2:6">
      <c r="C12" s="9" t="s">
        <v>44</v>
      </c>
      <c r="F12" s="9" t="s">
        <v>44</v>
      </c>
    </row>
    <row r="13" spans="2:6">
      <c r="B13" s="19" t="s">
        <v>7</v>
      </c>
      <c r="C13" s="131">
        <v>128.74</v>
      </c>
      <c r="E13" s="19" t="s">
        <v>65</v>
      </c>
      <c r="F13" s="132">
        <v>0.74236111111111114</v>
      </c>
    </row>
    <row r="14" spans="2:6">
      <c r="B14" s="21" t="s">
        <v>65</v>
      </c>
      <c r="C14" s="134">
        <f>TIME(INT(ROUND((C13/360)*24,0)),INT((3600*24*(C13/360)-3600*INT(ROUND((C13/360)*24,0)))/60),INT(MOD((C13/360)*3600*24,60)))</f>
        <v>0.35760416666666667</v>
      </c>
      <c r="E14" s="21" t="s">
        <v>7</v>
      </c>
      <c r="F14" s="135">
        <f>360*(3600*HOUR(F13)+60*MINUTE(F13)+SECOND(F13))/(24*3600)</f>
        <v>267.25</v>
      </c>
    </row>
    <row r="18" spans="2:6">
      <c r="B18" s="127" t="s">
        <v>181</v>
      </c>
      <c r="E18" s="127" t="s">
        <v>182</v>
      </c>
    </row>
    <row r="20" spans="2:6">
      <c r="C20" s="9" t="s">
        <v>44</v>
      </c>
      <c r="F20" s="9" t="s">
        <v>44</v>
      </c>
    </row>
    <row r="21" spans="2:6">
      <c r="B21" s="42" t="s">
        <v>158</v>
      </c>
      <c r="C21" s="150">
        <v>12.5</v>
      </c>
      <c r="E21" s="42" t="s">
        <v>161</v>
      </c>
      <c r="F21" s="130">
        <v>-14</v>
      </c>
    </row>
    <row r="22" spans="2:6">
      <c r="B22" s="42" t="s">
        <v>161</v>
      </c>
      <c r="C22" s="136">
        <f>IF(C21&lt;0,-INT(ABS(C21)),INT(C21))</f>
        <v>12</v>
      </c>
      <c r="E22" s="42" t="s">
        <v>159</v>
      </c>
      <c r="F22" s="130">
        <v>43</v>
      </c>
    </row>
    <row r="23" spans="2:6">
      <c r="B23" s="42" t="s">
        <v>159</v>
      </c>
      <c r="C23" s="136">
        <f>INT(60*(ABS(C21)-ABS(C22)))</f>
        <v>30</v>
      </c>
      <c r="E23" s="42" t="s">
        <v>160</v>
      </c>
      <c r="F23" s="149">
        <v>8.1999999999999993</v>
      </c>
    </row>
    <row r="24" spans="2:6">
      <c r="B24" s="42" t="s">
        <v>160</v>
      </c>
      <c r="C24" s="148">
        <f>3600*(ABS(C21)-ABS(C22)-(C23/60))</f>
        <v>0</v>
      </c>
      <c r="E24" s="42" t="s">
        <v>158</v>
      </c>
      <c r="F24" s="137">
        <f>IF(F21&lt;0,-(ABS(F21)+(F22/60)+(F23/3600)),F21+(F22/60)+(F23/3600))</f>
        <v>-14.718944444444444</v>
      </c>
    </row>
    <row r="25" spans="2:6">
      <c r="C25" s="129"/>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1E1B-843C-F04B-B830-2115913D8AF5}">
  <dimension ref="A2:O29"/>
  <sheetViews>
    <sheetView showGridLines="0" topLeftCell="A3" workbookViewId="0">
      <selection activeCell="B40" sqref="B40"/>
    </sheetView>
  </sheetViews>
  <sheetFormatPr baseColWidth="10" defaultRowHeight="16"/>
  <cols>
    <col min="1" max="1" width="10.83203125" style="1"/>
    <col min="2" max="2" width="10.83203125" style="1" customWidth="1"/>
    <col min="3" max="3" width="15.83203125" style="1" customWidth="1"/>
    <col min="4" max="4" width="6.83203125" style="1" customWidth="1"/>
    <col min="5" max="5" width="10.83203125" style="1" customWidth="1"/>
    <col min="6" max="6" width="15.83203125" style="1" customWidth="1"/>
    <col min="7" max="15" width="10.83203125" style="1"/>
  </cols>
  <sheetData>
    <row r="2" spans="2:14">
      <c r="B2" s="193" t="s">
        <v>39</v>
      </c>
      <c r="C2" s="193"/>
      <c r="D2" s="103"/>
      <c r="E2" s="193" t="s">
        <v>40</v>
      </c>
      <c r="F2" s="193"/>
    </row>
    <row r="4" spans="2:14">
      <c r="B4" s="19"/>
      <c r="C4" s="106" t="s">
        <v>60</v>
      </c>
      <c r="D4" s="103"/>
      <c r="E4" s="19"/>
      <c r="F4" s="106" t="s">
        <v>60</v>
      </c>
    </row>
    <row r="5" spans="2:14">
      <c r="B5" s="107" t="s">
        <v>10</v>
      </c>
      <c r="C5" s="108">
        <v>2024</v>
      </c>
      <c r="D5" s="103"/>
      <c r="E5" s="107" t="s">
        <v>41</v>
      </c>
      <c r="F5" s="109">
        <v>2460422.2923619999</v>
      </c>
    </row>
    <row r="6" spans="2:14" ht="18">
      <c r="B6" s="107" t="s">
        <v>11</v>
      </c>
      <c r="C6" s="108">
        <v>4</v>
      </c>
      <c r="D6" s="103"/>
      <c r="E6" s="23" t="s">
        <v>149</v>
      </c>
      <c r="F6" s="110">
        <f>IF(F5-INT(F5)&gt;= 0.5,INT(F5+1),INT(F5))</f>
        <v>2460422</v>
      </c>
      <c r="G6" s="192"/>
      <c r="H6" s="192"/>
      <c r="I6" s="192"/>
      <c r="J6" s="192"/>
      <c r="K6" s="192"/>
      <c r="L6" s="192"/>
      <c r="M6" s="192"/>
      <c r="N6" s="192"/>
    </row>
    <row r="7" spans="2:14">
      <c r="B7" s="107" t="s">
        <v>12</v>
      </c>
      <c r="C7" s="108">
        <v>21</v>
      </c>
      <c r="D7" s="104"/>
      <c r="E7" s="107" t="s">
        <v>10</v>
      </c>
      <c r="F7" s="141">
        <f>INT(F14/1461)-4716+INT((12+2-F8)/12)</f>
        <v>2024</v>
      </c>
      <c r="G7" s="192"/>
      <c r="H7" s="192"/>
      <c r="I7" s="192"/>
      <c r="J7" s="192"/>
      <c r="K7" s="192"/>
      <c r="L7" s="192"/>
      <c r="M7" s="192"/>
      <c r="N7" s="192"/>
    </row>
    <row r="8" spans="2:14">
      <c r="B8" s="107" t="s">
        <v>13</v>
      </c>
      <c r="C8" s="108">
        <v>19</v>
      </c>
      <c r="D8" s="105"/>
      <c r="E8" s="107" t="s">
        <v>11</v>
      </c>
      <c r="F8" s="141">
        <f>MOD(INT((F16/F26)+F27),F28)+1</f>
        <v>4</v>
      </c>
    </row>
    <row r="9" spans="2:14">
      <c r="B9" s="107" t="s">
        <v>15</v>
      </c>
      <c r="C9" s="108">
        <v>1</v>
      </c>
      <c r="D9" s="105"/>
      <c r="E9" s="107" t="s">
        <v>14</v>
      </c>
      <c r="F9" s="141">
        <f>INT(MOD(F16,F26)/F24)+1</f>
        <v>21</v>
      </c>
    </row>
    <row r="10" spans="2:14">
      <c r="B10" s="107" t="s">
        <v>16</v>
      </c>
      <c r="C10" s="108">
        <v>0</v>
      </c>
      <c r="D10" s="105"/>
      <c r="E10" s="107" t="s">
        <v>13</v>
      </c>
      <c r="F10" s="141">
        <f>INT(F29*24)</f>
        <v>19</v>
      </c>
    </row>
    <row r="11" spans="2:14">
      <c r="B11" s="23"/>
      <c r="C11" s="82"/>
      <c r="D11" s="105"/>
      <c r="E11" s="107" t="s">
        <v>15</v>
      </c>
      <c r="F11" s="141">
        <f>INT((3600*24*F29-3600*F10)/60)</f>
        <v>1</v>
      </c>
    </row>
    <row r="12" spans="2:14">
      <c r="B12" s="23"/>
      <c r="C12" s="82"/>
      <c r="D12" s="103"/>
      <c r="E12" s="107" t="s">
        <v>16</v>
      </c>
      <c r="F12" s="141">
        <f>INT(MOD(F29*3600*24,60))</f>
        <v>0</v>
      </c>
    </row>
    <row r="13" spans="2:14">
      <c r="B13" s="23" t="s">
        <v>17</v>
      </c>
      <c r="C13" s="111">
        <f>(3600*C8+60*C9+C10)/(24*60*60)</f>
        <v>0.79236111111111107</v>
      </c>
      <c r="D13" s="103"/>
      <c r="E13" s="23" t="s">
        <v>18</v>
      </c>
      <c r="F13" s="82">
        <f>INT(F6+F18+(INT(INT((4*F6+F19)/146097)*3)/4)+F20)</f>
        <v>2461836</v>
      </c>
    </row>
    <row r="14" spans="2:14">
      <c r="B14" s="23"/>
      <c r="C14" s="82"/>
      <c r="D14" s="103"/>
      <c r="E14" s="23" t="s">
        <v>19</v>
      </c>
      <c r="F14" s="82">
        <f>F21*F13+F22</f>
        <v>9847347</v>
      </c>
    </row>
    <row r="15" spans="2:14">
      <c r="B15" s="23" t="s">
        <v>20</v>
      </c>
      <c r="C15" s="82">
        <f>IF(C6&gt;2,C5,C5-1)</f>
        <v>2024</v>
      </c>
      <c r="D15" s="103"/>
      <c r="E15" s="23" t="s">
        <v>21</v>
      </c>
      <c r="F15" s="82">
        <f>INT(MOD(F14,F23)/F21)</f>
        <v>51</v>
      </c>
    </row>
    <row r="16" spans="2:14">
      <c r="B16" s="23" t="s">
        <v>22</v>
      </c>
      <c r="C16" s="82">
        <f>IF(C6&gt;2,C6,C6+12)</f>
        <v>4</v>
      </c>
      <c r="D16" s="103"/>
      <c r="E16" s="23" t="s">
        <v>23</v>
      </c>
      <c r="F16" s="82">
        <f>F24*F15+F25</f>
        <v>257</v>
      </c>
    </row>
    <row r="17" spans="2:6">
      <c r="B17" s="23" t="s">
        <v>24</v>
      </c>
      <c r="C17" s="82">
        <f>INT(C15/100)</f>
        <v>20</v>
      </c>
      <c r="D17" s="103"/>
      <c r="E17" s="23"/>
      <c r="F17" s="82"/>
    </row>
    <row r="18" spans="2:6">
      <c r="B18" s="23" t="s">
        <v>25</v>
      </c>
      <c r="C18" s="82">
        <f>INT(C17/4)</f>
        <v>5</v>
      </c>
      <c r="D18" s="103"/>
      <c r="E18" s="23" t="s">
        <v>26</v>
      </c>
      <c r="F18" s="82">
        <v>1401</v>
      </c>
    </row>
    <row r="19" spans="2:6">
      <c r="B19" s="23" t="s">
        <v>27</v>
      </c>
      <c r="C19" s="82">
        <f>2-C17+C18</f>
        <v>-13</v>
      </c>
      <c r="D19" s="103"/>
      <c r="E19" s="23" t="s">
        <v>25</v>
      </c>
      <c r="F19" s="82">
        <v>274277</v>
      </c>
    </row>
    <row r="20" spans="2:6">
      <c r="B20" s="23" t="s">
        <v>28</v>
      </c>
      <c r="C20" s="82">
        <f>C7</f>
        <v>21</v>
      </c>
      <c r="D20" s="103"/>
      <c r="E20" s="23" t="s">
        <v>27</v>
      </c>
      <c r="F20" s="82">
        <v>-38</v>
      </c>
    </row>
    <row r="21" spans="2:6">
      <c r="B21" s="23" t="s">
        <v>29</v>
      </c>
      <c r="C21" s="82">
        <f>INT(365.25*(C15+4716))</f>
        <v>2461785</v>
      </c>
      <c r="D21" s="112"/>
      <c r="E21" s="23" t="s">
        <v>30</v>
      </c>
      <c r="F21" s="113">
        <v>4</v>
      </c>
    </row>
    <row r="22" spans="2:6">
      <c r="B22" s="23" t="s">
        <v>31</v>
      </c>
      <c r="C22" s="82">
        <f>INT(30.6001*(C16+1))</f>
        <v>153</v>
      </c>
      <c r="D22" s="114"/>
      <c r="E22" s="23" t="s">
        <v>32</v>
      </c>
      <c r="F22" s="82">
        <v>3</v>
      </c>
    </row>
    <row r="23" spans="2:6">
      <c r="B23" s="115" t="s">
        <v>41</v>
      </c>
      <c r="C23" s="140">
        <f>C19+C20+C21+C22-1524.5+C13</f>
        <v>2460422.2923611109</v>
      </c>
      <c r="D23" s="114"/>
      <c r="E23" s="23" t="s">
        <v>33</v>
      </c>
      <c r="F23" s="113">
        <v>1461</v>
      </c>
    </row>
    <row r="24" spans="2:6">
      <c r="D24" s="116"/>
      <c r="E24" s="23" t="s">
        <v>34</v>
      </c>
      <c r="F24" s="82">
        <v>5</v>
      </c>
    </row>
    <row r="25" spans="2:6">
      <c r="D25" s="105"/>
      <c r="E25" s="23" t="s">
        <v>35</v>
      </c>
      <c r="F25" s="82">
        <v>2</v>
      </c>
    </row>
    <row r="26" spans="2:6">
      <c r="D26" s="103"/>
      <c r="E26" s="23" t="s">
        <v>36</v>
      </c>
      <c r="F26" s="113">
        <v>153</v>
      </c>
    </row>
    <row r="27" spans="2:6">
      <c r="D27" s="103"/>
      <c r="E27" s="23" t="s">
        <v>37</v>
      </c>
      <c r="F27" s="113">
        <v>2</v>
      </c>
    </row>
    <row r="28" spans="2:6">
      <c r="D28" s="103"/>
      <c r="E28" s="23" t="s">
        <v>38</v>
      </c>
      <c r="F28" s="113">
        <v>12</v>
      </c>
    </row>
    <row r="29" spans="2:6">
      <c r="D29" s="103"/>
      <c r="E29" s="21" t="s">
        <v>17</v>
      </c>
      <c r="F29" s="117">
        <f>MOD(F5-INT(F5)+0.5,1)</f>
        <v>0.79236199986189604</v>
      </c>
    </row>
  </sheetData>
  <sheetProtection sheet="1" objects="1" scenarios="1"/>
  <mergeCells count="3">
    <mergeCell ref="G6:N7"/>
    <mergeCell ref="B2:C2"/>
    <mergeCell ref="E2:F2"/>
  </mergeCells>
  <hyperlinks>
    <hyperlink ref="B2" r:id="rId1" display="Gregorian Date -&gt; JD" xr:uid="{1A701C6D-81B6-AD4C-A724-C6399D412120}"/>
    <hyperlink ref="E2" r:id="rId2" display="JD -&gt; Gregorian date" xr:uid="{FAE13F5A-C626-DA47-B25E-D930C19B411E}"/>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1D55-BF82-6D43-8B1F-5528F9D71DFF}">
  <dimension ref="B2:D15"/>
  <sheetViews>
    <sheetView showGridLines="0" workbookViewId="0">
      <selection activeCell="C19" sqref="C19"/>
    </sheetView>
  </sheetViews>
  <sheetFormatPr baseColWidth="10" defaultRowHeight="16"/>
  <cols>
    <col min="2" max="2" width="16" style="1" customWidth="1"/>
    <col min="3" max="3" width="12.5" style="1" customWidth="1"/>
    <col min="4" max="4" width="10.83203125" style="1"/>
  </cols>
  <sheetData>
    <row r="2" spans="2:3">
      <c r="C2" s="43" t="s">
        <v>44</v>
      </c>
    </row>
    <row r="3" spans="2:3">
      <c r="B3" s="42" t="s">
        <v>45</v>
      </c>
      <c r="C3" s="36">
        <v>45323</v>
      </c>
    </row>
    <row r="4" spans="2:3">
      <c r="B4" s="42" t="s">
        <v>65</v>
      </c>
      <c r="C4" s="128">
        <v>0.625</v>
      </c>
    </row>
    <row r="5" spans="2:3">
      <c r="B5" s="42" t="s">
        <v>10</v>
      </c>
      <c r="C5" s="37">
        <f>YEAR(C3)</f>
        <v>2024</v>
      </c>
    </row>
    <row r="6" spans="2:3">
      <c r="B6" s="42" t="s">
        <v>46</v>
      </c>
      <c r="C6" s="38" t="str">
        <f>IF(OR(MOD(C5,400)=0,AND(MOD(C5,4)=0,MOD(C5,100)&lt;&gt;0)),"Y", "N")</f>
        <v>Y</v>
      </c>
    </row>
    <row r="7" spans="2:3">
      <c r="B7" s="42" t="s">
        <v>73</v>
      </c>
      <c r="C7" s="38">
        <f>IF(C6="N",365.242,366)</f>
        <v>366</v>
      </c>
    </row>
    <row r="8" spans="2:3">
      <c r="B8" s="42" t="s">
        <v>11</v>
      </c>
      <c r="C8" s="37">
        <f>MONTH(C3)</f>
        <v>2</v>
      </c>
    </row>
    <row r="9" spans="2:3">
      <c r="B9" s="42" t="s">
        <v>12</v>
      </c>
      <c r="C9" s="38">
        <f>DAY(C3)</f>
        <v>1</v>
      </c>
    </row>
    <row r="10" spans="2:3">
      <c r="B10" s="42" t="s">
        <v>88</v>
      </c>
      <c r="C10" s="37">
        <f>INT(275*C8/9)-IF(C6="Y",1,2)*INT((C8+9)/12)+C9-30</f>
        <v>32</v>
      </c>
    </row>
    <row r="11" spans="2:3">
      <c r="B11" s="42" t="s">
        <v>41</v>
      </c>
      <c r="C11" s="39">
        <f>367*C5-INT(7/4*C5)-INT(3*(INT((C5-8/7)/100)+1)/4)+1721059.5-1+C10+(3600*HOUR(C4)+60*MINUTE(C4)+SECOND(C4))/(24*3600)</f>
        <v>2460342.125</v>
      </c>
    </row>
    <row r="12" spans="2:3">
      <c r="B12" s="42" t="s">
        <v>180</v>
      </c>
      <c r="C12" s="39">
        <v>2451545</v>
      </c>
    </row>
    <row r="13" spans="2:3">
      <c r="B13" s="42" t="s">
        <v>89</v>
      </c>
      <c r="C13" s="138">
        <f>C11-C12</f>
        <v>8797.125</v>
      </c>
    </row>
    <row r="14" spans="2:3">
      <c r="C14" s="41"/>
    </row>
    <row r="15" spans="2:3">
      <c r="C15" s="40"/>
    </row>
  </sheetData>
  <sheetProtection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5506-EE82-6049-935D-147F79890579}">
  <dimension ref="B2:E23"/>
  <sheetViews>
    <sheetView showGridLines="0" workbookViewId="0">
      <selection activeCell="C40" sqref="C40"/>
    </sheetView>
  </sheetViews>
  <sheetFormatPr baseColWidth="10" defaultRowHeight="16"/>
  <cols>
    <col min="3" max="3" width="15.83203125" customWidth="1"/>
    <col min="5" max="5" width="15.83203125" customWidth="1"/>
  </cols>
  <sheetData>
    <row r="2" spans="2:5">
      <c r="B2" s="1"/>
      <c r="C2" s="9" t="s">
        <v>177</v>
      </c>
      <c r="D2" s="1"/>
      <c r="E2" s="9" t="s">
        <v>176</v>
      </c>
    </row>
    <row r="3" spans="2:5">
      <c r="B3" s="100" t="s">
        <v>10</v>
      </c>
      <c r="C3" s="169">
        <v>2024</v>
      </c>
      <c r="D3" s="100" t="s">
        <v>10</v>
      </c>
      <c r="E3" s="169">
        <v>2024</v>
      </c>
    </row>
    <row r="4" spans="2:5">
      <c r="B4" s="168" t="s">
        <v>11</v>
      </c>
      <c r="C4" s="108">
        <v>4</v>
      </c>
      <c r="D4" s="168" t="s">
        <v>11</v>
      </c>
      <c r="E4" s="108">
        <v>6</v>
      </c>
    </row>
    <row r="5" spans="2:5">
      <c r="B5" s="168" t="s">
        <v>12</v>
      </c>
      <c r="C5" s="108">
        <v>21</v>
      </c>
      <c r="D5" s="168" t="s">
        <v>12</v>
      </c>
      <c r="E5" s="108">
        <v>21</v>
      </c>
    </row>
    <row r="6" spans="2:5">
      <c r="B6" s="168" t="s">
        <v>13</v>
      </c>
      <c r="C6" s="108">
        <v>13</v>
      </c>
      <c r="D6" s="168" t="s">
        <v>13</v>
      </c>
      <c r="E6" s="108">
        <v>19</v>
      </c>
    </row>
    <row r="7" spans="2:5">
      <c r="B7" s="168" t="s">
        <v>15</v>
      </c>
      <c r="C7" s="108">
        <v>1</v>
      </c>
      <c r="D7" s="168" t="s">
        <v>15</v>
      </c>
      <c r="E7" s="108">
        <v>1</v>
      </c>
    </row>
    <row r="8" spans="2:5">
      <c r="B8" s="168" t="s">
        <v>16</v>
      </c>
      <c r="C8" s="108">
        <v>0</v>
      </c>
      <c r="D8" s="168" t="s">
        <v>16</v>
      </c>
      <c r="E8" s="108">
        <v>0</v>
      </c>
    </row>
    <row r="9" spans="2:5">
      <c r="B9" s="101"/>
      <c r="C9" s="167"/>
      <c r="D9" s="101"/>
      <c r="E9" s="167"/>
    </row>
    <row r="10" spans="2:5">
      <c r="B10" s="19" t="s">
        <v>17</v>
      </c>
      <c r="C10" s="166">
        <f>(3600*C6+60*C7+C8)/(24*60*60)</f>
        <v>0.54236111111111107</v>
      </c>
      <c r="D10" s="19" t="s">
        <v>17</v>
      </c>
      <c r="E10" s="166">
        <f>(3600*E6+60*E7+E8)/(24*60*60)</f>
        <v>0.79236111111111107</v>
      </c>
    </row>
    <row r="11" spans="2:5">
      <c r="B11" s="162" t="s">
        <v>20</v>
      </c>
      <c r="C11" s="82">
        <f>IF(C4&gt;2,C3,C3-1)</f>
        <v>2024</v>
      </c>
      <c r="D11" s="162" t="s">
        <v>20</v>
      </c>
      <c r="E11" s="82">
        <f>IF(E4&gt;2,E3,E3-1)</f>
        <v>2024</v>
      </c>
    </row>
    <row r="12" spans="2:5">
      <c r="B12" s="162" t="s">
        <v>22</v>
      </c>
      <c r="C12" s="82">
        <f>IF(C4&gt;2,C4,C4+12)</f>
        <v>4</v>
      </c>
      <c r="D12" s="162" t="s">
        <v>22</v>
      </c>
      <c r="E12" s="82">
        <f>IF(E4&gt;2,E4,E4+12)</f>
        <v>6</v>
      </c>
    </row>
    <row r="13" spans="2:5">
      <c r="B13" s="162" t="s">
        <v>24</v>
      </c>
      <c r="C13" s="82">
        <f>INT(C11/100)</f>
        <v>20</v>
      </c>
      <c r="D13" s="162" t="s">
        <v>24</v>
      </c>
      <c r="E13" s="82">
        <f>INT(E11/100)</f>
        <v>20</v>
      </c>
    </row>
    <row r="14" spans="2:5">
      <c r="B14" s="162" t="s">
        <v>25</v>
      </c>
      <c r="C14" s="82">
        <f>INT(C13/4)</f>
        <v>5</v>
      </c>
      <c r="D14" s="162" t="s">
        <v>25</v>
      </c>
      <c r="E14" s="82">
        <f>INT(E13/4)</f>
        <v>5</v>
      </c>
    </row>
    <row r="15" spans="2:5">
      <c r="B15" s="162" t="s">
        <v>27</v>
      </c>
      <c r="C15" s="82">
        <f>2-C13+C14</f>
        <v>-13</v>
      </c>
      <c r="D15" s="162" t="s">
        <v>27</v>
      </c>
      <c r="E15" s="82">
        <f>2-E13+E14</f>
        <v>-13</v>
      </c>
    </row>
    <row r="16" spans="2:5">
      <c r="B16" s="162" t="s">
        <v>28</v>
      </c>
      <c r="C16" s="82">
        <f>C5</f>
        <v>21</v>
      </c>
      <c r="D16" s="162" t="s">
        <v>28</v>
      </c>
      <c r="E16" s="82">
        <f>E5</f>
        <v>21</v>
      </c>
    </row>
    <row r="17" spans="2:5">
      <c r="B17" s="162" t="s">
        <v>29</v>
      </c>
      <c r="C17" s="82">
        <f>INT(365.25*(C11+4716))</f>
        <v>2461785</v>
      </c>
      <c r="D17" s="162" t="s">
        <v>29</v>
      </c>
      <c r="E17" s="82">
        <f>INT(365.25*(E11+4716))</f>
        <v>2461785</v>
      </c>
    </row>
    <row r="18" spans="2:5">
      <c r="B18" s="162" t="s">
        <v>31</v>
      </c>
      <c r="C18" s="82">
        <f>INT(30.6001*(C12+1))</f>
        <v>153</v>
      </c>
      <c r="D18" s="162" t="s">
        <v>31</v>
      </c>
      <c r="E18" s="82">
        <f>INT(30.6001*(E12+1))</f>
        <v>214</v>
      </c>
    </row>
    <row r="19" spans="2:5" ht="18">
      <c r="B19" s="165" t="s">
        <v>175</v>
      </c>
      <c r="C19" s="163">
        <f>C15+C16+C17+C18-1524.5+C10</f>
        <v>2460422.0423611109</v>
      </c>
      <c r="D19" s="164" t="s">
        <v>174</v>
      </c>
      <c r="E19" s="163">
        <f>E15+E16+E17+E18-1524.5+E10</f>
        <v>2460483.2923611109</v>
      </c>
    </row>
    <row r="20" spans="2:5">
      <c r="B20" s="83"/>
      <c r="C20" s="83"/>
      <c r="D20" s="101" t="s">
        <v>170</v>
      </c>
      <c r="E20" s="161">
        <f>E19-C19</f>
        <v>61.25</v>
      </c>
    </row>
    <row r="21" spans="2:5">
      <c r="B21" s="1" t="s">
        <v>173</v>
      </c>
      <c r="C21" s="1"/>
      <c r="D21" s="1"/>
      <c r="E21" s="1"/>
    </row>
    <row r="22" spans="2:5" ht="18">
      <c r="B22" s="46" t="s">
        <v>172</v>
      </c>
      <c r="C22" s="170">
        <f>367*C3-INT(7/4*C3)-INT(3*(INT((C3-8/7)/100)+1)/4)+1721059.5-1+INT(275*C4/9)-IF(OR(MOD(C3,400)=0,AND(MOD(C3,4)=0,MOD(C3,100)&lt;&gt;0)),1,2)*INT((C4+9)/12)+C5-30+(3600*C6+60*C7+C8)/(24*60*60)</f>
        <v>2460422.0423611109</v>
      </c>
      <c r="D22" s="46" t="s">
        <v>171</v>
      </c>
      <c r="E22" s="170">
        <f>367*E3-INT(7/4*E3)-INT(3*(INT((E3-8/7)/100)+1)/4)+1721059.5-1+INT(275*E4/9)-IF(OR(MOD(E3,400)=0,AND(MOD(E3,4)=0,MOD(E3,100)&lt;&gt;0)),1,2)*INT((E4+9)/12)+E5-30+(3600*E6+60*E7+E8)/(24*60*60)</f>
        <v>2460483.2923611109</v>
      </c>
    </row>
    <row r="23" spans="2:5">
      <c r="B23" s="1"/>
      <c r="C23" s="1"/>
      <c r="D23" s="101" t="s">
        <v>170</v>
      </c>
      <c r="E23" s="161">
        <f>E22-C22</f>
        <v>61.25</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82A3C-041B-C143-90C2-554DBC78F67F}">
  <dimension ref="A2:O37"/>
  <sheetViews>
    <sheetView showGridLines="0" workbookViewId="0">
      <selection activeCell="M48" sqref="M48"/>
    </sheetView>
  </sheetViews>
  <sheetFormatPr baseColWidth="10" defaultRowHeight="16"/>
  <cols>
    <col min="1" max="1" width="10.83203125" style="1"/>
    <col min="2" max="3" width="13.33203125" style="1" customWidth="1"/>
    <col min="4" max="4" width="10.83203125" style="1" customWidth="1"/>
    <col min="5" max="6" width="13.33203125" style="1" customWidth="1"/>
    <col min="7" max="7" width="10.83203125" style="1" customWidth="1"/>
    <col min="8" max="15" width="10.83203125" style="1"/>
  </cols>
  <sheetData>
    <row r="2" spans="2:7">
      <c r="B2" s="1" t="s">
        <v>142</v>
      </c>
    </row>
    <row r="3" spans="2:7">
      <c r="B3" s="100" t="s">
        <v>143</v>
      </c>
      <c r="C3" s="83"/>
      <c r="D3" s="83"/>
      <c r="E3" s="101" t="s">
        <v>144</v>
      </c>
      <c r="F3" s="84"/>
      <c r="G3" s="85"/>
    </row>
    <row r="4" spans="2:7">
      <c r="B4" s="86"/>
      <c r="E4" s="87"/>
      <c r="F4" s="24"/>
      <c r="G4" s="80"/>
    </row>
    <row r="5" spans="2:7">
      <c r="B5" s="81" t="s">
        <v>0</v>
      </c>
      <c r="C5" s="2">
        <v>0.63541666666666663</v>
      </c>
      <c r="D5" s="88"/>
      <c r="E5" s="89" t="s">
        <v>1</v>
      </c>
      <c r="F5" s="2">
        <v>0.61458333333333337</v>
      </c>
      <c r="G5" s="80"/>
    </row>
    <row r="6" spans="2:7">
      <c r="B6" s="79" t="s">
        <v>2</v>
      </c>
      <c r="C6" s="24">
        <f>HOUR(C5)</f>
        <v>15</v>
      </c>
      <c r="D6" s="24"/>
      <c r="E6" s="24" t="s">
        <v>2</v>
      </c>
      <c r="F6" s="24">
        <f>HOUR(F5)</f>
        <v>14</v>
      </c>
      <c r="G6" s="80"/>
    </row>
    <row r="7" spans="2:7">
      <c r="B7" s="79" t="s">
        <v>3</v>
      </c>
      <c r="C7" s="24">
        <f>MINUTE(C5)</f>
        <v>15</v>
      </c>
      <c r="D7" s="24"/>
      <c r="E7" s="24" t="s">
        <v>3</v>
      </c>
      <c r="F7" s="24">
        <f>MINUTE(F5)</f>
        <v>45</v>
      </c>
      <c r="G7" s="80"/>
    </row>
    <row r="8" spans="2:7">
      <c r="B8" s="79" t="s">
        <v>4</v>
      </c>
      <c r="C8" s="24">
        <f>SECOND(C5)</f>
        <v>0</v>
      </c>
      <c r="D8" s="24"/>
      <c r="E8" s="24" t="s">
        <v>4</v>
      </c>
      <c r="F8" s="24">
        <f>SECOND(F5)</f>
        <v>0</v>
      </c>
      <c r="G8" s="80"/>
    </row>
    <row r="9" spans="2:7">
      <c r="B9" s="79" t="s">
        <v>5</v>
      </c>
      <c r="C9" s="90">
        <f>C6*3600+C7*60+C8</f>
        <v>54900</v>
      </c>
      <c r="D9" s="24"/>
      <c r="E9" s="24" t="s">
        <v>5</v>
      </c>
      <c r="F9" s="90">
        <f>F6*3600+F7*60+F8</f>
        <v>53100</v>
      </c>
      <c r="G9" s="80"/>
    </row>
    <row r="10" spans="2:7">
      <c r="B10" s="79"/>
      <c r="C10" s="24"/>
      <c r="D10" s="24"/>
      <c r="E10" s="24"/>
      <c r="F10" s="24"/>
      <c r="G10" s="80"/>
    </row>
    <row r="11" spans="2:7">
      <c r="B11" s="91" t="s">
        <v>6</v>
      </c>
      <c r="C11" s="3">
        <v>7.44</v>
      </c>
      <c r="D11" s="92"/>
      <c r="E11" s="93" t="s">
        <v>6</v>
      </c>
      <c r="F11" s="3">
        <v>7.4428999999999998</v>
      </c>
      <c r="G11" s="102" t="s">
        <v>7</v>
      </c>
    </row>
    <row r="12" spans="2:7">
      <c r="B12" s="79" t="s">
        <v>8</v>
      </c>
      <c r="C12" s="24">
        <f>-(ROUND((60*C11/15),0))</f>
        <v>-30</v>
      </c>
      <c r="D12" s="24"/>
      <c r="E12" s="24" t="s">
        <v>8</v>
      </c>
      <c r="F12" s="24">
        <f>ROUND(((F11/15)*60),0)</f>
        <v>30</v>
      </c>
      <c r="G12" s="102" t="s">
        <v>7</v>
      </c>
    </row>
    <row r="13" spans="2:7">
      <c r="B13" s="79" t="s">
        <v>8</v>
      </c>
      <c r="C13" s="90">
        <f>(C12/60)*3600</f>
        <v>-1800</v>
      </c>
      <c r="D13" s="92"/>
      <c r="E13" s="24" t="s">
        <v>8</v>
      </c>
      <c r="F13" s="90">
        <f>(F12/60)*3600</f>
        <v>1800</v>
      </c>
      <c r="G13" s="102" t="s">
        <v>4</v>
      </c>
    </row>
    <row r="14" spans="2:7">
      <c r="B14" s="79"/>
      <c r="C14" s="24"/>
      <c r="D14" s="24"/>
      <c r="E14" s="24"/>
      <c r="F14" s="24"/>
      <c r="G14" s="80"/>
    </row>
    <row r="15" spans="2:7">
      <c r="B15" s="79" t="s">
        <v>5</v>
      </c>
      <c r="C15" s="90">
        <f>C9+C13</f>
        <v>53100</v>
      </c>
      <c r="D15" s="92"/>
      <c r="E15" s="24" t="s">
        <v>5</v>
      </c>
      <c r="F15" s="90">
        <v>54900</v>
      </c>
      <c r="G15" s="80"/>
    </row>
    <row r="16" spans="2:7">
      <c r="B16" s="79" t="s">
        <v>2</v>
      </c>
      <c r="C16" s="94">
        <f>INT(C15/3600)</f>
        <v>14</v>
      </c>
      <c r="D16" s="94"/>
      <c r="E16" s="24" t="s">
        <v>2</v>
      </c>
      <c r="F16" s="94">
        <f>INT(F15/3600)</f>
        <v>15</v>
      </c>
      <c r="G16" s="80"/>
    </row>
    <row r="17" spans="2:7">
      <c r="B17" s="79" t="s">
        <v>3</v>
      </c>
      <c r="C17" s="24">
        <f>INT((C15-3600*C16)/60)</f>
        <v>45</v>
      </c>
      <c r="D17" s="24"/>
      <c r="E17" s="24" t="s">
        <v>3</v>
      </c>
      <c r="F17" s="24">
        <f>INT((F15-3600*F16)/60)</f>
        <v>15</v>
      </c>
      <c r="G17" s="80"/>
    </row>
    <row r="18" spans="2:7">
      <c r="B18" s="79" t="s">
        <v>4</v>
      </c>
      <c r="C18" s="24">
        <f>INT(C15-3600*C16-60*C17)</f>
        <v>0</v>
      </c>
      <c r="D18" s="24"/>
      <c r="E18" s="24" t="s">
        <v>4</v>
      </c>
      <c r="F18" s="24">
        <f>INT(F15-3600*F16-60*F17)</f>
        <v>0</v>
      </c>
      <c r="G18" s="80"/>
    </row>
    <row r="19" spans="2:7">
      <c r="B19" s="95" t="s">
        <v>1</v>
      </c>
      <c r="C19" s="139">
        <f>TIME(INT(C16+24),C17,C18)</f>
        <v>0.61458333333333326</v>
      </c>
      <c r="D19" s="96" t="s">
        <v>43</v>
      </c>
      <c r="E19" s="97" t="s">
        <v>0</v>
      </c>
      <c r="F19" s="139">
        <f>TIME(F16,F17,F18)</f>
        <v>0.63541666666666663</v>
      </c>
      <c r="G19" s="98" t="s">
        <v>43</v>
      </c>
    </row>
    <row r="21" spans="2:7">
      <c r="B21" s="1" t="s">
        <v>145</v>
      </c>
    </row>
    <row r="22" spans="2:7">
      <c r="B22" s="100" t="s">
        <v>146</v>
      </c>
      <c r="C22" s="83"/>
      <c r="D22" s="83"/>
      <c r="E22" s="101" t="s">
        <v>147</v>
      </c>
      <c r="F22" s="84"/>
      <c r="G22" s="85"/>
    </row>
    <row r="23" spans="2:7">
      <c r="B23" s="86"/>
      <c r="E23" s="87"/>
      <c r="F23" s="24"/>
      <c r="G23" s="80"/>
    </row>
    <row r="24" spans="2:7">
      <c r="B24" s="81" t="s">
        <v>0</v>
      </c>
      <c r="C24" s="2">
        <v>0.59375</v>
      </c>
      <c r="D24" s="88"/>
      <c r="E24" s="89" t="s">
        <v>1</v>
      </c>
      <c r="F24" s="2">
        <v>0.55208333333333337</v>
      </c>
      <c r="G24" s="80"/>
    </row>
    <row r="25" spans="2:7">
      <c r="B25" s="79" t="s">
        <v>2</v>
      </c>
      <c r="C25" s="24">
        <f>HOUR(C24)</f>
        <v>14</v>
      </c>
      <c r="D25" s="24"/>
      <c r="E25" s="24" t="s">
        <v>2</v>
      </c>
      <c r="F25" s="24">
        <f>HOUR(F24)</f>
        <v>13</v>
      </c>
      <c r="G25" s="80"/>
    </row>
    <row r="26" spans="2:7">
      <c r="B26" s="79" t="s">
        <v>3</v>
      </c>
      <c r="C26" s="24">
        <f>MINUTE(C24)</f>
        <v>15</v>
      </c>
      <c r="D26" s="24"/>
      <c r="E26" s="24" t="s">
        <v>3</v>
      </c>
      <c r="F26" s="24">
        <f>MINUTE(F24)</f>
        <v>15</v>
      </c>
      <c r="G26" s="80"/>
    </row>
    <row r="27" spans="2:7">
      <c r="B27" s="79" t="s">
        <v>4</v>
      </c>
      <c r="C27" s="24">
        <f>SECOND(C24)</f>
        <v>0</v>
      </c>
      <c r="D27" s="24"/>
      <c r="E27" s="24" t="s">
        <v>4</v>
      </c>
      <c r="F27" s="24">
        <f>SECOND(F24)</f>
        <v>0</v>
      </c>
      <c r="G27" s="80"/>
    </row>
    <row r="28" spans="2:7">
      <c r="B28" s="79" t="s">
        <v>5</v>
      </c>
      <c r="C28" s="90">
        <f>C25*3600+C26*60+C27</f>
        <v>51300</v>
      </c>
      <c r="D28" s="24"/>
      <c r="E28" s="24" t="s">
        <v>5</v>
      </c>
      <c r="F28" s="90">
        <f>F25*3600+F26*60+F27</f>
        <v>47700</v>
      </c>
      <c r="G28" s="80"/>
    </row>
    <row r="29" spans="2:7">
      <c r="B29" s="79"/>
      <c r="C29" s="24"/>
      <c r="D29" s="24"/>
      <c r="E29" s="24"/>
      <c r="F29" s="24"/>
      <c r="G29" s="80"/>
    </row>
    <row r="30" spans="2:7">
      <c r="B30" s="91" t="s">
        <v>9</v>
      </c>
      <c r="C30" s="4">
        <v>1</v>
      </c>
      <c r="D30" s="94"/>
      <c r="E30" s="93" t="s">
        <v>9</v>
      </c>
      <c r="F30" s="4">
        <v>1</v>
      </c>
      <c r="G30" s="80"/>
    </row>
    <row r="31" spans="2:7">
      <c r="B31" s="79" t="s">
        <v>8</v>
      </c>
      <c r="C31" s="90">
        <f>C30*3600</f>
        <v>3600</v>
      </c>
      <c r="D31" s="24"/>
      <c r="E31" s="24" t="s">
        <v>8</v>
      </c>
      <c r="F31" s="90">
        <f>F30*3600</f>
        <v>3600</v>
      </c>
      <c r="G31" s="102" t="s">
        <v>7</v>
      </c>
    </row>
    <row r="32" spans="2:7">
      <c r="B32" s="79"/>
      <c r="C32" s="90"/>
      <c r="D32" s="24"/>
      <c r="E32" s="24"/>
      <c r="F32" s="24"/>
      <c r="G32" s="80"/>
    </row>
    <row r="33" spans="2:7">
      <c r="B33" s="79" t="s">
        <v>5</v>
      </c>
      <c r="C33" s="90">
        <f>C28-C31</f>
        <v>47700</v>
      </c>
      <c r="D33" s="92"/>
      <c r="E33" s="24" t="s">
        <v>5</v>
      </c>
      <c r="F33" s="90">
        <f>F28+F31</f>
        <v>51300</v>
      </c>
      <c r="G33" s="80"/>
    </row>
    <row r="34" spans="2:7">
      <c r="B34" s="79" t="s">
        <v>2</v>
      </c>
      <c r="C34" s="94">
        <f>INT(C33/3600)</f>
        <v>13</v>
      </c>
      <c r="D34" s="94"/>
      <c r="E34" s="24" t="s">
        <v>2</v>
      </c>
      <c r="F34" s="94">
        <f>MOD(INT(F33/3600)+24,24)</f>
        <v>14</v>
      </c>
      <c r="G34" s="80"/>
    </row>
    <row r="35" spans="2:7">
      <c r="B35" s="79" t="s">
        <v>3</v>
      </c>
      <c r="C35" s="24">
        <f>INT((C33-3600*C34)/60)</f>
        <v>15</v>
      </c>
      <c r="D35" s="24"/>
      <c r="E35" s="24" t="s">
        <v>3</v>
      </c>
      <c r="F35" s="24">
        <f>INT((F33-3600*INT(F33/3600))/60)</f>
        <v>15</v>
      </c>
      <c r="G35" s="80"/>
    </row>
    <row r="36" spans="2:7">
      <c r="B36" s="79" t="s">
        <v>4</v>
      </c>
      <c r="C36" s="24">
        <f>INT(C33-3600*C34-60*C35)</f>
        <v>0</v>
      </c>
      <c r="D36" s="24"/>
      <c r="E36" s="24" t="s">
        <v>4</v>
      </c>
      <c r="F36" s="24">
        <f>INT(F33-3600*INT(F33/3600)-60*F35)</f>
        <v>0</v>
      </c>
      <c r="G36" s="80"/>
    </row>
    <row r="37" spans="2:7">
      <c r="B37" s="95" t="s">
        <v>1</v>
      </c>
      <c r="C37" s="139">
        <f>TIME(INT(C34+24),C35,C36)</f>
        <v>0.55208333333333326</v>
      </c>
      <c r="D37" s="96" t="s">
        <v>43</v>
      </c>
      <c r="E37" s="97" t="s">
        <v>0</v>
      </c>
      <c r="F37" s="139">
        <f>TIME(INT(F34+24),F35,F36)</f>
        <v>0.59375</v>
      </c>
      <c r="G37" s="98" t="s">
        <v>43</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15C7-D4F9-5E42-AD60-6D5516F221A6}">
  <dimension ref="A2:AW7"/>
  <sheetViews>
    <sheetView showGridLines="0" workbookViewId="0">
      <selection activeCell="F46" sqref="F46"/>
    </sheetView>
  </sheetViews>
  <sheetFormatPr baseColWidth="10" defaultRowHeight="16"/>
  <cols>
    <col min="1" max="2" width="10.83203125" style="1"/>
    <col min="3" max="3" width="14.6640625" style="1" bestFit="1" customWidth="1"/>
    <col min="4" max="49" width="10.83203125" style="1"/>
  </cols>
  <sheetData>
    <row r="2" spans="2:3">
      <c r="C2" s="43" t="s">
        <v>44</v>
      </c>
    </row>
    <row r="3" spans="2:3">
      <c r="B3" s="42" t="s">
        <v>45</v>
      </c>
      <c r="C3" s="146">
        <v>45419</v>
      </c>
    </row>
    <row r="4" spans="2:3">
      <c r="B4" s="42" t="s">
        <v>46</v>
      </c>
      <c r="C4" s="147" t="str">
        <f>IF(OR(MOD(YEAR(C3),400)=0,AND(MOD(YEAR(C3),4)=0,MOD(YEAR(C3),100)&lt;&gt;0)),"Y", "N")</f>
        <v>Y</v>
      </c>
    </row>
    <row r="5" spans="2:3">
      <c r="B5" s="42" t="s">
        <v>88</v>
      </c>
      <c r="C5" s="180">
        <f>INT(275*MONTH(C3)/9)-IF(C4="Y",1,2)*INT((MONTH(C3)+9)/12)+DAY(C3)-30</f>
        <v>128</v>
      </c>
    </row>
    <row r="6" spans="2:3">
      <c r="B6" s="42" t="s">
        <v>162</v>
      </c>
      <c r="C6" s="180" t="str">
        <f>IF(INT(MOD(C7+1.5,7))=1,"Monday",IF(INT(MOD(C7+1.5,7))=2,"Tuesday",IF(INT(MOD(C7+1.5,7))=3,"Wednesday",IF(INT(MOD(C7+1.5,7))=4,"Thursday",IF(INT(MOD(C7+1.5,7))=5,"Friday",IF(INT(MOD(C7+1.5,7))=6,"Saturday","Sunday"))))))</f>
        <v>Tuesday</v>
      </c>
    </row>
    <row r="7" spans="2:3">
      <c r="B7" s="42" t="s">
        <v>41</v>
      </c>
      <c r="C7" s="181">
        <f>367*YEAR(C3)-INT(7/4*YEAR(C3))-INT(3*(INT((YEAR(C3)-8/7)/100)+1)/4)+1721059.5-1+C5</f>
        <v>2460437.5</v>
      </c>
    </row>
  </sheetData>
  <sheetProtection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1073-B4F7-134D-9204-EFBC608D04EA}">
  <dimension ref="A2:V44"/>
  <sheetViews>
    <sheetView showGridLines="0" workbookViewId="0">
      <selection activeCell="G7" sqref="G7"/>
    </sheetView>
  </sheetViews>
  <sheetFormatPr baseColWidth="10" defaultRowHeight="16"/>
  <cols>
    <col min="1" max="1" width="10.83203125" style="5"/>
    <col min="2" max="2" width="11.6640625" style="49" customWidth="1"/>
    <col min="3" max="3" width="11.6640625" style="49" bestFit="1" customWidth="1"/>
    <col min="4" max="14" width="11" style="49" bestFit="1" customWidth="1"/>
    <col min="15" max="16" width="10.83203125" style="11"/>
    <col min="17" max="21" width="10.83203125" style="5"/>
    <col min="22" max="22" width="10.83203125" style="11"/>
    <col min="23" max="16384" width="10.83203125" style="5"/>
  </cols>
  <sheetData>
    <row r="2" spans="1:22" s="7" customFormat="1">
      <c r="A2" s="6"/>
      <c r="B2" s="49"/>
      <c r="C2" s="50" t="s">
        <v>44</v>
      </c>
      <c r="D2" s="51"/>
      <c r="E2" s="51"/>
      <c r="F2" s="51"/>
      <c r="G2" s="51"/>
      <c r="H2" s="51"/>
      <c r="I2" s="51"/>
      <c r="J2" s="51"/>
      <c r="K2" s="51"/>
      <c r="L2" s="51"/>
      <c r="M2" s="51"/>
      <c r="N2" s="51"/>
      <c r="O2" s="10"/>
      <c r="P2" s="10"/>
      <c r="V2" s="10"/>
    </row>
    <row r="3" spans="1:22" s="7" customFormat="1">
      <c r="A3" s="6"/>
      <c r="B3" s="52" t="s">
        <v>45</v>
      </c>
      <c r="C3" s="99">
        <v>45052</v>
      </c>
      <c r="D3" s="53"/>
      <c r="E3" s="51"/>
      <c r="F3" s="51"/>
      <c r="G3" s="51"/>
      <c r="H3" s="51"/>
      <c r="I3" s="51"/>
      <c r="J3" s="51"/>
      <c r="K3" s="51"/>
      <c r="L3" s="51"/>
      <c r="M3" s="51"/>
      <c r="N3" s="51"/>
      <c r="O3" s="10"/>
      <c r="P3" s="10"/>
      <c r="V3" s="10"/>
    </row>
    <row r="4" spans="1:22" s="7" customFormat="1">
      <c r="A4" s="6"/>
      <c r="B4" s="49"/>
      <c r="C4" s="51"/>
      <c r="D4" s="51"/>
      <c r="E4" s="51"/>
      <c r="F4" s="51"/>
      <c r="G4" s="51"/>
      <c r="H4" s="51"/>
      <c r="I4" s="51"/>
      <c r="J4" s="51"/>
      <c r="K4" s="51"/>
      <c r="L4" s="51"/>
      <c r="M4" s="51"/>
      <c r="N4" s="51"/>
      <c r="O4" s="10"/>
      <c r="P4" s="10"/>
      <c r="V4" s="10"/>
    </row>
    <row r="5" spans="1:22" s="7" customFormat="1">
      <c r="A5" s="8"/>
      <c r="B5" s="54" t="s">
        <v>10</v>
      </c>
      <c r="C5" s="55">
        <f>YEAR(C3)</f>
        <v>2023</v>
      </c>
      <c r="D5" s="56"/>
      <c r="E5" s="51"/>
      <c r="F5" s="51"/>
      <c r="G5" s="51"/>
      <c r="H5" s="51"/>
      <c r="I5" s="51"/>
      <c r="J5" s="51"/>
      <c r="K5" s="51"/>
      <c r="L5" s="51"/>
      <c r="M5" s="51"/>
      <c r="N5" s="51"/>
      <c r="O5" s="10"/>
      <c r="P5" s="10"/>
      <c r="V5" s="10"/>
    </row>
    <row r="6" spans="1:22" s="7" customFormat="1">
      <c r="A6" s="8"/>
      <c r="B6" s="55" t="s">
        <v>11</v>
      </c>
      <c r="C6" s="57">
        <f>MONTH(C3)</f>
        <v>5</v>
      </c>
      <c r="D6" s="56"/>
      <c r="E6" s="51"/>
      <c r="F6" s="51"/>
      <c r="G6" s="51"/>
      <c r="H6" s="51"/>
      <c r="I6" s="51"/>
      <c r="J6" s="51"/>
      <c r="K6" s="51"/>
      <c r="L6" s="51"/>
      <c r="M6" s="51"/>
      <c r="N6" s="51"/>
      <c r="O6" s="10"/>
      <c r="P6" s="10"/>
      <c r="V6" s="10"/>
    </row>
    <row r="7" spans="1:22" s="7" customFormat="1">
      <c r="A7" s="8"/>
      <c r="B7" s="55" t="s">
        <v>12</v>
      </c>
      <c r="C7" s="57">
        <f>DAY(C3)</f>
        <v>6</v>
      </c>
      <c r="D7" s="56"/>
      <c r="E7" s="51"/>
      <c r="F7" s="51"/>
      <c r="G7" s="51"/>
      <c r="H7" s="51"/>
      <c r="I7" s="51"/>
      <c r="J7" s="51"/>
      <c r="K7" s="51"/>
      <c r="L7" s="51"/>
      <c r="M7" s="51"/>
      <c r="N7" s="51"/>
      <c r="O7" s="10"/>
      <c r="P7" s="10"/>
      <c r="V7" s="10"/>
    </row>
    <row r="8" spans="1:22" s="7" customFormat="1">
      <c r="A8" s="6"/>
      <c r="B8" s="55" t="s">
        <v>46</v>
      </c>
      <c r="C8" s="58" t="str">
        <f>IF(OR(MOD(C5,400)=0,AND(MOD(C5,4)=0,MOD(C5,100)&lt;&gt;9)),"Y", "N")</f>
        <v>N</v>
      </c>
      <c r="D8" s="51"/>
      <c r="E8" s="59"/>
      <c r="F8" s="51"/>
      <c r="G8" s="60"/>
      <c r="H8" s="51"/>
      <c r="I8" s="51"/>
      <c r="J8" s="51"/>
      <c r="K8" s="51"/>
      <c r="L8" s="51"/>
      <c r="M8" s="51"/>
      <c r="N8" s="51"/>
      <c r="O8" s="10"/>
      <c r="P8" s="10"/>
      <c r="V8" s="10"/>
    </row>
    <row r="9" spans="1:22" s="7" customFormat="1">
      <c r="A9" s="6"/>
      <c r="B9" s="55" t="s">
        <v>47</v>
      </c>
      <c r="C9" s="179">
        <f>INT(275*MONTH(C3)/9)-IF(C8="Y",1,2)*INT((MONTH(C3)+9)/12)+DAY(C3)-30</f>
        <v>126</v>
      </c>
      <c r="D9" s="51"/>
      <c r="E9" s="59"/>
      <c r="F9" s="51"/>
      <c r="G9" s="60"/>
      <c r="H9" s="51"/>
      <c r="I9" s="51"/>
      <c r="J9" s="51"/>
      <c r="K9" s="51"/>
      <c r="L9" s="51"/>
      <c r="M9" s="51"/>
      <c r="N9" s="51"/>
      <c r="O9" s="10"/>
      <c r="P9" s="10"/>
      <c r="V9" s="10"/>
    </row>
    <row r="10" spans="1:22" s="7" customFormat="1">
      <c r="A10" s="6"/>
      <c r="B10" s="55" t="s">
        <v>41</v>
      </c>
      <c r="C10" s="178">
        <f>367*C5-INT(7/4*C5)-INT(3*(INT((C5-8/7)/100)+1)/4)+1721059.5-1+C9</f>
        <v>2460070.5</v>
      </c>
      <c r="D10" s="145" t="s">
        <v>148</v>
      </c>
      <c r="E10" s="61"/>
      <c r="F10" s="51"/>
      <c r="G10" s="60"/>
      <c r="H10" s="51"/>
      <c r="I10" s="51"/>
      <c r="J10" s="51"/>
      <c r="K10" s="51"/>
      <c r="L10" s="51"/>
      <c r="M10" s="51"/>
      <c r="N10" s="51"/>
      <c r="O10" s="10"/>
      <c r="P10" s="10"/>
      <c r="V10" s="10"/>
    </row>
    <row r="11" spans="1:22" s="7" customFormat="1">
      <c r="A11" s="6"/>
      <c r="B11" s="62"/>
      <c r="C11" s="52"/>
      <c r="D11" s="61"/>
      <c r="E11" s="61"/>
      <c r="F11" s="51"/>
      <c r="G11" s="60"/>
      <c r="H11" s="51"/>
      <c r="I11" s="51"/>
      <c r="J11" s="51"/>
      <c r="K11" s="51"/>
      <c r="L11" s="51"/>
      <c r="M11" s="51"/>
      <c r="N11" s="51"/>
      <c r="O11" s="10"/>
      <c r="P11" s="10"/>
      <c r="V11" s="10"/>
    </row>
    <row r="12" spans="1:22">
      <c r="B12" s="194">
        <f>C5</f>
        <v>2023</v>
      </c>
      <c r="C12" s="194"/>
      <c r="D12" s="194"/>
      <c r="E12" s="194"/>
      <c r="F12" s="194"/>
      <c r="G12" s="194"/>
      <c r="H12" s="194"/>
      <c r="I12" s="194"/>
      <c r="J12" s="194"/>
      <c r="K12" s="194"/>
      <c r="L12" s="194"/>
      <c r="M12" s="194"/>
      <c r="N12" s="194"/>
    </row>
    <row r="13" spans="1:22">
      <c r="B13" s="63" t="s">
        <v>12</v>
      </c>
      <c r="C13" s="64" t="s">
        <v>48</v>
      </c>
      <c r="D13" s="65" t="s">
        <v>49</v>
      </c>
      <c r="E13" s="65" t="s">
        <v>50</v>
      </c>
      <c r="F13" s="65" t="s">
        <v>51</v>
      </c>
      <c r="G13" s="65" t="s">
        <v>52</v>
      </c>
      <c r="H13" s="65" t="s">
        <v>53</v>
      </c>
      <c r="I13" s="65" t="s">
        <v>54</v>
      </c>
      <c r="J13" s="65" t="s">
        <v>55</v>
      </c>
      <c r="K13" s="65" t="s">
        <v>56</v>
      </c>
      <c r="L13" s="65" t="s">
        <v>57</v>
      </c>
      <c r="M13" s="65" t="s">
        <v>58</v>
      </c>
      <c r="N13" s="66" t="s">
        <v>59</v>
      </c>
    </row>
    <row r="14" spans="1:22">
      <c r="B14" s="67">
        <v>1</v>
      </c>
      <c r="C14" s="68">
        <v>1</v>
      </c>
      <c r="D14" s="69">
        <f>C44+1</f>
        <v>32</v>
      </c>
      <c r="E14" s="69">
        <f>D41+IF(C8="Y",2,1)</f>
        <v>60</v>
      </c>
      <c r="F14" s="69">
        <f>E44+1</f>
        <v>91</v>
      </c>
      <c r="G14" s="69">
        <f>F43+1</f>
        <v>121</v>
      </c>
      <c r="H14" s="69">
        <f>G44+1</f>
        <v>152</v>
      </c>
      <c r="I14" s="69">
        <f>H43+1</f>
        <v>182</v>
      </c>
      <c r="J14" s="69">
        <f>I44+1</f>
        <v>213</v>
      </c>
      <c r="K14" s="69">
        <f>J44+1</f>
        <v>244</v>
      </c>
      <c r="L14" s="69">
        <f>K43+1</f>
        <v>274</v>
      </c>
      <c r="M14" s="69">
        <f>L44+1</f>
        <v>305</v>
      </c>
      <c r="N14" s="70">
        <f>M43+1</f>
        <v>335</v>
      </c>
    </row>
    <row r="15" spans="1:22">
      <c r="B15" s="67">
        <v>2</v>
      </c>
      <c r="C15" s="68">
        <f>C14+1</f>
        <v>2</v>
      </c>
      <c r="D15" s="69">
        <f>D14+1</f>
        <v>33</v>
      </c>
      <c r="E15" s="69">
        <f t="shared" ref="E15:N30" si="0">E14+1</f>
        <v>61</v>
      </c>
      <c r="F15" s="69">
        <f t="shared" si="0"/>
        <v>92</v>
      </c>
      <c r="G15" s="69">
        <f t="shared" si="0"/>
        <v>122</v>
      </c>
      <c r="H15" s="69">
        <f t="shared" si="0"/>
        <v>153</v>
      </c>
      <c r="I15" s="69">
        <f t="shared" si="0"/>
        <v>183</v>
      </c>
      <c r="J15" s="69">
        <f t="shared" si="0"/>
        <v>214</v>
      </c>
      <c r="K15" s="69">
        <f t="shared" si="0"/>
        <v>245</v>
      </c>
      <c r="L15" s="69">
        <f t="shared" si="0"/>
        <v>275</v>
      </c>
      <c r="M15" s="69">
        <f t="shared" si="0"/>
        <v>306</v>
      </c>
      <c r="N15" s="70">
        <f t="shared" si="0"/>
        <v>336</v>
      </c>
    </row>
    <row r="16" spans="1:22">
      <c r="B16" s="67">
        <v>3</v>
      </c>
      <c r="C16" s="68">
        <f t="shared" ref="C16:N31" si="1">C15+1</f>
        <v>3</v>
      </c>
      <c r="D16" s="69">
        <f t="shared" si="1"/>
        <v>34</v>
      </c>
      <c r="E16" s="69">
        <f t="shared" si="0"/>
        <v>62</v>
      </c>
      <c r="F16" s="69">
        <f t="shared" si="0"/>
        <v>93</v>
      </c>
      <c r="G16" s="69">
        <f t="shared" si="0"/>
        <v>123</v>
      </c>
      <c r="H16" s="69">
        <f t="shared" si="0"/>
        <v>154</v>
      </c>
      <c r="I16" s="69">
        <f t="shared" si="0"/>
        <v>184</v>
      </c>
      <c r="J16" s="69">
        <f t="shared" si="0"/>
        <v>215</v>
      </c>
      <c r="K16" s="69">
        <f t="shared" si="0"/>
        <v>246</v>
      </c>
      <c r="L16" s="69">
        <f t="shared" si="0"/>
        <v>276</v>
      </c>
      <c r="M16" s="69">
        <f t="shared" si="0"/>
        <v>307</v>
      </c>
      <c r="N16" s="70">
        <f t="shared" si="0"/>
        <v>337</v>
      </c>
    </row>
    <row r="17" spans="2:14">
      <c r="B17" s="67">
        <v>4</v>
      </c>
      <c r="C17" s="68">
        <f t="shared" si="1"/>
        <v>4</v>
      </c>
      <c r="D17" s="69">
        <f t="shared" si="1"/>
        <v>35</v>
      </c>
      <c r="E17" s="69">
        <f t="shared" si="0"/>
        <v>63</v>
      </c>
      <c r="F17" s="69">
        <f t="shared" si="0"/>
        <v>94</v>
      </c>
      <c r="G17" s="69">
        <f t="shared" si="0"/>
        <v>124</v>
      </c>
      <c r="H17" s="69">
        <f t="shared" si="0"/>
        <v>155</v>
      </c>
      <c r="I17" s="69">
        <f t="shared" si="0"/>
        <v>185</v>
      </c>
      <c r="J17" s="69">
        <f t="shared" si="0"/>
        <v>216</v>
      </c>
      <c r="K17" s="69">
        <f t="shared" si="0"/>
        <v>247</v>
      </c>
      <c r="L17" s="69">
        <f t="shared" si="0"/>
        <v>277</v>
      </c>
      <c r="M17" s="69">
        <f t="shared" si="0"/>
        <v>308</v>
      </c>
      <c r="N17" s="70">
        <f t="shared" si="0"/>
        <v>338</v>
      </c>
    </row>
    <row r="18" spans="2:14">
      <c r="B18" s="67">
        <v>5</v>
      </c>
      <c r="C18" s="68">
        <f t="shared" si="1"/>
        <v>5</v>
      </c>
      <c r="D18" s="69">
        <f t="shared" si="1"/>
        <v>36</v>
      </c>
      <c r="E18" s="69">
        <f t="shared" si="0"/>
        <v>64</v>
      </c>
      <c r="F18" s="69">
        <f t="shared" si="0"/>
        <v>95</v>
      </c>
      <c r="G18" s="69">
        <f t="shared" si="0"/>
        <v>125</v>
      </c>
      <c r="H18" s="69">
        <f t="shared" si="0"/>
        <v>156</v>
      </c>
      <c r="I18" s="69">
        <f t="shared" si="0"/>
        <v>186</v>
      </c>
      <c r="J18" s="69">
        <f t="shared" si="0"/>
        <v>217</v>
      </c>
      <c r="K18" s="69">
        <f t="shared" si="0"/>
        <v>248</v>
      </c>
      <c r="L18" s="69">
        <f t="shared" si="0"/>
        <v>278</v>
      </c>
      <c r="M18" s="69">
        <f t="shared" si="0"/>
        <v>309</v>
      </c>
      <c r="N18" s="70">
        <f t="shared" si="0"/>
        <v>339</v>
      </c>
    </row>
    <row r="19" spans="2:14">
      <c r="B19" s="67">
        <v>6</v>
      </c>
      <c r="C19" s="68">
        <f t="shared" si="1"/>
        <v>6</v>
      </c>
      <c r="D19" s="69">
        <f t="shared" si="1"/>
        <v>37</v>
      </c>
      <c r="E19" s="69">
        <f t="shared" si="0"/>
        <v>65</v>
      </c>
      <c r="F19" s="69">
        <f t="shared" si="0"/>
        <v>96</v>
      </c>
      <c r="G19" s="69">
        <f t="shared" si="0"/>
        <v>126</v>
      </c>
      <c r="H19" s="69">
        <f t="shared" si="0"/>
        <v>157</v>
      </c>
      <c r="I19" s="69">
        <f t="shared" si="0"/>
        <v>187</v>
      </c>
      <c r="J19" s="69">
        <f t="shared" si="0"/>
        <v>218</v>
      </c>
      <c r="K19" s="69">
        <f t="shared" si="0"/>
        <v>249</v>
      </c>
      <c r="L19" s="69">
        <f t="shared" si="0"/>
        <v>279</v>
      </c>
      <c r="M19" s="69">
        <f t="shared" si="0"/>
        <v>310</v>
      </c>
      <c r="N19" s="70">
        <f t="shared" si="0"/>
        <v>340</v>
      </c>
    </row>
    <row r="20" spans="2:14">
      <c r="B20" s="67">
        <v>7</v>
      </c>
      <c r="C20" s="68">
        <f t="shared" si="1"/>
        <v>7</v>
      </c>
      <c r="D20" s="69">
        <f t="shared" si="1"/>
        <v>38</v>
      </c>
      <c r="E20" s="69">
        <f t="shared" si="0"/>
        <v>66</v>
      </c>
      <c r="F20" s="69">
        <f t="shared" si="0"/>
        <v>97</v>
      </c>
      <c r="G20" s="69">
        <f t="shared" si="0"/>
        <v>127</v>
      </c>
      <c r="H20" s="69">
        <f t="shared" si="0"/>
        <v>158</v>
      </c>
      <c r="I20" s="69">
        <f t="shared" si="0"/>
        <v>188</v>
      </c>
      <c r="J20" s="69">
        <f t="shared" si="0"/>
        <v>219</v>
      </c>
      <c r="K20" s="69">
        <f t="shared" si="0"/>
        <v>250</v>
      </c>
      <c r="L20" s="69">
        <f t="shared" si="0"/>
        <v>280</v>
      </c>
      <c r="M20" s="69">
        <f t="shared" si="0"/>
        <v>311</v>
      </c>
      <c r="N20" s="70">
        <f t="shared" si="0"/>
        <v>341</v>
      </c>
    </row>
    <row r="21" spans="2:14">
      <c r="B21" s="67">
        <v>8</v>
      </c>
      <c r="C21" s="68">
        <f t="shared" si="1"/>
        <v>8</v>
      </c>
      <c r="D21" s="69">
        <f t="shared" si="1"/>
        <v>39</v>
      </c>
      <c r="E21" s="69">
        <f t="shared" si="0"/>
        <v>67</v>
      </c>
      <c r="F21" s="69">
        <f t="shared" si="0"/>
        <v>98</v>
      </c>
      <c r="G21" s="69">
        <f t="shared" si="0"/>
        <v>128</v>
      </c>
      <c r="H21" s="69">
        <f t="shared" si="0"/>
        <v>159</v>
      </c>
      <c r="I21" s="69">
        <f t="shared" si="0"/>
        <v>189</v>
      </c>
      <c r="J21" s="69">
        <f t="shared" si="0"/>
        <v>220</v>
      </c>
      <c r="K21" s="69">
        <f t="shared" si="0"/>
        <v>251</v>
      </c>
      <c r="L21" s="69">
        <f t="shared" si="0"/>
        <v>281</v>
      </c>
      <c r="M21" s="69">
        <f t="shared" si="0"/>
        <v>312</v>
      </c>
      <c r="N21" s="70">
        <f t="shared" si="0"/>
        <v>342</v>
      </c>
    </row>
    <row r="22" spans="2:14">
      <c r="B22" s="67">
        <v>9</v>
      </c>
      <c r="C22" s="68">
        <f t="shared" si="1"/>
        <v>9</v>
      </c>
      <c r="D22" s="69">
        <f t="shared" si="1"/>
        <v>40</v>
      </c>
      <c r="E22" s="69">
        <f t="shared" si="0"/>
        <v>68</v>
      </c>
      <c r="F22" s="69">
        <f t="shared" si="0"/>
        <v>99</v>
      </c>
      <c r="G22" s="69">
        <f t="shared" si="0"/>
        <v>129</v>
      </c>
      <c r="H22" s="69">
        <f t="shared" si="0"/>
        <v>160</v>
      </c>
      <c r="I22" s="69">
        <f t="shared" si="0"/>
        <v>190</v>
      </c>
      <c r="J22" s="69">
        <f t="shared" si="0"/>
        <v>221</v>
      </c>
      <c r="K22" s="69">
        <f t="shared" si="0"/>
        <v>252</v>
      </c>
      <c r="L22" s="69">
        <f t="shared" si="0"/>
        <v>282</v>
      </c>
      <c r="M22" s="69">
        <f t="shared" si="0"/>
        <v>313</v>
      </c>
      <c r="N22" s="70">
        <f t="shared" si="0"/>
        <v>343</v>
      </c>
    </row>
    <row r="23" spans="2:14">
      <c r="B23" s="67">
        <v>10</v>
      </c>
      <c r="C23" s="68">
        <f t="shared" si="1"/>
        <v>10</v>
      </c>
      <c r="D23" s="69">
        <f t="shared" si="1"/>
        <v>41</v>
      </c>
      <c r="E23" s="69">
        <f t="shared" si="0"/>
        <v>69</v>
      </c>
      <c r="F23" s="69">
        <f t="shared" si="0"/>
        <v>100</v>
      </c>
      <c r="G23" s="69">
        <f t="shared" si="0"/>
        <v>130</v>
      </c>
      <c r="H23" s="69">
        <f t="shared" si="0"/>
        <v>161</v>
      </c>
      <c r="I23" s="69">
        <f t="shared" si="0"/>
        <v>191</v>
      </c>
      <c r="J23" s="69">
        <f t="shared" si="0"/>
        <v>222</v>
      </c>
      <c r="K23" s="69">
        <f t="shared" si="0"/>
        <v>253</v>
      </c>
      <c r="L23" s="69">
        <f t="shared" si="0"/>
        <v>283</v>
      </c>
      <c r="M23" s="69">
        <f t="shared" si="0"/>
        <v>314</v>
      </c>
      <c r="N23" s="70">
        <f t="shared" si="0"/>
        <v>344</v>
      </c>
    </row>
    <row r="24" spans="2:14">
      <c r="B24" s="67">
        <v>11</v>
      </c>
      <c r="C24" s="68">
        <f t="shared" si="1"/>
        <v>11</v>
      </c>
      <c r="D24" s="69">
        <f t="shared" si="1"/>
        <v>42</v>
      </c>
      <c r="E24" s="69">
        <f t="shared" si="0"/>
        <v>70</v>
      </c>
      <c r="F24" s="69">
        <f t="shared" si="0"/>
        <v>101</v>
      </c>
      <c r="G24" s="69">
        <f t="shared" si="0"/>
        <v>131</v>
      </c>
      <c r="H24" s="69">
        <f t="shared" si="0"/>
        <v>162</v>
      </c>
      <c r="I24" s="69">
        <f t="shared" si="0"/>
        <v>192</v>
      </c>
      <c r="J24" s="69">
        <f t="shared" si="0"/>
        <v>223</v>
      </c>
      <c r="K24" s="69">
        <f t="shared" si="0"/>
        <v>254</v>
      </c>
      <c r="L24" s="69">
        <f t="shared" si="0"/>
        <v>284</v>
      </c>
      <c r="M24" s="69">
        <f t="shared" si="0"/>
        <v>315</v>
      </c>
      <c r="N24" s="70">
        <f t="shared" si="0"/>
        <v>345</v>
      </c>
    </row>
    <row r="25" spans="2:14">
      <c r="B25" s="67">
        <v>12</v>
      </c>
      <c r="C25" s="68">
        <f t="shared" si="1"/>
        <v>12</v>
      </c>
      <c r="D25" s="69">
        <f t="shared" si="1"/>
        <v>43</v>
      </c>
      <c r="E25" s="69">
        <f t="shared" si="0"/>
        <v>71</v>
      </c>
      <c r="F25" s="69">
        <f t="shared" si="0"/>
        <v>102</v>
      </c>
      <c r="G25" s="69">
        <f t="shared" si="0"/>
        <v>132</v>
      </c>
      <c r="H25" s="69">
        <f t="shared" si="0"/>
        <v>163</v>
      </c>
      <c r="I25" s="69">
        <f t="shared" si="0"/>
        <v>193</v>
      </c>
      <c r="J25" s="69">
        <f t="shared" si="0"/>
        <v>224</v>
      </c>
      <c r="K25" s="69">
        <f t="shared" si="0"/>
        <v>255</v>
      </c>
      <c r="L25" s="69">
        <f t="shared" si="0"/>
        <v>285</v>
      </c>
      <c r="M25" s="69">
        <f t="shared" si="0"/>
        <v>316</v>
      </c>
      <c r="N25" s="70">
        <f t="shared" si="0"/>
        <v>346</v>
      </c>
    </row>
    <row r="26" spans="2:14">
      <c r="B26" s="67">
        <v>13</v>
      </c>
      <c r="C26" s="68">
        <f t="shared" si="1"/>
        <v>13</v>
      </c>
      <c r="D26" s="69">
        <f t="shared" si="1"/>
        <v>44</v>
      </c>
      <c r="E26" s="69">
        <f t="shared" si="0"/>
        <v>72</v>
      </c>
      <c r="F26" s="69">
        <f t="shared" si="0"/>
        <v>103</v>
      </c>
      <c r="G26" s="69">
        <f t="shared" si="0"/>
        <v>133</v>
      </c>
      <c r="H26" s="69">
        <f t="shared" si="0"/>
        <v>164</v>
      </c>
      <c r="I26" s="69">
        <f t="shared" si="0"/>
        <v>194</v>
      </c>
      <c r="J26" s="69">
        <f t="shared" si="0"/>
        <v>225</v>
      </c>
      <c r="K26" s="69">
        <f t="shared" si="0"/>
        <v>256</v>
      </c>
      <c r="L26" s="69">
        <f t="shared" si="0"/>
        <v>286</v>
      </c>
      <c r="M26" s="69">
        <f t="shared" si="0"/>
        <v>317</v>
      </c>
      <c r="N26" s="70">
        <f t="shared" si="0"/>
        <v>347</v>
      </c>
    </row>
    <row r="27" spans="2:14">
      <c r="B27" s="67">
        <v>14</v>
      </c>
      <c r="C27" s="68">
        <f t="shared" si="1"/>
        <v>14</v>
      </c>
      <c r="D27" s="69">
        <f t="shared" si="1"/>
        <v>45</v>
      </c>
      <c r="E27" s="69">
        <f t="shared" si="0"/>
        <v>73</v>
      </c>
      <c r="F27" s="69">
        <f t="shared" si="0"/>
        <v>104</v>
      </c>
      <c r="G27" s="69">
        <f t="shared" si="0"/>
        <v>134</v>
      </c>
      <c r="H27" s="69">
        <f t="shared" si="0"/>
        <v>165</v>
      </c>
      <c r="I27" s="69">
        <f t="shared" si="0"/>
        <v>195</v>
      </c>
      <c r="J27" s="69">
        <f t="shared" si="0"/>
        <v>226</v>
      </c>
      <c r="K27" s="69">
        <f t="shared" si="0"/>
        <v>257</v>
      </c>
      <c r="L27" s="69">
        <f t="shared" si="0"/>
        <v>287</v>
      </c>
      <c r="M27" s="69">
        <f t="shared" si="0"/>
        <v>318</v>
      </c>
      <c r="N27" s="70">
        <f t="shared" si="0"/>
        <v>348</v>
      </c>
    </row>
    <row r="28" spans="2:14">
      <c r="B28" s="67">
        <v>15</v>
      </c>
      <c r="C28" s="68">
        <f t="shared" si="1"/>
        <v>15</v>
      </c>
      <c r="D28" s="69">
        <f t="shared" si="1"/>
        <v>46</v>
      </c>
      <c r="E28" s="69">
        <f t="shared" si="0"/>
        <v>74</v>
      </c>
      <c r="F28" s="69">
        <f t="shared" si="0"/>
        <v>105</v>
      </c>
      <c r="G28" s="69">
        <f t="shared" si="0"/>
        <v>135</v>
      </c>
      <c r="H28" s="69">
        <f t="shared" si="0"/>
        <v>166</v>
      </c>
      <c r="I28" s="69">
        <f t="shared" si="0"/>
        <v>196</v>
      </c>
      <c r="J28" s="69">
        <f t="shared" si="0"/>
        <v>227</v>
      </c>
      <c r="K28" s="69">
        <f t="shared" si="0"/>
        <v>258</v>
      </c>
      <c r="L28" s="69">
        <f t="shared" si="0"/>
        <v>288</v>
      </c>
      <c r="M28" s="69">
        <f t="shared" si="0"/>
        <v>319</v>
      </c>
      <c r="N28" s="70">
        <f t="shared" si="0"/>
        <v>349</v>
      </c>
    </row>
    <row r="29" spans="2:14">
      <c r="B29" s="67">
        <v>16</v>
      </c>
      <c r="C29" s="68">
        <f t="shared" si="1"/>
        <v>16</v>
      </c>
      <c r="D29" s="69">
        <f t="shared" si="1"/>
        <v>47</v>
      </c>
      <c r="E29" s="69">
        <f t="shared" si="0"/>
        <v>75</v>
      </c>
      <c r="F29" s="69">
        <f t="shared" si="0"/>
        <v>106</v>
      </c>
      <c r="G29" s="69">
        <f t="shared" si="0"/>
        <v>136</v>
      </c>
      <c r="H29" s="69">
        <f t="shared" si="0"/>
        <v>167</v>
      </c>
      <c r="I29" s="69">
        <f t="shared" si="0"/>
        <v>197</v>
      </c>
      <c r="J29" s="69">
        <f t="shared" si="0"/>
        <v>228</v>
      </c>
      <c r="K29" s="69">
        <f t="shared" si="0"/>
        <v>259</v>
      </c>
      <c r="L29" s="69">
        <f t="shared" si="0"/>
        <v>289</v>
      </c>
      <c r="M29" s="69">
        <f t="shared" si="0"/>
        <v>320</v>
      </c>
      <c r="N29" s="70">
        <f t="shared" si="0"/>
        <v>350</v>
      </c>
    </row>
    <row r="30" spans="2:14">
      <c r="B30" s="67">
        <v>17</v>
      </c>
      <c r="C30" s="68">
        <f t="shared" si="1"/>
        <v>17</v>
      </c>
      <c r="D30" s="69">
        <f t="shared" si="1"/>
        <v>48</v>
      </c>
      <c r="E30" s="69">
        <f t="shared" si="0"/>
        <v>76</v>
      </c>
      <c r="F30" s="69">
        <f t="shared" si="0"/>
        <v>107</v>
      </c>
      <c r="G30" s="69">
        <f t="shared" si="0"/>
        <v>137</v>
      </c>
      <c r="H30" s="69">
        <f t="shared" si="0"/>
        <v>168</v>
      </c>
      <c r="I30" s="69">
        <f t="shared" si="0"/>
        <v>198</v>
      </c>
      <c r="J30" s="69">
        <f t="shared" si="0"/>
        <v>229</v>
      </c>
      <c r="K30" s="69">
        <f t="shared" si="0"/>
        <v>260</v>
      </c>
      <c r="L30" s="69">
        <f t="shared" si="0"/>
        <v>290</v>
      </c>
      <c r="M30" s="69">
        <f t="shared" si="0"/>
        <v>321</v>
      </c>
      <c r="N30" s="70">
        <f t="shared" si="0"/>
        <v>351</v>
      </c>
    </row>
    <row r="31" spans="2:14">
      <c r="B31" s="67">
        <v>18</v>
      </c>
      <c r="C31" s="68">
        <f t="shared" si="1"/>
        <v>18</v>
      </c>
      <c r="D31" s="69">
        <f t="shared" si="1"/>
        <v>49</v>
      </c>
      <c r="E31" s="69">
        <f t="shared" si="1"/>
        <v>77</v>
      </c>
      <c r="F31" s="69">
        <f t="shared" si="1"/>
        <v>108</v>
      </c>
      <c r="G31" s="69">
        <f t="shared" si="1"/>
        <v>138</v>
      </c>
      <c r="H31" s="69">
        <f t="shared" si="1"/>
        <v>169</v>
      </c>
      <c r="I31" s="69">
        <f t="shared" si="1"/>
        <v>199</v>
      </c>
      <c r="J31" s="69">
        <f t="shared" si="1"/>
        <v>230</v>
      </c>
      <c r="K31" s="69">
        <f t="shared" si="1"/>
        <v>261</v>
      </c>
      <c r="L31" s="69">
        <f t="shared" si="1"/>
        <v>291</v>
      </c>
      <c r="M31" s="69">
        <f t="shared" si="1"/>
        <v>322</v>
      </c>
      <c r="N31" s="70">
        <f t="shared" si="1"/>
        <v>352</v>
      </c>
    </row>
    <row r="32" spans="2:14">
      <c r="B32" s="67">
        <v>19</v>
      </c>
      <c r="C32" s="68">
        <f t="shared" ref="C32:N44" si="2">C31+1</f>
        <v>19</v>
      </c>
      <c r="D32" s="69">
        <f t="shared" si="2"/>
        <v>50</v>
      </c>
      <c r="E32" s="69">
        <f t="shared" si="2"/>
        <v>78</v>
      </c>
      <c r="F32" s="69">
        <f t="shared" si="2"/>
        <v>109</v>
      </c>
      <c r="G32" s="69">
        <f t="shared" si="2"/>
        <v>139</v>
      </c>
      <c r="H32" s="69">
        <f t="shared" si="2"/>
        <v>170</v>
      </c>
      <c r="I32" s="69">
        <f t="shared" si="2"/>
        <v>200</v>
      </c>
      <c r="J32" s="69">
        <f t="shared" si="2"/>
        <v>231</v>
      </c>
      <c r="K32" s="69">
        <f t="shared" si="2"/>
        <v>262</v>
      </c>
      <c r="L32" s="69">
        <f t="shared" si="2"/>
        <v>292</v>
      </c>
      <c r="M32" s="69">
        <f t="shared" si="2"/>
        <v>323</v>
      </c>
      <c r="N32" s="70">
        <f t="shared" si="2"/>
        <v>353</v>
      </c>
    </row>
    <row r="33" spans="2:14">
      <c r="B33" s="67">
        <v>20</v>
      </c>
      <c r="C33" s="68">
        <f t="shared" si="2"/>
        <v>20</v>
      </c>
      <c r="D33" s="69">
        <f t="shared" si="2"/>
        <v>51</v>
      </c>
      <c r="E33" s="69">
        <f t="shared" si="2"/>
        <v>79</v>
      </c>
      <c r="F33" s="69">
        <f t="shared" si="2"/>
        <v>110</v>
      </c>
      <c r="G33" s="69">
        <f t="shared" si="2"/>
        <v>140</v>
      </c>
      <c r="H33" s="69">
        <f t="shared" si="2"/>
        <v>171</v>
      </c>
      <c r="I33" s="69">
        <f t="shared" si="2"/>
        <v>201</v>
      </c>
      <c r="J33" s="69">
        <f t="shared" si="2"/>
        <v>232</v>
      </c>
      <c r="K33" s="69">
        <f t="shared" si="2"/>
        <v>263</v>
      </c>
      <c r="L33" s="69">
        <f t="shared" si="2"/>
        <v>293</v>
      </c>
      <c r="M33" s="69">
        <f t="shared" si="2"/>
        <v>324</v>
      </c>
      <c r="N33" s="70">
        <f t="shared" si="2"/>
        <v>354</v>
      </c>
    </row>
    <row r="34" spans="2:14">
      <c r="B34" s="67">
        <v>21</v>
      </c>
      <c r="C34" s="68">
        <f t="shared" si="2"/>
        <v>21</v>
      </c>
      <c r="D34" s="69">
        <f t="shared" si="2"/>
        <v>52</v>
      </c>
      <c r="E34" s="69">
        <f t="shared" si="2"/>
        <v>80</v>
      </c>
      <c r="F34" s="69">
        <f t="shared" si="2"/>
        <v>111</v>
      </c>
      <c r="G34" s="69">
        <f t="shared" si="2"/>
        <v>141</v>
      </c>
      <c r="H34" s="69">
        <f t="shared" si="2"/>
        <v>172</v>
      </c>
      <c r="I34" s="69">
        <f t="shared" si="2"/>
        <v>202</v>
      </c>
      <c r="J34" s="69">
        <f t="shared" si="2"/>
        <v>233</v>
      </c>
      <c r="K34" s="69">
        <f t="shared" si="2"/>
        <v>264</v>
      </c>
      <c r="L34" s="69">
        <f t="shared" si="2"/>
        <v>294</v>
      </c>
      <c r="M34" s="69">
        <f t="shared" si="2"/>
        <v>325</v>
      </c>
      <c r="N34" s="70">
        <f t="shared" si="2"/>
        <v>355</v>
      </c>
    </row>
    <row r="35" spans="2:14">
      <c r="B35" s="67">
        <v>22</v>
      </c>
      <c r="C35" s="68">
        <f t="shared" si="2"/>
        <v>22</v>
      </c>
      <c r="D35" s="69">
        <f t="shared" si="2"/>
        <v>53</v>
      </c>
      <c r="E35" s="69">
        <f t="shared" si="2"/>
        <v>81</v>
      </c>
      <c r="F35" s="69">
        <f t="shared" si="2"/>
        <v>112</v>
      </c>
      <c r="G35" s="69">
        <f t="shared" si="2"/>
        <v>142</v>
      </c>
      <c r="H35" s="69">
        <f t="shared" si="2"/>
        <v>173</v>
      </c>
      <c r="I35" s="69">
        <f t="shared" si="2"/>
        <v>203</v>
      </c>
      <c r="J35" s="69">
        <f t="shared" si="2"/>
        <v>234</v>
      </c>
      <c r="K35" s="69">
        <f t="shared" si="2"/>
        <v>265</v>
      </c>
      <c r="L35" s="69">
        <f t="shared" si="2"/>
        <v>295</v>
      </c>
      <c r="M35" s="69">
        <f t="shared" si="2"/>
        <v>326</v>
      </c>
      <c r="N35" s="70">
        <f t="shared" si="2"/>
        <v>356</v>
      </c>
    </row>
    <row r="36" spans="2:14">
      <c r="B36" s="67">
        <v>23</v>
      </c>
      <c r="C36" s="68">
        <f t="shared" si="2"/>
        <v>23</v>
      </c>
      <c r="D36" s="69">
        <f t="shared" si="2"/>
        <v>54</v>
      </c>
      <c r="E36" s="69">
        <f t="shared" si="2"/>
        <v>82</v>
      </c>
      <c r="F36" s="69">
        <f t="shared" si="2"/>
        <v>113</v>
      </c>
      <c r="G36" s="69">
        <f t="shared" si="2"/>
        <v>143</v>
      </c>
      <c r="H36" s="69">
        <f t="shared" si="2"/>
        <v>174</v>
      </c>
      <c r="I36" s="69">
        <f t="shared" si="2"/>
        <v>204</v>
      </c>
      <c r="J36" s="69">
        <f t="shared" si="2"/>
        <v>235</v>
      </c>
      <c r="K36" s="69">
        <f t="shared" si="2"/>
        <v>266</v>
      </c>
      <c r="L36" s="69">
        <f t="shared" si="2"/>
        <v>296</v>
      </c>
      <c r="M36" s="69">
        <f t="shared" si="2"/>
        <v>327</v>
      </c>
      <c r="N36" s="70">
        <f t="shared" si="2"/>
        <v>357</v>
      </c>
    </row>
    <row r="37" spans="2:14">
      <c r="B37" s="67">
        <v>24</v>
      </c>
      <c r="C37" s="68">
        <f t="shared" si="2"/>
        <v>24</v>
      </c>
      <c r="D37" s="69">
        <f t="shared" si="2"/>
        <v>55</v>
      </c>
      <c r="E37" s="69">
        <f t="shared" si="2"/>
        <v>83</v>
      </c>
      <c r="F37" s="69">
        <f t="shared" si="2"/>
        <v>114</v>
      </c>
      <c r="G37" s="69">
        <f t="shared" si="2"/>
        <v>144</v>
      </c>
      <c r="H37" s="69">
        <f t="shared" si="2"/>
        <v>175</v>
      </c>
      <c r="I37" s="69">
        <f t="shared" si="2"/>
        <v>205</v>
      </c>
      <c r="J37" s="69">
        <f t="shared" si="2"/>
        <v>236</v>
      </c>
      <c r="K37" s="69">
        <f t="shared" si="2"/>
        <v>267</v>
      </c>
      <c r="L37" s="69">
        <f t="shared" si="2"/>
        <v>297</v>
      </c>
      <c r="M37" s="69">
        <f t="shared" si="2"/>
        <v>328</v>
      </c>
      <c r="N37" s="70">
        <f t="shared" si="2"/>
        <v>358</v>
      </c>
    </row>
    <row r="38" spans="2:14">
      <c r="B38" s="67">
        <v>25</v>
      </c>
      <c r="C38" s="68">
        <f t="shared" si="2"/>
        <v>25</v>
      </c>
      <c r="D38" s="69">
        <f t="shared" si="2"/>
        <v>56</v>
      </c>
      <c r="E38" s="69">
        <f t="shared" si="2"/>
        <v>84</v>
      </c>
      <c r="F38" s="69">
        <f t="shared" si="2"/>
        <v>115</v>
      </c>
      <c r="G38" s="69">
        <f t="shared" si="2"/>
        <v>145</v>
      </c>
      <c r="H38" s="69">
        <f t="shared" si="2"/>
        <v>176</v>
      </c>
      <c r="I38" s="69">
        <f t="shared" si="2"/>
        <v>206</v>
      </c>
      <c r="J38" s="69">
        <f t="shared" si="2"/>
        <v>237</v>
      </c>
      <c r="K38" s="69">
        <f t="shared" si="2"/>
        <v>268</v>
      </c>
      <c r="L38" s="69">
        <f t="shared" si="2"/>
        <v>298</v>
      </c>
      <c r="M38" s="69">
        <f t="shared" si="2"/>
        <v>329</v>
      </c>
      <c r="N38" s="70">
        <f t="shared" si="2"/>
        <v>359</v>
      </c>
    </row>
    <row r="39" spans="2:14">
      <c r="B39" s="67">
        <v>26</v>
      </c>
      <c r="C39" s="68">
        <f t="shared" si="2"/>
        <v>26</v>
      </c>
      <c r="D39" s="69">
        <f t="shared" si="2"/>
        <v>57</v>
      </c>
      <c r="E39" s="69">
        <f t="shared" si="2"/>
        <v>85</v>
      </c>
      <c r="F39" s="69">
        <f t="shared" si="2"/>
        <v>116</v>
      </c>
      <c r="G39" s="69">
        <f t="shared" si="2"/>
        <v>146</v>
      </c>
      <c r="H39" s="69">
        <f t="shared" si="2"/>
        <v>177</v>
      </c>
      <c r="I39" s="69">
        <f t="shared" si="2"/>
        <v>207</v>
      </c>
      <c r="J39" s="69">
        <f t="shared" si="2"/>
        <v>238</v>
      </c>
      <c r="K39" s="69">
        <f t="shared" si="2"/>
        <v>269</v>
      </c>
      <c r="L39" s="69">
        <f t="shared" si="2"/>
        <v>299</v>
      </c>
      <c r="M39" s="69">
        <f t="shared" si="2"/>
        <v>330</v>
      </c>
      <c r="N39" s="70">
        <f t="shared" si="2"/>
        <v>360</v>
      </c>
    </row>
    <row r="40" spans="2:14">
      <c r="B40" s="67">
        <v>27</v>
      </c>
      <c r="C40" s="68">
        <f t="shared" si="2"/>
        <v>27</v>
      </c>
      <c r="D40" s="69">
        <f t="shared" si="2"/>
        <v>58</v>
      </c>
      <c r="E40" s="69">
        <f t="shared" si="2"/>
        <v>86</v>
      </c>
      <c r="F40" s="69">
        <f t="shared" si="2"/>
        <v>117</v>
      </c>
      <c r="G40" s="69">
        <f t="shared" si="2"/>
        <v>147</v>
      </c>
      <c r="H40" s="69">
        <f t="shared" si="2"/>
        <v>178</v>
      </c>
      <c r="I40" s="69">
        <f t="shared" si="2"/>
        <v>208</v>
      </c>
      <c r="J40" s="69">
        <f t="shared" si="2"/>
        <v>239</v>
      </c>
      <c r="K40" s="69">
        <f t="shared" si="2"/>
        <v>270</v>
      </c>
      <c r="L40" s="69">
        <f t="shared" si="2"/>
        <v>300</v>
      </c>
      <c r="M40" s="69">
        <f t="shared" si="2"/>
        <v>331</v>
      </c>
      <c r="N40" s="70">
        <f t="shared" si="2"/>
        <v>361</v>
      </c>
    </row>
    <row r="41" spans="2:14">
      <c r="B41" s="67">
        <v>28</v>
      </c>
      <c r="C41" s="68">
        <f t="shared" si="2"/>
        <v>28</v>
      </c>
      <c r="D41" s="69">
        <f t="shared" si="2"/>
        <v>59</v>
      </c>
      <c r="E41" s="69">
        <f t="shared" si="2"/>
        <v>87</v>
      </c>
      <c r="F41" s="69">
        <f t="shared" si="2"/>
        <v>118</v>
      </c>
      <c r="G41" s="69">
        <f t="shared" si="2"/>
        <v>148</v>
      </c>
      <c r="H41" s="69">
        <f t="shared" si="2"/>
        <v>179</v>
      </c>
      <c r="I41" s="69">
        <f t="shared" si="2"/>
        <v>209</v>
      </c>
      <c r="J41" s="69">
        <f t="shared" si="2"/>
        <v>240</v>
      </c>
      <c r="K41" s="69">
        <f t="shared" si="2"/>
        <v>271</v>
      </c>
      <c r="L41" s="69">
        <f t="shared" si="2"/>
        <v>301</v>
      </c>
      <c r="M41" s="69">
        <f t="shared" si="2"/>
        <v>332</v>
      </c>
      <c r="N41" s="70">
        <f t="shared" si="2"/>
        <v>362</v>
      </c>
    </row>
    <row r="42" spans="2:14">
      <c r="B42" s="67">
        <v>29</v>
      </c>
      <c r="C42" s="68">
        <f t="shared" si="2"/>
        <v>29</v>
      </c>
      <c r="D42" s="69" t="str">
        <f>IF(C8="Y",D41+1,"")</f>
        <v/>
      </c>
      <c r="E42" s="69">
        <f t="shared" si="2"/>
        <v>88</v>
      </c>
      <c r="F42" s="69">
        <f t="shared" si="2"/>
        <v>119</v>
      </c>
      <c r="G42" s="69">
        <f t="shared" si="2"/>
        <v>149</v>
      </c>
      <c r="H42" s="69">
        <f t="shared" si="2"/>
        <v>180</v>
      </c>
      <c r="I42" s="69">
        <f t="shared" si="2"/>
        <v>210</v>
      </c>
      <c r="J42" s="69">
        <f t="shared" si="2"/>
        <v>241</v>
      </c>
      <c r="K42" s="69">
        <f t="shared" si="2"/>
        <v>272</v>
      </c>
      <c r="L42" s="69">
        <f t="shared" si="2"/>
        <v>302</v>
      </c>
      <c r="M42" s="69">
        <f t="shared" si="2"/>
        <v>333</v>
      </c>
      <c r="N42" s="70">
        <f t="shared" si="2"/>
        <v>363</v>
      </c>
    </row>
    <row r="43" spans="2:14">
      <c r="B43" s="67">
        <v>30</v>
      </c>
      <c r="C43" s="68">
        <f t="shared" si="2"/>
        <v>30</v>
      </c>
      <c r="D43" s="69"/>
      <c r="E43" s="69">
        <f t="shared" si="2"/>
        <v>89</v>
      </c>
      <c r="F43" s="69">
        <f t="shared" si="2"/>
        <v>120</v>
      </c>
      <c r="G43" s="69">
        <f t="shared" si="2"/>
        <v>150</v>
      </c>
      <c r="H43" s="69">
        <f t="shared" si="2"/>
        <v>181</v>
      </c>
      <c r="I43" s="69">
        <f t="shared" si="2"/>
        <v>211</v>
      </c>
      <c r="J43" s="69">
        <f t="shared" si="2"/>
        <v>242</v>
      </c>
      <c r="K43" s="69">
        <f t="shared" si="2"/>
        <v>273</v>
      </c>
      <c r="L43" s="69">
        <f t="shared" si="2"/>
        <v>303</v>
      </c>
      <c r="M43" s="69">
        <f t="shared" si="2"/>
        <v>334</v>
      </c>
      <c r="N43" s="70">
        <f t="shared" si="2"/>
        <v>364</v>
      </c>
    </row>
    <row r="44" spans="2:14">
      <c r="B44" s="71">
        <v>31</v>
      </c>
      <c r="C44" s="72">
        <f t="shared" si="2"/>
        <v>31</v>
      </c>
      <c r="D44" s="73"/>
      <c r="E44" s="73">
        <f t="shared" si="2"/>
        <v>90</v>
      </c>
      <c r="F44" s="73"/>
      <c r="G44" s="73">
        <f t="shared" si="2"/>
        <v>151</v>
      </c>
      <c r="H44" s="73"/>
      <c r="I44" s="73">
        <f t="shared" si="2"/>
        <v>212</v>
      </c>
      <c r="J44" s="73">
        <f t="shared" si="2"/>
        <v>243</v>
      </c>
      <c r="K44" s="73"/>
      <c r="L44" s="73">
        <f t="shared" si="2"/>
        <v>304</v>
      </c>
      <c r="M44" s="73"/>
      <c r="N44" s="74">
        <f t="shared" si="2"/>
        <v>365</v>
      </c>
    </row>
  </sheetData>
  <sheetProtection sheet="1" objects="1" scenarios="1"/>
  <mergeCells count="1">
    <mergeCell ref="B12:N12"/>
  </mergeCells>
  <conditionalFormatting sqref="B14:N44">
    <cfRule type="expression" dxfId="2" priority="2" stopIfTrue="1">
      <formula>MOD(ROW(),2)=1</formula>
    </cfRule>
  </conditionalFormatting>
  <conditionalFormatting sqref="C14:N44">
    <cfRule type="cellIs" dxfId="1" priority="1" operator="equal">
      <formula>$C$9</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183A-70DB-694B-AE56-413E6C171DAB}">
  <dimension ref="B2:F10"/>
  <sheetViews>
    <sheetView showGridLines="0" workbookViewId="0">
      <selection activeCell="C15" sqref="C15"/>
    </sheetView>
  </sheetViews>
  <sheetFormatPr baseColWidth="10" defaultRowHeight="16"/>
  <sheetData>
    <row r="2" spans="2:6">
      <c r="B2" s="155" t="s">
        <v>169</v>
      </c>
      <c r="C2" s="155"/>
      <c r="D2" s="155"/>
      <c r="E2" s="151"/>
      <c r="F2" s="151"/>
    </row>
    <row r="3" spans="2:6">
      <c r="B3" s="155"/>
      <c r="C3" s="155"/>
      <c r="D3" s="155"/>
      <c r="E3" s="151"/>
      <c r="F3" s="151"/>
    </row>
    <row r="4" spans="2:6">
      <c r="B4" s="155"/>
      <c r="C4" s="160" t="s">
        <v>60</v>
      </c>
      <c r="D4" s="155"/>
      <c r="E4" s="151"/>
      <c r="F4" s="151"/>
    </row>
    <row r="5" spans="2:6" ht="18">
      <c r="B5" s="159" t="s">
        <v>168</v>
      </c>
      <c r="C5" s="158">
        <v>213.91540000000001</v>
      </c>
      <c r="D5" s="155" t="s">
        <v>163</v>
      </c>
      <c r="E5" s="151"/>
      <c r="F5" s="151"/>
    </row>
    <row r="6" spans="2:6" ht="18">
      <c r="B6" s="157" t="s">
        <v>167</v>
      </c>
      <c r="C6" s="156">
        <v>19.182500000000001</v>
      </c>
      <c r="D6" s="155" t="s">
        <v>163</v>
      </c>
      <c r="E6" s="151"/>
      <c r="F6" s="151"/>
    </row>
    <row r="7" spans="2:6" ht="18">
      <c r="B7" s="159" t="s">
        <v>166</v>
      </c>
      <c r="C7" s="158">
        <v>201.29830000000001</v>
      </c>
      <c r="D7" s="155" t="s">
        <v>163</v>
      </c>
      <c r="E7" s="151"/>
      <c r="F7" s="151"/>
    </row>
    <row r="8" spans="2:6" ht="18">
      <c r="B8" s="157" t="s">
        <v>165</v>
      </c>
      <c r="C8" s="156">
        <v>-11.1614</v>
      </c>
      <c r="D8" s="155" t="s">
        <v>163</v>
      </c>
      <c r="E8" s="151"/>
      <c r="F8" s="151"/>
    </row>
    <row r="9" spans="2:6">
      <c r="B9" s="155"/>
      <c r="C9" s="155"/>
      <c r="D9" s="155"/>
      <c r="E9" s="151"/>
      <c r="F9" s="151"/>
    </row>
    <row r="10" spans="2:6" ht="34">
      <c r="B10" s="154" t="s">
        <v>164</v>
      </c>
      <c r="C10" s="153">
        <f>ACOS(COS((PI()/180)*(C8-C6))-COS((PI()/180)*C6)*COS((PI()/180)*C8)*(1-COS((PI()/180)*(C7-C5))))/(PI()/180)</f>
        <v>32.793026837094921</v>
      </c>
      <c r="D10" s="152" t="s">
        <v>163</v>
      </c>
      <c r="E10" s="151"/>
      <c r="F10" s="151"/>
    </row>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Fraction, Deg, Time, Dec</vt:lpstr>
      <vt:lpstr>Gregorian - JDE</vt:lpstr>
      <vt:lpstr>Days since J2000</vt:lpstr>
      <vt:lpstr>Date Difference</vt:lpstr>
      <vt:lpstr>LT - UT</vt:lpstr>
      <vt:lpstr>Leap Year</vt:lpstr>
      <vt:lpstr>Day number</vt:lpstr>
      <vt:lpstr>Angular Separation</vt:lpstr>
      <vt:lpstr>RA DEC - ALT AZ</vt:lpstr>
      <vt:lpstr>Kepler's equation</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Utilities</dc:title>
  <dc:subject/>
  <dc:creator>Anton Viola</dc:creator>
  <cp:keywords/>
  <dc:description/>
  <cp:lastModifiedBy>Anton Viola</cp:lastModifiedBy>
  <dcterms:created xsi:type="dcterms:W3CDTF">2024-04-19T14:44:35Z</dcterms:created>
  <dcterms:modified xsi:type="dcterms:W3CDTF">2024-05-21T11:46:14Z</dcterms:modified>
  <cp:category/>
</cp:coreProperties>
</file>